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LILIAN SARUNI\SARUNI 2015\FP NOVEMBER 2015 MTCP\1511 FP November 2015\"/>
    </mc:Choice>
  </mc:AlternateContent>
  <bookViews>
    <workbookView xWindow="0" yWindow="135" windowWidth="9690" windowHeight="4800" tabRatio="874" activeTab="2"/>
  </bookViews>
  <sheets>
    <sheet name="NA Input" sheetId="12" r:id="rId1"/>
    <sheet name="Prices" sheetId="7" r:id="rId2"/>
    <sheet name="NA" sheetId="4" r:id="rId3"/>
    <sheet name="NA ASSUMPTIONS" sheetId="9" r:id="rId4"/>
    <sheet name="NA Indicators" sheetId="11" r:id="rId5"/>
    <sheet name="CPI_link" sheetId="10" r:id="rId6"/>
    <sheet name="Zanzibar" sheetId="22" r:id="rId7"/>
    <sheet name="CPI-Zanzibar" sheetId="23" r:id="rId8"/>
    <sheet name="Electricity" sheetId="21" r:id="rId9"/>
  </sheets>
  <externalReferences>
    <externalReference r:id="rId10"/>
    <externalReference r:id="rId11"/>
    <externalReference r:id="rId12"/>
  </externalReferences>
  <definedNames>
    <definedName name="_xlnm.Print_Area" localSheetId="2">NA!$E$2:$R$28</definedName>
    <definedName name="_xlnm.Print_Area" localSheetId="3">'NA ASSUMPTIONS'!$A$4:$K$52</definedName>
    <definedName name="_xlnm.Print_Area" localSheetId="1">Prices!$AP$5:$AT$35</definedName>
    <definedName name="_xlnm.Print_Titles" localSheetId="2">NA!$E:$E,NA!$2:$4</definedName>
    <definedName name="_xlnm.Print_Titles" localSheetId="1">Prices!$E:$E,Prices!$3:$4</definedName>
  </definedNames>
  <calcPr calcId="152511"/>
</workbook>
</file>

<file path=xl/calcChain.xml><?xml version="1.0" encoding="utf-8"?>
<calcChain xmlns="http://schemas.openxmlformats.org/spreadsheetml/2006/main">
  <c r="GK17" i="7" l="1"/>
  <c r="GJ17" i="7"/>
  <c r="GI17" i="7"/>
  <c r="GH17" i="7"/>
  <c r="GG17" i="7"/>
  <c r="GF17" i="7"/>
  <c r="GE17" i="7"/>
  <c r="GD17" i="7"/>
  <c r="GC17" i="7"/>
  <c r="GB17" i="7"/>
  <c r="GA17" i="7"/>
  <c r="FZ17" i="7"/>
  <c r="LC17" i="7"/>
  <c r="LB17" i="7"/>
  <c r="LA17" i="7"/>
  <c r="KZ17" i="7"/>
  <c r="KY17" i="7"/>
  <c r="KX17" i="7"/>
  <c r="KW17" i="7"/>
  <c r="KV17" i="7"/>
  <c r="KU17" i="7"/>
  <c r="KT17" i="7"/>
  <c r="KS17" i="7"/>
  <c r="KR17" i="7"/>
  <c r="KQ17" i="7"/>
  <c r="KP17" i="7"/>
  <c r="KO17" i="7"/>
  <c r="KN17" i="7"/>
  <c r="KM17" i="7"/>
  <c r="KL17" i="7"/>
  <c r="KK17" i="7"/>
  <c r="KJ17" i="7"/>
  <c r="KI17" i="7"/>
  <c r="KH17" i="7"/>
  <c r="KG17" i="7"/>
  <c r="KF17" i="7"/>
  <c r="KE17" i="7"/>
  <c r="KD17" i="7"/>
  <c r="KC17" i="7"/>
  <c r="KB17" i="7"/>
  <c r="KA17" i="7"/>
  <c r="JZ17" i="7"/>
  <c r="JY17" i="7"/>
  <c r="JX17" i="7"/>
  <c r="JW17" i="7"/>
  <c r="JV17" i="7"/>
  <c r="JU17" i="7"/>
  <c r="JT17" i="7"/>
  <c r="JS17" i="7"/>
  <c r="JR17" i="7"/>
  <c r="JQ17" i="7"/>
  <c r="JP17" i="7"/>
  <c r="JO17" i="7"/>
  <c r="JN17" i="7"/>
  <c r="JM17" i="7"/>
  <c r="JL17" i="7"/>
  <c r="JK17" i="7"/>
  <c r="JJ17" i="7"/>
  <c r="JI17" i="7"/>
  <c r="JH17" i="7"/>
  <c r="JG17" i="7"/>
  <c r="JF17" i="7"/>
  <c r="JE17" i="7"/>
  <c r="JD17" i="7"/>
  <c r="JC17" i="7"/>
  <c r="JB17" i="7"/>
  <c r="JA17" i="7"/>
  <c r="IZ17" i="7"/>
  <c r="IY17" i="7"/>
  <c r="IX17" i="7"/>
  <c r="IW17" i="7"/>
  <c r="IV17" i="7"/>
  <c r="IU17" i="7"/>
  <c r="IT17" i="7"/>
  <c r="LD17" i="7"/>
  <c r="IS12" i="7" l="1"/>
  <c r="IR10" i="7"/>
  <c r="IS10" i="7"/>
  <c r="IR8" i="7"/>
  <c r="IS8" i="7"/>
  <c r="IS7" i="7"/>
  <c r="IS14" i="7"/>
  <c r="BH11" i="7"/>
  <c r="BG11" i="7"/>
  <c r="BF11" i="7"/>
  <c r="BE11" i="7"/>
  <c r="BD11" i="7"/>
  <c r="BC11" i="7"/>
  <c r="LD7" i="7"/>
  <c r="BH7" i="7" s="1"/>
  <c r="KR7" i="7"/>
  <c r="BG7" i="7" s="1"/>
  <c r="KF7" i="7"/>
  <c r="BF7" i="7" s="1"/>
  <c r="JT7" i="7"/>
  <c r="BE7" i="7" s="1"/>
  <c r="JH7" i="7"/>
  <c r="BD7" i="7" s="1"/>
  <c r="IV7" i="7"/>
  <c r="BC7" i="7" s="1"/>
  <c r="AA7" i="7" s="1"/>
  <c r="IS16" i="7" l="1"/>
  <c r="JE16" i="7" s="1"/>
  <c r="JQ16" i="7" s="1"/>
  <c r="KC16" i="7" s="1"/>
  <c r="KO16" i="7" s="1"/>
  <c r="LA16" i="7" s="1"/>
  <c r="JE14" i="7"/>
  <c r="JQ14" i="7" s="1"/>
  <c r="KC14" i="7" s="1"/>
  <c r="KO14" i="7" s="1"/>
  <c r="LA14" i="7" s="1"/>
  <c r="U15" i="7"/>
  <c r="GA14" i="7" l="1"/>
  <c r="GA16" i="7" s="1"/>
  <c r="GB14" i="7"/>
  <c r="GB16" i="7" s="1"/>
  <c r="GC14" i="7"/>
  <c r="GC16" i="7" s="1"/>
  <c r="GD14" i="7"/>
  <c r="GD16" i="7" s="1"/>
  <c r="GE14" i="7"/>
  <c r="GE16" i="7" s="1"/>
  <c r="GF14" i="7"/>
  <c r="GF16" i="7" s="1"/>
  <c r="GG14" i="7"/>
  <c r="GG16" i="7" s="1"/>
  <c r="GH14" i="7"/>
  <c r="GI14" i="7"/>
  <c r="GJ14" i="7"/>
  <c r="GJ16" i="7" s="1"/>
  <c r="GK14" i="7"/>
  <c r="GK16" i="7" s="1"/>
  <c r="GL14" i="7"/>
  <c r="GL16" i="7" s="1"/>
  <c r="GM14" i="7"/>
  <c r="GM16" i="7" s="1"/>
  <c r="GN14" i="7"/>
  <c r="GN16" i="7" s="1"/>
  <c r="GO14" i="7"/>
  <c r="GP14" i="7"/>
  <c r="GP16" i="7" s="1"/>
  <c r="GQ14" i="7"/>
  <c r="GQ16" i="7" s="1"/>
  <c r="GR14" i="7"/>
  <c r="GR16" i="7" s="1"/>
  <c r="GS14" i="7"/>
  <c r="GS16" i="7" s="1"/>
  <c r="GT14" i="7"/>
  <c r="GU14" i="7"/>
  <c r="GV14" i="7"/>
  <c r="GV16" i="7" s="1"/>
  <c r="GW14" i="7"/>
  <c r="GW16" i="7" s="1"/>
  <c r="GX14" i="7"/>
  <c r="GX16" i="7" s="1"/>
  <c r="GY14" i="7"/>
  <c r="GY16" i="7" s="1"/>
  <c r="GZ14" i="7"/>
  <c r="HA14" i="7"/>
  <c r="HA15" i="7" s="1"/>
  <c r="HA17" i="7" s="1"/>
  <c r="HB14" i="7"/>
  <c r="HB16" i="7" s="1"/>
  <c r="HC14" i="7"/>
  <c r="HC16" i="7" s="1"/>
  <c r="HD14" i="7"/>
  <c r="HD16" i="7" s="1"/>
  <c r="HE14" i="7"/>
  <c r="HE16" i="7" s="1"/>
  <c r="HF14" i="7"/>
  <c r="HG14" i="7"/>
  <c r="HG15" i="7" s="1"/>
  <c r="HG17" i="7" s="1"/>
  <c r="HH14" i="7"/>
  <c r="HH16" i="7" s="1"/>
  <c r="HI14" i="7"/>
  <c r="HI16" i="7" s="1"/>
  <c r="HJ14" i="7"/>
  <c r="HJ16" i="7" s="1"/>
  <c r="HK14" i="7"/>
  <c r="HK16" i="7" s="1"/>
  <c r="HL14" i="7"/>
  <c r="HM14" i="7"/>
  <c r="HM15" i="7" s="1"/>
  <c r="HM17" i="7" s="1"/>
  <c r="HN14" i="7"/>
  <c r="HN16" i="7" s="1"/>
  <c r="HO14" i="7"/>
  <c r="HP14" i="7"/>
  <c r="HQ14" i="7"/>
  <c r="HR14" i="7"/>
  <c r="HS14" i="7"/>
  <c r="HT14" i="7"/>
  <c r="HU14" i="7"/>
  <c r="HV14" i="7"/>
  <c r="HW14" i="7"/>
  <c r="HX14" i="7"/>
  <c r="HY14" i="7"/>
  <c r="HZ14" i="7"/>
  <c r="IA14" i="7"/>
  <c r="IB14" i="7"/>
  <c r="IC14" i="7"/>
  <c r="ID14" i="7"/>
  <c r="IE14" i="7"/>
  <c r="IF14" i="7"/>
  <c r="IG14" i="7"/>
  <c r="IH14" i="7"/>
  <c r="II14" i="7"/>
  <c r="IJ14" i="7"/>
  <c r="IK14" i="7"/>
  <c r="IL14" i="7"/>
  <c r="IM14" i="7"/>
  <c r="IN14" i="7"/>
  <c r="IO14" i="7"/>
  <c r="IP14" i="7"/>
  <c r="IQ14" i="7"/>
  <c r="IR14" i="7"/>
  <c r="FZ14" i="7"/>
  <c r="JD14" i="7" l="1"/>
  <c r="JP14" i="7" s="1"/>
  <c r="KB14" i="7" s="1"/>
  <c r="KN14" i="7" s="1"/>
  <c r="KZ14" i="7" s="1"/>
  <c r="IR16" i="7"/>
  <c r="JD16" i="7" s="1"/>
  <c r="JP16" i="7" s="1"/>
  <c r="KB16" i="7" s="1"/>
  <c r="KN16" i="7" s="1"/>
  <c r="KZ16" i="7" s="1"/>
  <c r="IR15" i="7"/>
  <c r="IR17" i="7" s="1"/>
  <c r="Z14" i="7"/>
  <c r="JB14" i="7"/>
  <c r="IP16" i="7"/>
  <c r="JB16" i="7" s="1"/>
  <c r="JN16" i="7" s="1"/>
  <c r="JZ16" i="7" s="1"/>
  <c r="KL16" i="7" s="1"/>
  <c r="KX16" i="7" s="1"/>
  <c r="IP15" i="7"/>
  <c r="IP17" i="7" s="1"/>
  <c r="IZ14" i="7"/>
  <c r="JL14" i="7" s="1"/>
  <c r="JX14" i="7" s="1"/>
  <c r="KJ14" i="7" s="1"/>
  <c r="KV14" i="7" s="1"/>
  <c r="IN16" i="7"/>
  <c r="IZ16" i="7" s="1"/>
  <c r="JL16" i="7" s="1"/>
  <c r="JX16" i="7" s="1"/>
  <c r="KJ16" i="7" s="1"/>
  <c r="KV16" i="7" s="1"/>
  <c r="IN15" i="7"/>
  <c r="IN17" i="7" s="1"/>
  <c r="IX14" i="7"/>
  <c r="JJ14" i="7" s="1"/>
  <c r="JV14" i="7" s="1"/>
  <c r="KH14" i="7" s="1"/>
  <c r="KT14" i="7" s="1"/>
  <c r="IL16" i="7"/>
  <c r="IX16" i="7" s="1"/>
  <c r="JJ16" i="7" s="1"/>
  <c r="JV16" i="7" s="1"/>
  <c r="KH16" i="7" s="1"/>
  <c r="KT16" i="7" s="1"/>
  <c r="IL15" i="7"/>
  <c r="IL17" i="7" s="1"/>
  <c r="BB14" i="7"/>
  <c r="IV14" i="7"/>
  <c r="IJ16" i="7"/>
  <c r="IV16" i="7" s="1"/>
  <c r="JH16" i="7" s="1"/>
  <c r="JT16" i="7" s="1"/>
  <c r="KF16" i="7" s="1"/>
  <c r="KR16" i="7" s="1"/>
  <c r="LD16" i="7" s="1"/>
  <c r="IJ15" i="7"/>
  <c r="IJ17" i="7" s="1"/>
  <c r="IT14" i="7"/>
  <c r="JF14" i="7" s="1"/>
  <c r="JR14" i="7" s="1"/>
  <c r="KD14" i="7" s="1"/>
  <c r="KP14" i="7" s="1"/>
  <c r="LB14" i="7" s="1"/>
  <c r="IH16" i="7"/>
  <c r="IT16" i="7" s="1"/>
  <c r="JF16" i="7" s="1"/>
  <c r="JR16" i="7" s="1"/>
  <c r="KD16" i="7" s="1"/>
  <c r="KP16" i="7" s="1"/>
  <c r="LB16" i="7" s="1"/>
  <c r="IH15" i="7"/>
  <c r="IH17" i="7" s="1"/>
  <c r="IF16" i="7"/>
  <c r="IF15" i="7"/>
  <c r="IF17" i="7" s="1"/>
  <c r="Y14" i="7"/>
  <c r="ID16" i="7"/>
  <c r="ID15" i="7"/>
  <c r="ID17" i="7" s="1"/>
  <c r="IB16" i="7"/>
  <c r="IB15" i="7"/>
  <c r="IB17" i="7" s="1"/>
  <c r="HZ16" i="7"/>
  <c r="HZ15" i="7"/>
  <c r="HZ17" i="7" s="1"/>
  <c r="BA14" i="7"/>
  <c r="HX16" i="7"/>
  <c r="HX15" i="7"/>
  <c r="HX17" i="7" s="1"/>
  <c r="HV16" i="7"/>
  <c r="HV15" i="7"/>
  <c r="HV17" i="7" s="1"/>
  <c r="HT16" i="7"/>
  <c r="HT15" i="7"/>
  <c r="HT17" i="7" s="1"/>
  <c r="X14" i="7"/>
  <c r="HR16" i="7"/>
  <c r="HR15" i="7"/>
  <c r="HR17" i="7" s="1"/>
  <c r="HP16" i="7"/>
  <c r="HP15" i="7"/>
  <c r="HP17" i="7" s="1"/>
  <c r="AZ14" i="7"/>
  <c r="HL16" i="7"/>
  <c r="W14" i="7"/>
  <c r="HF16" i="7"/>
  <c r="AY14" i="7"/>
  <c r="GZ16" i="7"/>
  <c r="V14" i="7"/>
  <c r="GT16" i="7"/>
  <c r="U14" i="7"/>
  <c r="GH16" i="7"/>
  <c r="GL15" i="7"/>
  <c r="GL17" i="7" s="1"/>
  <c r="GT15" i="7"/>
  <c r="GT17" i="7" s="1"/>
  <c r="GR15" i="7"/>
  <c r="GR17" i="7" s="1"/>
  <c r="GP15" i="7"/>
  <c r="GP17" i="7" s="1"/>
  <c r="GN15" i="7"/>
  <c r="GN17" i="7" s="1"/>
  <c r="HK15" i="7"/>
  <c r="HK17" i="7" s="1"/>
  <c r="HI15" i="7"/>
  <c r="HI17" i="7" s="1"/>
  <c r="HE15" i="7"/>
  <c r="HE17" i="7" s="1"/>
  <c r="HC15" i="7"/>
  <c r="HC17" i="7" s="1"/>
  <c r="GY15" i="7"/>
  <c r="GY17" i="7" s="1"/>
  <c r="GW15" i="7"/>
  <c r="GW17" i="7" s="1"/>
  <c r="HN15" i="7"/>
  <c r="HN17" i="7" s="1"/>
  <c r="FZ16" i="7"/>
  <c r="AW16" i="7"/>
  <c r="JC14" i="7"/>
  <c r="JO14" i="7" s="1"/>
  <c r="KA14" i="7" s="1"/>
  <c r="KM14" i="7" s="1"/>
  <c r="KY14" i="7" s="1"/>
  <c r="IQ16" i="7"/>
  <c r="IQ15" i="7"/>
  <c r="IQ17" i="7" s="1"/>
  <c r="JA14" i="7"/>
  <c r="JM14" i="7" s="1"/>
  <c r="JY14" i="7" s="1"/>
  <c r="KK14" i="7" s="1"/>
  <c r="KW14" i="7" s="1"/>
  <c r="IO16" i="7"/>
  <c r="JA16" i="7" s="1"/>
  <c r="JM16" i="7" s="1"/>
  <c r="JY16" i="7" s="1"/>
  <c r="KK16" i="7" s="1"/>
  <c r="KW16" i="7" s="1"/>
  <c r="IO15" i="7"/>
  <c r="IO17" i="7" s="1"/>
  <c r="IY14" i="7"/>
  <c r="JK14" i="7" s="1"/>
  <c r="JW14" i="7" s="1"/>
  <c r="KI14" i="7" s="1"/>
  <c r="KU14" i="7" s="1"/>
  <c r="IM16" i="7"/>
  <c r="IY16" i="7" s="1"/>
  <c r="JK16" i="7" s="1"/>
  <c r="JW16" i="7" s="1"/>
  <c r="KI16" i="7" s="1"/>
  <c r="KU16" i="7" s="1"/>
  <c r="IM15" i="7"/>
  <c r="IM17" i="7" s="1"/>
  <c r="IW14" i="7"/>
  <c r="JI14" i="7" s="1"/>
  <c r="JU14" i="7" s="1"/>
  <c r="KG14" i="7" s="1"/>
  <c r="KS14" i="7" s="1"/>
  <c r="IK16" i="7"/>
  <c r="IK15" i="7"/>
  <c r="IK17" i="7" s="1"/>
  <c r="IU14" i="7"/>
  <c r="JG14" i="7" s="1"/>
  <c r="JS14" i="7" s="1"/>
  <c r="KE14" i="7" s="1"/>
  <c r="KQ14" i="7" s="1"/>
  <c r="LC14" i="7" s="1"/>
  <c r="II16" i="7"/>
  <c r="IU16" i="7" s="1"/>
  <c r="JG16" i="7" s="1"/>
  <c r="JS16" i="7" s="1"/>
  <c r="KE16" i="7" s="1"/>
  <c r="KQ16" i="7" s="1"/>
  <c r="LC16" i="7" s="1"/>
  <c r="II15" i="7"/>
  <c r="II17" i="7" s="1"/>
  <c r="IG16" i="7"/>
  <c r="IG15" i="7"/>
  <c r="IG17" i="7" s="1"/>
  <c r="IS15" i="7"/>
  <c r="IS17" i="7" s="1"/>
  <c r="IE16" i="7"/>
  <c r="Z16" i="7"/>
  <c r="IE15" i="7"/>
  <c r="IE17" i="7" s="1"/>
  <c r="IC16" i="7"/>
  <c r="IC15" i="7"/>
  <c r="IC17" i="7" s="1"/>
  <c r="IA16" i="7"/>
  <c r="IA15" i="7"/>
  <c r="IA17" i="7" s="1"/>
  <c r="BB16" i="7"/>
  <c r="HY16" i="7"/>
  <c r="HY15" i="7"/>
  <c r="HY17" i="7" s="1"/>
  <c r="HW16" i="7"/>
  <c r="HW15" i="7"/>
  <c r="HW17" i="7" s="1"/>
  <c r="HU16" i="7"/>
  <c r="HU15" i="7"/>
  <c r="HU17" i="7" s="1"/>
  <c r="Y16" i="7"/>
  <c r="HS16" i="7"/>
  <c r="HS15" i="7"/>
  <c r="HS17" i="7" s="1"/>
  <c r="HQ16" i="7"/>
  <c r="HQ15" i="7"/>
  <c r="HQ17" i="7" s="1"/>
  <c r="HO16" i="7"/>
  <c r="HO15" i="7"/>
  <c r="HO17" i="7" s="1"/>
  <c r="HM16" i="7"/>
  <c r="BA16" i="7"/>
  <c r="BA17" i="7" s="1"/>
  <c r="X16" i="7"/>
  <c r="HG16" i="7"/>
  <c r="AZ16" i="7"/>
  <c r="HA16" i="7"/>
  <c r="W16" i="7"/>
  <c r="GU16" i="7"/>
  <c r="GO16" i="7"/>
  <c r="AY16" i="7"/>
  <c r="GI16" i="7"/>
  <c r="V16" i="7"/>
  <c r="GU15" i="7"/>
  <c r="GU17" i="7" s="1"/>
  <c r="GS15" i="7"/>
  <c r="GS17" i="7" s="1"/>
  <c r="GQ15" i="7"/>
  <c r="GQ17" i="7" s="1"/>
  <c r="GO15" i="7"/>
  <c r="GO17" i="7" s="1"/>
  <c r="GM15" i="7"/>
  <c r="GM17" i="7" s="1"/>
  <c r="HL15" i="7"/>
  <c r="HL17" i="7" s="1"/>
  <c r="HJ15" i="7"/>
  <c r="HJ17" i="7" s="1"/>
  <c r="HH15" i="7"/>
  <c r="HH17" i="7" s="1"/>
  <c r="HF15" i="7"/>
  <c r="HF17" i="7" s="1"/>
  <c r="HD15" i="7"/>
  <c r="HD17" i="7" s="1"/>
  <c r="HB15" i="7"/>
  <c r="HB17" i="7" s="1"/>
  <c r="GZ15" i="7"/>
  <c r="GZ17" i="7" s="1"/>
  <c r="GX15" i="7"/>
  <c r="GX17" i="7" s="1"/>
  <c r="GV15" i="7"/>
  <c r="GV17" i="7" s="1"/>
  <c r="V58" i="9"/>
  <c r="IQ8" i="7"/>
  <c r="IQ10" i="7"/>
  <c r="IQ7" i="7"/>
  <c r="IR7" i="7"/>
  <c r="S121" i="9"/>
  <c r="R121" i="9"/>
  <c r="Q121" i="9"/>
  <c r="BC16" i="7" l="1"/>
  <c r="BC17" i="7" s="1"/>
  <c r="IW16" i="7"/>
  <c r="V15" i="7"/>
  <c r="W15" i="7"/>
  <c r="AZ15" i="7"/>
  <c r="BA15" i="7"/>
  <c r="BB15" i="7"/>
  <c r="Z15" i="7"/>
  <c r="AZ17" i="7"/>
  <c r="BB17" i="7"/>
  <c r="AA16" i="7"/>
  <c r="AA17" i="7" s="1"/>
  <c r="JC16" i="7"/>
  <c r="X15" i="7"/>
  <c r="Y15" i="7"/>
  <c r="BC14" i="7"/>
  <c r="BC15" i="7" s="1"/>
  <c r="JH14" i="7"/>
  <c r="AA14" i="7"/>
  <c r="AA15" i="7" s="1"/>
  <c r="JN14" i="7"/>
  <c r="S253" i="9"/>
  <c r="R253" i="9"/>
  <c r="Q253" i="9"/>
  <c r="V250" i="9"/>
  <c r="U250" i="9"/>
  <c r="T250" i="9"/>
  <c r="S250" i="9"/>
  <c r="R250" i="9"/>
  <c r="Q250" i="9"/>
  <c r="V249" i="9"/>
  <c r="U249" i="9"/>
  <c r="T249" i="9"/>
  <c r="S249" i="9"/>
  <c r="R249" i="9"/>
  <c r="Q249" i="9"/>
  <c r="V248" i="9"/>
  <c r="U248" i="9"/>
  <c r="T248" i="9"/>
  <c r="S248" i="9"/>
  <c r="R248" i="9"/>
  <c r="Q248" i="9"/>
  <c r="V245" i="9"/>
  <c r="U245" i="9"/>
  <c r="T245" i="9"/>
  <c r="S245" i="9"/>
  <c r="R245" i="9"/>
  <c r="V243" i="9"/>
  <c r="U243" i="9"/>
  <c r="T243" i="9"/>
  <c r="S243" i="9"/>
  <c r="R243" i="9"/>
  <c r="V242" i="9"/>
  <c r="U242" i="9"/>
  <c r="T242" i="9"/>
  <c r="S242" i="9"/>
  <c r="R242" i="9"/>
  <c r="V240" i="9"/>
  <c r="U240" i="9"/>
  <c r="T240" i="9"/>
  <c r="S240" i="9"/>
  <c r="R240" i="9"/>
  <c r="V239" i="9"/>
  <c r="U239" i="9"/>
  <c r="T239" i="9"/>
  <c r="S239" i="9"/>
  <c r="R239" i="9"/>
  <c r="Q239" i="9"/>
  <c r="V238" i="9"/>
  <c r="U238" i="9"/>
  <c r="T238" i="9"/>
  <c r="S238" i="9"/>
  <c r="R238" i="9"/>
  <c r="Q238" i="9"/>
  <c r="V237" i="9"/>
  <c r="U237" i="9"/>
  <c r="T237" i="9"/>
  <c r="S237" i="9"/>
  <c r="R237" i="9"/>
  <c r="Q237" i="9"/>
  <c r="V233" i="9"/>
  <c r="U233" i="9"/>
  <c r="T233" i="9"/>
  <c r="S233" i="9"/>
  <c r="R233" i="9"/>
  <c r="Q233" i="9"/>
  <c r="V231" i="9"/>
  <c r="U231" i="9"/>
  <c r="T231" i="9"/>
  <c r="S231" i="9"/>
  <c r="R231" i="9"/>
  <c r="Q231" i="9"/>
  <c r="V229" i="9"/>
  <c r="U229" i="9"/>
  <c r="T229" i="9"/>
  <c r="S229" i="9"/>
  <c r="R229" i="9"/>
  <c r="Q229" i="9"/>
  <c r="V228" i="9"/>
  <c r="U228" i="9"/>
  <c r="T228" i="9"/>
  <c r="S228" i="9"/>
  <c r="R228" i="9"/>
  <c r="Q228" i="9"/>
  <c r="V227" i="9"/>
  <c r="U227" i="9"/>
  <c r="T227" i="9"/>
  <c r="S227" i="9"/>
  <c r="R227" i="9"/>
  <c r="Q227" i="9"/>
  <c r="V226" i="9"/>
  <c r="U226" i="9"/>
  <c r="T226" i="9"/>
  <c r="S226" i="9"/>
  <c r="R226" i="9"/>
  <c r="Q226" i="9"/>
  <c r="V225" i="9"/>
  <c r="U225" i="9"/>
  <c r="T225" i="9"/>
  <c r="S225" i="9"/>
  <c r="R225" i="9"/>
  <c r="Q225" i="9"/>
  <c r="T223" i="9"/>
  <c r="S223" i="9"/>
  <c r="R223" i="9"/>
  <c r="V223" i="9" s="1"/>
  <c r="Q223" i="9"/>
  <c r="U223" i="9" s="1"/>
  <c r="U222" i="9"/>
  <c r="T222" i="9"/>
  <c r="S222" i="9"/>
  <c r="R222" i="9"/>
  <c r="Q222" i="9"/>
  <c r="V222" i="9" s="1"/>
  <c r="V221" i="9"/>
  <c r="U221" i="9"/>
  <c r="T221" i="9"/>
  <c r="S221" i="9"/>
  <c r="R221" i="9"/>
  <c r="Q221" i="9"/>
  <c r="V220" i="9"/>
  <c r="U220" i="9"/>
  <c r="T220" i="9"/>
  <c r="S220" i="9"/>
  <c r="R220" i="9"/>
  <c r="Q220" i="9"/>
  <c r="V219" i="9"/>
  <c r="U219" i="9"/>
  <c r="T219" i="9"/>
  <c r="S219" i="9"/>
  <c r="R219" i="9"/>
  <c r="Q219" i="9"/>
  <c r="V216" i="9"/>
  <c r="U216" i="9"/>
  <c r="T216" i="9"/>
  <c r="S216" i="9"/>
  <c r="R216" i="9"/>
  <c r="Q216" i="9"/>
  <c r="V215" i="9"/>
  <c r="U215" i="9"/>
  <c r="T215" i="9"/>
  <c r="S215" i="9"/>
  <c r="R215" i="9"/>
  <c r="Q215" i="9"/>
  <c r="V214" i="9"/>
  <c r="U214" i="9"/>
  <c r="T214" i="9"/>
  <c r="S214" i="9"/>
  <c r="R214" i="9"/>
  <c r="Q214" i="9"/>
  <c r="V213" i="9"/>
  <c r="U213" i="9"/>
  <c r="T213" i="9"/>
  <c r="S213" i="9"/>
  <c r="R213" i="9"/>
  <c r="Q213" i="9"/>
  <c r="V211" i="9"/>
  <c r="U211" i="9"/>
  <c r="T211" i="9"/>
  <c r="S211" i="9"/>
  <c r="R211" i="9"/>
  <c r="Q211" i="9"/>
  <c r="V210" i="9"/>
  <c r="U210" i="9"/>
  <c r="T210" i="9"/>
  <c r="S210" i="9"/>
  <c r="R210" i="9"/>
  <c r="Q210" i="9"/>
  <c r="V209" i="9"/>
  <c r="U209" i="9"/>
  <c r="T209" i="9"/>
  <c r="S209" i="9"/>
  <c r="R209" i="9"/>
  <c r="Q209" i="9"/>
  <c r="V208" i="9"/>
  <c r="U208" i="9"/>
  <c r="T208" i="9"/>
  <c r="S208" i="9"/>
  <c r="R208" i="9"/>
  <c r="Q208" i="9"/>
  <c r="AB14" i="7" l="1"/>
  <c r="AB15" i="7" s="1"/>
  <c r="JZ14" i="7"/>
  <c r="BD14" i="7"/>
  <c r="BD15" i="7" s="1"/>
  <c r="JT14" i="7"/>
  <c r="AB16" i="7"/>
  <c r="AB17" i="7" s="1"/>
  <c r="JO16" i="7"/>
  <c r="BD16" i="7"/>
  <c r="BD17" i="7" s="1"/>
  <c r="JI16" i="7"/>
  <c r="S196" i="9"/>
  <c r="R196" i="9"/>
  <c r="Q196" i="9"/>
  <c r="V192" i="9"/>
  <c r="U192" i="9"/>
  <c r="T192" i="9"/>
  <c r="S192" i="9"/>
  <c r="R192" i="9"/>
  <c r="Q192" i="9"/>
  <c r="V179" i="9"/>
  <c r="U179" i="9"/>
  <c r="T179" i="9"/>
  <c r="S179" i="9"/>
  <c r="R179" i="9"/>
  <c r="Q179" i="9"/>
  <c r="V176" i="9"/>
  <c r="U176" i="9"/>
  <c r="T176" i="9"/>
  <c r="S176" i="9"/>
  <c r="R176" i="9"/>
  <c r="Q176" i="9"/>
  <c r="V174" i="9"/>
  <c r="U174" i="9"/>
  <c r="T174" i="9"/>
  <c r="S174" i="9"/>
  <c r="R174" i="9"/>
  <c r="Q174" i="9"/>
  <c r="V172" i="9"/>
  <c r="U172" i="9"/>
  <c r="T172" i="9"/>
  <c r="S172" i="9"/>
  <c r="R172" i="9"/>
  <c r="Q172" i="9"/>
  <c r="V171" i="9"/>
  <c r="U171" i="9"/>
  <c r="T171" i="9"/>
  <c r="S171" i="9"/>
  <c r="R171" i="9"/>
  <c r="Q171" i="9"/>
  <c r="V170" i="9"/>
  <c r="U170" i="9"/>
  <c r="T170" i="9"/>
  <c r="S170" i="9"/>
  <c r="R170" i="9"/>
  <c r="Q170" i="9"/>
  <c r="V169" i="9"/>
  <c r="U169" i="9"/>
  <c r="T169" i="9"/>
  <c r="S169" i="9"/>
  <c r="R169" i="9"/>
  <c r="Q169" i="9"/>
  <c r="V168" i="9"/>
  <c r="U168" i="9"/>
  <c r="T168" i="9"/>
  <c r="S168" i="9"/>
  <c r="R168" i="9"/>
  <c r="Q168" i="9"/>
  <c r="T166" i="9"/>
  <c r="S166" i="9"/>
  <c r="R166" i="9"/>
  <c r="V166" i="9" s="1"/>
  <c r="Q166" i="9"/>
  <c r="U166" i="9" s="1"/>
  <c r="U165" i="9"/>
  <c r="T165" i="9"/>
  <c r="S165" i="9"/>
  <c r="R165" i="9"/>
  <c r="Q165" i="9"/>
  <c r="V165" i="9" s="1"/>
  <c r="V164" i="9"/>
  <c r="U164" i="9"/>
  <c r="T164" i="9"/>
  <c r="S164" i="9"/>
  <c r="R164" i="9"/>
  <c r="Q164" i="9"/>
  <c r="V163" i="9"/>
  <c r="U163" i="9"/>
  <c r="T163" i="9"/>
  <c r="S163" i="9"/>
  <c r="R163" i="9"/>
  <c r="Q163" i="9"/>
  <c r="V162" i="9"/>
  <c r="U162" i="9"/>
  <c r="T162" i="9"/>
  <c r="S162" i="9"/>
  <c r="R162" i="9"/>
  <c r="Q162" i="9"/>
  <c r="V159" i="9"/>
  <c r="U159" i="9"/>
  <c r="T159" i="9"/>
  <c r="S159" i="9"/>
  <c r="R159" i="9"/>
  <c r="Q159" i="9"/>
  <c r="V158" i="9"/>
  <c r="U158" i="9"/>
  <c r="T158" i="9"/>
  <c r="S158" i="9"/>
  <c r="R158" i="9"/>
  <c r="Q158" i="9"/>
  <c r="V157" i="9"/>
  <c r="U157" i="9"/>
  <c r="T157" i="9"/>
  <c r="S157" i="9"/>
  <c r="R157" i="9"/>
  <c r="Q157" i="9"/>
  <c r="V156" i="9"/>
  <c r="U156" i="9"/>
  <c r="T156" i="9"/>
  <c r="S156" i="9"/>
  <c r="R156" i="9"/>
  <c r="Q156" i="9"/>
  <c r="V154" i="9"/>
  <c r="U154" i="9"/>
  <c r="T154" i="9"/>
  <c r="S154" i="9"/>
  <c r="R154" i="9"/>
  <c r="Q154" i="9"/>
  <c r="V153" i="9"/>
  <c r="U153" i="9"/>
  <c r="T153" i="9"/>
  <c r="S153" i="9"/>
  <c r="R153" i="9"/>
  <c r="Q153" i="9"/>
  <c r="V152" i="9"/>
  <c r="U152" i="9"/>
  <c r="T152" i="9"/>
  <c r="S152" i="9"/>
  <c r="R152" i="9"/>
  <c r="Q152" i="9"/>
  <c r="V151" i="9"/>
  <c r="U151" i="9"/>
  <c r="T151" i="9"/>
  <c r="S151" i="9"/>
  <c r="R151" i="9"/>
  <c r="Q151" i="9"/>
  <c r="V150" i="9"/>
  <c r="BE16" i="7" l="1"/>
  <c r="BE17" i="7" s="1"/>
  <c r="JU16" i="7"/>
  <c r="KA16" i="7"/>
  <c r="BE14" i="7"/>
  <c r="BE15" i="7" s="1"/>
  <c r="KF14" i="7"/>
  <c r="AC14" i="7"/>
  <c r="AC15" i="7" s="1"/>
  <c r="KL14" i="7"/>
  <c r="AD11" i="4"/>
  <c r="AE11" i="4"/>
  <c r="BG11" i="4"/>
  <c r="BH11" i="4"/>
  <c r="AD14" i="7" l="1"/>
  <c r="AD15" i="7" s="1"/>
  <c r="KX14" i="7"/>
  <c r="AE14" i="7" s="1"/>
  <c r="AE15" i="7" s="1"/>
  <c r="BF14" i="7"/>
  <c r="BF15" i="7" s="1"/>
  <c r="KR14" i="7"/>
  <c r="KM16" i="7"/>
  <c r="BF16" i="7"/>
  <c r="BF17" i="7" s="1"/>
  <c r="KG16" i="7"/>
  <c r="AC16" i="7"/>
  <c r="AC17" i="7" s="1"/>
  <c r="U138" i="9"/>
  <c r="U36" i="9" s="1"/>
  <c r="V138" i="9"/>
  <c r="V36" i="9" s="1"/>
  <c r="BG16" i="7" l="1"/>
  <c r="BG17" i="7" s="1"/>
  <c r="KS16" i="7"/>
  <c r="KY16" i="7"/>
  <c r="BG14" i="7"/>
  <c r="BG15" i="7" s="1"/>
  <c r="LD14" i="7"/>
  <c r="BH14" i="7" s="1"/>
  <c r="BH15" i="7" s="1"/>
  <c r="AD16" i="7"/>
  <c r="AD17" i="7" s="1"/>
  <c r="AE7" i="7"/>
  <c r="BH13" i="7"/>
  <c r="BH16" i="7" l="1"/>
  <c r="BH17" i="7" s="1"/>
  <c r="AE16" i="7"/>
  <c r="AE17" i="7" s="1"/>
  <c r="AE11" i="7"/>
  <c r="BH21" i="7"/>
  <c r="BH19" i="7"/>
  <c r="V57" i="9" l="1"/>
  <c r="IO70" i="7"/>
  <c r="IP70" i="7"/>
  <c r="IO71" i="7"/>
  <c r="IP71" i="7"/>
  <c r="IO72" i="7"/>
  <c r="IP72" i="7"/>
  <c r="IP64" i="7"/>
  <c r="IP65" i="7"/>
  <c r="IP66" i="7"/>
  <c r="IP67" i="7"/>
  <c r="IP68" i="7"/>
  <c r="HW10" i="7" l="1"/>
  <c r="HX10" i="7"/>
  <c r="HY10" i="7"/>
  <c r="HZ10" i="7"/>
  <c r="IA10" i="7"/>
  <c r="IB10" i="7"/>
  <c r="IC10" i="7"/>
  <c r="ID10" i="7"/>
  <c r="IE10" i="7"/>
  <c r="IQ11" i="7" s="1"/>
  <c r="IF10" i="7"/>
  <c r="IG10" i="7"/>
  <c r="IS11" i="7" s="1"/>
  <c r="IH10" i="7"/>
  <c r="IT10" i="7" s="1"/>
  <c r="II10" i="7"/>
  <c r="II11" i="7" s="1"/>
  <c r="IJ10" i="7"/>
  <c r="IJ11" i="7" s="1"/>
  <c r="IK10" i="7"/>
  <c r="IL10" i="7"/>
  <c r="IM10" i="7"/>
  <c r="IN10" i="7"/>
  <c r="IN11" i="7" s="1"/>
  <c r="IO10" i="7"/>
  <c r="IP10" i="7"/>
  <c r="HL10" i="7"/>
  <c r="HM10" i="7"/>
  <c r="HN10" i="7"/>
  <c r="HO10" i="7"/>
  <c r="HP10" i="7"/>
  <c r="HQ10" i="7"/>
  <c r="HR10" i="7"/>
  <c r="HS10" i="7"/>
  <c r="HT10" i="7"/>
  <c r="HU10" i="7"/>
  <c r="HV10" i="7"/>
  <c r="IP11" i="7"/>
  <c r="IF11" i="7" l="1"/>
  <c r="IR11" i="7"/>
  <c r="HX11" i="7"/>
  <c r="IH11" i="7"/>
  <c r="ID11" i="7"/>
  <c r="HZ11" i="7"/>
  <c r="IA11" i="7"/>
  <c r="IB11" i="7"/>
  <c r="IE11" i="7"/>
  <c r="HY11" i="7"/>
  <c r="IO11" i="7"/>
  <c r="IG11" i="7"/>
  <c r="IC11" i="7"/>
  <c r="IM11" i="7"/>
  <c r="IL11" i="7"/>
  <c r="IK11" i="7"/>
  <c r="ID73" i="7" l="1"/>
  <c r="IE73" i="7"/>
  <c r="IF73" i="7"/>
  <c r="IL6" i="7" l="1"/>
  <c r="IG7" i="7"/>
  <c r="IF7" i="7"/>
  <c r="IE7" i="7"/>
  <c r="ID7" i="7"/>
  <c r="IC7" i="7"/>
  <c r="IB7" i="7"/>
  <c r="IA7" i="7"/>
  <c r="HZ7" i="7"/>
  <c r="HY7" i="7"/>
  <c r="HW7" i="7"/>
  <c r="IH7" i="7"/>
  <c r="II7" i="7"/>
  <c r="IK7" i="7"/>
  <c r="IL7" i="7"/>
  <c r="IM7" i="7"/>
  <c r="IN7" i="7"/>
  <c r="IO7" i="7"/>
  <c r="IP7" i="7"/>
  <c r="IP13" i="7" s="1"/>
  <c r="IP12" i="7" l="1"/>
  <c r="IP8" i="7"/>
  <c r="AM198" i="4" l="1"/>
  <c r="AN198" i="4"/>
  <c r="AL198" i="4"/>
  <c r="AM89" i="4"/>
  <c r="AL89" i="4"/>
  <c r="IO64" i="7" l="1"/>
  <c r="IO65" i="7"/>
  <c r="IO66" i="7"/>
  <c r="IO67" i="7"/>
  <c r="IO68" i="7"/>
  <c r="AU300" i="4" l="1"/>
  <c r="AV300" i="4"/>
  <c r="AW300" i="4"/>
  <c r="AX300" i="4"/>
  <c r="AY300" i="4"/>
  <c r="AZ300" i="4"/>
  <c r="BA300" i="4"/>
  <c r="BB300" i="4"/>
  <c r="AS300" i="4"/>
  <c r="AS315" i="4"/>
  <c r="AU315" i="4"/>
  <c r="AV315" i="4"/>
  <c r="AW315" i="4"/>
  <c r="AX315" i="4"/>
  <c r="AY315" i="4"/>
  <c r="AZ315" i="4"/>
  <c r="BA315" i="4"/>
  <c r="BB315" i="4"/>
  <c r="AT315" i="4"/>
  <c r="AT300" i="4"/>
  <c r="AT314" i="4"/>
  <c r="AU314" i="4"/>
  <c r="AV314" i="4"/>
  <c r="AW314" i="4"/>
  <c r="AX314" i="4"/>
  <c r="AY314" i="4"/>
  <c r="AZ314" i="4"/>
  <c r="BA314" i="4"/>
  <c r="BB314" i="4"/>
  <c r="AT313" i="4"/>
  <c r="AU313" i="4"/>
  <c r="AV313" i="4"/>
  <c r="AW313" i="4"/>
  <c r="AX313" i="4"/>
  <c r="AY313" i="4"/>
  <c r="AZ313" i="4"/>
  <c r="BA313" i="4"/>
  <c r="BB313" i="4"/>
  <c r="BB312" i="4" s="1"/>
  <c r="AT311" i="4"/>
  <c r="AU311" i="4"/>
  <c r="AV311" i="4"/>
  <c r="AW311" i="4"/>
  <c r="AX311" i="4"/>
  <c r="AY311" i="4"/>
  <c r="AZ311" i="4"/>
  <c r="BA311" i="4"/>
  <c r="BB311" i="4"/>
  <c r="AT310" i="4"/>
  <c r="AU310" i="4"/>
  <c r="AV310" i="4"/>
  <c r="AW310" i="4"/>
  <c r="AX310" i="4"/>
  <c r="AY310" i="4"/>
  <c r="AZ310" i="4"/>
  <c r="BA310" i="4"/>
  <c r="BB310" i="4"/>
  <c r="AT308" i="4"/>
  <c r="AU308" i="4"/>
  <c r="AV308" i="4"/>
  <c r="AW308" i="4"/>
  <c r="AX308" i="4"/>
  <c r="AY308" i="4"/>
  <c r="AZ308" i="4"/>
  <c r="BA308" i="4"/>
  <c r="BB308" i="4"/>
  <c r="AT307" i="4"/>
  <c r="AU307" i="4"/>
  <c r="AV307" i="4"/>
  <c r="AW307" i="4"/>
  <c r="AX307" i="4"/>
  <c r="AY307" i="4"/>
  <c r="AZ307" i="4"/>
  <c r="BA307" i="4"/>
  <c r="BB307" i="4"/>
  <c r="BB306" i="4" s="1"/>
  <c r="AT305" i="4"/>
  <c r="AU305" i="4"/>
  <c r="AV305" i="4"/>
  <c r="AW305" i="4"/>
  <c r="AX305" i="4"/>
  <c r="AY305" i="4"/>
  <c r="AZ305" i="4"/>
  <c r="BA305" i="4"/>
  <c r="BB305" i="4"/>
  <c r="AT304" i="4"/>
  <c r="AU304" i="4"/>
  <c r="AV304" i="4"/>
  <c r="AW304" i="4"/>
  <c r="AX304" i="4"/>
  <c r="AY304" i="4"/>
  <c r="AZ304" i="4"/>
  <c r="BA304" i="4"/>
  <c r="BB304" i="4"/>
  <c r="AS314" i="4"/>
  <c r="AS313" i="4"/>
  <c r="AS311" i="4"/>
  <c r="AS310" i="4"/>
  <c r="AS308" i="4"/>
  <c r="AS307" i="4"/>
  <c r="AS305" i="4"/>
  <c r="AS304" i="4"/>
  <c r="AT299" i="4"/>
  <c r="AU299" i="4"/>
  <c r="AU297" i="4" s="1"/>
  <c r="AV299" i="4"/>
  <c r="AW299" i="4"/>
  <c r="AX299" i="4"/>
  <c r="AY299" i="4"/>
  <c r="AZ299" i="4"/>
  <c r="BA299" i="4"/>
  <c r="BA297" i="4" s="1"/>
  <c r="BB299" i="4"/>
  <c r="AT298" i="4"/>
  <c r="AU298" i="4"/>
  <c r="AV298" i="4"/>
  <c r="AW298" i="4"/>
  <c r="AX298" i="4"/>
  <c r="AY298" i="4"/>
  <c r="AZ298" i="4"/>
  <c r="BA298" i="4"/>
  <c r="BB298" i="4"/>
  <c r="AT296" i="4"/>
  <c r="AU296" i="4"/>
  <c r="AV296" i="4"/>
  <c r="AW296" i="4"/>
  <c r="AX296" i="4"/>
  <c r="AY296" i="4"/>
  <c r="AZ296" i="4"/>
  <c r="BA296" i="4"/>
  <c r="BB296" i="4"/>
  <c r="AT295" i="4"/>
  <c r="AU295" i="4"/>
  <c r="AV295" i="4"/>
  <c r="AW295" i="4"/>
  <c r="AX295" i="4"/>
  <c r="AY295" i="4"/>
  <c r="AZ295" i="4"/>
  <c r="BA295" i="4"/>
  <c r="BB295" i="4"/>
  <c r="AT293" i="4"/>
  <c r="AU293" i="4"/>
  <c r="AV293" i="4"/>
  <c r="AW293" i="4"/>
  <c r="AX293" i="4"/>
  <c r="AY293" i="4"/>
  <c r="AZ293" i="4"/>
  <c r="BA293" i="4"/>
  <c r="BB293" i="4"/>
  <c r="AT292" i="4"/>
  <c r="AU292" i="4"/>
  <c r="AV292" i="4"/>
  <c r="AW292" i="4"/>
  <c r="AX292" i="4"/>
  <c r="AY292" i="4"/>
  <c r="AZ292" i="4"/>
  <c r="BA292" i="4"/>
  <c r="BB292" i="4"/>
  <c r="AT289" i="4"/>
  <c r="AU289" i="4"/>
  <c r="AV289" i="4"/>
  <c r="AW289" i="4"/>
  <c r="AX289" i="4"/>
  <c r="AY289" i="4"/>
  <c r="AZ289" i="4"/>
  <c r="BA289" i="4"/>
  <c r="BB289" i="4"/>
  <c r="AS299" i="4"/>
  <c r="AS298" i="4"/>
  <c r="AS296" i="4"/>
  <c r="AS295" i="4"/>
  <c r="AS293" i="4"/>
  <c r="AS292" i="4"/>
  <c r="AS289" i="4"/>
  <c r="AT223" i="4"/>
  <c r="AU223" i="4"/>
  <c r="AV223" i="4"/>
  <c r="AW223" i="4"/>
  <c r="AX223" i="4"/>
  <c r="AY223" i="4"/>
  <c r="AZ223" i="4"/>
  <c r="BA223" i="4"/>
  <c r="BB223" i="4"/>
  <c r="BB80" i="4" s="1"/>
  <c r="BB221" i="4"/>
  <c r="AT221" i="4"/>
  <c r="AU221" i="4"/>
  <c r="AV221" i="4"/>
  <c r="AW221" i="4"/>
  <c r="AX221" i="4"/>
  <c r="AY221" i="4"/>
  <c r="AZ221" i="4"/>
  <c r="BA221" i="4"/>
  <c r="AT210" i="4"/>
  <c r="AU210" i="4"/>
  <c r="AV210" i="4"/>
  <c r="AW210" i="4"/>
  <c r="AX210" i="4"/>
  <c r="AY210" i="4"/>
  <c r="AZ210" i="4"/>
  <c r="BA210" i="4"/>
  <c r="BB210" i="4"/>
  <c r="AT211" i="4"/>
  <c r="AU211" i="4"/>
  <c r="AV211" i="4"/>
  <c r="AW211" i="4"/>
  <c r="AX211" i="4"/>
  <c r="AY211" i="4"/>
  <c r="AZ211" i="4"/>
  <c r="BA211" i="4"/>
  <c r="BB211" i="4"/>
  <c r="AT212" i="4"/>
  <c r="AU212" i="4"/>
  <c r="AV212" i="4"/>
  <c r="AW212" i="4"/>
  <c r="AX212" i="4"/>
  <c r="AY212" i="4"/>
  <c r="AZ212" i="4"/>
  <c r="BA212" i="4"/>
  <c r="BB212" i="4"/>
  <c r="AT213" i="4"/>
  <c r="AU213" i="4"/>
  <c r="AV213" i="4"/>
  <c r="AW213" i="4"/>
  <c r="AX213" i="4"/>
  <c r="AY213" i="4"/>
  <c r="AZ213" i="4"/>
  <c r="BA213" i="4"/>
  <c r="BB213" i="4"/>
  <c r="AT214" i="4"/>
  <c r="AU214" i="4"/>
  <c r="AV214" i="4"/>
  <c r="AW214" i="4"/>
  <c r="AX214" i="4"/>
  <c r="AY214" i="4"/>
  <c r="AZ214" i="4"/>
  <c r="BA214" i="4"/>
  <c r="BB214" i="4"/>
  <c r="AT215" i="4"/>
  <c r="AU215" i="4"/>
  <c r="AV215" i="4"/>
  <c r="AW215" i="4"/>
  <c r="AX215" i="4"/>
  <c r="AY215" i="4"/>
  <c r="AZ215" i="4"/>
  <c r="BA215" i="4"/>
  <c r="BB215" i="4"/>
  <c r="AT216" i="4"/>
  <c r="AU216" i="4"/>
  <c r="AV216" i="4"/>
  <c r="AW216" i="4"/>
  <c r="AX216" i="4"/>
  <c r="AY216" i="4"/>
  <c r="AZ216" i="4"/>
  <c r="BA216" i="4"/>
  <c r="BB216" i="4"/>
  <c r="AT217" i="4"/>
  <c r="AU217" i="4"/>
  <c r="AV217" i="4"/>
  <c r="AW217" i="4"/>
  <c r="AX217" i="4"/>
  <c r="AY217" i="4"/>
  <c r="AZ217" i="4"/>
  <c r="BA217" i="4"/>
  <c r="BB217" i="4"/>
  <c r="AT218" i="4"/>
  <c r="AU218" i="4"/>
  <c r="AV218" i="4"/>
  <c r="AW218" i="4"/>
  <c r="AX218" i="4"/>
  <c r="AY218" i="4"/>
  <c r="AZ218" i="4"/>
  <c r="BA218" i="4"/>
  <c r="BB218" i="4"/>
  <c r="AT219" i="4"/>
  <c r="AU219" i="4"/>
  <c r="AV219" i="4"/>
  <c r="AW219" i="4"/>
  <c r="AX219" i="4"/>
  <c r="AY219" i="4"/>
  <c r="AZ219" i="4"/>
  <c r="BA219" i="4"/>
  <c r="BB219" i="4"/>
  <c r="AT204" i="4"/>
  <c r="AU204" i="4"/>
  <c r="AV204" i="4"/>
  <c r="AW204" i="4"/>
  <c r="AX204" i="4"/>
  <c r="AY204" i="4"/>
  <c r="AZ204" i="4"/>
  <c r="BA204" i="4"/>
  <c r="BB204" i="4"/>
  <c r="AT205" i="4"/>
  <c r="AU205" i="4"/>
  <c r="AV205" i="4"/>
  <c r="AW205" i="4"/>
  <c r="AX205" i="4"/>
  <c r="AY205" i="4"/>
  <c r="AZ205" i="4"/>
  <c r="BA205" i="4"/>
  <c r="BB205" i="4"/>
  <c r="AT206" i="4"/>
  <c r="AU206" i="4"/>
  <c r="AV206" i="4"/>
  <c r="AW206" i="4"/>
  <c r="AX206" i="4"/>
  <c r="AY206" i="4"/>
  <c r="AZ206" i="4"/>
  <c r="BA206" i="4"/>
  <c r="BB206" i="4"/>
  <c r="AT207" i="4"/>
  <c r="AU207" i="4"/>
  <c r="AV207" i="4"/>
  <c r="AW207" i="4"/>
  <c r="AX207" i="4"/>
  <c r="AY207" i="4"/>
  <c r="AZ207" i="4"/>
  <c r="BA207" i="4"/>
  <c r="BB207" i="4"/>
  <c r="AT208" i="4"/>
  <c r="AU208" i="4"/>
  <c r="AV208" i="4"/>
  <c r="AW208" i="4"/>
  <c r="AX208" i="4"/>
  <c r="AY208" i="4"/>
  <c r="AZ208" i="4"/>
  <c r="BA208" i="4"/>
  <c r="BB208" i="4"/>
  <c r="AT199" i="4"/>
  <c r="AU199" i="4"/>
  <c r="AV199" i="4"/>
  <c r="AW199" i="4"/>
  <c r="AX199" i="4"/>
  <c r="AY199" i="4"/>
  <c r="AZ199" i="4"/>
  <c r="BA199" i="4"/>
  <c r="BB199" i="4"/>
  <c r="AT200" i="4"/>
  <c r="AU200" i="4"/>
  <c r="AV200" i="4"/>
  <c r="AW200" i="4"/>
  <c r="AX200" i="4"/>
  <c r="AY200" i="4"/>
  <c r="AZ200" i="4"/>
  <c r="BA200" i="4"/>
  <c r="BB200" i="4"/>
  <c r="AT201" i="4"/>
  <c r="AU201" i="4"/>
  <c r="AV201" i="4"/>
  <c r="AW201" i="4"/>
  <c r="AX201" i="4"/>
  <c r="AY201" i="4"/>
  <c r="AZ201" i="4"/>
  <c r="BA201" i="4"/>
  <c r="BB201" i="4"/>
  <c r="AT202" i="4"/>
  <c r="AU202" i="4"/>
  <c r="AV202" i="4"/>
  <c r="AW202" i="4"/>
  <c r="AX202" i="4"/>
  <c r="AY202" i="4"/>
  <c r="AZ202" i="4"/>
  <c r="BA202" i="4"/>
  <c r="BB202" i="4"/>
  <c r="IN64" i="7"/>
  <c r="IN65" i="7"/>
  <c r="IN66" i="7"/>
  <c r="IN67" i="7"/>
  <c r="IN68" i="7"/>
  <c r="IN70" i="7"/>
  <c r="IN71" i="7"/>
  <c r="IN72" i="7"/>
  <c r="IK64" i="7"/>
  <c r="IL64" i="7"/>
  <c r="IM64" i="7"/>
  <c r="IK65" i="7"/>
  <c r="IL65" i="7"/>
  <c r="IM65" i="7"/>
  <c r="IK66" i="7"/>
  <c r="IL66" i="7"/>
  <c r="IM66" i="7"/>
  <c r="IK67" i="7"/>
  <c r="IL67" i="7"/>
  <c r="IM67" i="7"/>
  <c r="IK68" i="7"/>
  <c r="IL68" i="7"/>
  <c r="IM68" i="7"/>
  <c r="IK70" i="7"/>
  <c r="IL70" i="7"/>
  <c r="IM70" i="7"/>
  <c r="IK71" i="7"/>
  <c r="IL71" i="7"/>
  <c r="IM71" i="7"/>
  <c r="IK72" i="7"/>
  <c r="IL72" i="7"/>
  <c r="IM72" i="7"/>
  <c r="AS294" i="4" l="1"/>
  <c r="AW291" i="4"/>
  <c r="AU291" i="4"/>
  <c r="BA294" i="4"/>
  <c r="BA309" i="4"/>
  <c r="AY297" i="4"/>
  <c r="AS291" i="4"/>
  <c r="AY291" i="4"/>
  <c r="AW297" i="4"/>
  <c r="BA291" i="4"/>
  <c r="BB198" i="4"/>
  <c r="AW294" i="4"/>
  <c r="AW287" i="4" s="1"/>
  <c r="BB309" i="4"/>
  <c r="AS297" i="4"/>
  <c r="AU294" i="4"/>
  <c r="AU287" i="4" s="1"/>
  <c r="AY294" i="4"/>
  <c r="BB303" i="4"/>
  <c r="BA287" i="4"/>
  <c r="AZ297" i="4"/>
  <c r="AV297" i="4"/>
  <c r="BB297" i="4"/>
  <c r="AX297" i="4"/>
  <c r="AT297" i="4"/>
  <c r="AZ294" i="4"/>
  <c r="AV294" i="4"/>
  <c r="BB294" i="4"/>
  <c r="AX294" i="4"/>
  <c r="AT294" i="4"/>
  <c r="AZ291" i="4"/>
  <c r="AV291" i="4"/>
  <c r="BB291" i="4"/>
  <c r="AX291" i="4"/>
  <c r="AT291" i="4"/>
  <c r="BB573" i="4"/>
  <c r="BA573" i="4"/>
  <c r="AZ573" i="4"/>
  <c r="AY573" i="4"/>
  <c r="AX573" i="4"/>
  <c r="AW573" i="4"/>
  <c r="AV573" i="4"/>
  <c r="AU573" i="4"/>
  <c r="AT573" i="4"/>
  <c r="AS573" i="4"/>
  <c r="BB558" i="4"/>
  <c r="BA558" i="4"/>
  <c r="AZ558" i="4"/>
  <c r="AY558" i="4"/>
  <c r="AX558" i="4"/>
  <c r="AW558" i="4"/>
  <c r="AV558" i="4"/>
  <c r="AU558" i="4"/>
  <c r="AT558" i="4"/>
  <c r="AS558" i="4"/>
  <c r="BB554" i="4"/>
  <c r="BA554" i="4"/>
  <c r="BA553" i="4" s="1"/>
  <c r="AZ554" i="4"/>
  <c r="AZ553" i="4" s="1"/>
  <c r="AY554" i="4"/>
  <c r="AX554" i="4"/>
  <c r="AW554" i="4"/>
  <c r="AW553" i="4" s="1"/>
  <c r="AV554" i="4"/>
  <c r="AU554" i="4"/>
  <c r="AT554" i="4"/>
  <c r="AS554" i="4"/>
  <c r="AS553" i="4" s="1"/>
  <c r="BB553" i="4"/>
  <c r="IL12" i="7"/>
  <c r="IM12" i="7"/>
  <c r="IN12" i="7"/>
  <c r="IO12" i="7"/>
  <c r="IL8" i="7"/>
  <c r="IM8" i="7"/>
  <c r="IN8" i="7"/>
  <c r="IO8" i="7"/>
  <c r="AX287" i="4" l="1"/>
  <c r="AZ287" i="4"/>
  <c r="AX553" i="4"/>
  <c r="AY287" i="4"/>
  <c r="BB287" i="4"/>
  <c r="AT553" i="4"/>
  <c r="BB302" i="4"/>
  <c r="AT287" i="4"/>
  <c r="AV553" i="4"/>
  <c r="AV287" i="4"/>
  <c r="AU553" i="4"/>
  <c r="AY553" i="4"/>
  <c r="AX270" i="4"/>
  <c r="AY270" i="4"/>
  <c r="AZ270" i="4"/>
  <c r="BA270" i="4"/>
  <c r="BB270" i="4"/>
  <c r="AV270" i="4"/>
  <c r="AW270" i="4"/>
  <c r="AT270" i="4"/>
  <c r="AU270" i="4"/>
  <c r="AS270" i="4"/>
  <c r="AT268" i="4"/>
  <c r="AU268" i="4"/>
  <c r="AV268" i="4"/>
  <c r="AW268" i="4"/>
  <c r="AX268" i="4"/>
  <c r="AY268" i="4"/>
  <c r="AZ268" i="4"/>
  <c r="BA268" i="4"/>
  <c r="BB268" i="4"/>
  <c r="AS268" i="4"/>
  <c r="AT266" i="4"/>
  <c r="AU266" i="4"/>
  <c r="AV266" i="4"/>
  <c r="AW266" i="4"/>
  <c r="AX266" i="4"/>
  <c r="AY266" i="4"/>
  <c r="AZ266" i="4"/>
  <c r="BA266" i="4"/>
  <c r="BB266" i="4"/>
  <c r="AS266" i="4"/>
  <c r="AS303" i="4"/>
  <c r="AS306" i="4"/>
  <c r="AS309" i="4"/>
  <c r="AS312" i="4"/>
  <c r="AT282" i="4"/>
  <c r="AU282" i="4"/>
  <c r="AV282" i="4"/>
  <c r="AW282" i="4"/>
  <c r="AX282" i="4"/>
  <c r="AY282" i="4"/>
  <c r="AZ282" i="4"/>
  <c r="BA282" i="4"/>
  <c r="BB282" i="4"/>
  <c r="AT279" i="4"/>
  <c r="AU279" i="4"/>
  <c r="AV279" i="4"/>
  <c r="AW279" i="4"/>
  <c r="AX279" i="4"/>
  <c r="AY279" i="4"/>
  <c r="AZ279" i="4"/>
  <c r="BA279" i="4"/>
  <c r="BB279" i="4"/>
  <c r="AT280" i="4"/>
  <c r="AU280" i="4"/>
  <c r="AV280" i="4"/>
  <c r="AW280" i="4"/>
  <c r="AX280" i="4"/>
  <c r="AY280" i="4"/>
  <c r="AZ280" i="4"/>
  <c r="BA280" i="4"/>
  <c r="BB280" i="4"/>
  <c r="AT274" i="4"/>
  <c r="AU274" i="4"/>
  <c r="AV274" i="4"/>
  <c r="AW274" i="4"/>
  <c r="AX274" i="4"/>
  <c r="AY274" i="4"/>
  <c r="AZ274" i="4"/>
  <c r="BA274" i="4"/>
  <c r="BB274" i="4"/>
  <c r="AT275" i="4"/>
  <c r="AU275" i="4"/>
  <c r="AV275" i="4"/>
  <c r="AW275" i="4"/>
  <c r="AX275" i="4"/>
  <c r="AY275" i="4"/>
  <c r="AZ275" i="4"/>
  <c r="BA275" i="4"/>
  <c r="BB275" i="4"/>
  <c r="AT276" i="4"/>
  <c r="AU276" i="4"/>
  <c r="AV276" i="4"/>
  <c r="AW276" i="4"/>
  <c r="AX276" i="4"/>
  <c r="AY276" i="4"/>
  <c r="AZ276" i="4"/>
  <c r="BA276" i="4"/>
  <c r="BB276" i="4"/>
  <c r="AT277" i="4"/>
  <c r="AU277" i="4"/>
  <c r="AV277" i="4"/>
  <c r="AW277" i="4"/>
  <c r="AX277" i="4"/>
  <c r="AY277" i="4"/>
  <c r="AZ277" i="4"/>
  <c r="BA277" i="4"/>
  <c r="BB277" i="4"/>
  <c r="AS279" i="4"/>
  <c r="AS280" i="4"/>
  <c r="AS282" i="4"/>
  <c r="AS277" i="4"/>
  <c r="AS276" i="4"/>
  <c r="AS275" i="4"/>
  <c r="AS274" i="4"/>
  <c r="AZ257" i="4"/>
  <c r="BA257" i="4"/>
  <c r="BB257" i="4"/>
  <c r="AY257" i="4"/>
  <c r="AT257" i="4"/>
  <c r="AU257" i="4"/>
  <c r="AV257" i="4"/>
  <c r="AW257" i="4"/>
  <c r="AX257" i="4"/>
  <c r="AT258" i="4"/>
  <c r="AU258" i="4"/>
  <c r="AV258" i="4"/>
  <c r="AW258" i="4"/>
  <c r="AX258" i="4"/>
  <c r="AY258" i="4"/>
  <c r="AZ258" i="4"/>
  <c r="BA258" i="4"/>
  <c r="BB258" i="4"/>
  <c r="AT259" i="4"/>
  <c r="AU259" i="4"/>
  <c r="AV259" i="4"/>
  <c r="AW259" i="4"/>
  <c r="AX259" i="4"/>
  <c r="AY259" i="4"/>
  <c r="AZ259" i="4"/>
  <c r="BA259" i="4"/>
  <c r="BB259" i="4"/>
  <c r="AS259" i="4"/>
  <c r="AS258" i="4"/>
  <c r="BB262" i="4"/>
  <c r="BA262" i="4"/>
  <c r="AT262" i="4"/>
  <c r="AU262" i="4"/>
  <c r="AV262" i="4"/>
  <c r="AW262" i="4"/>
  <c r="AX262" i="4"/>
  <c r="AY262" i="4"/>
  <c r="AZ262" i="4"/>
  <c r="AT263" i="4"/>
  <c r="AU263" i="4"/>
  <c r="AV263" i="4"/>
  <c r="AW263" i="4"/>
  <c r="AX263" i="4"/>
  <c r="AY263" i="4"/>
  <c r="AZ263" i="4"/>
  <c r="BA263" i="4"/>
  <c r="BB263" i="4"/>
  <c r="AT264" i="4"/>
  <c r="AU264" i="4"/>
  <c r="AV264" i="4"/>
  <c r="AW264" i="4"/>
  <c r="AX264" i="4"/>
  <c r="AY264" i="4"/>
  <c r="AZ264" i="4"/>
  <c r="BA264" i="4"/>
  <c r="BB264" i="4"/>
  <c r="AT265" i="4"/>
  <c r="AU265" i="4"/>
  <c r="AV265" i="4"/>
  <c r="AW265" i="4"/>
  <c r="AX265" i="4"/>
  <c r="AY265" i="4"/>
  <c r="AZ265" i="4"/>
  <c r="BA265" i="4"/>
  <c r="BB265" i="4"/>
  <c r="AS265" i="4"/>
  <c r="AS264" i="4"/>
  <c r="AS263" i="4"/>
  <c r="AS262" i="4"/>
  <c r="AT260" i="4"/>
  <c r="AU260" i="4"/>
  <c r="AV260" i="4"/>
  <c r="AW260" i="4"/>
  <c r="AX260" i="4"/>
  <c r="AY260" i="4"/>
  <c r="AZ260" i="4"/>
  <c r="BA260" i="4"/>
  <c r="BB260" i="4"/>
  <c r="AT261" i="4"/>
  <c r="AU261" i="4"/>
  <c r="AV261" i="4"/>
  <c r="AW261" i="4"/>
  <c r="AX261" i="4"/>
  <c r="AY261" i="4"/>
  <c r="AZ261" i="4"/>
  <c r="BA261" i="4"/>
  <c r="BB261" i="4"/>
  <c r="AS261" i="4"/>
  <c r="AS260" i="4"/>
  <c r="AS257" i="4"/>
  <c r="AT251" i="4"/>
  <c r="AU251" i="4"/>
  <c r="AV251" i="4"/>
  <c r="AW251" i="4"/>
  <c r="AX251" i="4"/>
  <c r="AY251" i="4"/>
  <c r="AZ251" i="4"/>
  <c r="BA251" i="4"/>
  <c r="BB251" i="4"/>
  <c r="AT252" i="4"/>
  <c r="AU252" i="4"/>
  <c r="AV252" i="4"/>
  <c r="AW252" i="4"/>
  <c r="AX252" i="4"/>
  <c r="AY252" i="4"/>
  <c r="AZ252" i="4"/>
  <c r="BA252" i="4"/>
  <c r="BB252" i="4"/>
  <c r="AT253" i="4"/>
  <c r="AU253" i="4"/>
  <c r="AV253" i="4"/>
  <c r="AW253" i="4"/>
  <c r="AX253" i="4"/>
  <c r="AY253" i="4"/>
  <c r="AZ253" i="4"/>
  <c r="BA253" i="4"/>
  <c r="BB253" i="4"/>
  <c r="AT254" i="4"/>
  <c r="AU254" i="4"/>
  <c r="AV254" i="4"/>
  <c r="AW254" i="4"/>
  <c r="AX254" i="4"/>
  <c r="AY254" i="4"/>
  <c r="AZ254" i="4"/>
  <c r="BA254" i="4"/>
  <c r="BB254" i="4"/>
  <c r="AT255" i="4"/>
  <c r="AU255" i="4"/>
  <c r="AV255" i="4"/>
  <c r="AW255" i="4"/>
  <c r="AX255" i="4"/>
  <c r="AY255" i="4"/>
  <c r="AZ255" i="4"/>
  <c r="BA255" i="4"/>
  <c r="BB255" i="4"/>
  <c r="AT246" i="4"/>
  <c r="AU246" i="4"/>
  <c r="AV246" i="4"/>
  <c r="AW246" i="4"/>
  <c r="AX246" i="4"/>
  <c r="AY246" i="4"/>
  <c r="AZ246" i="4"/>
  <c r="BA246" i="4"/>
  <c r="BB246" i="4"/>
  <c r="AT247" i="4"/>
  <c r="AU247" i="4"/>
  <c r="AV247" i="4"/>
  <c r="AW247" i="4"/>
  <c r="AX247" i="4"/>
  <c r="AY247" i="4"/>
  <c r="AZ247" i="4"/>
  <c r="BA247" i="4"/>
  <c r="BB247" i="4"/>
  <c r="AT248" i="4"/>
  <c r="AU248" i="4"/>
  <c r="AV248" i="4"/>
  <c r="AW248" i="4"/>
  <c r="AX248" i="4"/>
  <c r="AY248" i="4"/>
  <c r="AZ248" i="4"/>
  <c r="BA248" i="4"/>
  <c r="BB248" i="4"/>
  <c r="AT249" i="4"/>
  <c r="AU249" i="4"/>
  <c r="AV249" i="4"/>
  <c r="AW249" i="4"/>
  <c r="AX249" i="4"/>
  <c r="AY249" i="4"/>
  <c r="AZ249" i="4"/>
  <c r="BA249" i="4"/>
  <c r="BB249" i="4"/>
  <c r="AS247" i="4"/>
  <c r="AS248" i="4"/>
  <c r="AS249" i="4"/>
  <c r="AS251" i="4"/>
  <c r="AS252" i="4"/>
  <c r="AS253" i="4"/>
  <c r="AS254" i="4"/>
  <c r="AS255" i="4"/>
  <c r="AS246" i="4"/>
  <c r="AS90" i="4" s="1"/>
  <c r="AT235" i="4"/>
  <c r="AT234" i="4" s="1"/>
  <c r="AU235" i="4"/>
  <c r="AU234" i="4" s="1"/>
  <c r="AV235" i="4"/>
  <c r="AV234" i="4" s="1"/>
  <c r="AW235" i="4"/>
  <c r="AW234" i="4" s="1"/>
  <c r="AX235" i="4"/>
  <c r="AX234" i="4" s="1"/>
  <c r="AY235" i="4"/>
  <c r="AY234" i="4" s="1"/>
  <c r="AZ235" i="4"/>
  <c r="AZ234" i="4" s="1"/>
  <c r="BA235" i="4"/>
  <c r="BA234" i="4" s="1"/>
  <c r="BB235" i="4"/>
  <c r="BB234" i="4" s="1"/>
  <c r="AT232" i="4"/>
  <c r="AU232" i="4"/>
  <c r="AV232" i="4"/>
  <c r="AW232" i="4"/>
  <c r="AX232" i="4"/>
  <c r="AY232" i="4"/>
  <c r="AZ232" i="4"/>
  <c r="BA232" i="4"/>
  <c r="BB232" i="4"/>
  <c r="AT233" i="4"/>
  <c r="AU233" i="4"/>
  <c r="AV233" i="4"/>
  <c r="AW233" i="4"/>
  <c r="AX233" i="4"/>
  <c r="AY233" i="4"/>
  <c r="AZ233" i="4"/>
  <c r="BA233" i="4"/>
  <c r="BB233" i="4"/>
  <c r="AT227" i="4"/>
  <c r="AU227" i="4"/>
  <c r="AV227" i="4"/>
  <c r="AW227" i="4"/>
  <c r="AX227" i="4"/>
  <c r="AY227" i="4"/>
  <c r="AZ227" i="4"/>
  <c r="BA227" i="4"/>
  <c r="BB227" i="4"/>
  <c r="AT228" i="4"/>
  <c r="AU228" i="4"/>
  <c r="AV228" i="4"/>
  <c r="AW228" i="4"/>
  <c r="AX228" i="4"/>
  <c r="AY228" i="4"/>
  <c r="AZ228" i="4"/>
  <c r="BA228" i="4"/>
  <c r="BB228" i="4"/>
  <c r="AT229" i="4"/>
  <c r="AU229" i="4"/>
  <c r="AV229" i="4"/>
  <c r="AW229" i="4"/>
  <c r="AX229" i="4"/>
  <c r="AY229" i="4"/>
  <c r="AZ229" i="4"/>
  <c r="BA229" i="4"/>
  <c r="BB229" i="4"/>
  <c r="AT230" i="4"/>
  <c r="AU230" i="4"/>
  <c r="AV230" i="4"/>
  <c r="AW230" i="4"/>
  <c r="AX230" i="4"/>
  <c r="AY230" i="4"/>
  <c r="AZ230" i="4"/>
  <c r="BA230" i="4"/>
  <c r="BB230" i="4"/>
  <c r="AR226" i="4"/>
  <c r="AS232" i="4"/>
  <c r="AS233" i="4"/>
  <c r="AS235" i="4"/>
  <c r="AS234" i="4" s="1"/>
  <c r="AS227" i="4"/>
  <c r="AS228" i="4"/>
  <c r="AS229" i="4"/>
  <c r="AS230" i="4"/>
  <c r="AS223" i="4"/>
  <c r="AS221" i="4"/>
  <c r="AS219" i="4"/>
  <c r="AS218" i="4"/>
  <c r="AS217" i="4"/>
  <c r="AS216" i="4"/>
  <c r="AS215" i="4"/>
  <c r="AS214" i="4"/>
  <c r="AS213" i="4"/>
  <c r="AS212" i="4"/>
  <c r="AS211" i="4"/>
  <c r="AS210" i="4"/>
  <c r="AS205" i="4"/>
  <c r="AS206" i="4"/>
  <c r="AS207" i="4"/>
  <c r="AS208" i="4"/>
  <c r="AS204" i="4"/>
  <c r="AS200" i="4"/>
  <c r="AS201" i="4"/>
  <c r="AS202" i="4"/>
  <c r="AS199" i="4"/>
  <c r="BB544" i="4"/>
  <c r="BA544" i="4"/>
  <c r="AZ544" i="4"/>
  <c r="AY544" i="4"/>
  <c r="AX544" i="4"/>
  <c r="AW544" i="4"/>
  <c r="AV544" i="4"/>
  <c r="AU544" i="4"/>
  <c r="AT544" i="4"/>
  <c r="AS544" i="4"/>
  <c r="BB541" i="4"/>
  <c r="BB278" i="4" s="1"/>
  <c r="BA541" i="4"/>
  <c r="BA278" i="4" s="1"/>
  <c r="AZ541" i="4"/>
  <c r="AZ278" i="4" s="1"/>
  <c r="AY541" i="4"/>
  <c r="AY278" i="4" s="1"/>
  <c r="AX541" i="4"/>
  <c r="AX278" i="4" s="1"/>
  <c r="AW541" i="4"/>
  <c r="AW278" i="4" s="1"/>
  <c r="AV541" i="4"/>
  <c r="AV278" i="4" s="1"/>
  <c r="AU541" i="4"/>
  <c r="AU278" i="4" s="1"/>
  <c r="AT541" i="4"/>
  <c r="AT278" i="4" s="1"/>
  <c r="AS541" i="4"/>
  <c r="AS278" i="4" s="1"/>
  <c r="BB536" i="4"/>
  <c r="BA536" i="4"/>
  <c r="AZ536" i="4"/>
  <c r="AY536" i="4"/>
  <c r="AX536" i="4"/>
  <c r="AW536" i="4"/>
  <c r="AV536" i="4"/>
  <c r="AU536" i="4"/>
  <c r="AT536" i="4"/>
  <c r="AS536" i="4"/>
  <c r="BB516" i="4"/>
  <c r="BA516" i="4"/>
  <c r="AZ516" i="4"/>
  <c r="AY516" i="4"/>
  <c r="AX516" i="4"/>
  <c r="AW516" i="4"/>
  <c r="AV516" i="4"/>
  <c r="AU516" i="4"/>
  <c r="AT516" i="4"/>
  <c r="AS516" i="4"/>
  <c r="BB510" i="4"/>
  <c r="BA510" i="4"/>
  <c r="AZ510" i="4"/>
  <c r="AY510" i="4"/>
  <c r="AX510" i="4"/>
  <c r="AW510" i="4"/>
  <c r="AV510" i="4"/>
  <c r="AU510" i="4"/>
  <c r="AT510" i="4"/>
  <c r="AS510" i="4"/>
  <c r="AS505" i="4"/>
  <c r="BB496" i="4"/>
  <c r="BA496" i="4"/>
  <c r="AZ496" i="4"/>
  <c r="AY496" i="4"/>
  <c r="AX496" i="4"/>
  <c r="AW496" i="4"/>
  <c r="AV496" i="4"/>
  <c r="AU496" i="4"/>
  <c r="AT496" i="4"/>
  <c r="AS496" i="4"/>
  <c r="BB493" i="4"/>
  <c r="BA493" i="4"/>
  <c r="AZ493" i="4"/>
  <c r="AY493" i="4"/>
  <c r="AX493" i="4"/>
  <c r="AW493" i="4"/>
  <c r="AV493" i="4"/>
  <c r="AU493" i="4"/>
  <c r="AT493" i="4"/>
  <c r="AS493" i="4"/>
  <c r="BB488" i="4"/>
  <c r="BA488" i="4"/>
  <c r="AZ488" i="4"/>
  <c r="AY488" i="4"/>
  <c r="AX488" i="4"/>
  <c r="AW488" i="4"/>
  <c r="AV488" i="4"/>
  <c r="AU488" i="4"/>
  <c r="AT488" i="4"/>
  <c r="AS488" i="4"/>
  <c r="BB468" i="4"/>
  <c r="BA468" i="4"/>
  <c r="AZ468" i="4"/>
  <c r="AY468" i="4"/>
  <c r="AX468" i="4"/>
  <c r="AW468" i="4"/>
  <c r="AV468" i="4"/>
  <c r="AU468" i="4"/>
  <c r="AT468" i="4"/>
  <c r="AS468" i="4"/>
  <c r="BB462" i="4"/>
  <c r="BA462" i="4"/>
  <c r="AZ462" i="4"/>
  <c r="AY462" i="4"/>
  <c r="AX462" i="4"/>
  <c r="AW462" i="4"/>
  <c r="AV462" i="4"/>
  <c r="AU462" i="4"/>
  <c r="AT462" i="4"/>
  <c r="AS462" i="4"/>
  <c r="BB457" i="4"/>
  <c r="BA457" i="4"/>
  <c r="AZ457" i="4"/>
  <c r="AY457" i="4"/>
  <c r="AX457" i="4"/>
  <c r="AW457" i="4"/>
  <c r="AV457" i="4"/>
  <c r="AU457" i="4"/>
  <c r="AT457" i="4"/>
  <c r="AS457" i="4"/>
  <c r="AS226" i="4" l="1"/>
  <c r="BA231" i="4"/>
  <c r="P76" i="9"/>
  <c r="P10" i="9"/>
  <c r="P95" i="9"/>
  <c r="P29" i="9"/>
  <c r="G105" i="9"/>
  <c r="G39" i="9"/>
  <c r="O42" i="9"/>
  <c r="O108" i="9"/>
  <c r="P107" i="9"/>
  <c r="P41" i="9"/>
  <c r="L107" i="9"/>
  <c r="L41" i="9"/>
  <c r="M40" i="9"/>
  <c r="M106" i="9"/>
  <c r="I40" i="9"/>
  <c r="I106" i="9"/>
  <c r="J39" i="9"/>
  <c r="J105" i="9"/>
  <c r="K111" i="9"/>
  <c r="K45" i="9"/>
  <c r="BC279" i="4"/>
  <c r="Q205" i="9" s="1"/>
  <c r="P110" i="9"/>
  <c r="P44" i="9"/>
  <c r="L110" i="9"/>
  <c r="L44" i="9"/>
  <c r="AY281" i="4"/>
  <c r="M113" i="9"/>
  <c r="M47" i="9"/>
  <c r="AU281" i="4"/>
  <c r="I113" i="9"/>
  <c r="I47" i="9"/>
  <c r="P97" i="9"/>
  <c r="P31" i="9"/>
  <c r="P15" i="9"/>
  <c r="P81" i="9"/>
  <c r="P89" i="9"/>
  <c r="P23" i="9"/>
  <c r="G106" i="9"/>
  <c r="G40" i="9"/>
  <c r="N42" i="9"/>
  <c r="N108" i="9"/>
  <c r="O107" i="9"/>
  <c r="O41" i="9"/>
  <c r="K107" i="9"/>
  <c r="K41" i="9"/>
  <c r="L106" i="9"/>
  <c r="L40" i="9"/>
  <c r="M39" i="9"/>
  <c r="M105" i="9"/>
  <c r="N111" i="9"/>
  <c r="N45" i="9"/>
  <c r="J111" i="9"/>
  <c r="J45" i="9"/>
  <c r="K110" i="9"/>
  <c r="K44" i="9"/>
  <c r="AX281" i="4"/>
  <c r="L113" i="9"/>
  <c r="L47" i="9"/>
  <c r="P78" i="9"/>
  <c r="P12" i="9"/>
  <c r="P84" i="9"/>
  <c r="P18" i="9"/>
  <c r="P90" i="9"/>
  <c r="P24" i="9"/>
  <c r="P93" i="9"/>
  <c r="P27" i="9"/>
  <c r="P88" i="9"/>
  <c r="P22" i="9"/>
  <c r="G107" i="9"/>
  <c r="G41" i="9"/>
  <c r="G110" i="9"/>
  <c r="G44" i="9"/>
  <c r="M42" i="9"/>
  <c r="M108" i="9"/>
  <c r="I42" i="9"/>
  <c r="I108" i="9"/>
  <c r="N107" i="9"/>
  <c r="N41" i="9"/>
  <c r="J107" i="9"/>
  <c r="J41" i="9"/>
  <c r="O106" i="9"/>
  <c r="O40" i="9"/>
  <c r="K40" i="9"/>
  <c r="K106" i="9"/>
  <c r="P105" i="9"/>
  <c r="P39" i="9"/>
  <c r="L105" i="9"/>
  <c r="L39" i="9"/>
  <c r="H105" i="9"/>
  <c r="H39" i="9"/>
  <c r="M45" i="9"/>
  <c r="M111" i="9"/>
  <c r="I45" i="9"/>
  <c r="I111" i="9"/>
  <c r="N44" i="9"/>
  <c r="N110" i="9"/>
  <c r="J110" i="9"/>
  <c r="J44" i="9"/>
  <c r="BA281" i="4"/>
  <c r="O47" i="9"/>
  <c r="O113" i="9"/>
  <c r="K113" i="9"/>
  <c r="K47" i="9"/>
  <c r="AW281" i="4"/>
  <c r="P99" i="9"/>
  <c r="P33" i="9"/>
  <c r="P82" i="9"/>
  <c r="P16" i="9"/>
  <c r="AS281" i="4"/>
  <c r="G113" i="9"/>
  <c r="G47" i="9"/>
  <c r="K42" i="9"/>
  <c r="K108" i="9"/>
  <c r="H107" i="9"/>
  <c r="H41" i="9"/>
  <c r="N105" i="9"/>
  <c r="N39" i="9"/>
  <c r="O45" i="9"/>
  <c r="O111" i="9"/>
  <c r="H110" i="9"/>
  <c r="H44" i="9"/>
  <c r="P79" i="9"/>
  <c r="P13" i="9"/>
  <c r="P85" i="9"/>
  <c r="P19" i="9"/>
  <c r="P25" i="9"/>
  <c r="P91" i="9"/>
  <c r="P94" i="9"/>
  <c r="P28" i="9"/>
  <c r="P21" i="9"/>
  <c r="P87" i="9"/>
  <c r="G45" i="9"/>
  <c r="G111" i="9"/>
  <c r="J108" i="9"/>
  <c r="J42" i="9"/>
  <c r="P106" i="9"/>
  <c r="P40" i="9"/>
  <c r="H106" i="9"/>
  <c r="H40" i="9"/>
  <c r="I39" i="9"/>
  <c r="I105" i="9"/>
  <c r="O110" i="9"/>
  <c r="O44" i="9"/>
  <c r="BB281" i="4"/>
  <c r="P113" i="9"/>
  <c r="BC282" i="4"/>
  <c r="P47" i="9"/>
  <c r="AT281" i="4"/>
  <c r="H113" i="9"/>
  <c r="H47" i="9"/>
  <c r="AS487" i="4"/>
  <c r="AT532" i="4"/>
  <c r="AT504" i="4" s="1"/>
  <c r="BB532" i="4"/>
  <c r="BB504" i="4" s="1"/>
  <c r="AT535" i="4"/>
  <c r="P77" i="9"/>
  <c r="P11" i="9"/>
  <c r="P83" i="9"/>
  <c r="P17" i="9"/>
  <c r="P96" i="9"/>
  <c r="P30" i="9"/>
  <c r="G42" i="9"/>
  <c r="G108" i="9"/>
  <c r="P108" i="9"/>
  <c r="BC277" i="4"/>
  <c r="P42" i="9"/>
  <c r="L108" i="9"/>
  <c r="R108" i="9" s="1"/>
  <c r="L42" i="9"/>
  <c r="H108" i="9"/>
  <c r="H42" i="9"/>
  <c r="M107" i="9"/>
  <c r="M41" i="9"/>
  <c r="I107" i="9"/>
  <c r="I41" i="9"/>
  <c r="N106" i="9"/>
  <c r="N40" i="9"/>
  <c r="J106" i="9"/>
  <c r="J40" i="9"/>
  <c r="O105" i="9"/>
  <c r="O39" i="9"/>
  <c r="K105" i="9"/>
  <c r="K39" i="9"/>
  <c r="BC280" i="4"/>
  <c r="P111" i="9"/>
  <c r="P45" i="9"/>
  <c r="L111" i="9"/>
  <c r="L45" i="9"/>
  <c r="H111" i="9"/>
  <c r="H45" i="9"/>
  <c r="M44" i="9"/>
  <c r="M110" i="9"/>
  <c r="S110" i="9" s="1"/>
  <c r="I44" i="9"/>
  <c r="I110" i="9"/>
  <c r="AZ281" i="4"/>
  <c r="N113" i="9"/>
  <c r="N47" i="9"/>
  <c r="AV281" i="4"/>
  <c r="J113" i="9"/>
  <c r="J47" i="9"/>
  <c r="AX532" i="4"/>
  <c r="AX504" i="4" s="1"/>
  <c r="AZ535" i="4"/>
  <c r="AV484" i="4"/>
  <c r="AV456" i="4" s="1"/>
  <c r="AT484" i="4"/>
  <c r="AT456" i="4" s="1"/>
  <c r="BB484" i="4"/>
  <c r="BB456" i="4" s="1"/>
  <c r="AV487" i="4"/>
  <c r="AV498" i="4" s="1"/>
  <c r="AS535" i="4"/>
  <c r="AZ245" i="4"/>
  <c r="BB273" i="4"/>
  <c r="AT273" i="4"/>
  <c r="AZ484" i="4"/>
  <c r="AZ456" i="4" s="1"/>
  <c r="AV245" i="4"/>
  <c r="AS256" i="4"/>
  <c r="AX273" i="4"/>
  <c r="AX272" i="4" s="1"/>
  <c r="AX484" i="4"/>
  <c r="AX456" i="4" s="1"/>
  <c r="AW231" i="4"/>
  <c r="AW487" i="4"/>
  <c r="BA487" i="4"/>
  <c r="BA250" i="4"/>
  <c r="AW250" i="4"/>
  <c r="BA256" i="4"/>
  <c r="BB226" i="4"/>
  <c r="AX226" i="4"/>
  <c r="AT226" i="4"/>
  <c r="AZ231" i="4"/>
  <c r="AV231" i="4"/>
  <c r="AY245" i="4"/>
  <c r="AU245" i="4"/>
  <c r="BB250" i="4"/>
  <c r="AX250" i="4"/>
  <c r="AT250" i="4"/>
  <c r="AZ250" i="4"/>
  <c r="AV250" i="4"/>
  <c r="AY256" i="4"/>
  <c r="AU256" i="4"/>
  <c r="AV256" i="4"/>
  <c r="AX256" i="4"/>
  <c r="AT256" i="4"/>
  <c r="AZ256" i="4"/>
  <c r="BA273" i="4"/>
  <c r="AW273" i="4"/>
  <c r="AW535" i="4"/>
  <c r="BA535" i="4"/>
  <c r="AY231" i="4"/>
  <c r="AU231" i="4"/>
  <c r="BB245" i="4"/>
  <c r="AX245" i="4"/>
  <c r="AT245" i="4"/>
  <c r="AY250" i="4"/>
  <c r="AU250" i="4"/>
  <c r="AW256" i="4"/>
  <c r="AS273" i="4"/>
  <c r="AY273" i="4"/>
  <c r="AU273" i="4"/>
  <c r="AZ273" i="4"/>
  <c r="AV273" i="4"/>
  <c r="AZ487" i="4"/>
  <c r="AW532" i="4"/>
  <c r="AW504" i="4" s="1"/>
  <c r="AW546" i="4" s="1"/>
  <c r="BA532" i="4"/>
  <c r="BA504" i="4" s="1"/>
  <c r="BA546" i="4" s="1"/>
  <c r="AX535" i="4"/>
  <c r="BB535" i="4"/>
  <c r="BB546" i="4" s="1"/>
  <c r="AS231" i="4"/>
  <c r="AS225" i="4" s="1"/>
  <c r="BB231" i="4"/>
  <c r="AX231" i="4"/>
  <c r="AT231" i="4"/>
  <c r="AS250" i="4"/>
  <c r="BA245" i="4"/>
  <c r="AW245" i="4"/>
  <c r="AW267" i="4" s="1"/>
  <c r="BB256" i="4"/>
  <c r="P20" i="9" s="1"/>
  <c r="AU272" i="4"/>
  <c r="AS484" i="4"/>
  <c r="AS456" i="4" s="1"/>
  <c r="AS498" i="4" s="1"/>
  <c r="BA484" i="4"/>
  <c r="BA456" i="4" s="1"/>
  <c r="AU484" i="4"/>
  <c r="AU456" i="4" s="1"/>
  <c r="AY484" i="4"/>
  <c r="AY456" i="4" s="1"/>
  <c r="AT487" i="4"/>
  <c r="AX487" i="4"/>
  <c r="BB487" i="4"/>
  <c r="AU532" i="4"/>
  <c r="AU504" i="4" s="1"/>
  <c r="AY532" i="4"/>
  <c r="AY504" i="4" s="1"/>
  <c r="AV535" i="4"/>
  <c r="AU535" i="4"/>
  <c r="AY535" i="4"/>
  <c r="BA226" i="4"/>
  <c r="AW226" i="4"/>
  <c r="AW484" i="4"/>
  <c r="AW456" i="4" s="1"/>
  <c r="AU487" i="4"/>
  <c r="AY487" i="4"/>
  <c r="AS532" i="4"/>
  <c r="AS504" i="4" s="1"/>
  <c r="AS546" i="4" s="1"/>
  <c r="AV532" i="4"/>
  <c r="AV504" i="4" s="1"/>
  <c r="AZ532" i="4"/>
  <c r="AZ504" i="4" s="1"/>
  <c r="AZ226" i="4"/>
  <c r="AV226" i="4"/>
  <c r="AS287" i="4"/>
  <c r="AY226" i="4"/>
  <c r="AU226" i="4"/>
  <c r="AS302" i="4"/>
  <c r="Q107" i="9" l="1"/>
  <c r="S108" i="9"/>
  <c r="U108" i="9" s="1"/>
  <c r="U42" i="9" s="1"/>
  <c r="R111" i="9"/>
  <c r="AY498" i="4"/>
  <c r="BA225" i="4"/>
  <c r="H38" i="9"/>
  <c r="AT546" i="4"/>
  <c r="Q106" i="9"/>
  <c r="S106" i="9" s="1"/>
  <c r="R110" i="9"/>
  <c r="T110" i="9" s="1"/>
  <c r="V110" i="9" s="1"/>
  <c r="R106" i="9"/>
  <c r="T106" i="9" s="1"/>
  <c r="AV225" i="4"/>
  <c r="AW225" i="4"/>
  <c r="BA498" i="4"/>
  <c r="M38" i="9"/>
  <c r="BB498" i="4"/>
  <c r="AX546" i="4"/>
  <c r="T111" i="9"/>
  <c r="S111" i="9"/>
  <c r="U111" i="9" s="1"/>
  <c r="Q105" i="9"/>
  <c r="R113" i="9"/>
  <c r="T113" i="9" s="1"/>
  <c r="T108" i="9"/>
  <c r="S113" i="9"/>
  <c r="L38" i="9"/>
  <c r="AZ225" i="4"/>
  <c r="AY272" i="4"/>
  <c r="AS272" i="4"/>
  <c r="BA272" i="4"/>
  <c r="O38" i="9"/>
  <c r="P38" i="9"/>
  <c r="AY225" i="4"/>
  <c r="AZ546" i="4"/>
  <c r="AZ272" i="4"/>
  <c r="N38" i="9"/>
  <c r="AY267" i="4"/>
  <c r="AX225" i="4"/>
  <c r="AZ267" i="4"/>
  <c r="BC281" i="4"/>
  <c r="AW272" i="4"/>
  <c r="K38" i="9"/>
  <c r="AU225" i="4"/>
  <c r="AV272" i="4"/>
  <c r="J38" i="9"/>
  <c r="AT272" i="4"/>
  <c r="I38" i="9"/>
  <c r="BB267" i="4"/>
  <c r="BC278" i="4"/>
  <c r="BD279" i="4"/>
  <c r="R205" i="9" s="1"/>
  <c r="BB225" i="4"/>
  <c r="AU498" i="4"/>
  <c r="AU546" i="4"/>
  <c r="AT498" i="4"/>
  <c r="AU267" i="4"/>
  <c r="AX498" i="4"/>
  <c r="BA267" i="4"/>
  <c r="AZ498" i="4"/>
  <c r="AV267" i="4"/>
  <c r="AW498" i="4"/>
  <c r="AT267" i="4"/>
  <c r="AV546" i="4"/>
  <c r="AX267" i="4"/>
  <c r="AT225" i="4"/>
  <c r="AY546" i="4"/>
  <c r="BB39" i="7"/>
  <c r="BB40" i="7"/>
  <c r="BB41" i="7"/>
  <c r="BB42" i="7"/>
  <c r="BB26" i="7"/>
  <c r="BB27" i="7"/>
  <c r="BB28" i="7"/>
  <c r="BB29" i="7"/>
  <c r="BB30" i="7"/>
  <c r="BB31" i="7"/>
  <c r="BB32" i="7"/>
  <c r="BB33" i="7"/>
  <c r="BB34" i="7"/>
  <c r="BB35" i="7"/>
  <c r="BB36" i="7"/>
  <c r="BB37" i="7"/>
  <c r="BB25" i="7"/>
  <c r="V108" i="9" l="1"/>
  <c r="V111" i="9"/>
  <c r="U110" i="9"/>
  <c r="U106" i="9"/>
  <c r="U40" i="9" s="1"/>
  <c r="BC276" i="4"/>
  <c r="R105" i="9"/>
  <c r="U113" i="9"/>
  <c r="U47" i="9" s="1"/>
  <c r="V113" i="9"/>
  <c r="V106" i="9"/>
  <c r="V40" i="9" s="1"/>
  <c r="S105" i="9"/>
  <c r="R107" i="9"/>
  <c r="T105" i="9"/>
  <c r="BE279" i="4"/>
  <c r="S205" i="9" s="1"/>
  <c r="V44" i="9"/>
  <c r="U44" i="9"/>
  <c r="V47" i="9"/>
  <c r="V42" i="9"/>
  <c r="BC275" i="4"/>
  <c r="BD275" i="4" s="1"/>
  <c r="BD282" i="4"/>
  <c r="BE282" i="4" s="1"/>
  <c r="BF282" i="4" s="1"/>
  <c r="BD277" i="4"/>
  <c r="BE277" i="4" s="1"/>
  <c r="BF277" i="4" s="1"/>
  <c r="U45" i="9"/>
  <c r="V45" i="9"/>
  <c r="BD280" i="4"/>
  <c r="BE280" i="4" s="1"/>
  <c r="BF280" i="4" s="1"/>
  <c r="BC274" i="4"/>
  <c r="AO209" i="4"/>
  <c r="AO198" i="4"/>
  <c r="AP198" i="4"/>
  <c r="AQ198" i="4"/>
  <c r="AR198" i="4"/>
  <c r="AS198" i="4"/>
  <c r="AT198" i="4"/>
  <c r="AU198" i="4"/>
  <c r="AV198" i="4"/>
  <c r="AW198" i="4"/>
  <c r="AX198" i="4"/>
  <c r="AY198" i="4"/>
  <c r="AZ198" i="4"/>
  <c r="BA198" i="4"/>
  <c r="BD274" i="4" l="1"/>
  <c r="BE274" i="4" s="1"/>
  <c r="BF274" i="4" s="1"/>
  <c r="BD276" i="4"/>
  <c r="S107" i="9"/>
  <c r="U105" i="9"/>
  <c r="U39" i="9" s="1"/>
  <c r="BG280" i="4"/>
  <c r="BH280" i="4" s="1"/>
  <c r="AE280" i="4" s="1"/>
  <c r="BG277" i="4"/>
  <c r="BH277" i="4" s="1"/>
  <c r="AE277" i="4" s="1"/>
  <c r="BE275" i="4"/>
  <c r="BF275" i="4" s="1"/>
  <c r="BG275" i="4" s="1"/>
  <c r="BD278" i="4"/>
  <c r="BG282" i="4"/>
  <c r="AD282" i="4" s="1"/>
  <c r="AD281" i="4" s="1"/>
  <c r="BE278" i="4"/>
  <c r="BF279" i="4"/>
  <c r="T205" i="9" s="1"/>
  <c r="AS106" i="4"/>
  <c r="BG274" i="4" l="1"/>
  <c r="AD274" i="4" s="1"/>
  <c r="V105" i="9"/>
  <c r="V39" i="9" s="1"/>
  <c r="BE276" i="4"/>
  <c r="T107" i="9"/>
  <c r="U107" i="9" s="1"/>
  <c r="AD277" i="4"/>
  <c r="AD280" i="4"/>
  <c r="BF278" i="4"/>
  <c r="BG279" i="4"/>
  <c r="U205" i="9" s="1"/>
  <c r="BH282" i="4"/>
  <c r="BH281" i="4" s="1"/>
  <c r="BG281" i="4"/>
  <c r="AD275" i="4"/>
  <c r="BH275" i="4"/>
  <c r="AE275" i="4" s="1"/>
  <c r="IG70" i="7"/>
  <c r="IH70" i="7"/>
  <c r="II70" i="7"/>
  <c r="IJ70" i="7"/>
  <c r="IG71" i="7"/>
  <c r="IH71" i="7"/>
  <c r="II71" i="7"/>
  <c r="IJ71" i="7"/>
  <c r="IG72" i="7"/>
  <c r="IH72" i="7"/>
  <c r="II72" i="7"/>
  <c r="IJ72" i="7"/>
  <c r="IG64" i="7"/>
  <c r="IH64" i="7"/>
  <c r="II64" i="7"/>
  <c r="IJ64" i="7"/>
  <c r="IG65" i="7"/>
  <c r="IH65" i="7"/>
  <c r="II65" i="7"/>
  <c r="IJ65" i="7"/>
  <c r="IG66" i="7"/>
  <c r="IH66" i="7"/>
  <c r="II66" i="7"/>
  <c r="IJ66" i="7"/>
  <c r="IG67" i="7"/>
  <c r="IH67" i="7"/>
  <c r="II67" i="7"/>
  <c r="IJ67" i="7"/>
  <c r="IG68" i="7"/>
  <c r="IH68" i="7"/>
  <c r="II68" i="7"/>
  <c r="IJ68" i="7"/>
  <c r="BH274" i="4" l="1"/>
  <c r="AE274" i="4" s="1"/>
  <c r="BF276" i="4"/>
  <c r="BG276" i="4" s="1"/>
  <c r="U41" i="9"/>
  <c r="V107" i="9"/>
  <c r="V41" i="9" s="1"/>
  <c r="AD279" i="4"/>
  <c r="AD278" i="4" s="1"/>
  <c r="BH279" i="4"/>
  <c r="BG278" i="4"/>
  <c r="AE279" i="4"/>
  <c r="AE278" i="4" s="1"/>
  <c r="AE282" i="4"/>
  <c r="AE281" i="4" s="1"/>
  <c r="AP209" i="4"/>
  <c r="AQ209" i="4"/>
  <c r="AR209" i="4"/>
  <c r="AS209" i="4"/>
  <c r="AT209" i="4"/>
  <c r="AU209" i="4"/>
  <c r="AV209" i="4"/>
  <c r="AW209" i="4"/>
  <c r="AX209" i="4"/>
  <c r="AY209" i="4"/>
  <c r="AZ209" i="4"/>
  <c r="BA209" i="4"/>
  <c r="AO203" i="4"/>
  <c r="AO220" i="4" s="1"/>
  <c r="AP203" i="4"/>
  <c r="AQ203" i="4"/>
  <c r="AR203" i="4"/>
  <c r="AS203" i="4"/>
  <c r="AT203" i="4"/>
  <c r="AU203" i="4"/>
  <c r="AV203" i="4"/>
  <c r="AW203" i="4"/>
  <c r="AX203" i="4"/>
  <c r="AY203" i="4"/>
  <c r="AZ203" i="4"/>
  <c r="BA203" i="4"/>
  <c r="AO256" i="4"/>
  <c r="AP256" i="4"/>
  <c r="AQ256" i="4"/>
  <c r="AR256" i="4"/>
  <c r="AO250" i="4"/>
  <c r="AP250" i="4"/>
  <c r="AQ250" i="4"/>
  <c r="AR250" i="4"/>
  <c r="AS245" i="4"/>
  <c r="AS267" i="4" s="1"/>
  <c r="AS269" i="4" s="1"/>
  <c r="AO245" i="4"/>
  <c r="AP245" i="4"/>
  <c r="AQ245" i="4"/>
  <c r="AR245" i="4"/>
  <c r="AR220" i="4" l="1"/>
  <c r="AD276" i="4"/>
  <c r="AD273" i="4" s="1"/>
  <c r="AD272" i="4" s="1"/>
  <c r="BG273" i="4"/>
  <c r="BG272" i="4" s="1"/>
  <c r="BH276" i="4"/>
  <c r="BH278" i="4"/>
  <c r="V205" i="9"/>
  <c r="AS220" i="4"/>
  <c r="AQ220" i="4"/>
  <c r="BA220" i="4"/>
  <c r="BA197" i="4"/>
  <c r="AW197" i="4"/>
  <c r="AW220" i="4"/>
  <c r="AZ197" i="4"/>
  <c r="AZ220" i="4"/>
  <c r="AV220" i="4"/>
  <c r="AV197" i="4"/>
  <c r="AY220" i="4"/>
  <c r="AY197" i="4"/>
  <c r="AU220" i="4"/>
  <c r="AU197" i="4"/>
  <c r="AX220" i="4"/>
  <c r="AX197" i="4"/>
  <c r="AT220" i="4"/>
  <c r="AP220" i="4"/>
  <c r="AO267" i="4"/>
  <c r="AO269" i="4" s="1"/>
  <c r="AO244" i="4" s="1"/>
  <c r="AT197" i="4"/>
  <c r="AR197" i="4"/>
  <c r="AP197" i="4"/>
  <c r="AS197" i="4"/>
  <c r="AQ197" i="4"/>
  <c r="AO197" i="4"/>
  <c r="AE276" i="4" l="1"/>
  <c r="AE273" i="4" s="1"/>
  <c r="AE272" i="4" s="1"/>
  <c r="BH273" i="4"/>
  <c r="BH272" i="4" s="1"/>
  <c r="JJ13" i="7"/>
  <c r="JK13" i="7"/>
  <c r="JL13" i="7"/>
  <c r="JM13" i="7"/>
  <c r="JN13" i="7"/>
  <c r="JO13" i="7"/>
  <c r="JP13" i="7"/>
  <c r="JQ13" i="7"/>
  <c r="JR13" i="7"/>
  <c r="JS13" i="7"/>
  <c r="JT13" i="7"/>
  <c r="JU13" i="7"/>
  <c r="IK12" i="7"/>
  <c r="IK8" i="7"/>
  <c r="IG12" i="7"/>
  <c r="IH12" i="7"/>
  <c r="II12" i="7"/>
  <c r="IJ12" i="7"/>
  <c r="BB10" i="7"/>
  <c r="IG8" i="7"/>
  <c r="IH8" i="7"/>
  <c r="II8" i="7"/>
  <c r="IJ8" i="7"/>
  <c r="BB8" i="7" s="1"/>
  <c r="BB6" i="7"/>
  <c r="BA80" i="9" l="1"/>
  <c r="BA86" i="9"/>
  <c r="BA92" i="9"/>
  <c r="BA98" i="9"/>
  <c r="BA100" i="9"/>
  <c r="BA103" i="9"/>
  <c r="AS222" i="4" l="1"/>
  <c r="AY222" i="4"/>
  <c r="AT222" i="4"/>
  <c r="AU222" i="4"/>
  <c r="AV222" i="4"/>
  <c r="AW222" i="4"/>
  <c r="AX222" i="4"/>
  <c r="AZ222" i="4"/>
  <c r="BA222" i="4"/>
  <c r="AZ6" i="7" l="1"/>
  <c r="BF91" i="7" l="1"/>
  <c r="BE91" i="7"/>
  <c r="BD91" i="7"/>
  <c r="BC91" i="7"/>
  <c r="BB91" i="7"/>
  <c r="BA91" i="7"/>
  <c r="AZ91" i="7"/>
  <c r="AY91" i="7"/>
  <c r="AX91" i="7"/>
  <c r="AW91" i="7"/>
  <c r="AV91" i="7"/>
  <c r="AU91" i="7"/>
  <c r="AT91" i="7"/>
  <c r="AS91" i="7"/>
  <c r="AR91" i="7"/>
  <c r="AQ91" i="7"/>
  <c r="AP91" i="7"/>
  <c r="AO91" i="7"/>
  <c r="AS89" i="7"/>
  <c r="AR89" i="7"/>
  <c r="AQ89" i="7"/>
  <c r="AP89" i="7"/>
  <c r="AO89" i="7"/>
  <c r="AN89" i="7"/>
  <c r="AM89" i="7"/>
  <c r="AL89" i="7"/>
  <c r="AC89" i="7"/>
  <c r="AB89" i="7"/>
  <c r="AA89" i="7"/>
  <c r="Z89" i="7"/>
  <c r="Y89" i="7"/>
  <c r="X89" i="7"/>
  <c r="W89" i="7"/>
  <c r="V89" i="7"/>
  <c r="U89" i="7"/>
  <c r="T89" i="7"/>
  <c r="S89" i="7"/>
  <c r="R89" i="7"/>
  <c r="R90" i="7" s="1"/>
  <c r="BA85" i="7"/>
  <c r="AZ85" i="7"/>
  <c r="AY85" i="7"/>
  <c r="AX85" i="7"/>
  <c r="AW85" i="7"/>
  <c r="U85" i="7"/>
  <c r="BA84" i="7"/>
  <c r="AZ84" i="7"/>
  <c r="AY84" i="7"/>
  <c r="AW84" i="7"/>
  <c r="AV84" i="7"/>
  <c r="AU84" i="7"/>
  <c r="AT84" i="7"/>
  <c r="AS84" i="7"/>
  <c r="AR84" i="7"/>
  <c r="AQ84" i="7"/>
  <c r="AP84" i="7"/>
  <c r="AO84" i="7"/>
  <c r="AN84" i="7"/>
  <c r="Z84" i="7"/>
  <c r="Y84" i="7"/>
  <c r="X84" i="7"/>
  <c r="W84" i="7"/>
  <c r="V84" i="7"/>
  <c r="U84" i="7"/>
  <c r="T84" i="7"/>
  <c r="S84" i="7"/>
  <c r="R84" i="7"/>
  <c r="Q84" i="7"/>
  <c r="P84" i="7"/>
  <c r="O84" i="7"/>
  <c r="N84" i="7"/>
  <c r="M84" i="7"/>
  <c r="L84" i="7"/>
  <c r="AX83" i="7"/>
  <c r="AW83" i="7"/>
  <c r="U83" i="7"/>
  <c r="BA82" i="7"/>
  <c r="AZ82" i="7"/>
  <c r="AY82" i="7"/>
  <c r="AX82" i="7"/>
  <c r="AW82" i="7"/>
  <c r="AV82" i="7"/>
  <c r="AU82" i="7"/>
  <c r="AT82" i="7"/>
  <c r="AS82" i="7"/>
  <c r="AS83" i="7" s="1"/>
  <c r="AQ82" i="7"/>
  <c r="AR83" i="7" s="1"/>
  <c r="AP82" i="7"/>
  <c r="AO82" i="7"/>
  <c r="AN82" i="7"/>
  <c r="Z82" i="7"/>
  <c r="Y82" i="7"/>
  <c r="X82" i="7"/>
  <c r="W82" i="7"/>
  <c r="V82" i="7"/>
  <c r="U82" i="7"/>
  <c r="T82" i="7"/>
  <c r="S82" i="7"/>
  <c r="R82" i="7"/>
  <c r="Q82" i="7"/>
  <c r="P82" i="7"/>
  <c r="O82" i="7"/>
  <c r="N82" i="7"/>
  <c r="M82" i="7"/>
  <c r="L82" i="7"/>
  <c r="K82" i="7"/>
  <c r="AX81" i="7"/>
  <c r="AW81" i="7"/>
  <c r="AM81" i="7"/>
  <c r="AL81" i="7"/>
  <c r="AK81" i="7"/>
  <c r="AJ81" i="7"/>
  <c r="AI81" i="7"/>
  <c r="U81" i="7"/>
  <c r="BA80" i="7"/>
  <c r="AZ80" i="7"/>
  <c r="AY80" i="7"/>
  <c r="AX80" i="7"/>
  <c r="AW80" i="7"/>
  <c r="AV80" i="7"/>
  <c r="AU80" i="7"/>
  <c r="AT80" i="7"/>
  <c r="AS80" i="7"/>
  <c r="AR80" i="7"/>
  <c r="AQ80" i="7"/>
  <c r="AP80" i="7"/>
  <c r="AO80" i="7"/>
  <c r="AN80" i="7"/>
  <c r="Z80" i="7"/>
  <c r="Y80" i="7"/>
  <c r="X80" i="7"/>
  <c r="W80" i="7"/>
  <c r="V80" i="7"/>
  <c r="U80" i="7"/>
  <c r="T80" i="7"/>
  <c r="S80" i="7"/>
  <c r="R80" i="7"/>
  <c r="Q80" i="7"/>
  <c r="P80" i="7"/>
  <c r="O80" i="7"/>
  <c r="N80" i="7"/>
  <c r="M80" i="7"/>
  <c r="L80" i="7"/>
  <c r="K80" i="7"/>
  <c r="BF79" i="7"/>
  <c r="BF81" i="7" s="1"/>
  <c r="BF83" i="7" s="1"/>
  <c r="BE79" i="7"/>
  <c r="BD79" i="7"/>
  <c r="BC79" i="7"/>
  <c r="BB79" i="7"/>
  <c r="AX79" i="7"/>
  <c r="AW79" i="7"/>
  <c r="AN79" i="7"/>
  <c r="AN81" i="7" s="1"/>
  <c r="U79" i="7"/>
  <c r="BA78" i="7"/>
  <c r="AZ78" i="7"/>
  <c r="AY78" i="7"/>
  <c r="AX78" i="7"/>
  <c r="AW78" i="7"/>
  <c r="AV78" i="7"/>
  <c r="AU78" i="7"/>
  <c r="AT78" i="7"/>
  <c r="AS78" i="7"/>
  <c r="AR78" i="7"/>
  <c r="AQ78" i="7"/>
  <c r="AP78" i="7"/>
  <c r="AO78" i="7"/>
  <c r="AN78" i="7"/>
  <c r="Z78" i="7"/>
  <c r="Y78" i="7"/>
  <c r="X78" i="7"/>
  <c r="W78" i="7"/>
  <c r="V78" i="7"/>
  <c r="U78" i="7"/>
  <c r="T78" i="7"/>
  <c r="S78" i="7"/>
  <c r="R78" i="7"/>
  <c r="Q78" i="7"/>
  <c r="P78" i="7"/>
  <c r="O78" i="7"/>
  <c r="N78" i="7"/>
  <c r="M78" i="7"/>
  <c r="L78" i="7"/>
  <c r="K78" i="7"/>
  <c r="AP81" i="7" l="1"/>
  <c r="AA79" i="7"/>
  <c r="AA78" i="7" s="1"/>
  <c r="BA81" i="7"/>
  <c r="BF85" i="7"/>
  <c r="AO83" i="7"/>
  <c r="AX84" i="7"/>
  <c r="BC85" i="7"/>
  <c r="AR81" i="7"/>
  <c r="AZ81" i="7"/>
  <c r="S83" i="7"/>
  <c r="T85" i="7"/>
  <c r="AO79" i="7"/>
  <c r="AS79" i="7"/>
  <c r="Z90" i="7"/>
  <c r="BA79" i="7"/>
  <c r="BB85" i="7" s="1"/>
  <c r="BB84" i="7" s="1"/>
  <c r="BC84" i="7" s="1"/>
  <c r="N81" i="7"/>
  <c r="R81" i="7"/>
  <c r="V81" i="7"/>
  <c r="Z81" i="7"/>
  <c r="M79" i="7"/>
  <c r="R83" i="7"/>
  <c r="AV83" i="7"/>
  <c r="S85" i="7"/>
  <c r="AS85" i="7"/>
  <c r="AU85" i="7"/>
  <c r="AP90" i="7"/>
  <c r="W85" i="7"/>
  <c r="S79" i="7"/>
  <c r="Z79" i="7"/>
  <c r="AV81" i="7"/>
  <c r="AQ85" i="7"/>
  <c r="V83" i="7"/>
  <c r="O85" i="7"/>
  <c r="Q83" i="7"/>
  <c r="V90" i="7"/>
  <c r="AZ83" i="7"/>
  <c r="X83" i="7" s="1"/>
  <c r="Q79" i="7"/>
  <c r="Y79" i="7"/>
  <c r="BB78" i="7"/>
  <c r="BC78" i="7" s="1"/>
  <c r="BD78" i="7" s="1"/>
  <c r="BE78" i="7" s="1"/>
  <c r="BF78" i="7" s="1"/>
  <c r="AV85" i="7"/>
  <c r="S90" i="7"/>
  <c r="AA90" i="7"/>
  <c r="AQ90" i="7"/>
  <c r="BE85" i="7"/>
  <c r="AC85" i="7" s="1"/>
  <c r="AT81" i="7"/>
  <c r="AO85" i="7"/>
  <c r="AV79" i="7"/>
  <c r="AC79" i="7"/>
  <c r="L83" i="7"/>
  <c r="T83" i="7"/>
  <c r="M85" i="7"/>
  <c r="T79" i="7"/>
  <c r="T90" i="7"/>
  <c r="AB90" i="7"/>
  <c r="AR90" i="7"/>
  <c r="O79" i="7"/>
  <c r="W79" i="7"/>
  <c r="AH81" i="7" s="1"/>
  <c r="AQ79" i="7"/>
  <c r="AY79" i="7"/>
  <c r="L81" i="7"/>
  <c r="T81" i="7"/>
  <c r="AQ83" i="7"/>
  <c r="AY83" i="7"/>
  <c r="N85" i="7"/>
  <c r="V85" i="7"/>
  <c r="U90" i="7"/>
  <c r="AC90" i="7"/>
  <c r="AS90" i="7"/>
  <c r="O83" i="7"/>
  <c r="W83" i="7"/>
  <c r="BA83" i="7"/>
  <c r="Y83" i="7" s="1"/>
  <c r="P85" i="7"/>
  <c r="X85" i="7"/>
  <c r="W90" i="7"/>
  <c r="AM90" i="7"/>
  <c r="P83" i="7"/>
  <c r="AT83" i="7"/>
  <c r="Q85" i="7"/>
  <c r="Y85" i="7"/>
  <c r="X90" i="7"/>
  <c r="AN90" i="7"/>
  <c r="AU79" i="7"/>
  <c r="BD85" i="7"/>
  <c r="P81" i="7"/>
  <c r="X81" i="7"/>
  <c r="AU83" i="7"/>
  <c r="R85" i="7"/>
  <c r="Z85" i="7"/>
  <c r="Y90" i="7"/>
  <c r="AO90" i="7"/>
  <c r="AM78" i="7"/>
  <c r="AL78" i="7" s="1"/>
  <c r="AK78" i="7" s="1"/>
  <c r="AJ78" i="7" s="1"/>
  <c r="AI78" i="7" s="1"/>
  <c r="AH78" i="7" s="1"/>
  <c r="L79" i="7"/>
  <c r="N79" i="7"/>
  <c r="P79" i="7"/>
  <c r="R79" i="7"/>
  <c r="V79" i="7"/>
  <c r="X79" i="7"/>
  <c r="AB79" i="7"/>
  <c r="AP79" i="7"/>
  <c r="AR79" i="7"/>
  <c r="AT79" i="7"/>
  <c r="AZ79" i="7"/>
  <c r="M81" i="7"/>
  <c r="O81" i="7"/>
  <c r="Q81" i="7"/>
  <c r="S81" i="7"/>
  <c r="W81" i="7"/>
  <c r="Y81" i="7"/>
  <c r="AO81" i="7"/>
  <c r="AQ81" i="7"/>
  <c r="AS81" i="7"/>
  <c r="AU81" i="7"/>
  <c r="AY81" i="7"/>
  <c r="BC81" i="7"/>
  <c r="BE81" i="7"/>
  <c r="AP83" i="7"/>
  <c r="AM84" i="7"/>
  <c r="AL84" i="7" s="1"/>
  <c r="AK84" i="7" s="1"/>
  <c r="AJ84" i="7" s="1"/>
  <c r="AI84" i="7" s="1"/>
  <c r="AH84" i="7" s="1"/>
  <c r="AP85" i="7"/>
  <c r="AR85" i="7"/>
  <c r="AT85" i="7"/>
  <c r="BB81" i="7"/>
  <c r="BB83" i="7" s="1"/>
  <c r="BD81" i="7"/>
  <c r="T85" i="4"/>
  <c r="U85" i="4"/>
  <c r="V85" i="4"/>
  <c r="W85" i="4"/>
  <c r="X85" i="4"/>
  <c r="S85" i="4"/>
  <c r="AB85" i="7" l="1"/>
  <c r="AA85" i="7"/>
  <c r="AA84" i="7" s="1"/>
  <c r="BD84" i="7"/>
  <c r="BE84" i="7" s="1"/>
  <c r="BF84" i="7" s="1"/>
  <c r="BC83" i="7"/>
  <c r="Z83" i="7" s="1"/>
  <c r="AA81" i="7"/>
  <c r="AA80" i="7" s="1"/>
  <c r="BB82" i="7"/>
  <c r="BB80" i="7"/>
  <c r="BC80" i="7" s="1"/>
  <c r="BD80" i="7" s="1"/>
  <c r="BE80" i="7" s="1"/>
  <c r="BF80" i="7" s="1"/>
  <c r="AB81" i="7"/>
  <c r="BD83" i="7"/>
  <c r="BE83" i="7"/>
  <c r="AC83" i="7" s="1"/>
  <c r="AC81" i="7"/>
  <c r="AB78" i="7"/>
  <c r="AC78" i="7" s="1"/>
  <c r="AB84" i="7" l="1"/>
  <c r="AC84" i="7" s="1"/>
  <c r="BC82" i="7"/>
  <c r="BD82" i="7" s="1"/>
  <c r="BE82" i="7" s="1"/>
  <c r="BF82" i="7" s="1"/>
  <c r="AB80" i="7"/>
  <c r="AC80" i="7" s="1"/>
  <c r="AB83" i="7"/>
  <c r="AA83" i="7"/>
  <c r="AA82" i="7" s="1"/>
  <c r="AB82" i="7" l="1"/>
  <c r="AC82" i="7" s="1"/>
  <c r="AZ87" i="7" l="1"/>
  <c r="AW87" i="7"/>
  <c r="AV87" i="7"/>
  <c r="BA87" i="7"/>
  <c r="AU87" i="7"/>
  <c r="AY87" i="7"/>
  <c r="AX87" i="7"/>
  <c r="AS87" i="7"/>
  <c r="AT87" i="7"/>
  <c r="AT88" i="7" l="1"/>
  <c r="AW88" i="7"/>
  <c r="AY88" i="7"/>
  <c r="AU88" i="7"/>
  <c r="AX88" i="7"/>
  <c r="V88" i="7" s="1"/>
  <c r="BB87" i="7"/>
  <c r="BA88" i="7"/>
  <c r="BA89" i="7"/>
  <c r="AZ88" i="7"/>
  <c r="AV88" i="7"/>
  <c r="Q308" i="11"/>
  <c r="Q283" i="11"/>
  <c r="Q284" i="11"/>
  <c r="Q285" i="11"/>
  <c r="Q286" i="11"/>
  <c r="Q287" i="11"/>
  <c r="Q288" i="11"/>
  <c r="Q289" i="11"/>
  <c r="Q290" i="11"/>
  <c r="Q291" i="11"/>
  <c r="Q292" i="11"/>
  <c r="Q293" i="11"/>
  <c r="Q294" i="11"/>
  <c r="Q295" i="11"/>
  <c r="Q296" i="11"/>
  <c r="Q297" i="11"/>
  <c r="Q298" i="11"/>
  <c r="Q299" i="11"/>
  <c r="Q300" i="11"/>
  <c r="Q301" i="11"/>
  <c r="Q302" i="11"/>
  <c r="Q303" i="11"/>
  <c r="Q304" i="11"/>
  <c r="Q305" i="11"/>
  <c r="Q282" i="11"/>
  <c r="Q309" i="11"/>
  <c r="Q310" i="11"/>
  <c r="Q311" i="11"/>
  <c r="Q312" i="11"/>
  <c r="Q313" i="11"/>
  <c r="Q314" i="11"/>
  <c r="Q315" i="11"/>
  <c r="Q316" i="11"/>
  <c r="Q317" i="11"/>
  <c r="Q318" i="11"/>
  <c r="Q319" i="11"/>
  <c r="Q320" i="11"/>
  <c r="Q321" i="11"/>
  <c r="Q322" i="11"/>
  <c r="Q323" i="11"/>
  <c r="Q324" i="11"/>
  <c r="Q325" i="11"/>
  <c r="Q326" i="11"/>
  <c r="O309" i="11"/>
  <c r="O310" i="11"/>
  <c r="O311" i="11"/>
  <c r="O312" i="11"/>
  <c r="O313" i="11"/>
  <c r="O314" i="11"/>
  <c r="O315" i="11"/>
  <c r="O316" i="11"/>
  <c r="O317" i="11"/>
  <c r="O318" i="11"/>
  <c r="O319" i="11"/>
  <c r="O320" i="11"/>
  <c r="O321" i="11"/>
  <c r="O322" i="11"/>
  <c r="O323" i="11"/>
  <c r="O324" i="11"/>
  <c r="O325" i="11"/>
  <c r="O308" i="11"/>
  <c r="M309" i="11"/>
  <c r="M310" i="11"/>
  <c r="M311" i="11"/>
  <c r="M312" i="11"/>
  <c r="M313" i="11"/>
  <c r="M314" i="11"/>
  <c r="M315" i="11"/>
  <c r="M316" i="11"/>
  <c r="M317" i="11"/>
  <c r="M318" i="11"/>
  <c r="M319" i="11"/>
  <c r="M320" i="11"/>
  <c r="M321" i="11"/>
  <c r="M322" i="11"/>
  <c r="M323" i="11"/>
  <c r="M324" i="11"/>
  <c r="M325" i="11"/>
  <c r="M308" i="11"/>
  <c r="K309" i="11"/>
  <c r="K310" i="11"/>
  <c r="K311" i="11"/>
  <c r="K312" i="11"/>
  <c r="K313" i="11"/>
  <c r="K314" i="11"/>
  <c r="K315" i="11"/>
  <c r="K316" i="11"/>
  <c r="K317" i="11"/>
  <c r="K318" i="11"/>
  <c r="K319" i="11"/>
  <c r="K320" i="11"/>
  <c r="K321" i="11"/>
  <c r="K322" i="11"/>
  <c r="K323" i="11"/>
  <c r="K324" i="11"/>
  <c r="K325" i="11"/>
  <c r="K308" i="11"/>
  <c r="I268" i="11"/>
  <c r="I267" i="11"/>
  <c r="I266" i="11"/>
  <c r="I265" i="11"/>
  <c r="N323" i="11" l="1"/>
  <c r="N315" i="11"/>
  <c r="N320" i="11"/>
  <c r="N312" i="11"/>
  <c r="N322" i="11"/>
  <c r="N314" i="11"/>
  <c r="N308" i="11"/>
  <c r="N318" i="11"/>
  <c r="N310" i="11"/>
  <c r="X88" i="7"/>
  <c r="BC87" i="7"/>
  <c r="BB88" i="7"/>
  <c r="AV89" i="7"/>
  <c r="AZ89" i="7"/>
  <c r="BA90" i="7" s="1"/>
  <c r="AW89" i="7"/>
  <c r="AX89" i="7"/>
  <c r="AT89" i="7"/>
  <c r="AT90" i="7" s="1"/>
  <c r="W88" i="7"/>
  <c r="AU89" i="7"/>
  <c r="AY89" i="7"/>
  <c r="BB89" i="7" s="1"/>
  <c r="N325" i="11"/>
  <c r="N319" i="11"/>
  <c r="N311" i="11"/>
  <c r="N321" i="11"/>
  <c r="N313" i="11"/>
  <c r="N309" i="11"/>
  <c r="N324" i="11"/>
  <c r="N316" i="11"/>
  <c r="N317" i="11"/>
  <c r="BB85" i="4"/>
  <c r="AX90" i="7" l="1"/>
  <c r="AU90" i="7"/>
  <c r="BC89" i="7"/>
  <c r="BB90" i="7"/>
  <c r="AW90" i="7"/>
  <c r="AV90" i="7"/>
  <c r="BC85" i="4"/>
  <c r="Z85" i="4" s="1"/>
  <c r="Y85" i="4"/>
  <c r="AY90" i="7"/>
  <c r="AZ90" i="7"/>
  <c r="Y88" i="7"/>
  <c r="BD87" i="7"/>
  <c r="BC88" i="7"/>
  <c r="HX70" i="7"/>
  <c r="HY70" i="7"/>
  <c r="HZ70" i="7"/>
  <c r="IA70" i="7"/>
  <c r="IB70" i="7"/>
  <c r="IC70" i="7"/>
  <c r="ID70" i="7"/>
  <c r="IE70" i="7"/>
  <c r="IF70" i="7"/>
  <c r="ID64" i="7"/>
  <c r="IE64" i="7"/>
  <c r="IF64" i="7"/>
  <c r="ID65" i="7"/>
  <c r="IE65" i="7"/>
  <c r="IF65" i="7"/>
  <c r="ID66" i="7"/>
  <c r="IE66" i="7"/>
  <c r="IF66" i="7"/>
  <c r="ID67" i="7"/>
  <c r="IE67" i="7"/>
  <c r="IF67" i="7"/>
  <c r="ID68" i="7"/>
  <c r="IE68" i="7"/>
  <c r="IF68" i="7"/>
  <c r="ID71" i="7"/>
  <c r="IE71" i="7"/>
  <c r="IF71" i="7"/>
  <c r="ID72" i="7"/>
  <c r="IE72" i="7"/>
  <c r="IF72" i="7"/>
  <c r="BD85" i="4" l="1"/>
  <c r="AA85" i="4" s="1"/>
  <c r="BE87" i="7"/>
  <c r="BD88" i="7"/>
  <c r="AA88" i="7" s="1"/>
  <c r="Z88" i="7"/>
  <c r="BD89" i="7"/>
  <c r="BC90" i="7"/>
  <c r="IE12" i="7"/>
  <c r="IF12" i="7"/>
  <c r="IB8" i="7"/>
  <c r="IN9" i="7" s="1"/>
  <c r="IC8" i="7"/>
  <c r="IO9" i="7" s="1"/>
  <c r="ID8" i="7"/>
  <c r="IE8" i="7"/>
  <c r="IF8" i="7"/>
  <c r="IA8" i="7"/>
  <c r="IM9" i="7" s="1"/>
  <c r="BF87" i="7" l="1"/>
  <c r="BF88" i="7" s="1"/>
  <c r="BE88" i="7"/>
  <c r="AB88" i="7" s="1"/>
  <c r="BE89" i="7"/>
  <c r="BD90" i="7"/>
  <c r="BE85" i="4"/>
  <c r="AB85" i="4" s="1"/>
  <c r="IF2" i="7"/>
  <c r="O35" i="9"/>
  <c r="O33" i="9"/>
  <c r="O27" i="9"/>
  <c r="O28" i="9"/>
  <c r="O29" i="9"/>
  <c r="O30" i="9"/>
  <c r="O31" i="9"/>
  <c r="O15" i="9"/>
  <c r="O16" i="9"/>
  <c r="O17" i="9"/>
  <c r="O18" i="9"/>
  <c r="O19" i="9"/>
  <c r="O21" i="9"/>
  <c r="O22" i="9"/>
  <c r="O23" i="9"/>
  <c r="O24" i="9"/>
  <c r="O25" i="9"/>
  <c r="O10" i="9"/>
  <c r="O11" i="9"/>
  <c r="O12" i="9"/>
  <c r="O13" i="9"/>
  <c r="O101" i="9"/>
  <c r="O99" i="9"/>
  <c r="O93" i="9"/>
  <c r="O94" i="9"/>
  <c r="O95" i="9"/>
  <c r="O96" i="9"/>
  <c r="O97" i="9"/>
  <c r="O87" i="9"/>
  <c r="O88" i="9"/>
  <c r="O89" i="9"/>
  <c r="O90" i="9"/>
  <c r="O91" i="9"/>
  <c r="O81" i="9"/>
  <c r="O82" i="9"/>
  <c r="O83" i="9"/>
  <c r="O84" i="9"/>
  <c r="O85" i="9"/>
  <c r="O76" i="9"/>
  <c r="O77" i="9"/>
  <c r="O78" i="9"/>
  <c r="O79" i="9"/>
  <c r="L85" i="12"/>
  <c r="M85" i="12"/>
  <c r="M84" i="12" s="1"/>
  <c r="M83" i="12" s="1"/>
  <c r="N85" i="12"/>
  <c r="N84" i="12" s="1"/>
  <c r="N83" i="12" s="1"/>
  <c r="O85" i="12"/>
  <c r="O84" i="12" s="1"/>
  <c r="O83" i="12" s="1"/>
  <c r="P85" i="12"/>
  <c r="P84" i="12" s="1"/>
  <c r="P83" i="12" s="1"/>
  <c r="DP147" i="4"/>
  <c r="DQ147" i="4"/>
  <c r="DP145" i="4"/>
  <c r="DQ145" i="4"/>
  <c r="DM144" i="4"/>
  <c r="DN144" i="4"/>
  <c r="DO144" i="4"/>
  <c r="DP144" i="4"/>
  <c r="DQ144" i="4"/>
  <c r="DP143" i="4"/>
  <c r="DQ143" i="4"/>
  <c r="DP141" i="4"/>
  <c r="DQ141" i="4"/>
  <c r="DP139" i="4"/>
  <c r="DQ139" i="4"/>
  <c r="DP138" i="4"/>
  <c r="DQ138" i="4"/>
  <c r="DP136" i="4"/>
  <c r="DQ136" i="4"/>
  <c r="DP137" i="4"/>
  <c r="DQ137" i="4"/>
  <c r="DP134" i="4"/>
  <c r="DQ134" i="4"/>
  <c r="DP133" i="4"/>
  <c r="DQ133" i="4"/>
  <c r="DP132" i="4"/>
  <c r="DQ132" i="4"/>
  <c r="DM130" i="4"/>
  <c r="DN130" i="4"/>
  <c r="DO130" i="4"/>
  <c r="DP130" i="4"/>
  <c r="DQ130" i="4"/>
  <c r="DP128" i="4"/>
  <c r="DQ128" i="4"/>
  <c r="DP127" i="4"/>
  <c r="DQ127" i="4"/>
  <c r="DP126" i="4"/>
  <c r="DQ126" i="4"/>
  <c r="DP124" i="4"/>
  <c r="DQ124" i="4"/>
  <c r="DP120" i="4"/>
  <c r="DQ120" i="4"/>
  <c r="HS64" i="7"/>
  <c r="HT64" i="7"/>
  <c r="HU64" i="7"/>
  <c r="HV64" i="7"/>
  <c r="HW64" i="7"/>
  <c r="HX64" i="7"/>
  <c r="HY64" i="7"/>
  <c r="HZ64" i="7"/>
  <c r="IA64" i="7"/>
  <c r="IB64" i="7"/>
  <c r="IC64" i="7"/>
  <c r="HS65" i="7"/>
  <c r="HT65" i="7"/>
  <c r="HU65" i="7"/>
  <c r="HV65" i="7"/>
  <c r="HW65" i="7"/>
  <c r="HX65" i="7"/>
  <c r="HY65" i="7"/>
  <c r="HZ65" i="7"/>
  <c r="IA65" i="7"/>
  <c r="IB65" i="7"/>
  <c r="IC65" i="7"/>
  <c r="HS66" i="7"/>
  <c r="HT66" i="7"/>
  <c r="HU66" i="7"/>
  <c r="HV66" i="7"/>
  <c r="HW66" i="7"/>
  <c r="HX66" i="7"/>
  <c r="HY66" i="7"/>
  <c r="HZ66" i="7"/>
  <c r="IA66" i="7"/>
  <c r="IB66" i="7"/>
  <c r="IC66" i="7"/>
  <c r="HS67" i="7"/>
  <c r="HT67" i="7"/>
  <c r="HU67" i="7"/>
  <c r="HV67" i="7"/>
  <c r="HW67" i="7"/>
  <c r="HX67" i="7"/>
  <c r="HY67" i="7"/>
  <c r="HZ67" i="7"/>
  <c r="IA67" i="7"/>
  <c r="IB67" i="7"/>
  <c r="IC67" i="7"/>
  <c r="HS68" i="7"/>
  <c r="HT68" i="7"/>
  <c r="HU68" i="7"/>
  <c r="HV68" i="7"/>
  <c r="HW68" i="7"/>
  <c r="HX68" i="7"/>
  <c r="HY68" i="7"/>
  <c r="HZ68" i="7"/>
  <c r="IA68" i="7"/>
  <c r="IB68" i="7"/>
  <c r="IC68" i="7"/>
  <c r="HS70" i="7"/>
  <c r="HT70" i="7"/>
  <c r="HU70" i="7"/>
  <c r="HV70" i="7"/>
  <c r="HW70" i="7"/>
  <c r="HS71" i="7"/>
  <c r="HT71" i="7"/>
  <c r="HU71" i="7"/>
  <c r="HV71" i="7"/>
  <c r="HW71" i="7"/>
  <c r="HX71" i="7"/>
  <c r="HY71" i="7"/>
  <c r="HZ71" i="7"/>
  <c r="IA71" i="7"/>
  <c r="IB71" i="7"/>
  <c r="IC71" i="7"/>
  <c r="HS72" i="7"/>
  <c r="HT72" i="7"/>
  <c r="HU72" i="7"/>
  <c r="HV72" i="7"/>
  <c r="HW72" i="7"/>
  <c r="HX72" i="7"/>
  <c r="HY72" i="7"/>
  <c r="HZ72" i="7"/>
  <c r="IA72" i="7"/>
  <c r="IB72" i="7"/>
  <c r="IC72" i="7"/>
  <c r="HS73" i="7"/>
  <c r="HT73" i="7"/>
  <c r="HU73" i="7"/>
  <c r="HV73" i="7"/>
  <c r="HW73" i="7"/>
  <c r="HX73" i="7"/>
  <c r="HY73" i="7"/>
  <c r="HZ73" i="7"/>
  <c r="IA73" i="7"/>
  <c r="IB73" i="7"/>
  <c r="IC73" i="7"/>
  <c r="HR73" i="7"/>
  <c r="BV120" i="4"/>
  <c r="BW120" i="4"/>
  <c r="BX120" i="4"/>
  <c r="BY120" i="4"/>
  <c r="BZ120" i="4"/>
  <c r="CA120" i="4"/>
  <c r="CB120" i="4"/>
  <c r="CC120" i="4"/>
  <c r="CD120" i="4"/>
  <c r="CE120" i="4"/>
  <c r="CF120" i="4"/>
  <c r="CG120" i="4"/>
  <c r="CH120" i="4"/>
  <c r="CI120" i="4"/>
  <c r="CJ120" i="4"/>
  <c r="CK120" i="4"/>
  <c r="CL120" i="4"/>
  <c r="CM120" i="4"/>
  <c r="CN120" i="4"/>
  <c r="CO120" i="4"/>
  <c r="CP120" i="4"/>
  <c r="CQ120" i="4"/>
  <c r="CR120" i="4"/>
  <c r="CS120" i="4"/>
  <c r="CT120" i="4"/>
  <c r="CU120" i="4"/>
  <c r="CV120" i="4"/>
  <c r="CW120" i="4"/>
  <c r="CX120" i="4"/>
  <c r="CY120" i="4"/>
  <c r="CZ120" i="4"/>
  <c r="DA120" i="4"/>
  <c r="DB120" i="4"/>
  <c r="DC120" i="4"/>
  <c r="DD120" i="4"/>
  <c r="DE120" i="4"/>
  <c r="DF120" i="4"/>
  <c r="DG120" i="4"/>
  <c r="DH120" i="4"/>
  <c r="DI120" i="4"/>
  <c r="DJ120" i="4"/>
  <c r="DK120" i="4"/>
  <c r="DL120" i="4"/>
  <c r="DM120" i="4"/>
  <c r="DN120" i="4"/>
  <c r="DO120" i="4"/>
  <c r="BV124" i="4"/>
  <c r="BW124" i="4"/>
  <c r="BX124" i="4"/>
  <c r="BY124" i="4"/>
  <c r="BZ124" i="4"/>
  <c r="CA124" i="4"/>
  <c r="CB124" i="4"/>
  <c r="CC124" i="4"/>
  <c r="CD124" i="4"/>
  <c r="CE124" i="4"/>
  <c r="CF124" i="4"/>
  <c r="CG124" i="4"/>
  <c r="CH124" i="4"/>
  <c r="CI124" i="4"/>
  <c r="CJ124" i="4"/>
  <c r="CK124" i="4"/>
  <c r="CL124" i="4"/>
  <c r="CM124" i="4"/>
  <c r="CN124" i="4"/>
  <c r="CO124" i="4"/>
  <c r="CP124" i="4"/>
  <c r="CQ124" i="4"/>
  <c r="CR124" i="4"/>
  <c r="CS124" i="4"/>
  <c r="CT124" i="4"/>
  <c r="CU124" i="4"/>
  <c r="CV124" i="4"/>
  <c r="CW124" i="4"/>
  <c r="CX124" i="4"/>
  <c r="CY124" i="4"/>
  <c r="CZ124" i="4"/>
  <c r="DA124" i="4"/>
  <c r="DB124" i="4"/>
  <c r="DC124" i="4"/>
  <c r="DD124" i="4"/>
  <c r="DE124" i="4"/>
  <c r="DF124" i="4"/>
  <c r="DG124" i="4"/>
  <c r="DH124" i="4"/>
  <c r="DI124" i="4"/>
  <c r="DJ124" i="4"/>
  <c r="DK124" i="4"/>
  <c r="DL124" i="4"/>
  <c r="DM124" i="4"/>
  <c r="DN124" i="4"/>
  <c r="DO124" i="4"/>
  <c r="BV126" i="4"/>
  <c r="BW126" i="4"/>
  <c r="BX126" i="4"/>
  <c r="BY126" i="4"/>
  <c r="BZ126" i="4"/>
  <c r="CA126" i="4"/>
  <c r="CB126" i="4"/>
  <c r="CC126" i="4"/>
  <c r="CD126" i="4"/>
  <c r="CE126" i="4"/>
  <c r="CF126" i="4"/>
  <c r="CG126" i="4"/>
  <c r="CH126" i="4"/>
  <c r="CI126" i="4"/>
  <c r="CJ126" i="4"/>
  <c r="CK126" i="4"/>
  <c r="CL126" i="4"/>
  <c r="CM126" i="4"/>
  <c r="CN126" i="4"/>
  <c r="CO126" i="4"/>
  <c r="CP126" i="4"/>
  <c r="CQ126" i="4"/>
  <c r="CR126" i="4"/>
  <c r="CS126" i="4"/>
  <c r="CT126" i="4"/>
  <c r="CU126" i="4"/>
  <c r="CV126" i="4"/>
  <c r="CW126" i="4"/>
  <c r="CX126" i="4"/>
  <c r="CY126" i="4"/>
  <c r="CZ126" i="4"/>
  <c r="DA126" i="4"/>
  <c r="DB126" i="4"/>
  <c r="DC126" i="4"/>
  <c r="DD126" i="4"/>
  <c r="DE126" i="4"/>
  <c r="DF126" i="4"/>
  <c r="DG126" i="4"/>
  <c r="DH126" i="4"/>
  <c r="DI126" i="4"/>
  <c r="DJ126" i="4"/>
  <c r="DK126" i="4"/>
  <c r="DL126" i="4"/>
  <c r="DM126" i="4"/>
  <c r="DN126" i="4"/>
  <c r="DO126" i="4"/>
  <c r="BV127" i="4"/>
  <c r="BW127" i="4"/>
  <c r="BX127" i="4"/>
  <c r="BY127" i="4"/>
  <c r="BZ127" i="4"/>
  <c r="CA127" i="4"/>
  <c r="CB127" i="4"/>
  <c r="CC127" i="4"/>
  <c r="CD127" i="4"/>
  <c r="CE127" i="4"/>
  <c r="CF127" i="4"/>
  <c r="CG127" i="4"/>
  <c r="CH127" i="4"/>
  <c r="CI127" i="4"/>
  <c r="CJ127" i="4"/>
  <c r="CK127" i="4"/>
  <c r="CL127" i="4"/>
  <c r="CM127" i="4"/>
  <c r="CN127" i="4"/>
  <c r="CO127" i="4"/>
  <c r="CP127" i="4"/>
  <c r="CQ127" i="4"/>
  <c r="CR127" i="4"/>
  <c r="CS127" i="4"/>
  <c r="CT127" i="4"/>
  <c r="CU127" i="4"/>
  <c r="CV127" i="4"/>
  <c r="CW127" i="4"/>
  <c r="CX127" i="4"/>
  <c r="CY127" i="4"/>
  <c r="CZ127" i="4"/>
  <c r="DA127" i="4"/>
  <c r="DB127" i="4"/>
  <c r="DC127" i="4"/>
  <c r="DD127" i="4"/>
  <c r="DE127" i="4"/>
  <c r="DF127" i="4"/>
  <c r="DG127" i="4"/>
  <c r="DH127" i="4"/>
  <c r="DI127" i="4"/>
  <c r="DJ127" i="4"/>
  <c r="DK127" i="4"/>
  <c r="DL127" i="4"/>
  <c r="DM127" i="4"/>
  <c r="DN127" i="4"/>
  <c r="DO127" i="4"/>
  <c r="BV128" i="4"/>
  <c r="BW128" i="4"/>
  <c r="BX128" i="4"/>
  <c r="BY128" i="4"/>
  <c r="BZ128" i="4"/>
  <c r="CA128" i="4"/>
  <c r="CB128" i="4"/>
  <c r="CC128" i="4"/>
  <c r="CD128" i="4"/>
  <c r="CE128" i="4"/>
  <c r="CF128" i="4"/>
  <c r="CG128" i="4"/>
  <c r="CH128" i="4"/>
  <c r="CI128" i="4"/>
  <c r="CJ128" i="4"/>
  <c r="CK128" i="4"/>
  <c r="CL128" i="4"/>
  <c r="CM128" i="4"/>
  <c r="CN128" i="4"/>
  <c r="CO128" i="4"/>
  <c r="CP128" i="4"/>
  <c r="CQ128" i="4"/>
  <c r="CR128" i="4"/>
  <c r="CS128" i="4"/>
  <c r="CT128" i="4"/>
  <c r="CU128" i="4"/>
  <c r="CV128" i="4"/>
  <c r="CW128" i="4"/>
  <c r="CX128" i="4"/>
  <c r="CY128" i="4"/>
  <c r="CZ128" i="4"/>
  <c r="DA128" i="4"/>
  <c r="DB128" i="4"/>
  <c r="DC128" i="4"/>
  <c r="DD128" i="4"/>
  <c r="DE128" i="4"/>
  <c r="DF128" i="4"/>
  <c r="DG128" i="4"/>
  <c r="DH128" i="4"/>
  <c r="DI128" i="4"/>
  <c r="DJ128" i="4"/>
  <c r="DK128" i="4"/>
  <c r="DL128" i="4"/>
  <c r="DM128" i="4"/>
  <c r="DN128" i="4"/>
  <c r="DO128" i="4"/>
  <c r="BV130" i="4"/>
  <c r="BW130" i="4"/>
  <c r="BX130" i="4"/>
  <c r="BY130" i="4"/>
  <c r="BZ130" i="4"/>
  <c r="CA130" i="4"/>
  <c r="CB130" i="4"/>
  <c r="CC130" i="4"/>
  <c r="CD130" i="4"/>
  <c r="CE130" i="4"/>
  <c r="CF130" i="4"/>
  <c r="CG130" i="4"/>
  <c r="CH130" i="4"/>
  <c r="CI130" i="4"/>
  <c r="CJ130" i="4"/>
  <c r="CK130" i="4"/>
  <c r="CL130" i="4"/>
  <c r="CM130" i="4"/>
  <c r="CN130" i="4"/>
  <c r="CO130" i="4"/>
  <c r="CP130" i="4"/>
  <c r="CQ130" i="4"/>
  <c r="CR130" i="4"/>
  <c r="CS130" i="4"/>
  <c r="CT130" i="4"/>
  <c r="CU130" i="4"/>
  <c r="CV130" i="4"/>
  <c r="CW130" i="4"/>
  <c r="CX130" i="4"/>
  <c r="CY130" i="4"/>
  <c r="CZ130" i="4"/>
  <c r="DA130" i="4"/>
  <c r="DB130" i="4"/>
  <c r="DC130" i="4"/>
  <c r="DD130" i="4"/>
  <c r="DE130" i="4"/>
  <c r="DF130" i="4"/>
  <c r="DG130" i="4"/>
  <c r="DH130" i="4"/>
  <c r="DI130" i="4"/>
  <c r="DJ130" i="4"/>
  <c r="DK130" i="4"/>
  <c r="DL130" i="4"/>
  <c r="BV132" i="4"/>
  <c r="BW132" i="4"/>
  <c r="BX132" i="4"/>
  <c r="BY132" i="4"/>
  <c r="BZ132" i="4"/>
  <c r="CA132" i="4"/>
  <c r="CB132" i="4"/>
  <c r="CC132" i="4"/>
  <c r="CD132" i="4"/>
  <c r="CE132" i="4"/>
  <c r="CF132" i="4"/>
  <c r="CG132" i="4"/>
  <c r="CH132" i="4"/>
  <c r="CI132" i="4"/>
  <c r="CJ132" i="4"/>
  <c r="CK132" i="4"/>
  <c r="CL132" i="4"/>
  <c r="CM132" i="4"/>
  <c r="CN132" i="4"/>
  <c r="CO132" i="4"/>
  <c r="CP132" i="4"/>
  <c r="CQ132" i="4"/>
  <c r="CR132" i="4"/>
  <c r="CS132" i="4"/>
  <c r="CT132" i="4"/>
  <c r="CU132" i="4"/>
  <c r="CV132" i="4"/>
  <c r="CW132" i="4"/>
  <c r="CX132" i="4"/>
  <c r="CY132" i="4"/>
  <c r="CZ132" i="4"/>
  <c r="DA132" i="4"/>
  <c r="DB132" i="4"/>
  <c r="DC132" i="4"/>
  <c r="DD132" i="4"/>
  <c r="DE132" i="4"/>
  <c r="DF132" i="4"/>
  <c r="DG132" i="4"/>
  <c r="DH132" i="4"/>
  <c r="DI132" i="4"/>
  <c r="DJ132" i="4"/>
  <c r="DK132" i="4"/>
  <c r="DL132" i="4"/>
  <c r="DM132" i="4"/>
  <c r="DN132" i="4"/>
  <c r="DO132" i="4"/>
  <c r="BV133" i="4"/>
  <c r="BW133" i="4"/>
  <c r="BX133" i="4"/>
  <c r="BY133" i="4"/>
  <c r="BZ133" i="4"/>
  <c r="CA133" i="4"/>
  <c r="CB133" i="4"/>
  <c r="CC133" i="4"/>
  <c r="CD133" i="4"/>
  <c r="CE133" i="4"/>
  <c r="CF133" i="4"/>
  <c r="CG133" i="4"/>
  <c r="CH133" i="4"/>
  <c r="CI133" i="4"/>
  <c r="CJ133" i="4"/>
  <c r="CK133" i="4"/>
  <c r="CL133" i="4"/>
  <c r="CM133" i="4"/>
  <c r="CN133" i="4"/>
  <c r="CO133" i="4"/>
  <c r="CP133" i="4"/>
  <c r="CQ133" i="4"/>
  <c r="CR133" i="4"/>
  <c r="CS133" i="4"/>
  <c r="CT133" i="4"/>
  <c r="CU133" i="4"/>
  <c r="CV133" i="4"/>
  <c r="CW133" i="4"/>
  <c r="CX133" i="4"/>
  <c r="CY133" i="4"/>
  <c r="CZ133" i="4"/>
  <c r="DA133" i="4"/>
  <c r="DB133" i="4"/>
  <c r="DC133" i="4"/>
  <c r="DD133" i="4"/>
  <c r="DE133" i="4"/>
  <c r="DF133" i="4"/>
  <c r="DG133" i="4"/>
  <c r="DH133" i="4"/>
  <c r="DI133" i="4"/>
  <c r="DJ133" i="4"/>
  <c r="DK133" i="4"/>
  <c r="DL133" i="4"/>
  <c r="DM133" i="4"/>
  <c r="DN133" i="4"/>
  <c r="DO133" i="4"/>
  <c r="BV134" i="4"/>
  <c r="BW134" i="4"/>
  <c r="BX134" i="4"/>
  <c r="BY134" i="4"/>
  <c r="BZ134" i="4"/>
  <c r="CA134" i="4"/>
  <c r="CB134" i="4"/>
  <c r="CC134" i="4"/>
  <c r="CD134" i="4"/>
  <c r="CE134" i="4"/>
  <c r="CF134" i="4"/>
  <c r="CG134" i="4"/>
  <c r="CH134" i="4"/>
  <c r="CI134" i="4"/>
  <c r="CJ134" i="4"/>
  <c r="CK134" i="4"/>
  <c r="CL134" i="4"/>
  <c r="CM134" i="4"/>
  <c r="CN134" i="4"/>
  <c r="CO134" i="4"/>
  <c r="CP134" i="4"/>
  <c r="CQ134" i="4"/>
  <c r="CR134" i="4"/>
  <c r="CS134" i="4"/>
  <c r="CT134" i="4"/>
  <c r="CU134" i="4"/>
  <c r="CV134" i="4"/>
  <c r="CW134" i="4"/>
  <c r="CX134" i="4"/>
  <c r="CY134" i="4"/>
  <c r="CZ134" i="4"/>
  <c r="DA134" i="4"/>
  <c r="DB134" i="4"/>
  <c r="DC134" i="4"/>
  <c r="DD134" i="4"/>
  <c r="DE134" i="4"/>
  <c r="DF134" i="4"/>
  <c r="DG134" i="4"/>
  <c r="DH134" i="4"/>
  <c r="DI134" i="4"/>
  <c r="DJ134" i="4"/>
  <c r="DK134" i="4"/>
  <c r="DL134" i="4"/>
  <c r="DM134" i="4"/>
  <c r="DN134" i="4"/>
  <c r="DO134" i="4"/>
  <c r="BV136" i="4"/>
  <c r="BW136" i="4"/>
  <c r="BX136" i="4"/>
  <c r="BY136" i="4"/>
  <c r="BZ136" i="4"/>
  <c r="CA136" i="4"/>
  <c r="CB136" i="4"/>
  <c r="CC136" i="4"/>
  <c r="CD136" i="4"/>
  <c r="CE136" i="4"/>
  <c r="CF136" i="4"/>
  <c r="CG136" i="4"/>
  <c r="CH136" i="4"/>
  <c r="CI136" i="4"/>
  <c r="CJ136" i="4"/>
  <c r="CK136" i="4"/>
  <c r="CL136" i="4"/>
  <c r="CM136" i="4"/>
  <c r="CN136" i="4"/>
  <c r="CO136" i="4"/>
  <c r="CP136" i="4"/>
  <c r="CQ136" i="4"/>
  <c r="CR136" i="4"/>
  <c r="CS136" i="4"/>
  <c r="CT136" i="4"/>
  <c r="CU136" i="4"/>
  <c r="CV136" i="4"/>
  <c r="CW136" i="4"/>
  <c r="CX136" i="4"/>
  <c r="CY136" i="4"/>
  <c r="CZ136" i="4"/>
  <c r="DA136" i="4"/>
  <c r="DB136" i="4"/>
  <c r="DC136" i="4"/>
  <c r="DD136" i="4"/>
  <c r="DE136" i="4"/>
  <c r="DF136" i="4"/>
  <c r="DG136" i="4"/>
  <c r="DH136" i="4"/>
  <c r="DI136" i="4"/>
  <c r="DJ136" i="4"/>
  <c r="DK136" i="4"/>
  <c r="DL136" i="4"/>
  <c r="DM136" i="4"/>
  <c r="DN136" i="4"/>
  <c r="DO136" i="4"/>
  <c r="BV137" i="4"/>
  <c r="BW137" i="4"/>
  <c r="BX137" i="4"/>
  <c r="BY137" i="4"/>
  <c r="BZ137" i="4"/>
  <c r="CA137" i="4"/>
  <c r="CB137" i="4"/>
  <c r="CC137" i="4"/>
  <c r="CD137" i="4"/>
  <c r="CE137" i="4"/>
  <c r="CF137" i="4"/>
  <c r="CG137" i="4"/>
  <c r="CH137" i="4"/>
  <c r="CI137" i="4"/>
  <c r="CJ137" i="4"/>
  <c r="CK137" i="4"/>
  <c r="CL137" i="4"/>
  <c r="CM137" i="4"/>
  <c r="CN137" i="4"/>
  <c r="CO137" i="4"/>
  <c r="CP137" i="4"/>
  <c r="CQ137" i="4"/>
  <c r="CR137" i="4"/>
  <c r="CS137" i="4"/>
  <c r="CT137" i="4"/>
  <c r="CU137" i="4"/>
  <c r="CV137" i="4"/>
  <c r="CW137" i="4"/>
  <c r="CX137" i="4"/>
  <c r="CY137" i="4"/>
  <c r="CZ137" i="4"/>
  <c r="DA137" i="4"/>
  <c r="DB137" i="4"/>
  <c r="DC137" i="4"/>
  <c r="DD137" i="4"/>
  <c r="DE137" i="4"/>
  <c r="DF137" i="4"/>
  <c r="DG137" i="4"/>
  <c r="DH137" i="4"/>
  <c r="DI137" i="4"/>
  <c r="DJ137" i="4"/>
  <c r="DK137" i="4"/>
  <c r="DL137" i="4"/>
  <c r="DM137" i="4"/>
  <c r="DN137" i="4"/>
  <c r="DO137" i="4"/>
  <c r="BV138" i="4"/>
  <c r="BW138" i="4"/>
  <c r="BX138" i="4"/>
  <c r="BY138" i="4"/>
  <c r="BZ138" i="4"/>
  <c r="CA138" i="4"/>
  <c r="CB138" i="4"/>
  <c r="CC138" i="4"/>
  <c r="CD138" i="4"/>
  <c r="CE138" i="4"/>
  <c r="CF138" i="4"/>
  <c r="CG138" i="4"/>
  <c r="CH138" i="4"/>
  <c r="CI138" i="4"/>
  <c r="CJ138" i="4"/>
  <c r="CK138" i="4"/>
  <c r="CL138" i="4"/>
  <c r="CM138" i="4"/>
  <c r="CN138" i="4"/>
  <c r="CO138" i="4"/>
  <c r="CP138" i="4"/>
  <c r="CQ138" i="4"/>
  <c r="CR138" i="4"/>
  <c r="CS138" i="4"/>
  <c r="CT138" i="4"/>
  <c r="CU138" i="4"/>
  <c r="CV138" i="4"/>
  <c r="CW138" i="4"/>
  <c r="CX138" i="4"/>
  <c r="CY138" i="4"/>
  <c r="CZ138" i="4"/>
  <c r="DA138" i="4"/>
  <c r="DB138" i="4"/>
  <c r="DC138" i="4"/>
  <c r="DD138" i="4"/>
  <c r="DE138" i="4"/>
  <c r="DF138" i="4"/>
  <c r="DG138" i="4"/>
  <c r="DH138" i="4"/>
  <c r="DI138" i="4"/>
  <c r="DJ138" i="4"/>
  <c r="DK138" i="4"/>
  <c r="DL138" i="4"/>
  <c r="DM138" i="4"/>
  <c r="DN138" i="4"/>
  <c r="DO138" i="4"/>
  <c r="BV139" i="4"/>
  <c r="BW139" i="4"/>
  <c r="BX139" i="4"/>
  <c r="BY139" i="4"/>
  <c r="BZ139" i="4"/>
  <c r="CA139" i="4"/>
  <c r="CB139" i="4"/>
  <c r="CC139" i="4"/>
  <c r="CD139" i="4"/>
  <c r="CE139" i="4"/>
  <c r="CF139" i="4"/>
  <c r="CG139" i="4"/>
  <c r="CH139" i="4"/>
  <c r="CI139" i="4"/>
  <c r="CJ139" i="4"/>
  <c r="CK139" i="4"/>
  <c r="CL139" i="4"/>
  <c r="CM139" i="4"/>
  <c r="CN139" i="4"/>
  <c r="CO139" i="4"/>
  <c r="CP139" i="4"/>
  <c r="CQ139" i="4"/>
  <c r="CR139" i="4"/>
  <c r="CS139" i="4"/>
  <c r="CT139" i="4"/>
  <c r="CU139" i="4"/>
  <c r="CV139" i="4"/>
  <c r="CW139" i="4"/>
  <c r="CX139" i="4"/>
  <c r="CY139" i="4"/>
  <c r="CZ139" i="4"/>
  <c r="DA139" i="4"/>
  <c r="DB139" i="4"/>
  <c r="DC139" i="4"/>
  <c r="DD139" i="4"/>
  <c r="DE139" i="4"/>
  <c r="DF139" i="4"/>
  <c r="DG139" i="4"/>
  <c r="DH139" i="4"/>
  <c r="DI139" i="4"/>
  <c r="DJ139" i="4"/>
  <c r="DK139" i="4"/>
  <c r="DL139" i="4"/>
  <c r="DM139" i="4"/>
  <c r="DN139" i="4"/>
  <c r="DO139" i="4"/>
  <c r="BV141" i="4"/>
  <c r="BW141" i="4"/>
  <c r="BX141" i="4"/>
  <c r="BY141" i="4"/>
  <c r="BZ141" i="4"/>
  <c r="CA141" i="4"/>
  <c r="CB141" i="4"/>
  <c r="CC141" i="4"/>
  <c r="CD141" i="4"/>
  <c r="CE141" i="4"/>
  <c r="CF141" i="4"/>
  <c r="CG141" i="4"/>
  <c r="CH141" i="4"/>
  <c r="CI141" i="4"/>
  <c r="CJ141" i="4"/>
  <c r="CK141" i="4"/>
  <c r="CL141" i="4"/>
  <c r="CM141" i="4"/>
  <c r="CN141" i="4"/>
  <c r="CO141" i="4"/>
  <c r="CP141" i="4"/>
  <c r="CQ141" i="4"/>
  <c r="CR141" i="4"/>
  <c r="CS141" i="4"/>
  <c r="CT141" i="4"/>
  <c r="CU141" i="4"/>
  <c r="CV141" i="4"/>
  <c r="CW141" i="4"/>
  <c r="CX141" i="4"/>
  <c r="CY141" i="4"/>
  <c r="CZ141" i="4"/>
  <c r="DA141" i="4"/>
  <c r="DB141" i="4"/>
  <c r="DC141" i="4"/>
  <c r="DD141" i="4"/>
  <c r="DE141" i="4"/>
  <c r="DF141" i="4"/>
  <c r="DG141" i="4"/>
  <c r="DH141" i="4"/>
  <c r="DI141" i="4"/>
  <c r="DJ141" i="4"/>
  <c r="DK141" i="4"/>
  <c r="DL141" i="4"/>
  <c r="DM141" i="4"/>
  <c r="DN141" i="4"/>
  <c r="DO141" i="4"/>
  <c r="BV143" i="4"/>
  <c r="BW143" i="4"/>
  <c r="BX143" i="4"/>
  <c r="BY143" i="4"/>
  <c r="BZ143" i="4"/>
  <c r="CA143" i="4"/>
  <c r="CB143" i="4"/>
  <c r="CC143" i="4"/>
  <c r="CD143" i="4"/>
  <c r="CE143" i="4"/>
  <c r="CF143" i="4"/>
  <c r="CG143" i="4"/>
  <c r="CH143" i="4"/>
  <c r="CI143" i="4"/>
  <c r="CJ143" i="4"/>
  <c r="CK143" i="4"/>
  <c r="CL143" i="4"/>
  <c r="CM143" i="4"/>
  <c r="CN143" i="4"/>
  <c r="CO143" i="4"/>
  <c r="CP143" i="4"/>
  <c r="CQ143" i="4"/>
  <c r="CR143" i="4"/>
  <c r="CS143" i="4"/>
  <c r="CT143" i="4"/>
  <c r="CU143" i="4"/>
  <c r="CV143" i="4"/>
  <c r="CW143" i="4"/>
  <c r="CX143" i="4"/>
  <c r="CY143" i="4"/>
  <c r="CZ143" i="4"/>
  <c r="DA143" i="4"/>
  <c r="DB143" i="4"/>
  <c r="DC143" i="4"/>
  <c r="DD143" i="4"/>
  <c r="DE143" i="4"/>
  <c r="DF143" i="4"/>
  <c r="DG143" i="4"/>
  <c r="DH143" i="4"/>
  <c r="DI143" i="4"/>
  <c r="DJ143" i="4"/>
  <c r="DK143" i="4"/>
  <c r="DL143" i="4"/>
  <c r="DM143" i="4"/>
  <c r="DN143" i="4"/>
  <c r="DO143" i="4"/>
  <c r="BV144" i="4"/>
  <c r="BW144" i="4"/>
  <c r="BX144" i="4"/>
  <c r="BY144" i="4"/>
  <c r="BZ144" i="4"/>
  <c r="CA144" i="4"/>
  <c r="CB144" i="4"/>
  <c r="CC144" i="4"/>
  <c r="CD144" i="4"/>
  <c r="CE144" i="4"/>
  <c r="CF144" i="4"/>
  <c r="CG144" i="4"/>
  <c r="CH144" i="4"/>
  <c r="CI144" i="4"/>
  <c r="CJ144" i="4"/>
  <c r="CK144" i="4"/>
  <c r="CL144" i="4"/>
  <c r="CM144" i="4"/>
  <c r="CN144" i="4"/>
  <c r="CO144" i="4"/>
  <c r="CP144" i="4"/>
  <c r="CQ144" i="4"/>
  <c r="CR144" i="4"/>
  <c r="CS144" i="4"/>
  <c r="CT144" i="4"/>
  <c r="CU144" i="4"/>
  <c r="CV144" i="4"/>
  <c r="CW144" i="4"/>
  <c r="CX144" i="4"/>
  <c r="CY144" i="4"/>
  <c r="CZ144" i="4"/>
  <c r="DA144" i="4"/>
  <c r="DB144" i="4"/>
  <c r="DC144" i="4"/>
  <c r="DD144" i="4"/>
  <c r="DE144" i="4"/>
  <c r="DF144" i="4"/>
  <c r="DG144" i="4"/>
  <c r="DH144" i="4"/>
  <c r="DI144" i="4"/>
  <c r="DJ144" i="4"/>
  <c r="DK144" i="4"/>
  <c r="DL144" i="4"/>
  <c r="BV145" i="4"/>
  <c r="BW145" i="4"/>
  <c r="BX145" i="4"/>
  <c r="BY145" i="4"/>
  <c r="BZ145" i="4"/>
  <c r="CA145" i="4"/>
  <c r="CB145" i="4"/>
  <c r="CC145" i="4"/>
  <c r="CD145" i="4"/>
  <c r="CE145" i="4"/>
  <c r="CF145" i="4"/>
  <c r="CG145" i="4"/>
  <c r="CH145" i="4"/>
  <c r="CI145" i="4"/>
  <c r="CJ145" i="4"/>
  <c r="CK145" i="4"/>
  <c r="CL145" i="4"/>
  <c r="CM145" i="4"/>
  <c r="CN145" i="4"/>
  <c r="CO145" i="4"/>
  <c r="CP145" i="4"/>
  <c r="CQ145" i="4"/>
  <c r="CR145" i="4"/>
  <c r="CS145" i="4"/>
  <c r="CT145" i="4"/>
  <c r="CU145" i="4"/>
  <c r="CV145" i="4"/>
  <c r="CW145" i="4"/>
  <c r="CX145" i="4"/>
  <c r="CY145" i="4"/>
  <c r="CZ145" i="4"/>
  <c r="DA145" i="4"/>
  <c r="DB145" i="4"/>
  <c r="DC145" i="4"/>
  <c r="DD145" i="4"/>
  <c r="DE145" i="4"/>
  <c r="DF145" i="4"/>
  <c r="DG145" i="4"/>
  <c r="DH145" i="4"/>
  <c r="DI145" i="4"/>
  <c r="DJ145" i="4"/>
  <c r="DK145" i="4"/>
  <c r="DL145" i="4"/>
  <c r="DM145" i="4"/>
  <c r="DN145" i="4"/>
  <c r="DO145" i="4"/>
  <c r="BV147" i="4"/>
  <c r="BW147" i="4"/>
  <c r="BX147" i="4"/>
  <c r="BY147" i="4"/>
  <c r="BZ147" i="4"/>
  <c r="CA147" i="4"/>
  <c r="CB147" i="4"/>
  <c r="CC147" i="4"/>
  <c r="CD147" i="4"/>
  <c r="CE147" i="4"/>
  <c r="CF147" i="4"/>
  <c r="CG147" i="4"/>
  <c r="CH147" i="4"/>
  <c r="CI147" i="4"/>
  <c r="CJ147" i="4"/>
  <c r="CK147" i="4"/>
  <c r="CL147" i="4"/>
  <c r="CM147" i="4"/>
  <c r="CN147" i="4"/>
  <c r="CO147" i="4"/>
  <c r="CP147" i="4"/>
  <c r="CQ147" i="4"/>
  <c r="CR147" i="4"/>
  <c r="CS147" i="4"/>
  <c r="CT147" i="4"/>
  <c r="CU147" i="4"/>
  <c r="CV147" i="4"/>
  <c r="CW147" i="4"/>
  <c r="CX147" i="4"/>
  <c r="CY147" i="4"/>
  <c r="CZ147" i="4"/>
  <c r="DA147" i="4"/>
  <c r="DB147" i="4"/>
  <c r="DC147" i="4"/>
  <c r="DD147" i="4"/>
  <c r="DE147" i="4"/>
  <c r="DF147" i="4"/>
  <c r="DG147" i="4"/>
  <c r="DH147" i="4"/>
  <c r="DI147" i="4"/>
  <c r="DJ147" i="4"/>
  <c r="DK147" i="4"/>
  <c r="DL147" i="4"/>
  <c r="DM147" i="4"/>
  <c r="DN147" i="4"/>
  <c r="DO147" i="4"/>
  <c r="BU124" i="4"/>
  <c r="BU126" i="4"/>
  <c r="BU127" i="4"/>
  <c r="BU128" i="4"/>
  <c r="BU130" i="4"/>
  <c r="BU132" i="4"/>
  <c r="BU133" i="4"/>
  <c r="BU134" i="4"/>
  <c r="BU136" i="4"/>
  <c r="BU137" i="4"/>
  <c r="BU138" i="4"/>
  <c r="BU139" i="4"/>
  <c r="BU141" i="4"/>
  <c r="BU143" i="4"/>
  <c r="BU144" i="4"/>
  <c r="BU145" i="4"/>
  <c r="BU147" i="4"/>
  <c r="BU120" i="4"/>
  <c r="Q191" i="9" l="1"/>
  <c r="BF85" i="4"/>
  <c r="BF89" i="7"/>
  <c r="BF90" i="7" s="1"/>
  <c r="BE90" i="7"/>
  <c r="AC88" i="7"/>
  <c r="AG213" i="11"/>
  <c r="AH213" i="11"/>
  <c r="AI213" i="11"/>
  <c r="AJ213" i="11"/>
  <c r="AK213" i="11"/>
  <c r="AL213" i="11"/>
  <c r="AM213" i="11"/>
  <c r="AN213" i="11"/>
  <c r="AO213" i="11"/>
  <c r="AP213" i="11"/>
  <c r="AQ213" i="11"/>
  <c r="AR213" i="11"/>
  <c r="AS213" i="11"/>
  <c r="AT213" i="11"/>
  <c r="AN224" i="11" s="1"/>
  <c r="AU213" i="11"/>
  <c r="AV213" i="11"/>
  <c r="AW213" i="11"/>
  <c r="AX213" i="11"/>
  <c r="AY213" i="11"/>
  <c r="AF213" i="11"/>
  <c r="AC85" i="4" l="1"/>
  <c r="BG85" i="4"/>
  <c r="BH85" i="4" s="1"/>
  <c r="ID12" i="7"/>
  <c r="ID9" i="7"/>
  <c r="ID13" i="7" l="1"/>
  <c r="IE2" i="7"/>
  <c r="IC9" i="7"/>
  <c r="IC12" i="7"/>
  <c r="IC13" i="7" l="1"/>
  <c r="ID2" i="7"/>
  <c r="R137" i="12"/>
  <c r="Q137" i="12"/>
  <c r="P137" i="12"/>
  <c r="O137" i="12"/>
  <c r="N137" i="12"/>
  <c r="M137" i="12"/>
  <c r="L137" i="12"/>
  <c r="R132" i="12"/>
  <c r="Q132" i="12"/>
  <c r="P132" i="12"/>
  <c r="O132" i="12"/>
  <c r="N132" i="12"/>
  <c r="M132" i="12"/>
  <c r="L132" i="12"/>
  <c r="R128" i="12"/>
  <c r="Q128" i="12"/>
  <c r="P128" i="12"/>
  <c r="O128" i="12"/>
  <c r="N128" i="12"/>
  <c r="M128" i="12"/>
  <c r="L128" i="12"/>
  <c r="AX59" i="7"/>
  <c r="AX50" i="7"/>
  <c r="AX51" i="7"/>
  <c r="AX52" i="7"/>
  <c r="AX53" i="7"/>
  <c r="AX56" i="7"/>
  <c r="AX57" i="7"/>
  <c r="AX58" i="7"/>
  <c r="AX49" i="7"/>
  <c r="AX26" i="7"/>
  <c r="AX27" i="7"/>
  <c r="AX28" i="7"/>
  <c r="AX29" i="7"/>
  <c r="AX30" i="7"/>
  <c r="AX31" i="7"/>
  <c r="AX32" i="7"/>
  <c r="AX33" i="7"/>
  <c r="AX34" i="7"/>
  <c r="AX35" i="7"/>
  <c r="AX36" i="7"/>
  <c r="AX37" i="7"/>
  <c r="AX39" i="7"/>
  <c r="AX40" i="7"/>
  <c r="AX41" i="7"/>
  <c r="AX42" i="7"/>
  <c r="AX25" i="7"/>
  <c r="AY39" i="7"/>
  <c r="AZ39" i="7"/>
  <c r="BA39" i="7"/>
  <c r="AY40" i="7"/>
  <c r="AZ40" i="7"/>
  <c r="BA40" i="7"/>
  <c r="AY41" i="7"/>
  <c r="AZ41" i="7"/>
  <c r="BA41" i="7"/>
  <c r="AY42" i="7"/>
  <c r="AZ42" i="7"/>
  <c r="BA42" i="7"/>
  <c r="AY49" i="7"/>
  <c r="AZ49" i="7"/>
  <c r="BA49" i="7"/>
  <c r="AY50" i="7"/>
  <c r="AZ50" i="7"/>
  <c r="BA50" i="7"/>
  <c r="AY51" i="7"/>
  <c r="AZ51" i="7"/>
  <c r="BA51" i="7"/>
  <c r="AY52" i="7"/>
  <c r="AZ52" i="7"/>
  <c r="BA52" i="7"/>
  <c r="AY53" i="7"/>
  <c r="AZ53" i="7"/>
  <c r="BA53" i="7"/>
  <c r="AY56" i="7"/>
  <c r="AZ56" i="7"/>
  <c r="BA56" i="7"/>
  <c r="AY57" i="7"/>
  <c r="AZ57" i="7"/>
  <c r="BA57" i="7"/>
  <c r="AY58" i="7"/>
  <c r="AZ58" i="7"/>
  <c r="BA58" i="7"/>
  <c r="AY59" i="7"/>
  <c r="AZ59" i="7"/>
  <c r="BA59" i="7"/>
  <c r="AV26" i="7"/>
  <c r="AW26" i="7"/>
  <c r="AV27" i="7"/>
  <c r="AW27" i="7"/>
  <c r="AV28" i="7"/>
  <c r="AW28" i="7"/>
  <c r="AV29" i="7"/>
  <c r="AW29" i="7"/>
  <c r="AV30" i="7"/>
  <c r="AW30" i="7"/>
  <c r="AV31" i="7"/>
  <c r="AW31" i="7"/>
  <c r="AV32" i="7"/>
  <c r="AW32" i="7"/>
  <c r="AV33" i="7"/>
  <c r="AW33" i="7"/>
  <c r="AV34" i="7"/>
  <c r="AW34" i="7"/>
  <c r="AV35" i="7"/>
  <c r="AW35" i="7"/>
  <c r="AV36" i="7"/>
  <c r="AW36" i="7"/>
  <c r="AV37" i="7"/>
  <c r="AW37" i="7"/>
  <c r="AV39" i="7"/>
  <c r="AW39" i="7"/>
  <c r="AV40" i="7"/>
  <c r="AW40" i="7"/>
  <c r="AV41" i="7"/>
  <c r="AW41" i="7"/>
  <c r="AV42" i="7"/>
  <c r="AW42" i="7"/>
  <c r="AO49" i="7"/>
  <c r="AP49" i="7"/>
  <c r="AQ49" i="7"/>
  <c r="AR49" i="7"/>
  <c r="AS49" i="7"/>
  <c r="AT49" i="7"/>
  <c r="AU49" i="7"/>
  <c r="AV49" i="7"/>
  <c r="AW49" i="7"/>
  <c r="AO50" i="7"/>
  <c r="AP50" i="7"/>
  <c r="AQ50" i="7"/>
  <c r="AR50" i="7"/>
  <c r="AS50" i="7"/>
  <c r="AT50" i="7"/>
  <c r="AU50" i="7"/>
  <c r="AV50" i="7"/>
  <c r="AW50" i="7"/>
  <c r="AO51" i="7"/>
  <c r="AP51" i="7"/>
  <c r="AQ51" i="7"/>
  <c r="AR51" i="7"/>
  <c r="AS51" i="7"/>
  <c r="AT51" i="7"/>
  <c r="AU51" i="7"/>
  <c r="AV51" i="7"/>
  <c r="AW51" i="7"/>
  <c r="AO52" i="7"/>
  <c r="AP52" i="7"/>
  <c r="AQ52" i="7"/>
  <c r="AR52" i="7"/>
  <c r="AS52" i="7"/>
  <c r="AT52" i="7"/>
  <c r="AU52" i="7"/>
  <c r="AV52" i="7"/>
  <c r="AW52" i="7"/>
  <c r="AO53" i="7"/>
  <c r="AP53" i="7"/>
  <c r="AQ53" i="7"/>
  <c r="AR53" i="7"/>
  <c r="AS53" i="7"/>
  <c r="AT53" i="7"/>
  <c r="AU53" i="7"/>
  <c r="AV53" i="7"/>
  <c r="AW53" i="7"/>
  <c r="AO56" i="7"/>
  <c r="AP56" i="7"/>
  <c r="AQ56" i="7"/>
  <c r="AR56" i="7"/>
  <c r="AS56" i="7"/>
  <c r="AT56" i="7"/>
  <c r="AU56" i="7"/>
  <c r="AV56" i="7"/>
  <c r="AW56" i="7"/>
  <c r="AO57" i="7"/>
  <c r="AP57" i="7"/>
  <c r="AQ57" i="7"/>
  <c r="AR57" i="7"/>
  <c r="AS57" i="7"/>
  <c r="AT57" i="7"/>
  <c r="AU57" i="7"/>
  <c r="AV57" i="7"/>
  <c r="AW57" i="7"/>
  <c r="AO58" i="7"/>
  <c r="AP58" i="7"/>
  <c r="AQ58" i="7"/>
  <c r="AR58" i="7"/>
  <c r="AS58" i="7"/>
  <c r="AT58" i="7"/>
  <c r="AU58" i="7"/>
  <c r="AV58" i="7"/>
  <c r="AW58" i="7"/>
  <c r="AO59" i="7"/>
  <c r="AP59" i="7"/>
  <c r="AQ59" i="7"/>
  <c r="AR59" i="7"/>
  <c r="AS59" i="7"/>
  <c r="AT59" i="7"/>
  <c r="AU59" i="7"/>
  <c r="AV59" i="7"/>
  <c r="AW59" i="7"/>
  <c r="BA25" i="7"/>
  <c r="AZ25" i="7"/>
  <c r="AY25" i="7"/>
  <c r="AW25" i="7"/>
  <c r="AV25" i="7"/>
  <c r="BA80" i="4"/>
  <c r="BA78" i="4"/>
  <c r="BA67" i="4"/>
  <c r="BA68" i="4"/>
  <c r="BA69" i="4"/>
  <c r="BA70" i="4"/>
  <c r="BA71" i="4"/>
  <c r="BA72" i="4"/>
  <c r="BA73" i="4"/>
  <c r="BA74" i="4"/>
  <c r="BA75" i="4"/>
  <c r="BA76" i="4"/>
  <c r="BA61" i="4"/>
  <c r="BA62" i="4"/>
  <c r="BA63" i="4"/>
  <c r="BA64" i="4"/>
  <c r="BA65" i="4"/>
  <c r="BA56" i="4"/>
  <c r="BA57" i="4"/>
  <c r="BA58" i="4"/>
  <c r="BA59" i="4"/>
  <c r="BA55" i="4" l="1"/>
  <c r="Q127" i="12"/>
  <c r="Q126" i="12" s="1"/>
  <c r="Q141" i="12" s="1"/>
  <c r="N127" i="12"/>
  <c r="N126" i="12" s="1"/>
  <c r="N141" i="12" s="1"/>
  <c r="O127" i="12"/>
  <c r="O126" i="12" s="1"/>
  <c r="O141" i="12" s="1"/>
  <c r="M127" i="12"/>
  <c r="M126" i="12" s="1"/>
  <c r="M141" i="12" s="1"/>
  <c r="R127" i="12"/>
  <c r="R126" i="12" s="1"/>
  <c r="R141" i="12" s="1"/>
  <c r="L127" i="12"/>
  <c r="L126" i="12" s="1"/>
  <c r="L141" i="12" s="1"/>
  <c r="P127" i="12"/>
  <c r="P126" i="12" s="1"/>
  <c r="P141" i="12" s="1"/>
  <c r="IB12" i="7"/>
  <c r="BA236" i="4" l="1"/>
  <c r="BA244" i="4"/>
  <c r="BA283" i="4" l="1"/>
  <c r="FF31" i="21"/>
  <c r="FG31" i="21"/>
  <c r="FH31" i="21"/>
  <c r="FI31" i="21"/>
  <c r="FJ31" i="21"/>
  <c r="FK31" i="21"/>
  <c r="FL31" i="21"/>
  <c r="FM31" i="21"/>
  <c r="FN31" i="21"/>
  <c r="FO31" i="21"/>
  <c r="FP31" i="21"/>
  <c r="FQ31" i="21"/>
  <c r="FR31" i="21"/>
  <c r="FS31" i="21"/>
  <c r="FT31" i="21"/>
  <c r="HO65" i="7" l="1"/>
  <c r="HY12" i="7"/>
  <c r="HZ12" i="7"/>
  <c r="IA12" i="7"/>
  <c r="HX12" i="7"/>
  <c r="HY8" i="7"/>
  <c r="HZ8" i="7"/>
  <c r="IL9" i="7" s="1"/>
  <c r="HX8" i="7"/>
  <c r="BA8" i="7" s="1"/>
  <c r="BB9" i="7" s="1"/>
  <c r="HX6" i="7"/>
  <c r="HX7" i="7" l="1"/>
  <c r="IJ7" i="7"/>
  <c r="BA10" i="7"/>
  <c r="BB11" i="7" s="1"/>
  <c r="BB12" i="7"/>
  <c r="BA6" i="7"/>
  <c r="IA13" i="7"/>
  <c r="HZ9" i="7"/>
  <c r="HY13" i="7"/>
  <c r="HY9" i="7"/>
  <c r="HZ13" i="7"/>
  <c r="IA9" i="7"/>
  <c r="ES31" i="21"/>
  <c r="ER31" i="21"/>
  <c r="EQ31" i="21"/>
  <c r="EP31" i="21"/>
  <c r="EO31" i="21"/>
  <c r="EN31" i="21"/>
  <c r="EM31" i="21"/>
  <c r="EL31" i="21"/>
  <c r="EK31" i="21"/>
  <c r="EJ31" i="21"/>
  <c r="EI31" i="21"/>
  <c r="EH31" i="21"/>
  <c r="CY25" i="21"/>
  <c r="CZ25" i="21"/>
  <c r="DA25" i="21"/>
  <c r="DB25" i="21"/>
  <c r="DC25" i="21"/>
  <c r="DD25" i="21"/>
  <c r="DE25" i="21"/>
  <c r="DF25" i="21"/>
  <c r="DG25" i="21"/>
  <c r="DH25" i="21"/>
  <c r="DI25" i="21"/>
  <c r="CX25" i="21"/>
  <c r="DV25" i="21"/>
  <c r="DW25" i="21"/>
  <c r="DX25" i="21"/>
  <c r="DY25" i="21"/>
  <c r="DZ25" i="21"/>
  <c r="EA25" i="21"/>
  <c r="EB25" i="21"/>
  <c r="EC25" i="21"/>
  <c r="ED25" i="21"/>
  <c r="EE25" i="21"/>
  <c r="EF25" i="21"/>
  <c r="EG25" i="21"/>
  <c r="EH25" i="21"/>
  <c r="EI25" i="21"/>
  <c r="EJ25" i="21"/>
  <c r="EK25" i="21"/>
  <c r="EL25" i="21"/>
  <c r="EM25" i="21"/>
  <c r="EN25" i="21"/>
  <c r="EO25" i="21"/>
  <c r="EP25" i="21"/>
  <c r="EQ25" i="21"/>
  <c r="ER25" i="21"/>
  <c r="ES25" i="21"/>
  <c r="ET25" i="21"/>
  <c r="EU25" i="21"/>
  <c r="EV25" i="21"/>
  <c r="EW25" i="21"/>
  <c r="EX25" i="21"/>
  <c r="EY25" i="21"/>
  <c r="EZ25" i="21"/>
  <c r="FA25" i="21"/>
  <c r="FB25" i="21"/>
  <c r="FC25" i="21"/>
  <c r="FD25" i="21"/>
  <c r="FE25" i="21"/>
  <c r="CM25" i="21"/>
  <c r="CN25" i="21"/>
  <c r="CO25" i="21"/>
  <c r="CP25" i="21"/>
  <c r="CQ25" i="21"/>
  <c r="CR25" i="21"/>
  <c r="CS25" i="21"/>
  <c r="CT25" i="21"/>
  <c r="CU25" i="21"/>
  <c r="CV25" i="21"/>
  <c r="CW25" i="21"/>
  <c r="BA7" i="7" l="1"/>
  <c r="BB7" i="7"/>
  <c r="U23" i="23"/>
  <c r="V23" i="23"/>
  <c r="W23" i="23"/>
  <c r="X23" i="23"/>
  <c r="Y23" i="23"/>
  <c r="Z23" i="23"/>
  <c r="AA23" i="23"/>
  <c r="AB23" i="23"/>
  <c r="AC23" i="23"/>
  <c r="AD23" i="23"/>
  <c r="AE23" i="23"/>
  <c r="AF23" i="23"/>
  <c r="AG23" i="23"/>
  <c r="AH23" i="23"/>
  <c r="AI23" i="23"/>
  <c r="AJ23" i="23"/>
  <c r="AK23" i="23"/>
  <c r="AL23" i="23"/>
  <c r="AM23" i="23"/>
  <c r="AN23" i="23"/>
  <c r="AO23" i="23"/>
  <c r="AP23" i="23"/>
  <c r="AQ23" i="23"/>
  <c r="AR23" i="23"/>
  <c r="AS23" i="23"/>
  <c r="AT23" i="23"/>
  <c r="AU23" i="23"/>
  <c r="AV23" i="23"/>
  <c r="AW23" i="23"/>
  <c r="AX23" i="23"/>
  <c r="AY23" i="23"/>
  <c r="AZ23" i="23"/>
  <c r="BA23" i="23"/>
  <c r="BB23" i="23"/>
  <c r="BC23" i="23"/>
  <c r="BD23" i="23"/>
  <c r="BE23" i="23"/>
  <c r="BF23" i="23"/>
  <c r="BG23" i="23"/>
  <c r="BH23" i="23"/>
  <c r="BI23" i="23"/>
  <c r="BJ23" i="23"/>
  <c r="BK23" i="23"/>
  <c r="BL23" i="23"/>
  <c r="BM23" i="23"/>
  <c r="BN23" i="23"/>
  <c r="BO23" i="23"/>
  <c r="BP23" i="23"/>
  <c r="BQ23" i="23"/>
  <c r="BR23" i="23"/>
  <c r="BS23" i="23"/>
  <c r="BT23" i="23"/>
  <c r="BU23" i="23"/>
  <c r="BV23" i="23"/>
  <c r="BW23" i="23"/>
  <c r="BX23" i="23"/>
  <c r="BY23" i="23"/>
  <c r="BZ23" i="23"/>
  <c r="CA23" i="23"/>
  <c r="CB23" i="23"/>
  <c r="CC23" i="23"/>
  <c r="CD23" i="23"/>
  <c r="CE23" i="23"/>
  <c r="CF23" i="23"/>
  <c r="CG23" i="23"/>
  <c r="CH23" i="23"/>
  <c r="CI23" i="23"/>
  <c r="CJ23" i="23"/>
  <c r="CK23" i="23"/>
  <c r="CL23" i="23"/>
  <c r="CM23" i="23"/>
  <c r="CN23" i="23"/>
  <c r="CO23" i="23"/>
  <c r="CP23" i="23"/>
  <c r="CQ23" i="23"/>
  <c r="CR23" i="23"/>
  <c r="CS23" i="23"/>
  <c r="U24" i="23"/>
  <c r="V24" i="23"/>
  <c r="W24" i="23"/>
  <c r="X24" i="23"/>
  <c r="Y24" i="23"/>
  <c r="Z24" i="23"/>
  <c r="AA24" i="23"/>
  <c r="AB24" i="23"/>
  <c r="AC24" i="23"/>
  <c r="AD24" i="23"/>
  <c r="AE24" i="23"/>
  <c r="AF24" i="23"/>
  <c r="AG24" i="23"/>
  <c r="AH24" i="23"/>
  <c r="AI24" i="23"/>
  <c r="AJ24" i="23"/>
  <c r="AK24" i="23"/>
  <c r="AL24" i="23"/>
  <c r="AM24" i="23"/>
  <c r="AN24" i="23"/>
  <c r="AO24" i="23"/>
  <c r="AP24" i="23"/>
  <c r="AQ24" i="23"/>
  <c r="AR24" i="23"/>
  <c r="AS24" i="23"/>
  <c r="AT24" i="23"/>
  <c r="AU24" i="23"/>
  <c r="AV24" i="23"/>
  <c r="AW24" i="23"/>
  <c r="AX24" i="23"/>
  <c r="AY24" i="23"/>
  <c r="AZ24" i="23"/>
  <c r="BA24" i="23"/>
  <c r="BB24" i="23"/>
  <c r="BC24" i="23"/>
  <c r="BD24" i="23"/>
  <c r="BE24" i="23"/>
  <c r="BF24" i="23"/>
  <c r="BG24" i="23"/>
  <c r="BH24" i="23"/>
  <c r="BI24" i="23"/>
  <c r="BJ24" i="23"/>
  <c r="BK24" i="23"/>
  <c r="BL24" i="23"/>
  <c r="BM24" i="23"/>
  <c r="BN24" i="23"/>
  <c r="BO24" i="23"/>
  <c r="BP24" i="23"/>
  <c r="BQ24" i="23"/>
  <c r="BR24" i="23"/>
  <c r="BS24" i="23"/>
  <c r="BT24" i="23"/>
  <c r="BU24" i="23"/>
  <c r="BV24" i="23"/>
  <c r="BW24" i="23"/>
  <c r="BX24" i="23"/>
  <c r="BY24" i="23"/>
  <c r="BZ24" i="23"/>
  <c r="CA24" i="23"/>
  <c r="CB24" i="23"/>
  <c r="CC24" i="23"/>
  <c r="CD24" i="23"/>
  <c r="CE24" i="23"/>
  <c r="CF24" i="23"/>
  <c r="CG24" i="23"/>
  <c r="CH24" i="23"/>
  <c r="CI24" i="23"/>
  <c r="CJ24" i="23"/>
  <c r="CK24" i="23"/>
  <c r="CL24" i="23"/>
  <c r="CM24" i="23"/>
  <c r="CN24" i="23"/>
  <c r="CO24" i="23"/>
  <c r="CP24" i="23"/>
  <c r="CQ24" i="23"/>
  <c r="CR24" i="23"/>
  <c r="CS24" i="23"/>
  <c r="U25" i="23"/>
  <c r="V25" i="23"/>
  <c r="W25" i="23"/>
  <c r="X25" i="23"/>
  <c r="Y25" i="23"/>
  <c r="Z25" i="23"/>
  <c r="AA25" i="23"/>
  <c r="AB25" i="23"/>
  <c r="AC25" i="23"/>
  <c r="AD25" i="23"/>
  <c r="AE25" i="23"/>
  <c r="AF25" i="23"/>
  <c r="AG25" i="23"/>
  <c r="AH25" i="23"/>
  <c r="AI25" i="23"/>
  <c r="AJ25" i="23"/>
  <c r="AK25" i="23"/>
  <c r="AL25" i="23"/>
  <c r="AM25" i="23"/>
  <c r="AN25" i="23"/>
  <c r="AO25" i="23"/>
  <c r="AP25" i="23"/>
  <c r="AQ25" i="23"/>
  <c r="AR25" i="23"/>
  <c r="AS25" i="23"/>
  <c r="AT25" i="23"/>
  <c r="AU25" i="23"/>
  <c r="AV25" i="23"/>
  <c r="AW25" i="23"/>
  <c r="AX25" i="23"/>
  <c r="AY25" i="23"/>
  <c r="AZ25" i="23"/>
  <c r="BA25" i="23"/>
  <c r="BB25" i="23"/>
  <c r="BC25" i="23"/>
  <c r="BD25" i="23"/>
  <c r="BE25" i="23"/>
  <c r="BF25" i="23"/>
  <c r="BG25" i="23"/>
  <c r="BH25" i="23"/>
  <c r="BI25" i="23"/>
  <c r="BJ25" i="23"/>
  <c r="BK25" i="23"/>
  <c r="BL25" i="23"/>
  <c r="BM25" i="23"/>
  <c r="BN25" i="23"/>
  <c r="BO25" i="23"/>
  <c r="BP25" i="23"/>
  <c r="BQ25" i="23"/>
  <c r="BR25" i="23"/>
  <c r="BS25" i="23"/>
  <c r="BT25" i="23"/>
  <c r="BU25" i="23"/>
  <c r="BV25" i="23"/>
  <c r="BW25" i="23"/>
  <c r="BX25" i="23"/>
  <c r="BY25" i="23"/>
  <c r="BZ25" i="23"/>
  <c r="CA25" i="23"/>
  <c r="CB25" i="23"/>
  <c r="CC25" i="23"/>
  <c r="CD25" i="23"/>
  <c r="CE25" i="23"/>
  <c r="CF25" i="23"/>
  <c r="CG25" i="23"/>
  <c r="CH25" i="23"/>
  <c r="CI25" i="23"/>
  <c r="CJ25" i="23"/>
  <c r="CK25" i="23"/>
  <c r="CL25" i="23"/>
  <c r="CM25" i="23"/>
  <c r="CN25" i="23"/>
  <c r="CO25" i="23"/>
  <c r="CP25" i="23"/>
  <c r="CQ25" i="23"/>
  <c r="CR25" i="23"/>
  <c r="CS25" i="23"/>
  <c r="U26" i="23"/>
  <c r="V26" i="23"/>
  <c r="W26" i="23"/>
  <c r="X26" i="23"/>
  <c r="Y26" i="23"/>
  <c r="Z26" i="23"/>
  <c r="AA26" i="23"/>
  <c r="AB26" i="23"/>
  <c r="AC26" i="23"/>
  <c r="AD26" i="23"/>
  <c r="AE26" i="23"/>
  <c r="AF26" i="23"/>
  <c r="AG26" i="23"/>
  <c r="AH26" i="23"/>
  <c r="AI26" i="23"/>
  <c r="AJ26" i="23"/>
  <c r="AK26" i="23"/>
  <c r="AL26" i="23"/>
  <c r="AM26" i="23"/>
  <c r="AN26" i="23"/>
  <c r="AO26" i="23"/>
  <c r="AP26" i="23"/>
  <c r="AQ26" i="23"/>
  <c r="AR26" i="23"/>
  <c r="AS26" i="23"/>
  <c r="AT26" i="23"/>
  <c r="AU26" i="23"/>
  <c r="AV26" i="23"/>
  <c r="AW26" i="23"/>
  <c r="AX26" i="23"/>
  <c r="AY26" i="23"/>
  <c r="AZ26" i="23"/>
  <c r="BA26" i="23"/>
  <c r="BB26" i="23"/>
  <c r="BC26" i="23"/>
  <c r="BD26" i="23"/>
  <c r="BE26" i="23"/>
  <c r="BF26" i="23"/>
  <c r="BG26" i="23"/>
  <c r="BH26" i="23"/>
  <c r="BI26" i="23"/>
  <c r="BJ26" i="23"/>
  <c r="BK26" i="23"/>
  <c r="BL26" i="23"/>
  <c r="BM26" i="23"/>
  <c r="BN26" i="23"/>
  <c r="BO26" i="23"/>
  <c r="BP26" i="23"/>
  <c r="BQ26" i="23"/>
  <c r="BR26" i="23"/>
  <c r="BS26" i="23"/>
  <c r="BT26" i="23"/>
  <c r="BU26" i="23"/>
  <c r="BV26" i="23"/>
  <c r="BW26" i="23"/>
  <c r="BX26" i="23"/>
  <c r="BY26" i="23"/>
  <c r="BZ26" i="23"/>
  <c r="CA26" i="23"/>
  <c r="CB26" i="23"/>
  <c r="CC26" i="23"/>
  <c r="CD26" i="23"/>
  <c r="CE26" i="23"/>
  <c r="CF26" i="23"/>
  <c r="CG26" i="23"/>
  <c r="CH26" i="23"/>
  <c r="CI26" i="23"/>
  <c r="CJ26" i="23"/>
  <c r="CK26" i="23"/>
  <c r="CL26" i="23"/>
  <c r="CM26" i="23"/>
  <c r="CN26" i="23"/>
  <c r="CO26" i="23"/>
  <c r="CP26" i="23"/>
  <c r="CQ26" i="23"/>
  <c r="CR26" i="23"/>
  <c r="CS26" i="23"/>
  <c r="U27" i="23"/>
  <c r="V27" i="23"/>
  <c r="W27" i="23"/>
  <c r="X27" i="23"/>
  <c r="Y27" i="23"/>
  <c r="Z27" i="23"/>
  <c r="AA27" i="23"/>
  <c r="AB27" i="23"/>
  <c r="AC27" i="23"/>
  <c r="AD27" i="23"/>
  <c r="AE27" i="23"/>
  <c r="AF27" i="23"/>
  <c r="AG27" i="23"/>
  <c r="AH27" i="23"/>
  <c r="AI27" i="23"/>
  <c r="AJ27" i="23"/>
  <c r="AK27" i="23"/>
  <c r="AL27" i="23"/>
  <c r="AM27" i="23"/>
  <c r="AN27" i="23"/>
  <c r="AO27" i="23"/>
  <c r="AP27" i="23"/>
  <c r="AQ27" i="23"/>
  <c r="AR27" i="23"/>
  <c r="AS27" i="23"/>
  <c r="AT27" i="23"/>
  <c r="AU27" i="23"/>
  <c r="AV27" i="23"/>
  <c r="AW27" i="23"/>
  <c r="AX27" i="23"/>
  <c r="AY27" i="23"/>
  <c r="AZ27" i="23"/>
  <c r="BA27" i="23"/>
  <c r="BB27" i="23"/>
  <c r="BC27" i="23"/>
  <c r="BD27" i="23"/>
  <c r="BE27" i="23"/>
  <c r="BF27" i="23"/>
  <c r="BG27" i="23"/>
  <c r="BH27" i="23"/>
  <c r="BI27" i="23"/>
  <c r="BJ27" i="23"/>
  <c r="BK27" i="23"/>
  <c r="BL27" i="23"/>
  <c r="BM27" i="23"/>
  <c r="BN27" i="23"/>
  <c r="BO27" i="23"/>
  <c r="BP27" i="23"/>
  <c r="BQ27" i="23"/>
  <c r="BR27" i="23"/>
  <c r="BS27" i="23"/>
  <c r="BT27" i="23"/>
  <c r="BU27" i="23"/>
  <c r="BV27" i="23"/>
  <c r="BW27" i="23"/>
  <c r="BX27" i="23"/>
  <c r="BY27" i="23"/>
  <c r="BZ27" i="23"/>
  <c r="CA27" i="23"/>
  <c r="CB27" i="23"/>
  <c r="CC27" i="23"/>
  <c r="CD27" i="23"/>
  <c r="CE27" i="23"/>
  <c r="CF27" i="23"/>
  <c r="CG27" i="23"/>
  <c r="CH27" i="23"/>
  <c r="CI27" i="23"/>
  <c r="CJ27" i="23"/>
  <c r="CK27" i="23"/>
  <c r="CL27" i="23"/>
  <c r="CM27" i="23"/>
  <c r="CN27" i="23"/>
  <c r="CO27" i="23"/>
  <c r="CP27" i="23"/>
  <c r="CQ27" i="23"/>
  <c r="CR27" i="23"/>
  <c r="CS27" i="23"/>
  <c r="U28" i="23"/>
  <c r="V28" i="23"/>
  <c r="W28" i="23"/>
  <c r="X28" i="23"/>
  <c r="Y28" i="23"/>
  <c r="Z28" i="23"/>
  <c r="AA28" i="23"/>
  <c r="AB28" i="23"/>
  <c r="AC28" i="23"/>
  <c r="AD28" i="23"/>
  <c r="AE28" i="23"/>
  <c r="AF28" i="23"/>
  <c r="AG28" i="23"/>
  <c r="AH28" i="23"/>
  <c r="AI28" i="23"/>
  <c r="AJ28" i="23"/>
  <c r="AK28" i="23"/>
  <c r="AL28" i="23"/>
  <c r="AM28" i="23"/>
  <c r="AN28" i="23"/>
  <c r="AO28" i="23"/>
  <c r="AP28" i="23"/>
  <c r="AQ28" i="23"/>
  <c r="AR28" i="23"/>
  <c r="AS28" i="23"/>
  <c r="AT28" i="23"/>
  <c r="AU28" i="23"/>
  <c r="AV28" i="23"/>
  <c r="AW28" i="23"/>
  <c r="AX28" i="23"/>
  <c r="AY28" i="23"/>
  <c r="AZ28" i="23"/>
  <c r="BA28" i="23"/>
  <c r="BB28" i="23"/>
  <c r="BC28" i="23"/>
  <c r="BD28" i="23"/>
  <c r="BE28" i="23"/>
  <c r="BF28" i="23"/>
  <c r="BG28" i="23"/>
  <c r="BH28" i="23"/>
  <c r="BI28" i="23"/>
  <c r="BJ28" i="23"/>
  <c r="BK28" i="23"/>
  <c r="BL28" i="23"/>
  <c r="BM28" i="23"/>
  <c r="BN28" i="23"/>
  <c r="BO28" i="23"/>
  <c r="BP28" i="23"/>
  <c r="BQ28" i="23"/>
  <c r="BR28" i="23"/>
  <c r="BS28" i="23"/>
  <c r="BT28" i="23"/>
  <c r="BU28" i="23"/>
  <c r="BV28" i="23"/>
  <c r="BW28" i="23"/>
  <c r="BX28" i="23"/>
  <c r="BY28" i="23"/>
  <c r="BZ28" i="23"/>
  <c r="CA28" i="23"/>
  <c r="CB28" i="23"/>
  <c r="CC28" i="23"/>
  <c r="CD28" i="23"/>
  <c r="CE28" i="23"/>
  <c r="CF28" i="23"/>
  <c r="CG28" i="23"/>
  <c r="CH28" i="23"/>
  <c r="CI28" i="23"/>
  <c r="CJ28" i="23"/>
  <c r="CK28" i="23"/>
  <c r="CL28" i="23"/>
  <c r="CM28" i="23"/>
  <c r="CN28" i="23"/>
  <c r="CO28" i="23"/>
  <c r="CP28" i="23"/>
  <c r="CQ28" i="23"/>
  <c r="CR28" i="23"/>
  <c r="CS28" i="23"/>
  <c r="U29" i="23"/>
  <c r="V29" i="23"/>
  <c r="W29" i="23"/>
  <c r="X29" i="23"/>
  <c r="Y29" i="23"/>
  <c r="Z29" i="23"/>
  <c r="AA29" i="23"/>
  <c r="AB29" i="23"/>
  <c r="AC29" i="23"/>
  <c r="AD29" i="23"/>
  <c r="AE29" i="23"/>
  <c r="AF29" i="23"/>
  <c r="AG29" i="23"/>
  <c r="AH29" i="23"/>
  <c r="AI29" i="23"/>
  <c r="AJ29" i="23"/>
  <c r="AK29" i="23"/>
  <c r="AL29" i="23"/>
  <c r="AM29" i="23"/>
  <c r="AN29" i="23"/>
  <c r="AO29" i="23"/>
  <c r="AP29" i="23"/>
  <c r="AQ29" i="23"/>
  <c r="AR29" i="23"/>
  <c r="AS29" i="23"/>
  <c r="AT29" i="23"/>
  <c r="AU29" i="23"/>
  <c r="AV29" i="23"/>
  <c r="AW29" i="23"/>
  <c r="AX29" i="23"/>
  <c r="AY29" i="23"/>
  <c r="AZ29" i="23"/>
  <c r="BA29" i="23"/>
  <c r="BB29" i="23"/>
  <c r="BC29" i="23"/>
  <c r="BD29" i="23"/>
  <c r="BE29" i="23"/>
  <c r="BF29" i="23"/>
  <c r="BG29" i="23"/>
  <c r="BH29" i="23"/>
  <c r="BI29" i="23"/>
  <c r="BJ29" i="23"/>
  <c r="BK29" i="23"/>
  <c r="BL29" i="23"/>
  <c r="BM29" i="23"/>
  <c r="BN29" i="23"/>
  <c r="BO29" i="23"/>
  <c r="BP29" i="23"/>
  <c r="BQ29" i="23"/>
  <c r="BR29" i="23"/>
  <c r="BS29" i="23"/>
  <c r="BT29" i="23"/>
  <c r="BU29" i="23"/>
  <c r="BV29" i="23"/>
  <c r="BW29" i="23"/>
  <c r="BX29" i="23"/>
  <c r="BY29" i="23"/>
  <c r="BZ29" i="23"/>
  <c r="CA29" i="23"/>
  <c r="CB29" i="23"/>
  <c r="CC29" i="23"/>
  <c r="CD29" i="23"/>
  <c r="CE29" i="23"/>
  <c r="CF29" i="23"/>
  <c r="CG29" i="23"/>
  <c r="CH29" i="23"/>
  <c r="CI29" i="23"/>
  <c r="CJ29" i="23"/>
  <c r="CK29" i="23"/>
  <c r="CL29" i="23"/>
  <c r="CM29" i="23"/>
  <c r="CN29" i="23"/>
  <c r="CO29" i="23"/>
  <c r="CP29" i="23"/>
  <c r="CQ29" i="23"/>
  <c r="CR29" i="23"/>
  <c r="CS29" i="23"/>
  <c r="U30" i="23"/>
  <c r="V30" i="23"/>
  <c r="W30" i="23"/>
  <c r="X30" i="23"/>
  <c r="Y30" i="23"/>
  <c r="Z30" i="23"/>
  <c r="AA30" i="23"/>
  <c r="AB30" i="23"/>
  <c r="AC30" i="23"/>
  <c r="AD30" i="23"/>
  <c r="AE30" i="23"/>
  <c r="AF30" i="23"/>
  <c r="AG30" i="23"/>
  <c r="AH30" i="23"/>
  <c r="AI30" i="23"/>
  <c r="AJ30" i="23"/>
  <c r="AK30" i="23"/>
  <c r="AL30" i="23"/>
  <c r="AM30" i="23"/>
  <c r="AN30" i="23"/>
  <c r="AO30" i="23"/>
  <c r="AP30" i="23"/>
  <c r="AQ30" i="23"/>
  <c r="AR30" i="23"/>
  <c r="AS30" i="23"/>
  <c r="AT30" i="23"/>
  <c r="AU30" i="23"/>
  <c r="AV30" i="23"/>
  <c r="AW30" i="23"/>
  <c r="AX30" i="23"/>
  <c r="AY30" i="23"/>
  <c r="AZ30" i="23"/>
  <c r="BA30" i="23"/>
  <c r="BB30" i="23"/>
  <c r="BC30" i="23"/>
  <c r="BD30" i="23"/>
  <c r="BE30" i="23"/>
  <c r="BF30" i="23"/>
  <c r="BG30" i="23"/>
  <c r="BH30" i="23"/>
  <c r="BI30" i="23"/>
  <c r="BJ30" i="23"/>
  <c r="BK30" i="23"/>
  <c r="BL30" i="23"/>
  <c r="BM30" i="23"/>
  <c r="BN30" i="23"/>
  <c r="BO30" i="23"/>
  <c r="BP30" i="23"/>
  <c r="BQ30" i="23"/>
  <c r="BR30" i="23"/>
  <c r="BS30" i="23"/>
  <c r="BT30" i="23"/>
  <c r="BU30" i="23"/>
  <c r="BV30" i="23"/>
  <c r="BW30" i="23"/>
  <c r="BX30" i="23"/>
  <c r="BY30" i="23"/>
  <c r="BZ30" i="23"/>
  <c r="CA30" i="23"/>
  <c r="CB30" i="23"/>
  <c r="CC30" i="23"/>
  <c r="CD30" i="23"/>
  <c r="CE30" i="23"/>
  <c r="CF30" i="23"/>
  <c r="CG30" i="23"/>
  <c r="CH30" i="23"/>
  <c r="CI30" i="23"/>
  <c r="CJ30" i="23"/>
  <c r="CK30" i="23"/>
  <c r="CL30" i="23"/>
  <c r="CM30" i="23"/>
  <c r="CN30" i="23"/>
  <c r="CO30" i="23"/>
  <c r="CP30" i="23"/>
  <c r="CQ30" i="23"/>
  <c r="CR30" i="23"/>
  <c r="CS30" i="23"/>
  <c r="U31" i="23"/>
  <c r="V31" i="23"/>
  <c r="W31" i="23"/>
  <c r="X31" i="23"/>
  <c r="Y31" i="23"/>
  <c r="Z31" i="23"/>
  <c r="AA31" i="23"/>
  <c r="AB31" i="23"/>
  <c r="AC31" i="23"/>
  <c r="AD31" i="23"/>
  <c r="AE31" i="23"/>
  <c r="AF31" i="23"/>
  <c r="AG31" i="23"/>
  <c r="AH31" i="23"/>
  <c r="AI31" i="23"/>
  <c r="AJ31" i="23"/>
  <c r="AK31" i="23"/>
  <c r="AL31" i="23"/>
  <c r="AM31" i="23"/>
  <c r="AN31" i="23"/>
  <c r="AO31" i="23"/>
  <c r="AP31" i="23"/>
  <c r="AQ31" i="23"/>
  <c r="AR31" i="23"/>
  <c r="AS31" i="23"/>
  <c r="AT31" i="23"/>
  <c r="AU31" i="23"/>
  <c r="AV31" i="23"/>
  <c r="AW31" i="23"/>
  <c r="AX31" i="23"/>
  <c r="AY31" i="23"/>
  <c r="AZ31" i="23"/>
  <c r="BA31" i="23"/>
  <c r="BB31" i="23"/>
  <c r="BC31" i="23"/>
  <c r="BD31" i="23"/>
  <c r="BE31" i="23"/>
  <c r="BF31" i="23"/>
  <c r="BG31" i="23"/>
  <c r="BH31" i="23"/>
  <c r="BI31" i="23"/>
  <c r="BJ31" i="23"/>
  <c r="BK31" i="23"/>
  <c r="BL31" i="23"/>
  <c r="BM31" i="23"/>
  <c r="BN31" i="23"/>
  <c r="BO31" i="23"/>
  <c r="BP31" i="23"/>
  <c r="BQ31" i="23"/>
  <c r="BR31" i="23"/>
  <c r="BS31" i="23"/>
  <c r="BT31" i="23"/>
  <c r="BU31" i="23"/>
  <c r="BV31" i="23"/>
  <c r="BW31" i="23"/>
  <c r="BX31" i="23"/>
  <c r="BY31" i="23"/>
  <c r="BZ31" i="23"/>
  <c r="CA31" i="23"/>
  <c r="CB31" i="23"/>
  <c r="CC31" i="23"/>
  <c r="CD31" i="23"/>
  <c r="CE31" i="23"/>
  <c r="CF31" i="23"/>
  <c r="CG31" i="23"/>
  <c r="CH31" i="23"/>
  <c r="CI31" i="23"/>
  <c r="CJ31" i="23"/>
  <c r="CK31" i="23"/>
  <c r="CL31" i="23"/>
  <c r="CM31" i="23"/>
  <c r="CN31" i="23"/>
  <c r="CO31" i="23"/>
  <c r="CP31" i="23"/>
  <c r="CQ31" i="23"/>
  <c r="CR31" i="23"/>
  <c r="CS31" i="23"/>
  <c r="U32" i="23"/>
  <c r="V32" i="23"/>
  <c r="W32" i="23"/>
  <c r="X32" i="23"/>
  <c r="Y32" i="23"/>
  <c r="Z32" i="23"/>
  <c r="AA32" i="23"/>
  <c r="AB32" i="23"/>
  <c r="AC32" i="23"/>
  <c r="AD32" i="23"/>
  <c r="AE32" i="23"/>
  <c r="AF32" i="23"/>
  <c r="AG32" i="23"/>
  <c r="AH32" i="23"/>
  <c r="AI32" i="23"/>
  <c r="AJ32" i="23"/>
  <c r="AK32" i="23"/>
  <c r="AL32" i="23"/>
  <c r="AM32" i="23"/>
  <c r="AN32" i="23"/>
  <c r="AO32" i="23"/>
  <c r="AP32" i="23"/>
  <c r="AQ32" i="23"/>
  <c r="AR32" i="23"/>
  <c r="AS32" i="23"/>
  <c r="AT32" i="23"/>
  <c r="AU32" i="23"/>
  <c r="AV32" i="23"/>
  <c r="AW32" i="23"/>
  <c r="AX32" i="23"/>
  <c r="AY32" i="23"/>
  <c r="AZ32" i="23"/>
  <c r="BA32" i="23"/>
  <c r="BB32" i="23"/>
  <c r="BC32" i="23"/>
  <c r="BD32" i="23"/>
  <c r="BE32" i="23"/>
  <c r="BF32" i="23"/>
  <c r="BG32" i="23"/>
  <c r="BH32" i="23"/>
  <c r="BI32" i="23"/>
  <c r="BJ32" i="23"/>
  <c r="BK32" i="23"/>
  <c r="BL32" i="23"/>
  <c r="BM32" i="23"/>
  <c r="BN32" i="23"/>
  <c r="BO32" i="23"/>
  <c r="BP32" i="23"/>
  <c r="BQ32" i="23"/>
  <c r="BR32" i="23"/>
  <c r="BS32" i="23"/>
  <c r="BT32" i="23"/>
  <c r="BU32" i="23"/>
  <c r="BV32" i="23"/>
  <c r="BW32" i="23"/>
  <c r="BX32" i="23"/>
  <c r="BY32" i="23"/>
  <c r="BZ32" i="23"/>
  <c r="CA32" i="23"/>
  <c r="CB32" i="23"/>
  <c r="CC32" i="23"/>
  <c r="CD32" i="23"/>
  <c r="CE32" i="23"/>
  <c r="CF32" i="23"/>
  <c r="CG32" i="23"/>
  <c r="CH32" i="23"/>
  <c r="CI32" i="23"/>
  <c r="CJ32" i="23"/>
  <c r="CK32" i="23"/>
  <c r="CL32" i="23"/>
  <c r="CM32" i="23"/>
  <c r="CN32" i="23"/>
  <c r="CO32" i="23"/>
  <c r="CP32" i="23"/>
  <c r="CQ32" i="23"/>
  <c r="CR32" i="23"/>
  <c r="CS32" i="23"/>
  <c r="U33" i="23"/>
  <c r="V33" i="23"/>
  <c r="W33" i="23"/>
  <c r="X33" i="23"/>
  <c r="Y33" i="23"/>
  <c r="Z33" i="23"/>
  <c r="AA33" i="23"/>
  <c r="AB33" i="23"/>
  <c r="AC33" i="23"/>
  <c r="AD33" i="23"/>
  <c r="AE33" i="23"/>
  <c r="AF33" i="23"/>
  <c r="AG33" i="23"/>
  <c r="AH33" i="23"/>
  <c r="AI33" i="23"/>
  <c r="AJ33" i="23"/>
  <c r="AK33" i="23"/>
  <c r="AL33" i="23"/>
  <c r="AM33" i="23"/>
  <c r="AN33" i="23"/>
  <c r="AO33" i="23"/>
  <c r="AP33" i="23"/>
  <c r="AQ33" i="23"/>
  <c r="AR33" i="23"/>
  <c r="AS33" i="23"/>
  <c r="AT33" i="23"/>
  <c r="AU33" i="23"/>
  <c r="AV33" i="23"/>
  <c r="AW33" i="23"/>
  <c r="AX33" i="23"/>
  <c r="AY33" i="23"/>
  <c r="AZ33" i="23"/>
  <c r="BA33" i="23"/>
  <c r="BB33" i="23"/>
  <c r="BC33" i="23"/>
  <c r="BD33" i="23"/>
  <c r="BE33" i="23"/>
  <c r="BF33" i="23"/>
  <c r="BG33" i="23"/>
  <c r="BH33" i="23"/>
  <c r="BI33" i="23"/>
  <c r="BJ33" i="23"/>
  <c r="BK33" i="23"/>
  <c r="BL33" i="23"/>
  <c r="BM33" i="23"/>
  <c r="BN33" i="23"/>
  <c r="BO33" i="23"/>
  <c r="BP33" i="23"/>
  <c r="BQ33" i="23"/>
  <c r="BR33" i="23"/>
  <c r="BS33" i="23"/>
  <c r="BT33" i="23"/>
  <c r="BU33" i="23"/>
  <c r="BV33" i="23"/>
  <c r="BW33" i="23"/>
  <c r="BX33" i="23"/>
  <c r="BY33" i="23"/>
  <c r="BZ33" i="23"/>
  <c r="CA33" i="23"/>
  <c r="CB33" i="23"/>
  <c r="CC33" i="23"/>
  <c r="CD33" i="23"/>
  <c r="CE33" i="23"/>
  <c r="CF33" i="23"/>
  <c r="CG33" i="23"/>
  <c r="CH33" i="23"/>
  <c r="CI33" i="23"/>
  <c r="CJ33" i="23"/>
  <c r="CK33" i="23"/>
  <c r="CL33" i="23"/>
  <c r="CM33" i="23"/>
  <c r="CN33" i="23"/>
  <c r="CO33" i="23"/>
  <c r="CP33" i="23"/>
  <c r="CQ33" i="23"/>
  <c r="CR33" i="23"/>
  <c r="CS33" i="23"/>
  <c r="U34" i="23"/>
  <c r="V34" i="23"/>
  <c r="W34" i="23"/>
  <c r="X34" i="23"/>
  <c r="Y34" i="23"/>
  <c r="Z34" i="23"/>
  <c r="AA34" i="23"/>
  <c r="AB34" i="23"/>
  <c r="AC34" i="23"/>
  <c r="AD34" i="23"/>
  <c r="AE34" i="23"/>
  <c r="AF34" i="23"/>
  <c r="AG34" i="23"/>
  <c r="AH34" i="23"/>
  <c r="AI34" i="23"/>
  <c r="AJ34" i="23"/>
  <c r="AK34" i="23"/>
  <c r="AL34" i="23"/>
  <c r="AM34" i="23"/>
  <c r="AN34" i="23"/>
  <c r="AO34" i="23"/>
  <c r="AP34" i="23"/>
  <c r="AQ34" i="23"/>
  <c r="AR34" i="23"/>
  <c r="AS34" i="23"/>
  <c r="AT34" i="23"/>
  <c r="AU34" i="23"/>
  <c r="AV34" i="23"/>
  <c r="AW34" i="23"/>
  <c r="AX34" i="23"/>
  <c r="AY34" i="23"/>
  <c r="AZ34" i="23"/>
  <c r="BA34" i="23"/>
  <c r="BB34" i="23"/>
  <c r="BC34" i="23"/>
  <c r="BD34" i="23"/>
  <c r="BE34" i="23"/>
  <c r="BF34" i="23"/>
  <c r="BG34" i="23"/>
  <c r="BH34" i="23"/>
  <c r="BI34" i="23"/>
  <c r="BJ34" i="23"/>
  <c r="BK34" i="23"/>
  <c r="BL34" i="23"/>
  <c r="BM34" i="23"/>
  <c r="BN34" i="23"/>
  <c r="BO34" i="23"/>
  <c r="BP34" i="23"/>
  <c r="BQ34" i="23"/>
  <c r="BR34" i="23"/>
  <c r="BS34" i="23"/>
  <c r="BT34" i="23"/>
  <c r="BU34" i="23"/>
  <c r="BV34" i="23"/>
  <c r="BW34" i="23"/>
  <c r="BX34" i="23"/>
  <c r="BY34" i="23"/>
  <c r="BZ34" i="23"/>
  <c r="CA34" i="23"/>
  <c r="CB34" i="23"/>
  <c r="CC34" i="23"/>
  <c r="CD34" i="23"/>
  <c r="CE34" i="23"/>
  <c r="CF34" i="23"/>
  <c r="CG34" i="23"/>
  <c r="CH34" i="23"/>
  <c r="CI34" i="23"/>
  <c r="CJ34" i="23"/>
  <c r="CK34" i="23"/>
  <c r="CL34" i="23"/>
  <c r="CM34" i="23"/>
  <c r="CN34" i="23"/>
  <c r="CO34" i="23"/>
  <c r="CP34" i="23"/>
  <c r="CQ34" i="23"/>
  <c r="CR34" i="23"/>
  <c r="CS34" i="23"/>
  <c r="U35" i="23"/>
  <c r="V35" i="23"/>
  <c r="W35" i="23"/>
  <c r="X35" i="23"/>
  <c r="Y35" i="23"/>
  <c r="Z35" i="23"/>
  <c r="AA35" i="23"/>
  <c r="AB35" i="23"/>
  <c r="AC35" i="23"/>
  <c r="AD35" i="23"/>
  <c r="AE35" i="23"/>
  <c r="AF35" i="23"/>
  <c r="AG35" i="23"/>
  <c r="AH35" i="23"/>
  <c r="AI35" i="23"/>
  <c r="AJ35" i="23"/>
  <c r="AK35" i="23"/>
  <c r="AL35" i="23"/>
  <c r="AM35" i="23"/>
  <c r="AN35" i="23"/>
  <c r="AO35" i="23"/>
  <c r="AP35" i="23"/>
  <c r="AQ35" i="23"/>
  <c r="AR35" i="23"/>
  <c r="AS35" i="23"/>
  <c r="AT35" i="23"/>
  <c r="AU35" i="23"/>
  <c r="AV35" i="23"/>
  <c r="AW35" i="23"/>
  <c r="AX35" i="23"/>
  <c r="AY35" i="23"/>
  <c r="AZ35" i="23"/>
  <c r="BA35" i="23"/>
  <c r="BB35" i="23"/>
  <c r="BC35" i="23"/>
  <c r="BD35" i="23"/>
  <c r="BE35" i="23"/>
  <c r="BF35" i="23"/>
  <c r="BG35" i="23"/>
  <c r="BH35" i="23"/>
  <c r="BI35" i="23"/>
  <c r="BJ35" i="23"/>
  <c r="BK35" i="23"/>
  <c r="BL35" i="23"/>
  <c r="BM35" i="23"/>
  <c r="BN35" i="23"/>
  <c r="BO35" i="23"/>
  <c r="BP35" i="23"/>
  <c r="BQ35" i="23"/>
  <c r="BR35" i="23"/>
  <c r="BS35" i="23"/>
  <c r="BT35" i="23"/>
  <c r="BU35" i="23"/>
  <c r="BV35" i="23"/>
  <c r="BW35" i="23"/>
  <c r="BX35" i="23"/>
  <c r="BY35" i="23"/>
  <c r="BZ35" i="23"/>
  <c r="CA35" i="23"/>
  <c r="CB35" i="23"/>
  <c r="CC35" i="23"/>
  <c r="CD35" i="23"/>
  <c r="CE35" i="23"/>
  <c r="CF35" i="23"/>
  <c r="CG35" i="23"/>
  <c r="CH35" i="23"/>
  <c r="CI35" i="23"/>
  <c r="CJ35" i="23"/>
  <c r="CK35" i="23"/>
  <c r="CL35" i="23"/>
  <c r="CM35" i="23"/>
  <c r="CN35" i="23"/>
  <c r="CO35" i="23"/>
  <c r="CP35" i="23"/>
  <c r="CQ35" i="23"/>
  <c r="CR35" i="23"/>
  <c r="CS35" i="23"/>
  <c r="U36" i="23"/>
  <c r="V36" i="23"/>
  <c r="W36" i="23"/>
  <c r="X36" i="23"/>
  <c r="Y36" i="23"/>
  <c r="Z36" i="23"/>
  <c r="AA36" i="23"/>
  <c r="AB36" i="23"/>
  <c r="AC36" i="23"/>
  <c r="AD36" i="23"/>
  <c r="AE36" i="23"/>
  <c r="AF36" i="23"/>
  <c r="AG36" i="23"/>
  <c r="AH36" i="23"/>
  <c r="AI36" i="23"/>
  <c r="AJ36" i="23"/>
  <c r="AK36" i="23"/>
  <c r="AL36" i="23"/>
  <c r="AM36" i="23"/>
  <c r="AN36" i="23"/>
  <c r="AO36" i="23"/>
  <c r="AP36" i="23"/>
  <c r="AQ36" i="23"/>
  <c r="AR36" i="23"/>
  <c r="AS36" i="23"/>
  <c r="AT36" i="23"/>
  <c r="AU36" i="23"/>
  <c r="AV36" i="23"/>
  <c r="AW36" i="23"/>
  <c r="AX36" i="23"/>
  <c r="AY36" i="23"/>
  <c r="AZ36" i="23"/>
  <c r="BA36" i="23"/>
  <c r="BB36" i="23"/>
  <c r="BC36" i="23"/>
  <c r="BD36" i="23"/>
  <c r="BE36" i="23"/>
  <c r="BF36" i="23"/>
  <c r="BG36" i="23"/>
  <c r="BH36" i="23"/>
  <c r="BI36" i="23"/>
  <c r="BJ36" i="23"/>
  <c r="BK36" i="23"/>
  <c r="BL36" i="23"/>
  <c r="BM36" i="23"/>
  <c r="BN36" i="23"/>
  <c r="BO36" i="23"/>
  <c r="BP36" i="23"/>
  <c r="BQ36" i="23"/>
  <c r="BR36" i="23"/>
  <c r="BS36" i="23"/>
  <c r="BT36" i="23"/>
  <c r="BU36" i="23"/>
  <c r="BV36" i="23"/>
  <c r="BW36" i="23"/>
  <c r="BX36" i="23"/>
  <c r="BY36" i="23"/>
  <c r="BZ36" i="23"/>
  <c r="CA36" i="23"/>
  <c r="CB36" i="23"/>
  <c r="CC36" i="23"/>
  <c r="CD36" i="23"/>
  <c r="CE36" i="23"/>
  <c r="CF36" i="23"/>
  <c r="CG36" i="23"/>
  <c r="CH36" i="23"/>
  <c r="CI36" i="23"/>
  <c r="CJ36" i="23"/>
  <c r="CK36" i="23"/>
  <c r="CL36" i="23"/>
  <c r="CM36" i="23"/>
  <c r="CN36" i="23"/>
  <c r="CO36" i="23"/>
  <c r="CP36" i="23"/>
  <c r="CQ36" i="23"/>
  <c r="CR36" i="23"/>
  <c r="CS36" i="23"/>
  <c r="T36" i="23"/>
  <c r="T24" i="23"/>
  <c r="T25" i="23"/>
  <c r="T26" i="23"/>
  <c r="T27" i="23"/>
  <c r="T28" i="23"/>
  <c r="T29" i="23"/>
  <c r="T30" i="23"/>
  <c r="T31" i="23"/>
  <c r="T32" i="23"/>
  <c r="T33" i="23"/>
  <c r="T34" i="23"/>
  <c r="T35" i="23"/>
  <c r="T23" i="23"/>
  <c r="BA26" i="7"/>
  <c r="BA27" i="7"/>
  <c r="BA28" i="7"/>
  <c r="BA29" i="7"/>
  <c r="BA30" i="7"/>
  <c r="BA31" i="7"/>
  <c r="BA32" i="7"/>
  <c r="BA33" i="7"/>
  <c r="BA34" i="7"/>
  <c r="BA35" i="7"/>
  <c r="BA36" i="7"/>
  <c r="BA37" i="7"/>
  <c r="AZ26" i="7"/>
  <c r="AZ27" i="7"/>
  <c r="AZ28" i="7"/>
  <c r="AZ29" i="7"/>
  <c r="AZ30" i="7"/>
  <c r="AZ31" i="7"/>
  <c r="AZ32" i="7"/>
  <c r="AZ33" i="7"/>
  <c r="AZ34" i="7"/>
  <c r="AZ35" i="7"/>
  <c r="AZ36" i="7"/>
  <c r="AZ37" i="7"/>
  <c r="AY26" i="7"/>
  <c r="AY27" i="7"/>
  <c r="AY28" i="7"/>
  <c r="AY29" i="7"/>
  <c r="AY30" i="7"/>
  <c r="AY31" i="7"/>
  <c r="AY32" i="7"/>
  <c r="AY33" i="7"/>
  <c r="AY34" i="7"/>
  <c r="AY35" i="7"/>
  <c r="AY36" i="7"/>
  <c r="AY37" i="7"/>
  <c r="DJ64" i="7"/>
  <c r="DK64" i="7"/>
  <c r="DL64" i="7"/>
  <c r="DM64" i="7"/>
  <c r="DN64" i="7"/>
  <c r="DO64" i="7"/>
  <c r="DP64" i="7"/>
  <c r="DQ64" i="7"/>
  <c r="DR64" i="7"/>
  <c r="DS64" i="7"/>
  <c r="DT64" i="7"/>
  <c r="DU64" i="7"/>
  <c r="DV64" i="7"/>
  <c r="DW64" i="7"/>
  <c r="DX64" i="7"/>
  <c r="DY64" i="7"/>
  <c r="DZ64" i="7"/>
  <c r="EA64" i="7"/>
  <c r="EB64" i="7"/>
  <c r="EC64" i="7"/>
  <c r="ED64" i="7"/>
  <c r="EE64" i="7"/>
  <c r="EF64" i="7"/>
  <c r="EG64" i="7"/>
  <c r="EH64" i="7"/>
  <c r="EI64" i="7"/>
  <c r="EJ64" i="7"/>
  <c r="EK64" i="7"/>
  <c r="EL64" i="7"/>
  <c r="EM64" i="7"/>
  <c r="EN64" i="7"/>
  <c r="EO64" i="7"/>
  <c r="EP64" i="7"/>
  <c r="EQ64" i="7"/>
  <c r="ER64" i="7"/>
  <c r="ES64" i="7"/>
  <c r="ET64" i="7"/>
  <c r="EU64" i="7"/>
  <c r="EV64" i="7"/>
  <c r="EW64" i="7"/>
  <c r="EX64" i="7"/>
  <c r="EY64" i="7"/>
  <c r="EZ64" i="7"/>
  <c r="FA64" i="7"/>
  <c r="FB64" i="7"/>
  <c r="FC64" i="7"/>
  <c r="FD64" i="7"/>
  <c r="FE64" i="7"/>
  <c r="FF64" i="7"/>
  <c r="FG64" i="7"/>
  <c r="FH64" i="7"/>
  <c r="FI64" i="7"/>
  <c r="FJ64" i="7"/>
  <c r="FK64" i="7"/>
  <c r="FL64" i="7"/>
  <c r="FM64" i="7"/>
  <c r="FN64" i="7"/>
  <c r="FO64" i="7"/>
  <c r="FP64" i="7"/>
  <c r="FQ64" i="7"/>
  <c r="FR64" i="7"/>
  <c r="FS64" i="7"/>
  <c r="FT64" i="7"/>
  <c r="FU64" i="7"/>
  <c r="FV64" i="7"/>
  <c r="FW64" i="7"/>
  <c r="FX64" i="7"/>
  <c r="FY64" i="7"/>
  <c r="FZ64" i="7"/>
  <c r="GA64" i="7"/>
  <c r="GB64" i="7"/>
  <c r="GC64" i="7"/>
  <c r="GD64" i="7"/>
  <c r="GE64" i="7"/>
  <c r="GF64" i="7"/>
  <c r="GG64" i="7"/>
  <c r="GH64" i="7"/>
  <c r="GI64" i="7"/>
  <c r="GJ64" i="7"/>
  <c r="GK64" i="7"/>
  <c r="GL64" i="7"/>
  <c r="GM64" i="7"/>
  <c r="GN64" i="7"/>
  <c r="GO64" i="7"/>
  <c r="GP64" i="7"/>
  <c r="GQ64" i="7"/>
  <c r="GR64" i="7"/>
  <c r="GS64" i="7"/>
  <c r="GT64" i="7"/>
  <c r="GU64" i="7"/>
  <c r="GV64" i="7"/>
  <c r="GW64" i="7"/>
  <c r="GX64" i="7"/>
  <c r="GY64" i="7"/>
  <c r="GZ64" i="7"/>
  <c r="HA64" i="7"/>
  <c r="HB64" i="7"/>
  <c r="HC64" i="7"/>
  <c r="HD64" i="7"/>
  <c r="HE64" i="7"/>
  <c r="HF64" i="7"/>
  <c r="HG64" i="7"/>
  <c r="HH64" i="7"/>
  <c r="HI64" i="7"/>
  <c r="HJ64" i="7"/>
  <c r="HK64" i="7"/>
  <c r="HL64" i="7"/>
  <c r="HM64" i="7"/>
  <c r="HN64" i="7"/>
  <c r="HO64" i="7"/>
  <c r="HP64" i="7"/>
  <c r="HQ64" i="7"/>
  <c r="HR64" i="7"/>
  <c r="DJ65" i="7"/>
  <c r="DK65" i="7"/>
  <c r="DL65" i="7"/>
  <c r="DM65" i="7"/>
  <c r="DN65" i="7"/>
  <c r="DO65" i="7"/>
  <c r="DP65" i="7"/>
  <c r="DQ65" i="7"/>
  <c r="DR65" i="7"/>
  <c r="DS65" i="7"/>
  <c r="DT65" i="7"/>
  <c r="DU65" i="7"/>
  <c r="DV65" i="7"/>
  <c r="DW65" i="7"/>
  <c r="DX65" i="7"/>
  <c r="DY65" i="7"/>
  <c r="DZ65" i="7"/>
  <c r="EA65" i="7"/>
  <c r="EB65" i="7"/>
  <c r="EC65" i="7"/>
  <c r="ED65" i="7"/>
  <c r="EE65" i="7"/>
  <c r="EF65" i="7"/>
  <c r="EG65" i="7"/>
  <c r="EH65" i="7"/>
  <c r="EI65" i="7"/>
  <c r="EJ65" i="7"/>
  <c r="EK65" i="7"/>
  <c r="EL65" i="7"/>
  <c r="EM65" i="7"/>
  <c r="EN65" i="7"/>
  <c r="EO65" i="7"/>
  <c r="EP65" i="7"/>
  <c r="EQ65" i="7"/>
  <c r="ER65" i="7"/>
  <c r="ES65" i="7"/>
  <c r="ET65" i="7"/>
  <c r="EU65" i="7"/>
  <c r="EV65" i="7"/>
  <c r="EW65" i="7"/>
  <c r="EX65" i="7"/>
  <c r="EY65" i="7"/>
  <c r="EZ65" i="7"/>
  <c r="FA65" i="7"/>
  <c r="FB65" i="7"/>
  <c r="FC65" i="7"/>
  <c r="FD65" i="7"/>
  <c r="FE65" i="7"/>
  <c r="FF65" i="7"/>
  <c r="FG65" i="7"/>
  <c r="FH65" i="7"/>
  <c r="FI65" i="7"/>
  <c r="FJ65" i="7"/>
  <c r="FK65" i="7"/>
  <c r="FL65" i="7"/>
  <c r="FM65" i="7"/>
  <c r="FN65" i="7"/>
  <c r="FO65" i="7"/>
  <c r="FP65" i="7"/>
  <c r="FQ65" i="7"/>
  <c r="FR65" i="7"/>
  <c r="FS65" i="7"/>
  <c r="FT65" i="7"/>
  <c r="FU65" i="7"/>
  <c r="FV65" i="7"/>
  <c r="FW65" i="7"/>
  <c r="FX65" i="7"/>
  <c r="FY65" i="7"/>
  <c r="FZ65" i="7"/>
  <c r="GA65" i="7"/>
  <c r="GB65" i="7"/>
  <c r="GC65" i="7"/>
  <c r="GD65" i="7"/>
  <c r="GE65" i="7"/>
  <c r="GF65" i="7"/>
  <c r="GG65" i="7"/>
  <c r="GH65" i="7"/>
  <c r="GI65" i="7"/>
  <c r="GJ65" i="7"/>
  <c r="GK65" i="7"/>
  <c r="GL65" i="7"/>
  <c r="GM65" i="7"/>
  <c r="GN65" i="7"/>
  <c r="GO65" i="7"/>
  <c r="GP65" i="7"/>
  <c r="GQ65" i="7"/>
  <c r="GR65" i="7"/>
  <c r="GS65" i="7"/>
  <c r="GT65" i="7"/>
  <c r="GU65" i="7"/>
  <c r="GV65" i="7"/>
  <c r="GW65" i="7"/>
  <c r="GX65" i="7"/>
  <c r="GY65" i="7"/>
  <c r="GZ65" i="7"/>
  <c r="HA65" i="7"/>
  <c r="HB65" i="7"/>
  <c r="HC65" i="7"/>
  <c r="HD65" i="7"/>
  <c r="HE65" i="7"/>
  <c r="HF65" i="7"/>
  <c r="HG65" i="7"/>
  <c r="HH65" i="7"/>
  <c r="HI65" i="7"/>
  <c r="HJ65" i="7"/>
  <c r="HK65" i="7"/>
  <c r="HL65" i="7"/>
  <c r="HM65" i="7"/>
  <c r="HN65" i="7"/>
  <c r="HP65" i="7"/>
  <c r="HQ65" i="7"/>
  <c r="HR65" i="7"/>
  <c r="DJ66" i="7"/>
  <c r="DK66" i="7"/>
  <c r="DL66" i="7"/>
  <c r="DM66" i="7"/>
  <c r="DN66" i="7"/>
  <c r="DO66" i="7"/>
  <c r="DP66" i="7"/>
  <c r="DQ66" i="7"/>
  <c r="DR66" i="7"/>
  <c r="DS66" i="7"/>
  <c r="DT66" i="7"/>
  <c r="DU66" i="7"/>
  <c r="DV66" i="7"/>
  <c r="DW66" i="7"/>
  <c r="DX66" i="7"/>
  <c r="DY66" i="7"/>
  <c r="DZ66" i="7"/>
  <c r="EA66" i="7"/>
  <c r="EB66" i="7"/>
  <c r="EC66" i="7"/>
  <c r="ED66" i="7"/>
  <c r="EE66" i="7"/>
  <c r="EF66" i="7"/>
  <c r="EG66" i="7"/>
  <c r="EH66" i="7"/>
  <c r="EI66" i="7"/>
  <c r="EJ66" i="7"/>
  <c r="EK66" i="7"/>
  <c r="EL66" i="7"/>
  <c r="EM66" i="7"/>
  <c r="EN66" i="7"/>
  <c r="EO66" i="7"/>
  <c r="EP66" i="7"/>
  <c r="EQ66" i="7"/>
  <c r="ER66" i="7"/>
  <c r="ES66" i="7"/>
  <c r="ET66" i="7"/>
  <c r="EU66" i="7"/>
  <c r="EV66" i="7"/>
  <c r="EW66" i="7"/>
  <c r="EX66" i="7"/>
  <c r="EY66" i="7"/>
  <c r="EZ66" i="7"/>
  <c r="FA66" i="7"/>
  <c r="FB66" i="7"/>
  <c r="FC66" i="7"/>
  <c r="FD66" i="7"/>
  <c r="FE66" i="7"/>
  <c r="FF66" i="7"/>
  <c r="FG66" i="7"/>
  <c r="FH66" i="7"/>
  <c r="FI66" i="7"/>
  <c r="FJ66" i="7"/>
  <c r="FK66" i="7"/>
  <c r="FL66" i="7"/>
  <c r="FM66" i="7"/>
  <c r="FN66" i="7"/>
  <c r="FO66" i="7"/>
  <c r="FP66" i="7"/>
  <c r="FQ66" i="7"/>
  <c r="FR66" i="7"/>
  <c r="FS66" i="7"/>
  <c r="FT66" i="7"/>
  <c r="FU66" i="7"/>
  <c r="FV66" i="7"/>
  <c r="FW66" i="7"/>
  <c r="FX66" i="7"/>
  <c r="FY66" i="7"/>
  <c r="FZ66" i="7"/>
  <c r="GA66" i="7"/>
  <c r="GB66" i="7"/>
  <c r="GC66" i="7"/>
  <c r="GD66" i="7"/>
  <c r="GE66" i="7"/>
  <c r="GF66" i="7"/>
  <c r="GG66" i="7"/>
  <c r="GH66" i="7"/>
  <c r="GI66" i="7"/>
  <c r="GJ66" i="7"/>
  <c r="GK66" i="7"/>
  <c r="GL66" i="7"/>
  <c r="GM66" i="7"/>
  <c r="GN66" i="7"/>
  <c r="GO66" i="7"/>
  <c r="GP66" i="7"/>
  <c r="GQ66" i="7"/>
  <c r="GR66" i="7"/>
  <c r="GS66" i="7"/>
  <c r="GT66" i="7"/>
  <c r="GU66" i="7"/>
  <c r="GV66" i="7"/>
  <c r="GW66" i="7"/>
  <c r="GX66" i="7"/>
  <c r="GY66" i="7"/>
  <c r="GZ66" i="7"/>
  <c r="HA66" i="7"/>
  <c r="HB66" i="7"/>
  <c r="HC66" i="7"/>
  <c r="HD66" i="7"/>
  <c r="HE66" i="7"/>
  <c r="HF66" i="7"/>
  <c r="HG66" i="7"/>
  <c r="HH66" i="7"/>
  <c r="HI66" i="7"/>
  <c r="HJ66" i="7"/>
  <c r="HK66" i="7"/>
  <c r="HL66" i="7"/>
  <c r="HM66" i="7"/>
  <c r="HN66" i="7"/>
  <c r="HO66" i="7"/>
  <c r="HP66" i="7"/>
  <c r="HQ66" i="7"/>
  <c r="HR66" i="7"/>
  <c r="DJ67" i="7"/>
  <c r="DK67" i="7"/>
  <c r="DL67" i="7"/>
  <c r="DM67" i="7"/>
  <c r="DN67" i="7"/>
  <c r="DO67" i="7"/>
  <c r="DP67" i="7"/>
  <c r="DQ67" i="7"/>
  <c r="DR67" i="7"/>
  <c r="DS67" i="7"/>
  <c r="DT67" i="7"/>
  <c r="DU67" i="7"/>
  <c r="DV67" i="7"/>
  <c r="DW67" i="7"/>
  <c r="DX67" i="7"/>
  <c r="DY67" i="7"/>
  <c r="DZ67" i="7"/>
  <c r="EA67" i="7"/>
  <c r="EB67" i="7"/>
  <c r="EC67" i="7"/>
  <c r="ED67" i="7"/>
  <c r="EE67" i="7"/>
  <c r="EF67" i="7"/>
  <c r="EG67" i="7"/>
  <c r="EH67" i="7"/>
  <c r="EI67" i="7"/>
  <c r="EJ67" i="7"/>
  <c r="EK67" i="7"/>
  <c r="EL67" i="7"/>
  <c r="EM67" i="7"/>
  <c r="EN67" i="7"/>
  <c r="EO67" i="7"/>
  <c r="EP67" i="7"/>
  <c r="EQ67" i="7"/>
  <c r="ER67" i="7"/>
  <c r="ES67" i="7"/>
  <c r="ET67" i="7"/>
  <c r="EU67" i="7"/>
  <c r="EV67" i="7"/>
  <c r="EW67" i="7"/>
  <c r="EX67" i="7"/>
  <c r="EY67" i="7"/>
  <c r="EZ67" i="7"/>
  <c r="FA67" i="7"/>
  <c r="FB67" i="7"/>
  <c r="FC67" i="7"/>
  <c r="FD67" i="7"/>
  <c r="FE67" i="7"/>
  <c r="FF67" i="7"/>
  <c r="FG67" i="7"/>
  <c r="FH67" i="7"/>
  <c r="FI67" i="7"/>
  <c r="FJ67" i="7"/>
  <c r="FK67" i="7"/>
  <c r="FL67" i="7"/>
  <c r="FM67" i="7"/>
  <c r="FN67" i="7"/>
  <c r="FO67" i="7"/>
  <c r="FP67" i="7"/>
  <c r="FQ67" i="7"/>
  <c r="FR67" i="7"/>
  <c r="FS67" i="7"/>
  <c r="FT67" i="7"/>
  <c r="FU67" i="7"/>
  <c r="FV67" i="7"/>
  <c r="FW67" i="7"/>
  <c r="FX67" i="7"/>
  <c r="FY67" i="7"/>
  <c r="FZ67" i="7"/>
  <c r="GA67" i="7"/>
  <c r="GB67" i="7"/>
  <c r="GC67" i="7"/>
  <c r="GD67" i="7"/>
  <c r="GE67" i="7"/>
  <c r="GF67" i="7"/>
  <c r="GG67" i="7"/>
  <c r="GH67" i="7"/>
  <c r="GI67" i="7"/>
  <c r="GJ67" i="7"/>
  <c r="GK67" i="7"/>
  <c r="GL67" i="7"/>
  <c r="GM67" i="7"/>
  <c r="GN67" i="7"/>
  <c r="GO67" i="7"/>
  <c r="GP67" i="7"/>
  <c r="GQ67" i="7"/>
  <c r="GR67" i="7"/>
  <c r="GS67" i="7"/>
  <c r="GT67" i="7"/>
  <c r="GU67" i="7"/>
  <c r="GV67" i="7"/>
  <c r="GW67" i="7"/>
  <c r="GX67" i="7"/>
  <c r="GY67" i="7"/>
  <c r="GZ67" i="7"/>
  <c r="HA67" i="7"/>
  <c r="HB67" i="7"/>
  <c r="HC67" i="7"/>
  <c r="HD67" i="7"/>
  <c r="HE67" i="7"/>
  <c r="HF67" i="7"/>
  <c r="HG67" i="7"/>
  <c r="HH67" i="7"/>
  <c r="HI67" i="7"/>
  <c r="HJ67" i="7"/>
  <c r="HK67" i="7"/>
  <c r="HL67" i="7"/>
  <c r="HM67" i="7"/>
  <c r="HN67" i="7"/>
  <c r="HO67" i="7"/>
  <c r="HP67" i="7"/>
  <c r="HQ67" i="7"/>
  <c r="HR67" i="7"/>
  <c r="DJ68" i="7"/>
  <c r="DK68" i="7"/>
  <c r="DL68" i="7"/>
  <c r="DM68" i="7"/>
  <c r="DN68" i="7"/>
  <c r="DO68" i="7"/>
  <c r="DP68" i="7"/>
  <c r="DQ68" i="7"/>
  <c r="DR68" i="7"/>
  <c r="DS68" i="7"/>
  <c r="DT68" i="7"/>
  <c r="DU68" i="7"/>
  <c r="DV68" i="7"/>
  <c r="DW68" i="7"/>
  <c r="DX68" i="7"/>
  <c r="DY68" i="7"/>
  <c r="DZ68" i="7"/>
  <c r="EA68" i="7"/>
  <c r="EB68" i="7"/>
  <c r="EC68" i="7"/>
  <c r="ED68" i="7"/>
  <c r="EE68" i="7"/>
  <c r="EF68" i="7"/>
  <c r="EG68" i="7"/>
  <c r="EH68" i="7"/>
  <c r="EI68" i="7"/>
  <c r="EJ68" i="7"/>
  <c r="EK68" i="7"/>
  <c r="EL68" i="7"/>
  <c r="EM68" i="7"/>
  <c r="EN68" i="7"/>
  <c r="EO68" i="7"/>
  <c r="EP68" i="7"/>
  <c r="EQ68" i="7"/>
  <c r="ER68" i="7"/>
  <c r="ES68" i="7"/>
  <c r="ET68" i="7"/>
  <c r="EU68" i="7"/>
  <c r="EV68" i="7"/>
  <c r="EW68" i="7"/>
  <c r="EX68" i="7"/>
  <c r="EY68" i="7"/>
  <c r="EZ68" i="7"/>
  <c r="FA68" i="7"/>
  <c r="FB68" i="7"/>
  <c r="FC68" i="7"/>
  <c r="FD68" i="7"/>
  <c r="FE68" i="7"/>
  <c r="FF68" i="7"/>
  <c r="FG68" i="7"/>
  <c r="FH68" i="7"/>
  <c r="FI68" i="7"/>
  <c r="FJ68" i="7"/>
  <c r="FK68" i="7"/>
  <c r="FL68" i="7"/>
  <c r="FM68" i="7"/>
  <c r="FN68" i="7"/>
  <c r="FO68" i="7"/>
  <c r="FP68" i="7"/>
  <c r="FQ68" i="7"/>
  <c r="FR68" i="7"/>
  <c r="FS68" i="7"/>
  <c r="FT68" i="7"/>
  <c r="FU68" i="7"/>
  <c r="FV68" i="7"/>
  <c r="FW68" i="7"/>
  <c r="FX68" i="7"/>
  <c r="FY68" i="7"/>
  <c r="FZ68" i="7"/>
  <c r="GA68" i="7"/>
  <c r="GB68" i="7"/>
  <c r="GC68" i="7"/>
  <c r="GD68" i="7"/>
  <c r="GE68" i="7"/>
  <c r="GF68" i="7"/>
  <c r="GG68" i="7"/>
  <c r="GH68" i="7"/>
  <c r="GI68" i="7"/>
  <c r="GJ68" i="7"/>
  <c r="GK68" i="7"/>
  <c r="GL68" i="7"/>
  <c r="GM68" i="7"/>
  <c r="GN68" i="7"/>
  <c r="GO68" i="7"/>
  <c r="GP68" i="7"/>
  <c r="GQ68" i="7"/>
  <c r="GR68" i="7"/>
  <c r="GS68" i="7"/>
  <c r="GT68" i="7"/>
  <c r="GU68" i="7"/>
  <c r="GV68" i="7"/>
  <c r="GW68" i="7"/>
  <c r="GX68" i="7"/>
  <c r="GY68" i="7"/>
  <c r="GZ68" i="7"/>
  <c r="HA68" i="7"/>
  <c r="HB68" i="7"/>
  <c r="HC68" i="7"/>
  <c r="HD68" i="7"/>
  <c r="HE68" i="7"/>
  <c r="HF68" i="7"/>
  <c r="HG68" i="7"/>
  <c r="HH68" i="7"/>
  <c r="HI68" i="7"/>
  <c r="HJ68" i="7"/>
  <c r="HK68" i="7"/>
  <c r="HL68" i="7"/>
  <c r="HM68" i="7"/>
  <c r="HN68" i="7"/>
  <c r="HO68" i="7"/>
  <c r="HP68" i="7"/>
  <c r="HQ68" i="7"/>
  <c r="HR68" i="7"/>
  <c r="DJ70" i="7"/>
  <c r="DK70" i="7"/>
  <c r="DL70" i="7"/>
  <c r="DM70" i="7"/>
  <c r="DN70" i="7"/>
  <c r="DO70" i="7"/>
  <c r="DP70" i="7"/>
  <c r="DQ70" i="7"/>
  <c r="DR70" i="7"/>
  <c r="DS70" i="7"/>
  <c r="DT70" i="7"/>
  <c r="DU70" i="7"/>
  <c r="DV70" i="7"/>
  <c r="DW70" i="7"/>
  <c r="DX70" i="7"/>
  <c r="DY70" i="7"/>
  <c r="DZ70" i="7"/>
  <c r="EA70" i="7"/>
  <c r="EB70" i="7"/>
  <c r="EC70" i="7"/>
  <c r="ED70" i="7"/>
  <c r="EE70" i="7"/>
  <c r="EF70" i="7"/>
  <c r="EG70" i="7"/>
  <c r="EH70" i="7"/>
  <c r="EI70" i="7"/>
  <c r="EJ70" i="7"/>
  <c r="EK70" i="7"/>
  <c r="EL70" i="7"/>
  <c r="EM70" i="7"/>
  <c r="EN70" i="7"/>
  <c r="EO70" i="7"/>
  <c r="EP70" i="7"/>
  <c r="EQ70" i="7"/>
  <c r="ER70" i="7"/>
  <c r="ES70" i="7"/>
  <c r="ET70" i="7"/>
  <c r="EU70" i="7"/>
  <c r="EV70" i="7"/>
  <c r="EW70" i="7"/>
  <c r="EX70" i="7"/>
  <c r="EY70" i="7"/>
  <c r="EZ70" i="7"/>
  <c r="FA70" i="7"/>
  <c r="FB70" i="7"/>
  <c r="FC70" i="7"/>
  <c r="FD70" i="7"/>
  <c r="FE70" i="7"/>
  <c r="FF70" i="7"/>
  <c r="FG70" i="7"/>
  <c r="FH70" i="7"/>
  <c r="FI70" i="7"/>
  <c r="FJ70" i="7"/>
  <c r="FK70" i="7"/>
  <c r="FL70" i="7"/>
  <c r="FM70" i="7"/>
  <c r="FN70" i="7"/>
  <c r="FO70" i="7"/>
  <c r="FP70" i="7"/>
  <c r="FQ70" i="7"/>
  <c r="FR70" i="7"/>
  <c r="FS70" i="7"/>
  <c r="FT70" i="7"/>
  <c r="FU70" i="7"/>
  <c r="FV70" i="7"/>
  <c r="FW70" i="7"/>
  <c r="FX70" i="7"/>
  <c r="FY70" i="7"/>
  <c r="FZ70" i="7"/>
  <c r="GA70" i="7"/>
  <c r="GB70" i="7"/>
  <c r="GC70" i="7"/>
  <c r="GD70" i="7"/>
  <c r="GE70" i="7"/>
  <c r="GF70" i="7"/>
  <c r="GG70" i="7"/>
  <c r="GH70" i="7"/>
  <c r="GI70" i="7"/>
  <c r="GJ70" i="7"/>
  <c r="GK70" i="7"/>
  <c r="GL70" i="7"/>
  <c r="GM70" i="7"/>
  <c r="GN70" i="7"/>
  <c r="GO70" i="7"/>
  <c r="GP70" i="7"/>
  <c r="GQ70" i="7"/>
  <c r="GR70" i="7"/>
  <c r="GS70" i="7"/>
  <c r="GT70" i="7"/>
  <c r="GU70" i="7"/>
  <c r="GV70" i="7"/>
  <c r="GW70" i="7"/>
  <c r="GX70" i="7"/>
  <c r="GY70" i="7"/>
  <c r="GZ70" i="7"/>
  <c r="HA70" i="7"/>
  <c r="HB70" i="7"/>
  <c r="HC70" i="7"/>
  <c r="HD70" i="7"/>
  <c r="HE70" i="7"/>
  <c r="HF70" i="7"/>
  <c r="HG70" i="7"/>
  <c r="HH70" i="7"/>
  <c r="HI70" i="7"/>
  <c r="HJ70" i="7"/>
  <c r="HK70" i="7"/>
  <c r="HL70" i="7"/>
  <c r="HM70" i="7"/>
  <c r="HN70" i="7"/>
  <c r="HO70" i="7"/>
  <c r="HP70" i="7"/>
  <c r="HQ70" i="7"/>
  <c r="HR70" i="7"/>
  <c r="DJ71" i="7"/>
  <c r="DK71" i="7"/>
  <c r="DL71" i="7"/>
  <c r="DM71" i="7"/>
  <c r="DN71" i="7"/>
  <c r="DO71" i="7"/>
  <c r="DP71" i="7"/>
  <c r="DQ71" i="7"/>
  <c r="DR71" i="7"/>
  <c r="DS71" i="7"/>
  <c r="DT71" i="7"/>
  <c r="DU71" i="7"/>
  <c r="DV71" i="7"/>
  <c r="DW71" i="7"/>
  <c r="DX71" i="7"/>
  <c r="DY71" i="7"/>
  <c r="DZ71" i="7"/>
  <c r="EA71" i="7"/>
  <c r="EB71" i="7"/>
  <c r="EC71" i="7"/>
  <c r="ED71" i="7"/>
  <c r="EE71" i="7"/>
  <c r="EF71" i="7"/>
  <c r="EG71" i="7"/>
  <c r="EH71" i="7"/>
  <c r="EI71" i="7"/>
  <c r="EJ71" i="7"/>
  <c r="EK71" i="7"/>
  <c r="EL71" i="7"/>
  <c r="EM71" i="7"/>
  <c r="EN71" i="7"/>
  <c r="EO71" i="7"/>
  <c r="EP71" i="7"/>
  <c r="EQ71" i="7"/>
  <c r="ER71" i="7"/>
  <c r="ES71" i="7"/>
  <c r="ET71" i="7"/>
  <c r="EU71" i="7"/>
  <c r="EV71" i="7"/>
  <c r="EW71" i="7"/>
  <c r="EX71" i="7"/>
  <c r="EY71" i="7"/>
  <c r="EZ71" i="7"/>
  <c r="FA71" i="7"/>
  <c r="FB71" i="7"/>
  <c r="FC71" i="7"/>
  <c r="FD71" i="7"/>
  <c r="FE71" i="7"/>
  <c r="FF71" i="7"/>
  <c r="FG71" i="7"/>
  <c r="FH71" i="7"/>
  <c r="FI71" i="7"/>
  <c r="FJ71" i="7"/>
  <c r="FK71" i="7"/>
  <c r="FL71" i="7"/>
  <c r="FM71" i="7"/>
  <c r="FN71" i="7"/>
  <c r="FO71" i="7"/>
  <c r="FP71" i="7"/>
  <c r="FQ71" i="7"/>
  <c r="FR71" i="7"/>
  <c r="FS71" i="7"/>
  <c r="FT71" i="7"/>
  <c r="FU71" i="7"/>
  <c r="FV71" i="7"/>
  <c r="FW71" i="7"/>
  <c r="FX71" i="7"/>
  <c r="FY71" i="7"/>
  <c r="FZ71" i="7"/>
  <c r="GA71" i="7"/>
  <c r="GB71" i="7"/>
  <c r="GC71" i="7"/>
  <c r="GD71" i="7"/>
  <c r="GE71" i="7"/>
  <c r="GF71" i="7"/>
  <c r="GG71" i="7"/>
  <c r="GH71" i="7"/>
  <c r="GI71" i="7"/>
  <c r="GJ71" i="7"/>
  <c r="GK71" i="7"/>
  <c r="GL71" i="7"/>
  <c r="GM71" i="7"/>
  <c r="GN71" i="7"/>
  <c r="GO71" i="7"/>
  <c r="GP71" i="7"/>
  <c r="GQ71" i="7"/>
  <c r="GR71" i="7"/>
  <c r="GS71" i="7"/>
  <c r="GT71" i="7"/>
  <c r="GU71" i="7"/>
  <c r="GV71" i="7"/>
  <c r="GW71" i="7"/>
  <c r="GX71" i="7"/>
  <c r="GY71" i="7"/>
  <c r="GZ71" i="7"/>
  <c r="HA71" i="7"/>
  <c r="HB71" i="7"/>
  <c r="HC71" i="7"/>
  <c r="HD71" i="7"/>
  <c r="HE71" i="7"/>
  <c r="HF71" i="7"/>
  <c r="HG71" i="7"/>
  <c r="HH71" i="7"/>
  <c r="HI71" i="7"/>
  <c r="HJ71" i="7"/>
  <c r="HK71" i="7"/>
  <c r="HL71" i="7"/>
  <c r="HM71" i="7"/>
  <c r="HN71" i="7"/>
  <c r="HO71" i="7"/>
  <c r="HP71" i="7"/>
  <c r="HQ71" i="7"/>
  <c r="HR71" i="7"/>
  <c r="DJ72" i="7"/>
  <c r="DK72" i="7"/>
  <c r="DL72" i="7"/>
  <c r="DM72" i="7"/>
  <c r="DN72" i="7"/>
  <c r="DO72" i="7"/>
  <c r="DP72" i="7"/>
  <c r="DQ72" i="7"/>
  <c r="DR72" i="7"/>
  <c r="DS72" i="7"/>
  <c r="DT72" i="7"/>
  <c r="DU72" i="7"/>
  <c r="DV72" i="7"/>
  <c r="DW72" i="7"/>
  <c r="DX72" i="7"/>
  <c r="DY72" i="7"/>
  <c r="DZ72" i="7"/>
  <c r="EA72" i="7"/>
  <c r="EB72" i="7"/>
  <c r="EC72" i="7"/>
  <c r="ED72" i="7"/>
  <c r="EE72" i="7"/>
  <c r="EF72" i="7"/>
  <c r="EG72" i="7"/>
  <c r="EH72" i="7"/>
  <c r="EI72" i="7"/>
  <c r="EJ72" i="7"/>
  <c r="EK72" i="7"/>
  <c r="EL72" i="7"/>
  <c r="EM72" i="7"/>
  <c r="EN72" i="7"/>
  <c r="EO72" i="7"/>
  <c r="EP72" i="7"/>
  <c r="EQ72" i="7"/>
  <c r="ER72" i="7"/>
  <c r="ES72" i="7"/>
  <c r="ET72" i="7"/>
  <c r="EU72" i="7"/>
  <c r="EV72" i="7"/>
  <c r="EW72" i="7"/>
  <c r="EX72" i="7"/>
  <c r="EY72" i="7"/>
  <c r="EZ72" i="7"/>
  <c r="FA72" i="7"/>
  <c r="FB72" i="7"/>
  <c r="FC72" i="7"/>
  <c r="FD72" i="7"/>
  <c r="FE72" i="7"/>
  <c r="FF72" i="7"/>
  <c r="FG72" i="7"/>
  <c r="FH72" i="7"/>
  <c r="FI72" i="7"/>
  <c r="FJ72" i="7"/>
  <c r="FK72" i="7"/>
  <c r="FL72" i="7"/>
  <c r="FM72" i="7"/>
  <c r="FN72" i="7"/>
  <c r="FO72" i="7"/>
  <c r="FP72" i="7"/>
  <c r="FQ72" i="7"/>
  <c r="FR72" i="7"/>
  <c r="FS72" i="7"/>
  <c r="FT72" i="7"/>
  <c r="FU72" i="7"/>
  <c r="FV72" i="7"/>
  <c r="FW72" i="7"/>
  <c r="FX72" i="7"/>
  <c r="FY72" i="7"/>
  <c r="FZ72" i="7"/>
  <c r="GA72" i="7"/>
  <c r="GB72" i="7"/>
  <c r="GC72" i="7"/>
  <c r="GD72" i="7"/>
  <c r="GE72" i="7"/>
  <c r="GF72" i="7"/>
  <c r="GG72" i="7"/>
  <c r="GH72" i="7"/>
  <c r="GI72" i="7"/>
  <c r="GJ72" i="7"/>
  <c r="GK72" i="7"/>
  <c r="GL72" i="7"/>
  <c r="GM72" i="7"/>
  <c r="GN72" i="7"/>
  <c r="GO72" i="7"/>
  <c r="GP72" i="7"/>
  <c r="GQ72" i="7"/>
  <c r="GR72" i="7"/>
  <c r="GS72" i="7"/>
  <c r="GT72" i="7"/>
  <c r="GU72" i="7"/>
  <c r="GV72" i="7"/>
  <c r="GW72" i="7"/>
  <c r="GX72" i="7"/>
  <c r="GY72" i="7"/>
  <c r="GZ72" i="7"/>
  <c r="HA72" i="7"/>
  <c r="HB72" i="7"/>
  <c r="HC72" i="7"/>
  <c r="HD72" i="7"/>
  <c r="HE72" i="7"/>
  <c r="HF72" i="7"/>
  <c r="HG72" i="7"/>
  <c r="HH72" i="7"/>
  <c r="HI72" i="7"/>
  <c r="HJ72" i="7"/>
  <c r="HK72" i="7"/>
  <c r="HL72" i="7"/>
  <c r="HM72" i="7"/>
  <c r="HN72" i="7"/>
  <c r="HO72" i="7"/>
  <c r="HP72" i="7"/>
  <c r="HQ72" i="7"/>
  <c r="HR72" i="7"/>
  <c r="DJ73" i="7"/>
  <c r="DK73" i="7"/>
  <c r="DL73" i="7"/>
  <c r="DM73" i="7"/>
  <c r="DN73" i="7"/>
  <c r="DO73" i="7"/>
  <c r="DP73" i="7"/>
  <c r="DQ73" i="7"/>
  <c r="DR73" i="7"/>
  <c r="DS73" i="7"/>
  <c r="DT73" i="7"/>
  <c r="DU73" i="7"/>
  <c r="DV73" i="7"/>
  <c r="DW73" i="7"/>
  <c r="DX73" i="7"/>
  <c r="DY73" i="7"/>
  <c r="DZ73" i="7"/>
  <c r="EA73" i="7"/>
  <c r="EB73" i="7"/>
  <c r="EC73" i="7"/>
  <c r="ED73" i="7"/>
  <c r="EE73" i="7"/>
  <c r="EF73" i="7"/>
  <c r="EG73" i="7"/>
  <c r="EH73" i="7"/>
  <c r="EI73" i="7"/>
  <c r="EJ73" i="7"/>
  <c r="EK73" i="7"/>
  <c r="EL73" i="7"/>
  <c r="EM73" i="7"/>
  <c r="EN73" i="7"/>
  <c r="EO73" i="7"/>
  <c r="EP73" i="7"/>
  <c r="EQ73" i="7"/>
  <c r="ER73" i="7"/>
  <c r="ES73" i="7"/>
  <c r="ET73" i="7"/>
  <c r="EU73" i="7"/>
  <c r="EV73" i="7"/>
  <c r="EW73" i="7"/>
  <c r="EX73" i="7"/>
  <c r="EY73" i="7"/>
  <c r="EZ73" i="7"/>
  <c r="FA73" i="7"/>
  <c r="FB73" i="7"/>
  <c r="FC73" i="7"/>
  <c r="FD73" i="7"/>
  <c r="FE73" i="7"/>
  <c r="FF73" i="7"/>
  <c r="FG73" i="7"/>
  <c r="FH73" i="7"/>
  <c r="FI73" i="7"/>
  <c r="FJ73" i="7"/>
  <c r="FK73" i="7"/>
  <c r="FL73" i="7"/>
  <c r="FM73" i="7"/>
  <c r="FN73" i="7"/>
  <c r="FO73" i="7"/>
  <c r="FP73" i="7"/>
  <c r="FQ73" i="7"/>
  <c r="FR73" i="7"/>
  <c r="FS73" i="7"/>
  <c r="FT73" i="7"/>
  <c r="FU73" i="7"/>
  <c r="FV73" i="7"/>
  <c r="FW73" i="7"/>
  <c r="FX73" i="7"/>
  <c r="FY73" i="7"/>
  <c r="FZ73" i="7"/>
  <c r="GA73" i="7"/>
  <c r="GB73" i="7"/>
  <c r="GC73" i="7"/>
  <c r="GD73" i="7"/>
  <c r="GE73" i="7"/>
  <c r="GF73" i="7"/>
  <c r="GG73" i="7"/>
  <c r="GH73" i="7"/>
  <c r="GI73" i="7"/>
  <c r="GJ73" i="7"/>
  <c r="GK73" i="7"/>
  <c r="GL73" i="7"/>
  <c r="GM73" i="7"/>
  <c r="GN73" i="7"/>
  <c r="GO73" i="7"/>
  <c r="GP73" i="7"/>
  <c r="GQ73" i="7"/>
  <c r="GR73" i="7"/>
  <c r="GS73" i="7"/>
  <c r="GT73" i="7"/>
  <c r="GU73" i="7"/>
  <c r="GV73" i="7"/>
  <c r="GW73" i="7"/>
  <c r="GX73" i="7"/>
  <c r="GY73" i="7"/>
  <c r="GZ73" i="7"/>
  <c r="HA73" i="7"/>
  <c r="HB73" i="7"/>
  <c r="HC73" i="7"/>
  <c r="HD73" i="7"/>
  <c r="HE73" i="7"/>
  <c r="HF73" i="7"/>
  <c r="HG73" i="7"/>
  <c r="HH73" i="7"/>
  <c r="HI73" i="7"/>
  <c r="HJ73" i="7"/>
  <c r="HK73" i="7"/>
  <c r="HL73" i="7"/>
  <c r="HM73" i="7"/>
  <c r="HN73" i="7"/>
  <c r="HO73" i="7"/>
  <c r="HP73" i="7"/>
  <c r="HQ73" i="7"/>
  <c r="DI65" i="7"/>
  <c r="DI66" i="7"/>
  <c r="DI67" i="7"/>
  <c r="DI68" i="7"/>
  <c r="DI70" i="7"/>
  <c r="DI71" i="7"/>
  <c r="DI72" i="7"/>
  <c r="DI73" i="7"/>
  <c r="DI64" i="7"/>
  <c r="AP70" i="22" l="1"/>
  <c r="AQ70" i="22"/>
  <c r="AR70" i="22"/>
  <c r="AS70" i="22"/>
  <c r="AT70" i="22"/>
  <c r="AU70" i="22"/>
  <c r="AV70" i="22"/>
  <c r="AW70" i="22"/>
  <c r="AX70" i="22"/>
  <c r="AY70" i="22"/>
  <c r="AZ70" i="22"/>
  <c r="AP71" i="22"/>
  <c r="AQ71" i="22"/>
  <c r="AR71" i="22"/>
  <c r="AS71" i="22"/>
  <c r="AT71" i="22"/>
  <c r="AU71" i="22"/>
  <c r="AV71" i="22"/>
  <c r="AW71" i="22"/>
  <c r="AX71" i="22"/>
  <c r="AY71" i="22"/>
  <c r="AZ71" i="22"/>
  <c r="AP72" i="22"/>
  <c r="AQ72" i="22"/>
  <c r="AR72" i="22"/>
  <c r="AS72" i="22"/>
  <c r="AT72" i="22"/>
  <c r="AU72" i="22"/>
  <c r="AV72" i="22"/>
  <c r="AW72" i="22"/>
  <c r="AX72" i="22"/>
  <c r="AY72" i="22"/>
  <c r="AZ72" i="22"/>
  <c r="AP73" i="22"/>
  <c r="AQ73" i="22"/>
  <c r="AR73" i="22"/>
  <c r="AS73" i="22"/>
  <c r="AT73" i="22"/>
  <c r="AU73" i="22"/>
  <c r="AV73" i="22"/>
  <c r="AW73" i="22"/>
  <c r="AX73" i="22"/>
  <c r="AY73" i="22"/>
  <c r="AZ73" i="22"/>
  <c r="AP74" i="22"/>
  <c r="AQ74" i="22"/>
  <c r="AR74" i="22"/>
  <c r="AS74" i="22"/>
  <c r="AT74" i="22"/>
  <c r="AU74" i="22"/>
  <c r="AV74" i="22"/>
  <c r="AW74" i="22"/>
  <c r="AX74" i="22"/>
  <c r="AY74" i="22"/>
  <c r="AZ74" i="22"/>
  <c r="AP75" i="22"/>
  <c r="AQ75" i="22"/>
  <c r="AR75" i="22"/>
  <c r="AS75" i="22"/>
  <c r="AT75" i="22"/>
  <c r="AU75" i="22"/>
  <c r="AV75" i="22"/>
  <c r="AW75" i="22"/>
  <c r="AX75" i="22"/>
  <c r="AY75" i="22"/>
  <c r="AZ75" i="22"/>
  <c r="AP76" i="22"/>
  <c r="AQ76" i="22"/>
  <c r="AR76" i="22"/>
  <c r="AS76" i="22"/>
  <c r="AT76" i="22"/>
  <c r="AU76" i="22"/>
  <c r="AV76" i="22"/>
  <c r="AW76" i="22"/>
  <c r="AX76" i="22"/>
  <c r="AY76" i="22"/>
  <c r="AZ76" i="22"/>
  <c r="AP77" i="22"/>
  <c r="AQ77" i="22"/>
  <c r="AR77" i="22"/>
  <c r="AS77" i="22"/>
  <c r="AT77" i="22"/>
  <c r="AU77" i="22"/>
  <c r="AV77" i="22"/>
  <c r="AW77" i="22"/>
  <c r="AX77" i="22"/>
  <c r="AY77" i="22"/>
  <c r="AZ77" i="22"/>
  <c r="AP78" i="22"/>
  <c r="AQ78" i="22"/>
  <c r="AR78" i="22"/>
  <c r="AS78" i="22"/>
  <c r="AT78" i="22"/>
  <c r="AU78" i="22"/>
  <c r="AV78" i="22"/>
  <c r="AW78" i="22"/>
  <c r="AX78" i="22"/>
  <c r="AY78" i="22"/>
  <c r="AZ78" i="22"/>
  <c r="AP79" i="22"/>
  <c r="AQ79" i="22"/>
  <c r="AR79" i="22"/>
  <c r="AS79" i="22"/>
  <c r="AT79" i="22"/>
  <c r="AU79" i="22"/>
  <c r="AV79" i="22"/>
  <c r="AW79" i="22"/>
  <c r="AX79" i="22"/>
  <c r="AY79" i="22"/>
  <c r="AZ79" i="22"/>
  <c r="AP80" i="22"/>
  <c r="AQ80" i="22"/>
  <c r="AR80" i="22"/>
  <c r="AS80" i="22"/>
  <c r="AT80" i="22"/>
  <c r="AU80" i="22"/>
  <c r="AV80" i="22"/>
  <c r="AW80" i="22"/>
  <c r="AX80" i="22"/>
  <c r="AY80" i="22"/>
  <c r="AZ80" i="22"/>
  <c r="AP81" i="22"/>
  <c r="AQ81" i="22"/>
  <c r="AR81" i="22"/>
  <c r="AS81" i="22"/>
  <c r="AT81" i="22"/>
  <c r="AU81" i="22"/>
  <c r="AV81" i="22"/>
  <c r="AW81" i="22"/>
  <c r="AX81" i="22"/>
  <c r="AY81" i="22"/>
  <c r="AZ81" i="22"/>
  <c r="AP82" i="22"/>
  <c r="AQ82" i="22"/>
  <c r="AR82" i="22"/>
  <c r="AS82" i="22"/>
  <c r="AT82" i="22"/>
  <c r="AU82" i="22"/>
  <c r="AV82" i="22"/>
  <c r="AW82" i="22"/>
  <c r="AX82" i="22"/>
  <c r="AY82" i="22"/>
  <c r="AZ82" i="22"/>
  <c r="AP83" i="22"/>
  <c r="AQ83" i="22"/>
  <c r="AR83" i="22"/>
  <c r="AS83" i="22"/>
  <c r="AT83" i="22"/>
  <c r="AU83" i="22"/>
  <c r="AV83" i="22"/>
  <c r="AW83" i="22"/>
  <c r="AX83" i="22"/>
  <c r="AY83" i="22"/>
  <c r="AZ83" i="22"/>
  <c r="AP84" i="22"/>
  <c r="AQ84" i="22"/>
  <c r="AR84" i="22"/>
  <c r="AS84" i="22"/>
  <c r="AT84" i="22"/>
  <c r="AU84" i="22"/>
  <c r="AV84" i="22"/>
  <c r="AW84" i="22"/>
  <c r="AX84" i="22"/>
  <c r="AY84" i="22"/>
  <c r="AZ84" i="22"/>
  <c r="AP85" i="22"/>
  <c r="AQ85" i="22"/>
  <c r="AR85" i="22"/>
  <c r="AS85" i="22"/>
  <c r="AT85" i="22"/>
  <c r="AU85" i="22"/>
  <c r="AV85" i="22"/>
  <c r="AW85" i="22"/>
  <c r="AX85" i="22"/>
  <c r="AY85" i="22"/>
  <c r="AZ85" i="22"/>
  <c r="AP86" i="22"/>
  <c r="AQ86" i="22"/>
  <c r="AR86" i="22"/>
  <c r="AS86" i="22"/>
  <c r="AT86" i="22"/>
  <c r="AU86" i="22"/>
  <c r="AV86" i="22"/>
  <c r="AW86" i="22"/>
  <c r="AX86" i="22"/>
  <c r="AY86" i="22"/>
  <c r="AZ86" i="22"/>
  <c r="AP87" i="22"/>
  <c r="AQ87" i="22"/>
  <c r="AR87" i="22"/>
  <c r="AS87" i="22"/>
  <c r="AT87" i="22"/>
  <c r="AU87" i="22"/>
  <c r="AV87" i="22"/>
  <c r="AW87" i="22"/>
  <c r="AX87" i="22"/>
  <c r="AY87" i="22"/>
  <c r="AZ87" i="22"/>
  <c r="AP88" i="22"/>
  <c r="AQ88" i="22"/>
  <c r="AR88" i="22"/>
  <c r="AS88" i="22"/>
  <c r="AT88" i="22"/>
  <c r="AU88" i="22"/>
  <c r="AV88" i="22"/>
  <c r="AW88" i="22"/>
  <c r="AX88" i="22"/>
  <c r="AY88" i="22"/>
  <c r="AZ88" i="22"/>
  <c r="AP89" i="22"/>
  <c r="AQ89" i="22"/>
  <c r="AR89" i="22"/>
  <c r="AS89" i="22"/>
  <c r="AT89" i="22"/>
  <c r="AU89" i="22"/>
  <c r="AV89" i="22"/>
  <c r="AW89" i="22"/>
  <c r="AX89" i="22"/>
  <c r="AY89" i="22"/>
  <c r="AZ89" i="22"/>
  <c r="AP90" i="22"/>
  <c r="AQ90" i="22"/>
  <c r="AR90" i="22"/>
  <c r="AS90" i="22"/>
  <c r="AT90" i="22"/>
  <c r="AU90" i="22"/>
  <c r="AV90" i="22"/>
  <c r="AW90" i="22"/>
  <c r="AX90" i="22"/>
  <c r="AY90" i="22"/>
  <c r="AZ90" i="22"/>
  <c r="AP91" i="22"/>
  <c r="AQ91" i="22"/>
  <c r="AR91" i="22"/>
  <c r="AS91" i="22"/>
  <c r="AT91" i="22"/>
  <c r="AU91" i="22"/>
  <c r="AV91" i="22"/>
  <c r="AW91" i="22"/>
  <c r="AX91" i="22"/>
  <c r="AY91" i="22"/>
  <c r="AZ91" i="22"/>
  <c r="AP92" i="22"/>
  <c r="AQ92" i="22"/>
  <c r="AR92" i="22"/>
  <c r="AS92" i="22"/>
  <c r="AT92" i="22"/>
  <c r="AU92" i="22"/>
  <c r="AV92" i="22"/>
  <c r="AW92" i="22"/>
  <c r="AX92" i="22"/>
  <c r="AY92" i="22"/>
  <c r="AZ92" i="22"/>
  <c r="AO71" i="22"/>
  <c r="AO72" i="22"/>
  <c r="AO73" i="22"/>
  <c r="AO74" i="22"/>
  <c r="AO75" i="22"/>
  <c r="AO76" i="22"/>
  <c r="AO77" i="22"/>
  <c r="AO78" i="22"/>
  <c r="AO79" i="22"/>
  <c r="AO80" i="22"/>
  <c r="AO81" i="22"/>
  <c r="AO82" i="22"/>
  <c r="AO83" i="22"/>
  <c r="AO84" i="22"/>
  <c r="AO85" i="22"/>
  <c r="AO86" i="22"/>
  <c r="AO87" i="22"/>
  <c r="AO88" i="22"/>
  <c r="AO89" i="22"/>
  <c r="AO90" i="22"/>
  <c r="AO91" i="22"/>
  <c r="AO92" i="22"/>
  <c r="AO70" i="22"/>
  <c r="EK12" i="21"/>
  <c r="EL12" i="21"/>
  <c r="EM12" i="21"/>
  <c r="EJ12" i="21"/>
  <c r="EI12" i="21"/>
  <c r="EH12" i="21"/>
  <c r="EG12" i="21"/>
  <c r="J188" i="4"/>
  <c r="M36" i="22" l="1"/>
  <c r="N36" i="22"/>
  <c r="O36" i="22"/>
  <c r="P36" i="22"/>
  <c r="Q36" i="22"/>
  <c r="R36" i="22"/>
  <c r="S36" i="22"/>
  <c r="T36" i="22"/>
  <c r="U36" i="22"/>
  <c r="V36" i="22"/>
  <c r="W36" i="22"/>
  <c r="X36" i="22"/>
  <c r="M37" i="22"/>
  <c r="N37" i="22"/>
  <c r="O37" i="22"/>
  <c r="P37" i="22"/>
  <c r="Q37" i="22"/>
  <c r="R37" i="22"/>
  <c r="S37" i="22"/>
  <c r="T37" i="22"/>
  <c r="U37" i="22"/>
  <c r="V37" i="22"/>
  <c r="W37" i="22"/>
  <c r="X37" i="22"/>
  <c r="M38" i="22"/>
  <c r="N38" i="22"/>
  <c r="O38" i="22"/>
  <c r="P38" i="22"/>
  <c r="Q38" i="22"/>
  <c r="R38" i="22"/>
  <c r="S38" i="22"/>
  <c r="T38" i="22"/>
  <c r="U38" i="22"/>
  <c r="V38" i="22"/>
  <c r="W38" i="22"/>
  <c r="X38" i="22"/>
  <c r="M39" i="22"/>
  <c r="N39" i="22"/>
  <c r="O39" i="22"/>
  <c r="P39" i="22"/>
  <c r="Q39" i="22"/>
  <c r="R39" i="22"/>
  <c r="S39" i="22"/>
  <c r="T39" i="22"/>
  <c r="U39" i="22"/>
  <c r="V39" i="22"/>
  <c r="W39" i="22"/>
  <c r="X39" i="22"/>
  <c r="M40" i="22"/>
  <c r="N40" i="22"/>
  <c r="O40" i="22"/>
  <c r="P40" i="22"/>
  <c r="Q40" i="22"/>
  <c r="R40" i="22"/>
  <c r="S40" i="22"/>
  <c r="T40" i="22"/>
  <c r="U40" i="22"/>
  <c r="V40" i="22"/>
  <c r="W40" i="22"/>
  <c r="X40" i="22"/>
  <c r="M41" i="22"/>
  <c r="N41" i="22"/>
  <c r="O41" i="22"/>
  <c r="P41" i="22"/>
  <c r="Q41" i="22"/>
  <c r="R41" i="22"/>
  <c r="S41" i="22"/>
  <c r="T41" i="22"/>
  <c r="U41" i="22"/>
  <c r="V41" i="22"/>
  <c r="W41" i="22"/>
  <c r="X41" i="22"/>
  <c r="M42" i="22"/>
  <c r="N42" i="22"/>
  <c r="O42" i="22"/>
  <c r="P42" i="22"/>
  <c r="Q42" i="22"/>
  <c r="R42" i="22"/>
  <c r="S42" i="22"/>
  <c r="T42" i="22"/>
  <c r="U42" i="22"/>
  <c r="V42" i="22"/>
  <c r="W42" i="22"/>
  <c r="X42" i="22"/>
  <c r="M43" i="22"/>
  <c r="N43" i="22"/>
  <c r="O43" i="22"/>
  <c r="P43" i="22"/>
  <c r="Q43" i="22"/>
  <c r="R43" i="22"/>
  <c r="S43" i="22"/>
  <c r="T43" i="22"/>
  <c r="U43" i="22"/>
  <c r="V43" i="22"/>
  <c r="W43" i="22"/>
  <c r="X43" i="22"/>
  <c r="M44" i="22"/>
  <c r="N44" i="22"/>
  <c r="O44" i="22"/>
  <c r="P44" i="22"/>
  <c r="Q44" i="22"/>
  <c r="R44" i="22"/>
  <c r="S44" i="22"/>
  <c r="T44" i="22"/>
  <c r="U44" i="22"/>
  <c r="V44" i="22"/>
  <c r="W44" i="22"/>
  <c r="X44" i="22"/>
  <c r="M45" i="22"/>
  <c r="N45" i="22"/>
  <c r="O45" i="22"/>
  <c r="P45" i="22"/>
  <c r="Q45" i="22"/>
  <c r="R45" i="22"/>
  <c r="S45" i="22"/>
  <c r="T45" i="22"/>
  <c r="U45" i="22"/>
  <c r="V45" i="22"/>
  <c r="W45" i="22"/>
  <c r="X45" i="22"/>
  <c r="M46" i="22"/>
  <c r="N46" i="22"/>
  <c r="O46" i="22"/>
  <c r="P46" i="22"/>
  <c r="Q46" i="22"/>
  <c r="R46" i="22"/>
  <c r="S46" i="22"/>
  <c r="T46" i="22"/>
  <c r="U46" i="22"/>
  <c r="V46" i="22"/>
  <c r="W46" i="22"/>
  <c r="X46" i="22"/>
  <c r="M47" i="22"/>
  <c r="N47" i="22"/>
  <c r="O47" i="22"/>
  <c r="P47" i="22"/>
  <c r="Q47" i="22"/>
  <c r="R47" i="22"/>
  <c r="S47" i="22"/>
  <c r="T47" i="22"/>
  <c r="U47" i="22"/>
  <c r="V47" i="22"/>
  <c r="W47" i="22"/>
  <c r="X47" i="22"/>
  <c r="M48" i="22"/>
  <c r="N48" i="22"/>
  <c r="O48" i="22"/>
  <c r="P48" i="22"/>
  <c r="Q48" i="22"/>
  <c r="R48" i="22"/>
  <c r="S48" i="22"/>
  <c r="T48" i="22"/>
  <c r="U48" i="22"/>
  <c r="V48" i="22"/>
  <c r="W48" i="22"/>
  <c r="X48" i="22"/>
  <c r="M49" i="22"/>
  <c r="N49" i="22"/>
  <c r="O49" i="22"/>
  <c r="P49" i="22"/>
  <c r="Q49" i="22"/>
  <c r="R49" i="22"/>
  <c r="S49" i="22"/>
  <c r="T49" i="22"/>
  <c r="U49" i="22"/>
  <c r="V49" i="22"/>
  <c r="W49" i="22"/>
  <c r="X49" i="22"/>
  <c r="M50" i="22"/>
  <c r="N50" i="22"/>
  <c r="O50" i="22"/>
  <c r="P50" i="22"/>
  <c r="Q50" i="22"/>
  <c r="R50" i="22"/>
  <c r="S50" i="22"/>
  <c r="T50" i="22"/>
  <c r="U50" i="22"/>
  <c r="V50" i="22"/>
  <c r="W50" i="22"/>
  <c r="X50" i="22"/>
  <c r="M51" i="22"/>
  <c r="N51" i="22"/>
  <c r="O51" i="22"/>
  <c r="P51" i="22"/>
  <c r="Q51" i="22"/>
  <c r="R51" i="22"/>
  <c r="S51" i="22"/>
  <c r="T51" i="22"/>
  <c r="U51" i="22"/>
  <c r="V51" i="22"/>
  <c r="W51" i="22"/>
  <c r="X51" i="22"/>
  <c r="M52" i="22"/>
  <c r="N52" i="22"/>
  <c r="O52" i="22"/>
  <c r="P52" i="22"/>
  <c r="Q52" i="22"/>
  <c r="R52" i="22"/>
  <c r="S52" i="22"/>
  <c r="T52" i="22"/>
  <c r="U52" i="22"/>
  <c r="V52" i="22"/>
  <c r="W52" i="22"/>
  <c r="X52" i="22"/>
  <c r="M53" i="22"/>
  <c r="N53" i="22"/>
  <c r="O53" i="22"/>
  <c r="P53" i="22"/>
  <c r="Q53" i="22"/>
  <c r="R53" i="22"/>
  <c r="S53" i="22"/>
  <c r="T53" i="22"/>
  <c r="U53" i="22"/>
  <c r="V53" i="22"/>
  <c r="W53" i="22"/>
  <c r="X53" i="22"/>
  <c r="M54" i="22"/>
  <c r="N54" i="22"/>
  <c r="O54" i="22"/>
  <c r="P54" i="22"/>
  <c r="Q54" i="22"/>
  <c r="R54" i="22"/>
  <c r="S54" i="22"/>
  <c r="T54" i="22"/>
  <c r="U54" i="22"/>
  <c r="V54" i="22"/>
  <c r="W54" i="22"/>
  <c r="X54" i="22"/>
  <c r="M55" i="22"/>
  <c r="N55" i="22"/>
  <c r="O55" i="22"/>
  <c r="P55" i="22"/>
  <c r="Q55" i="22"/>
  <c r="R55" i="22"/>
  <c r="S55" i="22"/>
  <c r="T55" i="22"/>
  <c r="U55" i="22"/>
  <c r="V55" i="22"/>
  <c r="W55" i="22"/>
  <c r="X55" i="22"/>
  <c r="M56" i="22"/>
  <c r="N56" i="22"/>
  <c r="O56" i="22"/>
  <c r="P56" i="22"/>
  <c r="Q56" i="22"/>
  <c r="R56" i="22"/>
  <c r="S56" i="22"/>
  <c r="T56" i="22"/>
  <c r="U56" i="22"/>
  <c r="V56" i="22"/>
  <c r="W56" i="22"/>
  <c r="X56" i="22"/>
  <c r="M57" i="22"/>
  <c r="N57" i="22"/>
  <c r="O57" i="22"/>
  <c r="P57" i="22"/>
  <c r="Q57" i="22"/>
  <c r="R57" i="22"/>
  <c r="S57" i="22"/>
  <c r="T57" i="22"/>
  <c r="U57" i="22"/>
  <c r="V57" i="22"/>
  <c r="W57" i="22"/>
  <c r="X57" i="22"/>
  <c r="M58" i="22"/>
  <c r="N58" i="22"/>
  <c r="O58" i="22"/>
  <c r="P58" i="22"/>
  <c r="Q58" i="22"/>
  <c r="R58" i="22"/>
  <c r="S58" i="22"/>
  <c r="T58" i="22"/>
  <c r="U58" i="22"/>
  <c r="V58" i="22"/>
  <c r="W58" i="22"/>
  <c r="X58" i="22"/>
  <c r="M59" i="22"/>
  <c r="N59" i="22"/>
  <c r="O59" i="22"/>
  <c r="P59" i="22"/>
  <c r="Q59" i="22"/>
  <c r="R59" i="22"/>
  <c r="S59" i="22"/>
  <c r="T59" i="22"/>
  <c r="U59" i="22"/>
  <c r="V59" i="22"/>
  <c r="W59" i="22"/>
  <c r="X59" i="22"/>
  <c r="M60" i="22"/>
  <c r="N60" i="22"/>
  <c r="O60" i="22"/>
  <c r="P60" i="22"/>
  <c r="Q60" i="22"/>
  <c r="R60" i="22"/>
  <c r="S60" i="22"/>
  <c r="T60" i="22"/>
  <c r="U60" i="22"/>
  <c r="V60" i="22"/>
  <c r="W60" i="22"/>
  <c r="X60" i="22"/>
  <c r="M61" i="22"/>
  <c r="N61" i="22"/>
  <c r="O61" i="22"/>
  <c r="P61" i="22"/>
  <c r="Q61" i="22"/>
  <c r="R61" i="22"/>
  <c r="S61" i="22"/>
  <c r="T61" i="22"/>
  <c r="U61" i="22"/>
  <c r="V61" i="22"/>
  <c r="W61" i="22"/>
  <c r="X61" i="22"/>
  <c r="M62" i="22"/>
  <c r="N62" i="22"/>
  <c r="O62" i="22"/>
  <c r="P62" i="22"/>
  <c r="Q62" i="22"/>
  <c r="R62" i="22"/>
  <c r="S62" i="22"/>
  <c r="T62" i="22"/>
  <c r="U62" i="22"/>
  <c r="V62" i="22"/>
  <c r="W62" i="22"/>
  <c r="X62" i="22"/>
  <c r="M63" i="22"/>
  <c r="N63" i="22"/>
  <c r="O63" i="22"/>
  <c r="P63" i="22"/>
  <c r="Q63" i="22"/>
  <c r="R63" i="22"/>
  <c r="S63" i="22"/>
  <c r="T63" i="22"/>
  <c r="U63" i="22"/>
  <c r="V63" i="22"/>
  <c r="W63" i="22"/>
  <c r="X63" i="22"/>
  <c r="M64" i="22"/>
  <c r="N64" i="22"/>
  <c r="O64" i="22"/>
  <c r="P64" i="22"/>
  <c r="Q64" i="22"/>
  <c r="R64" i="22"/>
  <c r="S64" i="22"/>
  <c r="T64" i="22"/>
  <c r="U64" i="22"/>
  <c r="V64" i="22"/>
  <c r="W64" i="22"/>
  <c r="X64" i="22"/>
  <c r="M65" i="22"/>
  <c r="N65" i="22"/>
  <c r="O65" i="22"/>
  <c r="P65" i="22"/>
  <c r="Q65" i="22"/>
  <c r="R65" i="22"/>
  <c r="S65" i="22"/>
  <c r="T65" i="22"/>
  <c r="U65" i="22"/>
  <c r="V65" i="22"/>
  <c r="W65" i="22"/>
  <c r="X65" i="22"/>
  <c r="L66" i="22"/>
  <c r="L37" i="22"/>
  <c r="L38" i="22"/>
  <c r="L39" i="22"/>
  <c r="L40" i="22"/>
  <c r="L41" i="22"/>
  <c r="L42" i="22"/>
  <c r="L43" i="22"/>
  <c r="L44" i="22"/>
  <c r="L45" i="22"/>
  <c r="L46" i="22"/>
  <c r="L47" i="22"/>
  <c r="L48" i="22"/>
  <c r="L49" i="22"/>
  <c r="L50" i="22"/>
  <c r="L51" i="22"/>
  <c r="L52" i="22"/>
  <c r="L53" i="22"/>
  <c r="L54" i="22"/>
  <c r="L55" i="22"/>
  <c r="L56" i="22"/>
  <c r="L57" i="22"/>
  <c r="L58" i="22"/>
  <c r="L59" i="22"/>
  <c r="L60" i="22"/>
  <c r="L61" i="22"/>
  <c r="L62" i="22"/>
  <c r="L63" i="22"/>
  <c r="L64" i="22"/>
  <c r="L65" i="22"/>
  <c r="L36" i="22"/>
  <c r="M7" i="22"/>
  <c r="N7" i="22"/>
  <c r="O7" i="22"/>
  <c r="P7" i="22"/>
  <c r="Q7" i="22"/>
  <c r="R7" i="22"/>
  <c r="S7" i="22"/>
  <c r="T7" i="22"/>
  <c r="U7" i="22"/>
  <c r="V7" i="22"/>
  <c r="W7" i="22"/>
  <c r="X7" i="22"/>
  <c r="M8" i="22"/>
  <c r="N8" i="22"/>
  <c r="O8" i="22"/>
  <c r="P8" i="22"/>
  <c r="Q8" i="22"/>
  <c r="R8" i="22"/>
  <c r="S8" i="22"/>
  <c r="T8" i="22"/>
  <c r="U8" i="22"/>
  <c r="V8" i="22"/>
  <c r="W8" i="22"/>
  <c r="X8" i="22"/>
  <c r="M9" i="22"/>
  <c r="N9" i="22"/>
  <c r="O9" i="22"/>
  <c r="P9" i="22"/>
  <c r="Q9" i="22"/>
  <c r="R9" i="22"/>
  <c r="S9" i="22"/>
  <c r="T9" i="22"/>
  <c r="U9" i="22"/>
  <c r="V9" i="22"/>
  <c r="W9" i="22"/>
  <c r="X9" i="22"/>
  <c r="M10" i="22"/>
  <c r="N10" i="22"/>
  <c r="O10" i="22"/>
  <c r="P10" i="22"/>
  <c r="Q10" i="22"/>
  <c r="R10" i="22"/>
  <c r="S10" i="22"/>
  <c r="T10" i="22"/>
  <c r="U10" i="22"/>
  <c r="V10" i="22"/>
  <c r="W10" i="22"/>
  <c r="X10" i="22"/>
  <c r="M11" i="22"/>
  <c r="N11" i="22"/>
  <c r="O11" i="22"/>
  <c r="P11" i="22"/>
  <c r="Q11" i="22"/>
  <c r="R11" i="22"/>
  <c r="S11" i="22"/>
  <c r="T11" i="22"/>
  <c r="U11" i="22"/>
  <c r="V11" i="22"/>
  <c r="W11" i="22"/>
  <c r="X11" i="22"/>
  <c r="M12" i="22"/>
  <c r="N12" i="22"/>
  <c r="O12" i="22"/>
  <c r="P12" i="22"/>
  <c r="Q12" i="22"/>
  <c r="R12" i="22"/>
  <c r="S12" i="22"/>
  <c r="T12" i="22"/>
  <c r="U12" i="22"/>
  <c r="V12" i="22"/>
  <c r="W12" i="22"/>
  <c r="X12" i="22"/>
  <c r="M13" i="22"/>
  <c r="N13" i="22"/>
  <c r="O13" i="22"/>
  <c r="P13" i="22"/>
  <c r="Q13" i="22"/>
  <c r="R13" i="22"/>
  <c r="S13" i="22"/>
  <c r="T13" i="22"/>
  <c r="U13" i="22"/>
  <c r="V13" i="22"/>
  <c r="W13" i="22"/>
  <c r="X13" i="22"/>
  <c r="M14" i="22"/>
  <c r="N14" i="22"/>
  <c r="O14" i="22"/>
  <c r="P14" i="22"/>
  <c r="Q14" i="22"/>
  <c r="R14" i="22"/>
  <c r="S14" i="22"/>
  <c r="T14" i="22"/>
  <c r="U14" i="22"/>
  <c r="V14" i="22"/>
  <c r="W14" i="22"/>
  <c r="X14" i="22"/>
  <c r="M15" i="22"/>
  <c r="N15" i="22"/>
  <c r="O15" i="22"/>
  <c r="P15" i="22"/>
  <c r="Q15" i="22"/>
  <c r="R15" i="22"/>
  <c r="S15" i="22"/>
  <c r="T15" i="22"/>
  <c r="U15" i="22"/>
  <c r="V15" i="22"/>
  <c r="W15" i="22"/>
  <c r="X15" i="22"/>
  <c r="M16" i="22"/>
  <c r="N16" i="22"/>
  <c r="O16" i="22"/>
  <c r="P16" i="22"/>
  <c r="Q16" i="22"/>
  <c r="R16" i="22"/>
  <c r="S16" i="22"/>
  <c r="T16" i="22"/>
  <c r="U16" i="22"/>
  <c r="V16" i="22"/>
  <c r="W16" i="22"/>
  <c r="X16" i="22"/>
  <c r="M17" i="22"/>
  <c r="N17" i="22"/>
  <c r="O17" i="22"/>
  <c r="P17" i="22"/>
  <c r="Q17" i="22"/>
  <c r="R17" i="22"/>
  <c r="S17" i="22"/>
  <c r="T17" i="22"/>
  <c r="U17" i="22"/>
  <c r="V17" i="22"/>
  <c r="W17" i="22"/>
  <c r="X17" i="22"/>
  <c r="M18" i="22"/>
  <c r="N18" i="22"/>
  <c r="O18" i="22"/>
  <c r="P18" i="22"/>
  <c r="Q18" i="22"/>
  <c r="R18" i="22"/>
  <c r="S18" i="22"/>
  <c r="T18" i="22"/>
  <c r="U18" i="22"/>
  <c r="V18" i="22"/>
  <c r="W18" i="22"/>
  <c r="X18" i="22"/>
  <c r="M19" i="22"/>
  <c r="N19" i="22"/>
  <c r="O19" i="22"/>
  <c r="P19" i="22"/>
  <c r="Q19" i="22"/>
  <c r="R19" i="22"/>
  <c r="S19" i="22"/>
  <c r="T19" i="22"/>
  <c r="U19" i="22"/>
  <c r="V19" i="22"/>
  <c r="W19" i="22"/>
  <c r="X19" i="22"/>
  <c r="M20" i="22"/>
  <c r="N20" i="22"/>
  <c r="O20" i="22"/>
  <c r="P20" i="22"/>
  <c r="Q20" i="22"/>
  <c r="R20" i="22"/>
  <c r="S20" i="22"/>
  <c r="T20" i="22"/>
  <c r="U20" i="22"/>
  <c r="V20" i="22"/>
  <c r="W20" i="22"/>
  <c r="X20" i="22"/>
  <c r="M21" i="22"/>
  <c r="N21" i="22"/>
  <c r="O21" i="22"/>
  <c r="P21" i="22"/>
  <c r="Q21" i="22"/>
  <c r="R21" i="22"/>
  <c r="S21" i="22"/>
  <c r="T21" i="22"/>
  <c r="U21" i="22"/>
  <c r="V21" i="22"/>
  <c r="W21" i="22"/>
  <c r="X21" i="22"/>
  <c r="M22" i="22"/>
  <c r="N22" i="22"/>
  <c r="O22" i="22"/>
  <c r="P22" i="22"/>
  <c r="Q22" i="22"/>
  <c r="R22" i="22"/>
  <c r="S22" i="22"/>
  <c r="T22" i="22"/>
  <c r="U22" i="22"/>
  <c r="V22" i="22"/>
  <c r="W22" i="22"/>
  <c r="X22" i="22"/>
  <c r="M23" i="22"/>
  <c r="N23" i="22"/>
  <c r="O23" i="22"/>
  <c r="P23" i="22"/>
  <c r="Q23" i="22"/>
  <c r="R23" i="22"/>
  <c r="S23" i="22"/>
  <c r="T23" i="22"/>
  <c r="U23" i="22"/>
  <c r="V23" i="22"/>
  <c r="W23" i="22"/>
  <c r="X23" i="22"/>
  <c r="M24" i="22"/>
  <c r="N24" i="22"/>
  <c r="O24" i="22"/>
  <c r="P24" i="22"/>
  <c r="Q24" i="22"/>
  <c r="R24" i="22"/>
  <c r="S24" i="22"/>
  <c r="T24" i="22"/>
  <c r="U24" i="22"/>
  <c r="V24" i="22"/>
  <c r="W24" i="22"/>
  <c r="X24" i="22"/>
  <c r="M25" i="22"/>
  <c r="N25" i="22"/>
  <c r="O25" i="22"/>
  <c r="P25" i="22"/>
  <c r="Q25" i="22"/>
  <c r="R25" i="22"/>
  <c r="S25" i="22"/>
  <c r="T25" i="22"/>
  <c r="U25" i="22"/>
  <c r="V25" i="22"/>
  <c r="W25" i="22"/>
  <c r="X25" i="22"/>
  <c r="M26" i="22"/>
  <c r="N26" i="22"/>
  <c r="O26" i="22"/>
  <c r="P26" i="22"/>
  <c r="Q26" i="22"/>
  <c r="R26" i="22"/>
  <c r="S26" i="22"/>
  <c r="T26" i="22"/>
  <c r="U26" i="22"/>
  <c r="V26" i="22"/>
  <c r="W26" i="22"/>
  <c r="X26" i="22"/>
  <c r="M27" i="22"/>
  <c r="N27" i="22"/>
  <c r="O27" i="22"/>
  <c r="P27" i="22"/>
  <c r="Q27" i="22"/>
  <c r="R27" i="22"/>
  <c r="S27" i="22"/>
  <c r="T27" i="22"/>
  <c r="U27" i="22"/>
  <c r="V27" i="22"/>
  <c r="W27" i="22"/>
  <c r="X27" i="22"/>
  <c r="M28" i="22"/>
  <c r="N28" i="22"/>
  <c r="O28" i="22"/>
  <c r="P28" i="22"/>
  <c r="Q28" i="22"/>
  <c r="R28" i="22"/>
  <c r="S28" i="22"/>
  <c r="T28" i="22"/>
  <c r="U28" i="22"/>
  <c r="V28" i="22"/>
  <c r="W28" i="22"/>
  <c r="X28" i="22"/>
  <c r="M29" i="22"/>
  <c r="N124" i="22" s="1"/>
  <c r="N29" i="22"/>
  <c r="O124" i="22" s="1"/>
  <c r="O29" i="22"/>
  <c r="P124" i="22" s="1"/>
  <c r="P29" i="22"/>
  <c r="Q124" i="22" s="1"/>
  <c r="Q29" i="22"/>
  <c r="R124" i="22" s="1"/>
  <c r="R29" i="22"/>
  <c r="S124" i="22" s="1"/>
  <c r="S29" i="22"/>
  <c r="T124" i="22" s="1"/>
  <c r="T29" i="22"/>
  <c r="U124" i="22" s="1"/>
  <c r="U29" i="22"/>
  <c r="V124" i="22" s="1"/>
  <c r="V29" i="22"/>
  <c r="W124" i="22" s="1"/>
  <c r="W29" i="22"/>
  <c r="X124" i="22" s="1"/>
  <c r="X29" i="22"/>
  <c r="Y124" i="22" s="1"/>
  <c r="L8" i="22"/>
  <c r="L9" i="22"/>
  <c r="L10" i="22"/>
  <c r="L11" i="22"/>
  <c r="L12" i="22"/>
  <c r="L13" i="22"/>
  <c r="L14" i="22"/>
  <c r="L15" i="22"/>
  <c r="L16" i="22"/>
  <c r="L17" i="22"/>
  <c r="L18" i="22"/>
  <c r="L19" i="22"/>
  <c r="L20" i="22"/>
  <c r="L21" i="22"/>
  <c r="L22" i="22"/>
  <c r="L23" i="22"/>
  <c r="L24" i="22"/>
  <c r="L25" i="22"/>
  <c r="L26" i="22"/>
  <c r="L27" i="22"/>
  <c r="L28" i="22"/>
  <c r="L29" i="22"/>
  <c r="M124" i="22" s="1"/>
  <c r="L7" i="22"/>
  <c r="M121" i="22" l="1"/>
  <c r="M113" i="22"/>
  <c r="M105" i="22"/>
  <c r="M102" i="22"/>
  <c r="M117" i="22"/>
  <c r="M109" i="22"/>
  <c r="V92" i="22"/>
  <c r="N92" i="22"/>
  <c r="R91" i="22"/>
  <c r="V90" i="22"/>
  <c r="N90" i="22"/>
  <c r="R89" i="22"/>
  <c r="V88" i="22"/>
  <c r="N88" i="22"/>
  <c r="R87" i="22"/>
  <c r="V86" i="22"/>
  <c r="N86" i="22"/>
  <c r="R85" i="22"/>
  <c r="V84" i="22"/>
  <c r="N84" i="22"/>
  <c r="R83" i="22"/>
  <c r="V82" i="22"/>
  <c r="N82" i="22"/>
  <c r="R81" i="22"/>
  <c r="V80" i="22"/>
  <c r="N80" i="22"/>
  <c r="R79" i="22"/>
  <c r="V78" i="22"/>
  <c r="N78" i="22"/>
  <c r="R77" i="22"/>
  <c r="V76" i="22"/>
  <c r="N76" i="22"/>
  <c r="R75" i="22"/>
  <c r="V74" i="22"/>
  <c r="N74" i="22"/>
  <c r="R73" i="22"/>
  <c r="V72" i="22"/>
  <c r="N72" i="22"/>
  <c r="R71" i="22"/>
  <c r="V70" i="22"/>
  <c r="N70" i="22"/>
  <c r="R92" i="22"/>
  <c r="V91" i="22"/>
  <c r="N91" i="22"/>
  <c r="R90" i="22"/>
  <c r="V89" i="22"/>
  <c r="N89" i="22"/>
  <c r="R88" i="22"/>
  <c r="V87" i="22"/>
  <c r="N87" i="22"/>
  <c r="R86" i="22"/>
  <c r="V85" i="22"/>
  <c r="N85" i="22"/>
  <c r="R84" i="22"/>
  <c r="V83" i="22"/>
  <c r="N83" i="22"/>
  <c r="R82" i="22"/>
  <c r="V81" i="22"/>
  <c r="N81" i="22"/>
  <c r="R80" i="22"/>
  <c r="V79" i="22"/>
  <c r="N79" i="22"/>
  <c r="R78" i="22"/>
  <c r="V77" i="22"/>
  <c r="N77" i="22"/>
  <c r="R76" i="22"/>
  <c r="V75" i="22"/>
  <c r="N75" i="22"/>
  <c r="R74" i="22"/>
  <c r="V73" i="22"/>
  <c r="N73" i="22"/>
  <c r="R72" i="22"/>
  <c r="V71" i="22"/>
  <c r="N71" i="22"/>
  <c r="R70" i="22"/>
  <c r="S123" i="22"/>
  <c r="W119" i="22"/>
  <c r="U92" i="22"/>
  <c r="Q92" i="22"/>
  <c r="M92" i="22"/>
  <c r="U91" i="22"/>
  <c r="Q91" i="22"/>
  <c r="U90" i="22"/>
  <c r="Q90" i="22"/>
  <c r="M90" i="22"/>
  <c r="U89" i="22"/>
  <c r="Q89" i="22"/>
  <c r="U88" i="22"/>
  <c r="Q88" i="22"/>
  <c r="U87" i="22"/>
  <c r="Q87" i="22"/>
  <c r="U86" i="22"/>
  <c r="Q86" i="22"/>
  <c r="U85" i="22"/>
  <c r="Q85" i="22"/>
  <c r="U84" i="22"/>
  <c r="Q84" i="22"/>
  <c r="U83" i="22"/>
  <c r="Q83" i="22"/>
  <c r="U82" i="22"/>
  <c r="Q82" i="22"/>
  <c r="U81" i="22"/>
  <c r="Q81" i="22"/>
  <c r="U80" i="22"/>
  <c r="Q80" i="22"/>
  <c r="U79" i="22"/>
  <c r="Q79" i="22"/>
  <c r="U78" i="22"/>
  <c r="Q78" i="22"/>
  <c r="U77" i="22"/>
  <c r="Q77" i="22"/>
  <c r="U76" i="22"/>
  <c r="Q76" i="22"/>
  <c r="U75" i="22"/>
  <c r="Q75" i="22"/>
  <c r="U74" i="22"/>
  <c r="Q74" i="22"/>
  <c r="U73" i="22"/>
  <c r="Q73" i="22"/>
  <c r="U72" i="22"/>
  <c r="Q72" i="22"/>
  <c r="U71" i="22"/>
  <c r="Q71" i="22"/>
  <c r="U70" i="22"/>
  <c r="Q70" i="22"/>
  <c r="X123" i="22"/>
  <c r="T123" i="22"/>
  <c r="X122" i="22"/>
  <c r="P122" i="22"/>
  <c r="T121" i="22"/>
  <c r="X120" i="22"/>
  <c r="P120" i="22"/>
  <c r="T119" i="22"/>
  <c r="X118" i="22"/>
  <c r="P118" i="22"/>
  <c r="T117" i="22"/>
  <c r="X116" i="22"/>
  <c r="P116" i="22"/>
  <c r="T115" i="22"/>
  <c r="X114" i="22"/>
  <c r="P114" i="22"/>
  <c r="T113" i="22"/>
  <c r="X112" i="22"/>
  <c r="P112" i="22"/>
  <c r="X111" i="22"/>
  <c r="P111" i="22"/>
  <c r="T110" i="22"/>
  <c r="X109" i="22"/>
  <c r="P109" i="22"/>
  <c r="T108" i="22"/>
  <c r="X107" i="22"/>
  <c r="P107" i="22"/>
  <c r="T106" i="22"/>
  <c r="X105" i="22"/>
  <c r="T105" i="22"/>
  <c r="X104" i="22"/>
  <c r="P104" i="22"/>
  <c r="T103" i="22"/>
  <c r="X102" i="22"/>
  <c r="P102" i="22"/>
  <c r="M120" i="22"/>
  <c r="M116" i="22"/>
  <c r="M112" i="22"/>
  <c r="M108" i="22"/>
  <c r="M104" i="22"/>
  <c r="W123" i="22"/>
  <c r="O123" i="22"/>
  <c r="W122" i="22"/>
  <c r="S122" i="22"/>
  <c r="O122" i="22"/>
  <c r="W121" i="22"/>
  <c r="S121" i="22"/>
  <c r="O121" i="22"/>
  <c r="W120" i="22"/>
  <c r="S120" i="22"/>
  <c r="O120" i="22"/>
  <c r="P123" i="22"/>
  <c r="T122" i="22"/>
  <c r="X121" i="22"/>
  <c r="P121" i="22"/>
  <c r="T120" i="22"/>
  <c r="X119" i="22"/>
  <c r="P119" i="22"/>
  <c r="T118" i="22"/>
  <c r="X117" i="22"/>
  <c r="P117" i="22"/>
  <c r="T116" i="22"/>
  <c r="X115" i="22"/>
  <c r="P115" i="22"/>
  <c r="T114" i="22"/>
  <c r="X113" i="22"/>
  <c r="P113" i="22"/>
  <c r="T112" i="22"/>
  <c r="T111" i="22"/>
  <c r="X110" i="22"/>
  <c r="P110" i="22"/>
  <c r="T109" i="22"/>
  <c r="X108" i="22"/>
  <c r="P108" i="22"/>
  <c r="T107" i="22"/>
  <c r="X106" i="22"/>
  <c r="P106" i="22"/>
  <c r="P105" i="22"/>
  <c r="T104" i="22"/>
  <c r="X103" i="22"/>
  <c r="P103" i="22"/>
  <c r="T102" i="22"/>
  <c r="S119" i="22"/>
  <c r="W118" i="22"/>
  <c r="O118" i="22"/>
  <c r="S117" i="22"/>
  <c r="O117" i="22"/>
  <c r="S116" i="22"/>
  <c r="W115" i="22"/>
  <c r="O115" i="22"/>
  <c r="S114" i="22"/>
  <c r="W113" i="22"/>
  <c r="O113" i="22"/>
  <c r="S112" i="22"/>
  <c r="W111" i="22"/>
  <c r="O111" i="22"/>
  <c r="W110" i="22"/>
  <c r="O110" i="22"/>
  <c r="S109" i="22"/>
  <c r="W108" i="22"/>
  <c r="O108" i="22"/>
  <c r="S107" i="22"/>
  <c r="W106" i="22"/>
  <c r="O106" i="22"/>
  <c r="S105" i="22"/>
  <c r="W104" i="22"/>
  <c r="O104" i="22"/>
  <c r="S103" i="22"/>
  <c r="W102" i="22"/>
  <c r="O102" i="22"/>
  <c r="M91" i="22"/>
  <c r="M123" i="22"/>
  <c r="M119" i="22"/>
  <c r="M115" i="22"/>
  <c r="M111" i="22"/>
  <c r="M107" i="22"/>
  <c r="M103" i="22"/>
  <c r="V123" i="22"/>
  <c r="R123" i="22"/>
  <c r="N123" i="22"/>
  <c r="V122" i="22"/>
  <c r="R122" i="22"/>
  <c r="N122" i="22"/>
  <c r="V121" i="22"/>
  <c r="R121" i="22"/>
  <c r="N121" i="22"/>
  <c r="V120" i="22"/>
  <c r="R120" i="22"/>
  <c r="N120" i="22"/>
  <c r="V119" i="22"/>
  <c r="R119" i="22"/>
  <c r="N119" i="22"/>
  <c r="V118" i="22"/>
  <c r="R118" i="22"/>
  <c r="N118" i="22"/>
  <c r="V117" i="22"/>
  <c r="R117" i="22"/>
  <c r="N117" i="22"/>
  <c r="V116" i="22"/>
  <c r="R116" i="22"/>
  <c r="N116" i="22"/>
  <c r="V115" i="22"/>
  <c r="R115" i="22"/>
  <c r="N115" i="22"/>
  <c r="V114" i="22"/>
  <c r="R114" i="22"/>
  <c r="N114" i="22"/>
  <c r="V113" i="22"/>
  <c r="R113" i="22"/>
  <c r="N113" i="22"/>
  <c r="V112" i="22"/>
  <c r="R112" i="22"/>
  <c r="N112" i="22"/>
  <c r="V111" i="22"/>
  <c r="R111" i="22"/>
  <c r="N111" i="22"/>
  <c r="V110" i="22"/>
  <c r="R110" i="22"/>
  <c r="N110" i="22"/>
  <c r="V109" i="22"/>
  <c r="R109" i="22"/>
  <c r="N109" i="22"/>
  <c r="V108" i="22"/>
  <c r="R108" i="22"/>
  <c r="N108" i="22"/>
  <c r="V107" i="22"/>
  <c r="R107" i="22"/>
  <c r="N107" i="22"/>
  <c r="V106" i="22"/>
  <c r="R106" i="22"/>
  <c r="N106" i="22"/>
  <c r="V105" i="22"/>
  <c r="R105" i="22"/>
  <c r="N105" i="22"/>
  <c r="V104" i="22"/>
  <c r="R104" i="22"/>
  <c r="N104" i="22"/>
  <c r="V103" i="22"/>
  <c r="R103" i="22"/>
  <c r="N103" i="22"/>
  <c r="V102" i="22"/>
  <c r="R102" i="22"/>
  <c r="N102" i="22"/>
  <c r="X92" i="22"/>
  <c r="T92" i="22"/>
  <c r="P92" i="22"/>
  <c r="X91" i="22"/>
  <c r="T91" i="22"/>
  <c r="P91" i="22"/>
  <c r="X90" i="22"/>
  <c r="T90" i="22"/>
  <c r="P90" i="22"/>
  <c r="X89" i="22"/>
  <c r="T89" i="22"/>
  <c r="P89" i="22"/>
  <c r="X88" i="22"/>
  <c r="T88" i="22"/>
  <c r="P88" i="22"/>
  <c r="X87" i="22"/>
  <c r="T87" i="22"/>
  <c r="P87" i="22"/>
  <c r="X86" i="22"/>
  <c r="T86" i="22"/>
  <c r="P86" i="22"/>
  <c r="X85" i="22"/>
  <c r="T85" i="22"/>
  <c r="P85" i="22"/>
  <c r="X84" i="22"/>
  <c r="T84" i="22"/>
  <c r="P84" i="22"/>
  <c r="X83" i="22"/>
  <c r="T83" i="22"/>
  <c r="P83" i="22"/>
  <c r="X82" i="22"/>
  <c r="T82" i="22"/>
  <c r="P82" i="22"/>
  <c r="X81" i="22"/>
  <c r="T81" i="22"/>
  <c r="P81" i="22"/>
  <c r="X80" i="22"/>
  <c r="T80" i="22"/>
  <c r="P80" i="22"/>
  <c r="X79" i="22"/>
  <c r="T79" i="22"/>
  <c r="P79" i="22"/>
  <c r="X78" i="22"/>
  <c r="T78" i="22"/>
  <c r="P78" i="22"/>
  <c r="X77" i="22"/>
  <c r="T77" i="22"/>
  <c r="P77" i="22"/>
  <c r="X76" i="22"/>
  <c r="T76" i="22"/>
  <c r="P76" i="22"/>
  <c r="X75" i="22"/>
  <c r="T75" i="22"/>
  <c r="P75" i="22"/>
  <c r="X74" i="22"/>
  <c r="T74" i="22"/>
  <c r="P74" i="22"/>
  <c r="X73" i="22"/>
  <c r="T73" i="22"/>
  <c r="P73" i="22"/>
  <c r="X72" i="22"/>
  <c r="T72" i="22"/>
  <c r="P72" i="22"/>
  <c r="X71" i="22"/>
  <c r="T71" i="22"/>
  <c r="P71" i="22"/>
  <c r="X70" i="22"/>
  <c r="T70" i="22"/>
  <c r="P70" i="22"/>
  <c r="O119" i="22"/>
  <c r="S118" i="22"/>
  <c r="W117" i="22"/>
  <c r="W116" i="22"/>
  <c r="O116" i="22"/>
  <c r="S115" i="22"/>
  <c r="W114" i="22"/>
  <c r="O114" i="22"/>
  <c r="S113" i="22"/>
  <c r="W112" i="22"/>
  <c r="O112" i="22"/>
  <c r="S111" i="22"/>
  <c r="S110" i="22"/>
  <c r="W109" i="22"/>
  <c r="O109" i="22"/>
  <c r="S108" i="22"/>
  <c r="W107" i="22"/>
  <c r="O107" i="22"/>
  <c r="S106" i="22"/>
  <c r="W105" i="22"/>
  <c r="O105" i="22"/>
  <c r="S104" i="22"/>
  <c r="W103" i="22"/>
  <c r="O103" i="22"/>
  <c r="S102" i="22"/>
  <c r="M122" i="22"/>
  <c r="M118" i="22"/>
  <c r="M114" i="22"/>
  <c r="M110" i="22"/>
  <c r="M106" i="22"/>
  <c r="Y123" i="22"/>
  <c r="U123" i="22"/>
  <c r="Q123" i="22"/>
  <c r="Y122" i="22"/>
  <c r="U122" i="22"/>
  <c r="Q122" i="22"/>
  <c r="Y121" i="22"/>
  <c r="U121" i="22"/>
  <c r="Q121" i="22"/>
  <c r="Y120" i="22"/>
  <c r="U120" i="22"/>
  <c r="Q120" i="22"/>
  <c r="Y119" i="22"/>
  <c r="U119" i="22"/>
  <c r="Q119" i="22"/>
  <c r="Y118" i="22"/>
  <c r="U118" i="22"/>
  <c r="Q118" i="22"/>
  <c r="Y117" i="22"/>
  <c r="U117" i="22"/>
  <c r="Q117" i="22"/>
  <c r="Y116" i="22"/>
  <c r="U116" i="22"/>
  <c r="Q116" i="22"/>
  <c r="Y115" i="22"/>
  <c r="U115" i="22"/>
  <c r="Q115" i="22"/>
  <c r="Y114" i="22"/>
  <c r="U114" i="22"/>
  <c r="Q114" i="22"/>
  <c r="Y113" i="22"/>
  <c r="U113" i="22"/>
  <c r="Q113" i="22"/>
  <c r="Y112" i="22"/>
  <c r="U112" i="22"/>
  <c r="Q112" i="22"/>
  <c r="Y111" i="22"/>
  <c r="U111" i="22"/>
  <c r="Q111" i="22"/>
  <c r="Y110" i="22"/>
  <c r="U110" i="22"/>
  <c r="Q110" i="22"/>
  <c r="Y109" i="22"/>
  <c r="U109" i="22"/>
  <c r="Q109" i="22"/>
  <c r="Y108" i="22"/>
  <c r="U108" i="22"/>
  <c r="Q108" i="22"/>
  <c r="Y107" i="22"/>
  <c r="U107" i="22"/>
  <c r="Q107" i="22"/>
  <c r="Y106" i="22"/>
  <c r="U106" i="22"/>
  <c r="Q106" i="22"/>
  <c r="Y105" i="22"/>
  <c r="U105" i="22"/>
  <c r="Q105" i="22"/>
  <c r="Y104" i="22"/>
  <c r="U104" i="22"/>
  <c r="Q104" i="22"/>
  <c r="Y103" i="22"/>
  <c r="U103" i="22"/>
  <c r="Q103" i="22"/>
  <c r="Y102" i="22"/>
  <c r="U102" i="22"/>
  <c r="Q102" i="22"/>
  <c r="W92" i="22"/>
  <c r="S92" i="22"/>
  <c r="O92" i="22"/>
  <c r="W91" i="22"/>
  <c r="S91" i="22"/>
  <c r="O91" i="22"/>
  <c r="W90" i="22"/>
  <c r="S90" i="22"/>
  <c r="O90" i="22"/>
  <c r="W89" i="22"/>
  <c r="S89" i="22"/>
  <c r="O89" i="22"/>
  <c r="W88" i="22"/>
  <c r="S88" i="22"/>
  <c r="O88" i="22"/>
  <c r="W87" i="22"/>
  <c r="S87" i="22"/>
  <c r="O87" i="22"/>
  <c r="W86" i="22"/>
  <c r="S86" i="22"/>
  <c r="O86" i="22"/>
  <c r="W85" i="22"/>
  <c r="S85" i="22"/>
  <c r="O85" i="22"/>
  <c r="W84" i="22"/>
  <c r="S84" i="22"/>
  <c r="O84" i="22"/>
  <c r="W83" i="22"/>
  <c r="S83" i="22"/>
  <c r="O83" i="22"/>
  <c r="W82" i="22"/>
  <c r="S82" i="22"/>
  <c r="O82" i="22"/>
  <c r="W81" i="22"/>
  <c r="S81" i="22"/>
  <c r="O81" i="22"/>
  <c r="W80" i="22"/>
  <c r="S80" i="22"/>
  <c r="O80" i="22"/>
  <c r="W79" i="22"/>
  <c r="S79" i="22"/>
  <c r="O79" i="22"/>
  <c r="W78" i="22"/>
  <c r="S78" i="22"/>
  <c r="O78" i="22"/>
  <c r="W77" i="22"/>
  <c r="S77" i="22"/>
  <c r="O77" i="22"/>
  <c r="W76" i="22"/>
  <c r="S76" i="22"/>
  <c r="O76" i="22"/>
  <c r="W75" i="22"/>
  <c r="S75" i="22"/>
  <c r="O75" i="22"/>
  <c r="W74" i="22"/>
  <c r="S74" i="22"/>
  <c r="O74" i="22"/>
  <c r="W73" i="22"/>
  <c r="S73" i="22"/>
  <c r="O73" i="22"/>
  <c r="W72" i="22"/>
  <c r="S72" i="22"/>
  <c r="O72" i="22"/>
  <c r="W71" i="22"/>
  <c r="S71" i="22"/>
  <c r="O71" i="22"/>
  <c r="W70" i="22"/>
  <c r="S70" i="22"/>
  <c r="O70" i="22"/>
  <c r="M89" i="22"/>
  <c r="M88" i="22"/>
  <c r="M87" i="22"/>
  <c r="M86" i="22"/>
  <c r="M85" i="22"/>
  <c r="M84" i="22"/>
  <c r="M83" i="22"/>
  <c r="M82" i="22"/>
  <c r="M81" i="22"/>
  <c r="M80" i="22"/>
  <c r="M79" i="22"/>
  <c r="M78" i="22"/>
  <c r="M77" i="22"/>
  <c r="M76" i="22"/>
  <c r="M75" i="22"/>
  <c r="M74" i="22"/>
  <c r="M73" i="22"/>
  <c r="M72" i="22"/>
  <c r="M71" i="22"/>
  <c r="M70" i="22"/>
  <c r="CL25" i="21"/>
  <c r="BV25" i="21"/>
  <c r="BW25" i="21"/>
  <c r="BX25" i="21"/>
  <c r="BY25" i="21"/>
  <c r="BZ25" i="21"/>
  <c r="CA25" i="21"/>
  <c r="CB25" i="21"/>
  <c r="CC25" i="21"/>
  <c r="CD25" i="21"/>
  <c r="CE25" i="21"/>
  <c r="CF25" i="21"/>
  <c r="CG25" i="21"/>
  <c r="CH25" i="21"/>
  <c r="CI25" i="21"/>
  <c r="CJ25" i="21"/>
  <c r="CK25" i="21"/>
  <c r="BJ25" i="21"/>
  <c r="BK25" i="21"/>
  <c r="BL25" i="21"/>
  <c r="BM25" i="21"/>
  <c r="BN25" i="21"/>
  <c r="BO25" i="21"/>
  <c r="BP25" i="21"/>
  <c r="BQ25" i="21"/>
  <c r="BR25" i="21"/>
  <c r="BS25" i="21"/>
  <c r="BT25" i="21"/>
  <c r="BU25" i="21"/>
  <c r="AW25" i="21"/>
  <c r="AX25" i="21"/>
  <c r="AY25" i="21"/>
  <c r="AZ25" i="21"/>
  <c r="BA25" i="21"/>
  <c r="BB25" i="21"/>
  <c r="BC25" i="21"/>
  <c r="BD25" i="21"/>
  <c r="BE25" i="21"/>
  <c r="BF25" i="21"/>
  <c r="BG25" i="21"/>
  <c r="BH25" i="21"/>
  <c r="BI25" i="21"/>
  <c r="AR25" i="21"/>
  <c r="AS25" i="21"/>
  <c r="AT25" i="21"/>
  <c r="AU25" i="21"/>
  <c r="AV25" i="21"/>
  <c r="AP25" i="21"/>
  <c r="AQ25" i="21"/>
  <c r="AN25" i="21"/>
  <c r="AO25" i="21"/>
  <c r="AP12" i="21"/>
  <c r="AQ12" i="21"/>
  <c r="AR12" i="21"/>
  <c r="AS12" i="21"/>
  <c r="AT12" i="21"/>
  <c r="AU12" i="21"/>
  <c r="AV12" i="21"/>
  <c r="AW12" i="21"/>
  <c r="AX12" i="21"/>
  <c r="AY12" i="21"/>
  <c r="AZ12" i="21"/>
  <c r="BA12" i="21"/>
  <c r="AN12" i="21"/>
  <c r="AO12" i="21"/>
  <c r="AQ27" i="21" l="1"/>
  <c r="AQ31" i="21" s="1"/>
  <c r="AY27" i="21"/>
  <c r="AY31" i="21" s="1"/>
  <c r="AP27" i="21"/>
  <c r="AP31" i="21" s="1"/>
  <c r="BA27" i="21"/>
  <c r="BA31" i="21" s="1"/>
  <c r="AS27" i="21"/>
  <c r="AS31" i="21" s="1"/>
  <c r="AO27" i="21"/>
  <c r="AO31" i="21" s="1"/>
  <c r="AU27" i="21"/>
  <c r="AU31" i="21" s="1"/>
  <c r="AN27" i="21"/>
  <c r="AN31" i="21" s="1"/>
  <c r="AW27" i="21"/>
  <c r="AW31" i="21" s="1"/>
  <c r="AZ27" i="21"/>
  <c r="AZ31" i="21" s="1"/>
  <c r="AV27" i="21"/>
  <c r="AV31" i="21" s="1"/>
  <c r="AR27" i="21"/>
  <c r="AR31" i="21" s="1"/>
  <c r="AX27" i="21"/>
  <c r="AX31" i="21" s="1"/>
  <c r="AT27" i="21"/>
  <c r="AT31" i="21" s="1"/>
  <c r="F12" i="21"/>
  <c r="H12" i="21"/>
  <c r="I12" i="21"/>
  <c r="J12" i="21"/>
  <c r="K12" i="21"/>
  <c r="L12" i="21"/>
  <c r="M12" i="21"/>
  <c r="N12" i="21"/>
  <c r="O12" i="21"/>
  <c r="P12" i="21"/>
  <c r="Q12" i="21"/>
  <c r="R12" i="21"/>
  <c r="S12" i="21"/>
  <c r="T12" i="21"/>
  <c r="U12" i="21"/>
  <c r="V12" i="21"/>
  <c r="W12" i="21"/>
  <c r="X12" i="21"/>
  <c r="Y12" i="21"/>
  <c r="Z12" i="21"/>
  <c r="AA12" i="21"/>
  <c r="AB12" i="21"/>
  <c r="AC12" i="21"/>
  <c r="AD12" i="21"/>
  <c r="AE12" i="21"/>
  <c r="AF12" i="21"/>
  <c r="AG12" i="21"/>
  <c r="AH12" i="21"/>
  <c r="AI12" i="21"/>
  <c r="AJ12" i="21"/>
  <c r="AK12" i="21"/>
  <c r="AL12" i="21"/>
  <c r="AM12" i="21"/>
  <c r="BB12" i="21"/>
  <c r="BB27" i="21" s="1"/>
  <c r="BB31" i="21" s="1"/>
  <c r="BC12" i="21"/>
  <c r="BC27" i="21" s="1"/>
  <c r="BC31" i="21" s="1"/>
  <c r="BD12" i="21"/>
  <c r="BD27" i="21" s="1"/>
  <c r="BD31" i="21" s="1"/>
  <c r="BE12" i="21"/>
  <c r="BE27" i="21" s="1"/>
  <c r="BE31" i="21" s="1"/>
  <c r="BF12" i="21"/>
  <c r="BF27" i="21" s="1"/>
  <c r="BF31" i="21" s="1"/>
  <c r="BG12" i="21"/>
  <c r="BG27" i="21" s="1"/>
  <c r="BG31" i="21" s="1"/>
  <c r="BH12" i="21"/>
  <c r="BH27" i="21" s="1"/>
  <c r="BH31" i="21" s="1"/>
  <c r="BI12" i="21"/>
  <c r="BI27" i="21" s="1"/>
  <c r="BI31" i="21" s="1"/>
  <c r="BJ12" i="21"/>
  <c r="BJ27" i="21" s="1"/>
  <c r="BJ31" i="21" s="1"/>
  <c r="BK12" i="21"/>
  <c r="BK27" i="21" s="1"/>
  <c r="BK31" i="21" s="1"/>
  <c r="BL12" i="21"/>
  <c r="BL27" i="21" s="1"/>
  <c r="BL31" i="21" s="1"/>
  <c r="BM12" i="21"/>
  <c r="BM27" i="21" s="1"/>
  <c r="BM31" i="21" s="1"/>
  <c r="BN12" i="21"/>
  <c r="BN27" i="21" s="1"/>
  <c r="BN31" i="21" s="1"/>
  <c r="BO12" i="21"/>
  <c r="BO27" i="21" s="1"/>
  <c r="BO31" i="21" s="1"/>
  <c r="BP12" i="21"/>
  <c r="BP27" i="21" s="1"/>
  <c r="BP31" i="21" s="1"/>
  <c r="BQ12" i="21"/>
  <c r="BQ27" i="21" s="1"/>
  <c r="BQ31" i="21" s="1"/>
  <c r="BR12" i="21"/>
  <c r="BR27" i="21" s="1"/>
  <c r="BR31" i="21" s="1"/>
  <c r="BS12" i="21"/>
  <c r="BS27" i="21" s="1"/>
  <c r="BS31" i="21" s="1"/>
  <c r="BT12" i="21"/>
  <c r="BT27" i="21" s="1"/>
  <c r="BT31" i="21" s="1"/>
  <c r="BU12" i="21"/>
  <c r="BU27" i="21" s="1"/>
  <c r="BU31" i="21" s="1"/>
  <c r="BV12" i="21"/>
  <c r="BV27" i="21" s="1"/>
  <c r="BV31" i="21" s="1"/>
  <c r="BW12" i="21"/>
  <c r="BW27" i="21" s="1"/>
  <c r="BW31" i="21" s="1"/>
  <c r="BX12" i="21"/>
  <c r="BX27" i="21" s="1"/>
  <c r="BX31" i="21" s="1"/>
  <c r="BY12" i="21"/>
  <c r="BY27" i="21" s="1"/>
  <c r="BY31" i="21" s="1"/>
  <c r="BZ12" i="21"/>
  <c r="BZ27" i="21" s="1"/>
  <c r="BZ31" i="21" s="1"/>
  <c r="CA12" i="21"/>
  <c r="CA27" i="21" s="1"/>
  <c r="CA31" i="21" s="1"/>
  <c r="CB12" i="21"/>
  <c r="CB27" i="21" s="1"/>
  <c r="CB31" i="21" s="1"/>
  <c r="CC12" i="21"/>
  <c r="CC27" i="21" s="1"/>
  <c r="CC31" i="21" s="1"/>
  <c r="CD12" i="21"/>
  <c r="CD27" i="21" s="1"/>
  <c r="CD31" i="21" s="1"/>
  <c r="CE12" i="21"/>
  <c r="CE27" i="21" s="1"/>
  <c r="CE31" i="21" s="1"/>
  <c r="CF12" i="21"/>
  <c r="CF27" i="21" s="1"/>
  <c r="CF31" i="21" s="1"/>
  <c r="CG12" i="21"/>
  <c r="CG27" i="21" s="1"/>
  <c r="CG31" i="21" s="1"/>
  <c r="CH12" i="21"/>
  <c r="CH27" i="21" s="1"/>
  <c r="CH31" i="21" s="1"/>
  <c r="CI12" i="21"/>
  <c r="CI27" i="21" s="1"/>
  <c r="CI31" i="21" s="1"/>
  <c r="CJ12" i="21"/>
  <c r="CJ27" i="21" s="1"/>
  <c r="CJ31" i="21" s="1"/>
  <c r="CK12" i="21"/>
  <c r="CK27" i="21" s="1"/>
  <c r="CK31" i="21" s="1"/>
  <c r="G12" i="21"/>
  <c r="FE12" i="21"/>
  <c r="FE27" i="21" s="1"/>
  <c r="FE31" i="21" s="1"/>
  <c r="FD12" i="21"/>
  <c r="FD27" i="21" s="1"/>
  <c r="FD31" i="21" s="1"/>
  <c r="FC12" i="21"/>
  <c r="FC27" i="21" s="1"/>
  <c r="FC31" i="21" s="1"/>
  <c r="FB12" i="21"/>
  <c r="FB27" i="21" s="1"/>
  <c r="FB31" i="21" s="1"/>
  <c r="FA12" i="21"/>
  <c r="FA27" i="21" s="1"/>
  <c r="FA31" i="21" s="1"/>
  <c r="EZ12" i="21"/>
  <c r="EZ27" i="21" s="1"/>
  <c r="EZ31" i="21" s="1"/>
  <c r="EY12" i="21"/>
  <c r="EY27" i="21" s="1"/>
  <c r="EY31" i="21" s="1"/>
  <c r="EX12" i="21"/>
  <c r="EX27" i="21" s="1"/>
  <c r="EX31" i="21" s="1"/>
  <c r="EW12" i="21"/>
  <c r="EW27" i="21" s="1"/>
  <c r="EW31" i="21" s="1"/>
  <c r="EV12" i="21"/>
  <c r="EV27" i="21" s="1"/>
  <c r="EV31" i="21" s="1"/>
  <c r="EU12" i="21"/>
  <c r="EU27" i="21" s="1"/>
  <c r="EU31" i="21" s="1"/>
  <c r="ET12" i="21"/>
  <c r="ET27" i="21" s="1"/>
  <c r="ET31" i="21" s="1"/>
  <c r="EG27" i="21"/>
  <c r="EG31" i="21" s="1"/>
  <c r="EF12" i="21"/>
  <c r="EE12" i="21"/>
  <c r="EE27" i="21" s="1"/>
  <c r="EE31" i="21" s="1"/>
  <c r="ED12" i="21"/>
  <c r="ED27" i="21" s="1"/>
  <c r="ED31" i="21" s="1"/>
  <c r="EC12" i="21"/>
  <c r="EC27" i="21" s="1"/>
  <c r="EC31" i="21" s="1"/>
  <c r="EB12" i="21"/>
  <c r="EA12" i="21"/>
  <c r="EA27" i="21" s="1"/>
  <c r="EA31" i="21" s="1"/>
  <c r="DZ12" i="21"/>
  <c r="DZ27" i="21" s="1"/>
  <c r="DZ31" i="21" s="1"/>
  <c r="DY12" i="21"/>
  <c r="DY27" i="21" s="1"/>
  <c r="DY31" i="21" s="1"/>
  <c r="DX12" i="21"/>
  <c r="DX27" i="21" s="1"/>
  <c r="DX31" i="21" s="1"/>
  <c r="DW12" i="21"/>
  <c r="DW27" i="21" s="1"/>
  <c r="DW31" i="21" s="1"/>
  <c r="DV12" i="21"/>
  <c r="DV27" i="21" s="1"/>
  <c r="DV31" i="21" s="1"/>
  <c r="DU25" i="21"/>
  <c r="DT25" i="21"/>
  <c r="DS25" i="21"/>
  <c r="DR25" i="21"/>
  <c r="DQ25" i="21"/>
  <c r="DP25" i="21"/>
  <c r="DO25" i="21"/>
  <c r="DN25" i="21"/>
  <c r="DM25" i="21"/>
  <c r="DL25" i="21"/>
  <c r="DK25" i="21"/>
  <c r="DJ25" i="21"/>
  <c r="DU12" i="21"/>
  <c r="DU27" i="21" s="1"/>
  <c r="DU31" i="21" s="1"/>
  <c r="DT12" i="21"/>
  <c r="DT27" i="21" s="1"/>
  <c r="DT31" i="21" s="1"/>
  <c r="DS12" i="21"/>
  <c r="DR12" i="21"/>
  <c r="DQ12" i="21"/>
  <c r="DP12" i="21"/>
  <c r="DO12" i="21"/>
  <c r="DN12" i="21"/>
  <c r="DM12" i="21"/>
  <c r="DM27" i="21" s="1"/>
  <c r="DM31" i="21" s="1"/>
  <c r="DL12" i="21"/>
  <c r="DL27" i="21" s="1"/>
  <c r="DL31" i="21" s="1"/>
  <c r="DK12" i="21"/>
  <c r="DJ12" i="21"/>
  <c r="DI12" i="21"/>
  <c r="DI27" i="21" s="1"/>
  <c r="DI31" i="21" s="1"/>
  <c r="DH12" i="21"/>
  <c r="DH27" i="21" s="1"/>
  <c r="DH31" i="21" s="1"/>
  <c r="DG12" i="21"/>
  <c r="DG27" i="21" s="1"/>
  <c r="DG31" i="21" s="1"/>
  <c r="DF12" i="21"/>
  <c r="DF27" i="21" s="1"/>
  <c r="DF31" i="21" s="1"/>
  <c r="DE12" i="21"/>
  <c r="DE27" i="21" s="1"/>
  <c r="DE31" i="21" s="1"/>
  <c r="DD12" i="21"/>
  <c r="DD27" i="21" s="1"/>
  <c r="DD31" i="21" s="1"/>
  <c r="DC12" i="21"/>
  <c r="DC27" i="21" s="1"/>
  <c r="DC31" i="21" s="1"/>
  <c r="DB12" i="21"/>
  <c r="DB27" i="21" s="1"/>
  <c r="DB31" i="21" s="1"/>
  <c r="DA12" i="21"/>
  <c r="DA27" i="21" s="1"/>
  <c r="DA31" i="21" s="1"/>
  <c r="CZ12" i="21"/>
  <c r="CZ27" i="21" s="1"/>
  <c r="CZ31" i="21" s="1"/>
  <c r="CY12" i="21"/>
  <c r="CY27" i="21" s="1"/>
  <c r="CY31" i="21" s="1"/>
  <c r="CX12" i="21"/>
  <c r="CX27" i="21" s="1"/>
  <c r="CX31" i="21" s="1"/>
  <c r="CW12" i="21"/>
  <c r="CW27" i="21" s="1"/>
  <c r="CW31" i="21" s="1"/>
  <c r="CV12" i="21"/>
  <c r="CV27" i="21" s="1"/>
  <c r="CV31" i="21" s="1"/>
  <c r="CU12" i="21"/>
  <c r="CU27" i="21" s="1"/>
  <c r="CU31" i="21" s="1"/>
  <c r="CT12" i="21"/>
  <c r="CT27" i="21" s="1"/>
  <c r="CT31" i="21" s="1"/>
  <c r="CS12" i="21"/>
  <c r="CS27" i="21" s="1"/>
  <c r="CS31" i="21" s="1"/>
  <c r="CR12" i="21"/>
  <c r="CR27" i="21" s="1"/>
  <c r="CR31" i="21" s="1"/>
  <c r="CQ12" i="21"/>
  <c r="CQ27" i="21" s="1"/>
  <c r="CQ31" i="21" s="1"/>
  <c r="CP12" i="21"/>
  <c r="CP27" i="21" s="1"/>
  <c r="CP31" i="21" s="1"/>
  <c r="CO12" i="21"/>
  <c r="CO27" i="21" s="1"/>
  <c r="CO31" i="21" s="1"/>
  <c r="CN12" i="21"/>
  <c r="CN27" i="21" s="1"/>
  <c r="CN31" i="21" s="1"/>
  <c r="CM12" i="21"/>
  <c r="CM27" i="21" s="1"/>
  <c r="CM31" i="21" s="1"/>
  <c r="CL12" i="21"/>
  <c r="CL27" i="21" s="1"/>
  <c r="CL31" i="21" s="1"/>
  <c r="CE13" i="21"/>
  <c r="AM25" i="21"/>
  <c r="AL25" i="21"/>
  <c r="AK25" i="21"/>
  <c r="AJ25" i="21"/>
  <c r="AI25" i="21"/>
  <c r="AH25" i="21"/>
  <c r="AG25" i="21"/>
  <c r="AF25" i="21"/>
  <c r="AE25" i="21"/>
  <c r="AD25" i="21"/>
  <c r="AC25" i="21"/>
  <c r="AB25" i="21"/>
  <c r="AA25" i="21"/>
  <c r="Z25" i="21"/>
  <c r="Y25" i="21"/>
  <c r="X25" i="21"/>
  <c r="W25" i="21"/>
  <c r="V25" i="21"/>
  <c r="U25" i="21"/>
  <c r="T25" i="21"/>
  <c r="S25" i="21"/>
  <c r="R25" i="21"/>
  <c r="Q25" i="21"/>
  <c r="P25" i="21"/>
  <c r="O25" i="21"/>
  <c r="N25" i="21"/>
  <c r="M25" i="21"/>
  <c r="L25" i="21"/>
  <c r="K25" i="21"/>
  <c r="J25" i="21"/>
  <c r="I25" i="21"/>
  <c r="H25" i="21"/>
  <c r="G25" i="21"/>
  <c r="F25" i="21"/>
  <c r="DJ27" i="21" l="1"/>
  <c r="DJ31" i="21" s="1"/>
  <c r="DR27" i="21"/>
  <c r="DR31" i="21" s="1"/>
  <c r="DK27" i="21"/>
  <c r="DK31" i="21" s="1"/>
  <c r="DS27" i="21"/>
  <c r="DS31" i="21" s="1"/>
  <c r="AI27" i="21"/>
  <c r="AI31" i="21" s="1"/>
  <c r="AA27" i="21"/>
  <c r="AA31" i="21" s="1"/>
  <c r="S27" i="21"/>
  <c r="S31" i="21" s="1"/>
  <c r="K27" i="21"/>
  <c r="K31" i="21" s="1"/>
  <c r="DP27" i="21"/>
  <c r="DP31" i="21" s="1"/>
  <c r="DQ27" i="21"/>
  <c r="DQ31" i="21" s="1"/>
  <c r="DN27" i="21"/>
  <c r="DN31" i="21" s="1"/>
  <c r="DO27" i="21"/>
  <c r="DO31" i="21" s="1"/>
  <c r="AM27" i="21"/>
  <c r="AM31" i="21" s="1"/>
  <c r="AE27" i="21"/>
  <c r="AE31" i="21" s="1"/>
  <c r="W27" i="21"/>
  <c r="W31" i="21" s="1"/>
  <c r="O27" i="21"/>
  <c r="O31" i="21" s="1"/>
  <c r="G27" i="21"/>
  <c r="G31" i="21" s="1"/>
  <c r="AJ27" i="21"/>
  <c r="AJ31" i="21" s="1"/>
  <c r="AF27" i="21"/>
  <c r="AF31" i="21" s="1"/>
  <c r="AB27" i="21"/>
  <c r="AB31" i="21" s="1"/>
  <c r="X27" i="21"/>
  <c r="X31" i="21" s="1"/>
  <c r="T27" i="21"/>
  <c r="T31" i="21" s="1"/>
  <c r="P27" i="21"/>
  <c r="P31" i="21" s="1"/>
  <c r="L27" i="21"/>
  <c r="L31" i="21" s="1"/>
  <c r="H27" i="21"/>
  <c r="H31" i="21" s="1"/>
  <c r="F27" i="21"/>
  <c r="F31" i="21" s="1"/>
  <c r="AK27" i="21"/>
  <c r="AK31" i="21" s="1"/>
  <c r="AG27" i="21"/>
  <c r="AG31" i="21" s="1"/>
  <c r="AC27" i="21"/>
  <c r="AC31" i="21" s="1"/>
  <c r="Y27" i="21"/>
  <c r="Y31" i="21" s="1"/>
  <c r="U27" i="21"/>
  <c r="U31" i="21" s="1"/>
  <c r="Q27" i="21"/>
  <c r="Q31" i="21" s="1"/>
  <c r="M27" i="21"/>
  <c r="M31" i="21" s="1"/>
  <c r="I27" i="21"/>
  <c r="I31" i="21" s="1"/>
  <c r="AL27" i="21"/>
  <c r="AL31" i="21" s="1"/>
  <c r="AH27" i="21"/>
  <c r="AH31" i="21" s="1"/>
  <c r="AD27" i="21"/>
  <c r="AD31" i="21" s="1"/>
  <c r="Z27" i="21"/>
  <c r="Z31" i="21" s="1"/>
  <c r="V27" i="21"/>
  <c r="V31" i="21" s="1"/>
  <c r="R27" i="21"/>
  <c r="R31" i="21" s="1"/>
  <c r="N27" i="21"/>
  <c r="N31" i="21" s="1"/>
  <c r="J27" i="21"/>
  <c r="J31" i="21" s="1"/>
  <c r="EB27" i="21"/>
  <c r="EB31" i="21" s="1"/>
  <c r="EF27" i="21"/>
  <c r="EF31" i="21" s="1"/>
  <c r="N147" i="12" l="1"/>
  <c r="O147" i="12"/>
  <c r="P147" i="12"/>
  <c r="M147" i="12"/>
  <c r="F141" i="12"/>
  <c r="G141" i="12"/>
  <c r="H141" i="12"/>
  <c r="I141" i="12"/>
  <c r="J141" i="12"/>
  <c r="M118" i="12"/>
  <c r="N118" i="12"/>
  <c r="O118" i="12"/>
  <c r="P118" i="12"/>
  <c r="M104" i="12"/>
  <c r="N104" i="12"/>
  <c r="O104" i="12"/>
  <c r="P104" i="12"/>
  <c r="M105" i="12"/>
  <c r="N105" i="12"/>
  <c r="O105" i="12"/>
  <c r="P105" i="12"/>
  <c r="M106" i="12"/>
  <c r="N106" i="12"/>
  <c r="O106" i="12"/>
  <c r="P106" i="12"/>
  <c r="M107" i="12"/>
  <c r="N107" i="12"/>
  <c r="O107" i="12"/>
  <c r="P107" i="12"/>
  <c r="M108" i="12"/>
  <c r="N108" i="12"/>
  <c r="O108" i="12"/>
  <c r="P108" i="12"/>
  <c r="M109" i="12"/>
  <c r="N109" i="12"/>
  <c r="O109" i="12"/>
  <c r="P109" i="12"/>
  <c r="M110" i="12"/>
  <c r="N110" i="12"/>
  <c r="O110" i="12"/>
  <c r="P110" i="12"/>
  <c r="M111" i="12"/>
  <c r="N111" i="12"/>
  <c r="O111" i="12"/>
  <c r="P111" i="12"/>
  <c r="M112" i="12"/>
  <c r="N112" i="12"/>
  <c r="O112" i="12"/>
  <c r="P112" i="12"/>
  <c r="M113" i="12"/>
  <c r="N113" i="12"/>
  <c r="O113" i="12"/>
  <c r="P113" i="12"/>
  <c r="M114" i="12"/>
  <c r="N114" i="12"/>
  <c r="O114" i="12"/>
  <c r="P114" i="12"/>
  <c r="M115" i="12"/>
  <c r="N115" i="12"/>
  <c r="O115" i="12"/>
  <c r="P115" i="12"/>
  <c r="M116" i="12"/>
  <c r="N116" i="12"/>
  <c r="O116" i="12"/>
  <c r="P116" i="12"/>
  <c r="M117" i="12"/>
  <c r="N117" i="12"/>
  <c r="O117" i="12"/>
  <c r="P117" i="12"/>
  <c r="M103" i="12"/>
  <c r="N103" i="12"/>
  <c r="O103" i="12"/>
  <c r="P103" i="12"/>
  <c r="K304" i="4"/>
  <c r="L304" i="4"/>
  <c r="M304" i="4"/>
  <c r="N304" i="4"/>
  <c r="O304" i="4"/>
  <c r="P304" i="4"/>
  <c r="Q304" i="4"/>
  <c r="R304" i="4"/>
  <c r="S304" i="4"/>
  <c r="T304" i="4"/>
  <c r="U304" i="4"/>
  <c r="V304" i="4"/>
  <c r="W304" i="4"/>
  <c r="X304" i="4"/>
  <c r="Y304" i="4"/>
  <c r="K305" i="4"/>
  <c r="L305" i="4"/>
  <c r="M305" i="4"/>
  <c r="N305" i="4"/>
  <c r="O305" i="4"/>
  <c r="P305" i="4"/>
  <c r="Q305" i="4"/>
  <c r="R305" i="4"/>
  <c r="S305" i="4"/>
  <c r="T305" i="4"/>
  <c r="U305" i="4"/>
  <c r="V305" i="4"/>
  <c r="W305" i="4"/>
  <c r="X305" i="4"/>
  <c r="Y305" i="4"/>
  <c r="K307" i="4"/>
  <c r="L307" i="4"/>
  <c r="M307" i="4"/>
  <c r="N307" i="4"/>
  <c r="O307" i="4"/>
  <c r="P307" i="4"/>
  <c r="Q307" i="4"/>
  <c r="R307" i="4"/>
  <c r="S307" i="4"/>
  <c r="T307" i="4"/>
  <c r="U307" i="4"/>
  <c r="V307" i="4"/>
  <c r="W307" i="4"/>
  <c r="X307" i="4"/>
  <c r="Y307" i="4"/>
  <c r="K308" i="4"/>
  <c r="L308" i="4"/>
  <c r="M308" i="4"/>
  <c r="N308" i="4"/>
  <c r="O308" i="4"/>
  <c r="P308" i="4"/>
  <c r="Q308" i="4"/>
  <c r="R308" i="4"/>
  <c r="S308" i="4"/>
  <c r="T308" i="4"/>
  <c r="U308" i="4"/>
  <c r="V308" i="4"/>
  <c r="W308" i="4"/>
  <c r="X308" i="4"/>
  <c r="Y308" i="4"/>
  <c r="K310" i="4"/>
  <c r="L310" i="4"/>
  <c r="M310" i="4"/>
  <c r="N310" i="4"/>
  <c r="O310" i="4"/>
  <c r="P310" i="4"/>
  <c r="Q310" i="4"/>
  <c r="R310" i="4"/>
  <c r="S310" i="4"/>
  <c r="T310" i="4"/>
  <c r="U310" i="4"/>
  <c r="V310" i="4"/>
  <c r="W310" i="4"/>
  <c r="X310" i="4"/>
  <c r="Y310" i="4"/>
  <c r="K311" i="4"/>
  <c r="L311" i="4"/>
  <c r="M311" i="4"/>
  <c r="N311" i="4"/>
  <c r="O311" i="4"/>
  <c r="P311" i="4"/>
  <c r="Q311" i="4"/>
  <c r="R311" i="4"/>
  <c r="S311" i="4"/>
  <c r="T311" i="4"/>
  <c r="U311" i="4"/>
  <c r="V311" i="4"/>
  <c r="W311" i="4"/>
  <c r="X311" i="4"/>
  <c r="Y311" i="4"/>
  <c r="K313" i="4"/>
  <c r="L313" i="4"/>
  <c r="M313" i="4"/>
  <c r="N313" i="4"/>
  <c r="O313" i="4"/>
  <c r="P313" i="4"/>
  <c r="Q313" i="4"/>
  <c r="R313" i="4"/>
  <c r="S313" i="4"/>
  <c r="T313" i="4"/>
  <c r="U313" i="4"/>
  <c r="V313" i="4"/>
  <c r="W313" i="4"/>
  <c r="X313" i="4"/>
  <c r="Y313" i="4"/>
  <c r="K314" i="4"/>
  <c r="L314" i="4"/>
  <c r="M314" i="4"/>
  <c r="N314" i="4"/>
  <c r="O314" i="4"/>
  <c r="P314" i="4"/>
  <c r="Q314" i="4"/>
  <c r="R314" i="4"/>
  <c r="S314" i="4"/>
  <c r="T314" i="4"/>
  <c r="U314" i="4"/>
  <c r="V314" i="4"/>
  <c r="W314" i="4"/>
  <c r="X314" i="4"/>
  <c r="Y314" i="4"/>
  <c r="J314" i="4"/>
  <c r="J313" i="4"/>
  <c r="J311" i="4"/>
  <c r="J310" i="4"/>
  <c r="J308" i="4"/>
  <c r="J307" i="4"/>
  <c r="J305" i="4"/>
  <c r="J304" i="4"/>
  <c r="AW303" i="4"/>
  <c r="BA303" i="4"/>
  <c r="Y303" i="4" s="1"/>
  <c r="AZ303" i="4"/>
  <c r="AV303" i="4"/>
  <c r="BA312" i="4"/>
  <c r="Y312" i="4" s="1"/>
  <c r="AZ312" i="4"/>
  <c r="AY312" i="4"/>
  <c r="AX312" i="4"/>
  <c r="AW312" i="4"/>
  <c r="AV312" i="4"/>
  <c r="AU312" i="4"/>
  <c r="AT312" i="4"/>
  <c r="AR312" i="4"/>
  <c r="AQ312" i="4"/>
  <c r="AP312" i="4"/>
  <c r="AO312" i="4"/>
  <c r="AN312" i="4"/>
  <c r="AM312" i="4"/>
  <c r="AL312" i="4"/>
  <c r="Y309" i="4"/>
  <c r="AZ309" i="4"/>
  <c r="AY309" i="4"/>
  <c r="AX309" i="4"/>
  <c r="AW309" i="4"/>
  <c r="AV309" i="4"/>
  <c r="AU309" i="4"/>
  <c r="AT309" i="4"/>
  <c r="AR309" i="4"/>
  <c r="AQ309" i="4"/>
  <c r="AP309" i="4"/>
  <c r="AO309" i="4"/>
  <c r="AN309" i="4"/>
  <c r="AM309" i="4"/>
  <c r="AL309" i="4"/>
  <c r="BA306" i="4"/>
  <c r="AZ306" i="4"/>
  <c r="AY306" i="4"/>
  <c r="AX306" i="4"/>
  <c r="AW306" i="4"/>
  <c r="AV306" i="4"/>
  <c r="AU306" i="4"/>
  <c r="AT306" i="4"/>
  <c r="AR306" i="4"/>
  <c r="AQ306" i="4"/>
  <c r="AP306" i="4"/>
  <c r="AO306" i="4"/>
  <c r="AN306" i="4"/>
  <c r="AM306" i="4"/>
  <c r="AL306" i="4"/>
  <c r="AY303" i="4"/>
  <c r="AX303" i="4"/>
  <c r="AU303" i="4"/>
  <c r="AT303" i="4"/>
  <c r="AR303" i="4"/>
  <c r="AQ303" i="4"/>
  <c r="AP303" i="4"/>
  <c r="AO303" i="4"/>
  <c r="AN303" i="4"/>
  <c r="AM303" i="4"/>
  <c r="AL303" i="4"/>
  <c r="J55" i="12"/>
  <c r="K55" i="12"/>
  <c r="L55" i="12"/>
  <c r="M55" i="12"/>
  <c r="N55" i="12"/>
  <c r="O55" i="12"/>
  <c r="P55" i="12"/>
  <c r="Q55" i="12"/>
  <c r="R55" i="12"/>
  <c r="J52" i="12"/>
  <c r="K52" i="12"/>
  <c r="L52" i="12"/>
  <c r="M52" i="12"/>
  <c r="N52" i="12"/>
  <c r="O52" i="12"/>
  <c r="P52" i="12"/>
  <c r="Q52" i="12"/>
  <c r="R52" i="12"/>
  <c r="K49" i="12"/>
  <c r="L49" i="12"/>
  <c r="M49" i="12"/>
  <c r="N49" i="12"/>
  <c r="O49" i="12"/>
  <c r="P49" i="12"/>
  <c r="Q49" i="12"/>
  <c r="R49" i="12"/>
  <c r="J49" i="12"/>
  <c r="L46" i="12"/>
  <c r="M46" i="12"/>
  <c r="N46" i="12"/>
  <c r="O46" i="12"/>
  <c r="P46" i="12"/>
  <c r="Q46" i="12"/>
  <c r="R46" i="12"/>
  <c r="J46" i="12"/>
  <c r="K46" i="12"/>
  <c r="M25" i="12"/>
  <c r="N25" i="12"/>
  <c r="O25" i="12"/>
  <c r="P25" i="12"/>
  <c r="M26" i="12"/>
  <c r="N26" i="12"/>
  <c r="O26" i="12"/>
  <c r="P26" i="12"/>
  <c r="M27" i="12"/>
  <c r="N27" i="12"/>
  <c r="O27" i="12"/>
  <c r="P27" i="12"/>
  <c r="M28" i="12"/>
  <c r="N28" i="12"/>
  <c r="O28" i="12"/>
  <c r="P28" i="12"/>
  <c r="M29" i="12"/>
  <c r="N29" i="12"/>
  <c r="O29" i="12"/>
  <c r="P29" i="12"/>
  <c r="M30" i="12"/>
  <c r="N30" i="12"/>
  <c r="O30" i="12"/>
  <c r="P30" i="12"/>
  <c r="M32" i="12"/>
  <c r="N32" i="12"/>
  <c r="O32" i="12"/>
  <c r="P32" i="12"/>
  <c r="M33" i="12"/>
  <c r="N33" i="12"/>
  <c r="O33" i="12"/>
  <c r="P33" i="12"/>
  <c r="M35" i="12"/>
  <c r="N35" i="12"/>
  <c r="O35" i="12"/>
  <c r="P35" i="12"/>
  <c r="M36" i="12"/>
  <c r="N36" i="12"/>
  <c r="O36" i="12"/>
  <c r="P36" i="12"/>
  <c r="Q25" i="12"/>
  <c r="Q26" i="12"/>
  <c r="Q27" i="12"/>
  <c r="Q28" i="12"/>
  <c r="Q29" i="12"/>
  <c r="Q30" i="12"/>
  <c r="Q32" i="12"/>
  <c r="Q33" i="12"/>
  <c r="Q35" i="12"/>
  <c r="Q36" i="12"/>
  <c r="R25" i="12"/>
  <c r="R26" i="12"/>
  <c r="R27" i="12"/>
  <c r="R28" i="12"/>
  <c r="R29" i="12"/>
  <c r="R30" i="12"/>
  <c r="R32" i="12"/>
  <c r="R33" i="12"/>
  <c r="R35" i="12"/>
  <c r="R36" i="12"/>
  <c r="W306" i="4" l="1"/>
  <c r="O309" i="4"/>
  <c r="AT302" i="4"/>
  <c r="AU302" i="4"/>
  <c r="K303" i="4"/>
  <c r="W309" i="4"/>
  <c r="O306" i="4"/>
  <c r="N312" i="4"/>
  <c r="V312" i="4"/>
  <c r="O303" i="4"/>
  <c r="K306" i="4"/>
  <c r="S306" i="4"/>
  <c r="K309" i="4"/>
  <c r="S309" i="4"/>
  <c r="M303" i="4"/>
  <c r="Q309" i="4"/>
  <c r="Q312" i="4"/>
  <c r="AR302" i="4"/>
  <c r="AZ302" i="4"/>
  <c r="M309" i="4"/>
  <c r="U309" i="4"/>
  <c r="M312" i="4"/>
  <c r="U312" i="4"/>
  <c r="AX302" i="4"/>
  <c r="J312" i="4"/>
  <c r="R312" i="4"/>
  <c r="AL302" i="4"/>
  <c r="L303" i="4"/>
  <c r="L309" i="4"/>
  <c r="P309" i="4"/>
  <c r="T309" i="4"/>
  <c r="X309" i="4"/>
  <c r="N303" i="4"/>
  <c r="J309" i="4"/>
  <c r="N309" i="4"/>
  <c r="R309" i="4"/>
  <c r="V309" i="4"/>
  <c r="AY302" i="4"/>
  <c r="L306" i="4"/>
  <c r="P306" i="4"/>
  <c r="T306" i="4"/>
  <c r="X306" i="4"/>
  <c r="AQ302" i="4"/>
  <c r="AM302" i="4"/>
  <c r="AW302" i="4"/>
  <c r="J306" i="4"/>
  <c r="X312" i="4"/>
  <c r="T312" i="4"/>
  <c r="P312" i="4"/>
  <c r="L312" i="4"/>
  <c r="V306" i="4"/>
  <c r="R306" i="4"/>
  <c r="N306" i="4"/>
  <c r="W303" i="4"/>
  <c r="S303" i="4"/>
  <c r="AP302" i="4"/>
  <c r="AV302" i="4"/>
  <c r="J303" i="4"/>
  <c r="W312" i="4"/>
  <c r="S312" i="4"/>
  <c r="O312" i="4"/>
  <c r="K312" i="4"/>
  <c r="Y306" i="4"/>
  <c r="Y302" i="4" s="1"/>
  <c r="U306" i="4"/>
  <c r="Q306" i="4"/>
  <c r="M306" i="4"/>
  <c r="V303" i="4"/>
  <c r="R303" i="4"/>
  <c r="AO302" i="4"/>
  <c r="U303" i="4"/>
  <c r="Q303" i="4"/>
  <c r="AN302" i="4"/>
  <c r="BA302" i="4"/>
  <c r="X303" i="4"/>
  <c r="T303" i="4"/>
  <c r="P303" i="4"/>
  <c r="K302" i="4" l="1"/>
  <c r="O302" i="4"/>
  <c r="J302" i="4"/>
  <c r="M302" i="4"/>
  <c r="L302" i="4"/>
  <c r="W302" i="4"/>
  <c r="P302" i="4"/>
  <c r="N302" i="4"/>
  <c r="Q302" i="4"/>
  <c r="S302" i="4"/>
  <c r="T302" i="4"/>
  <c r="R302" i="4"/>
  <c r="X302" i="4"/>
  <c r="U302" i="4"/>
  <c r="V302" i="4"/>
  <c r="HF43" i="7"/>
  <c r="HG43" i="7"/>
  <c r="HH43" i="7"/>
  <c r="X288" i="4" l="1"/>
  <c r="Y288" i="4"/>
  <c r="X289" i="4"/>
  <c r="Y289" i="4"/>
  <c r="X290" i="4"/>
  <c r="Y290" i="4"/>
  <c r="X291" i="4"/>
  <c r="Y291" i="4"/>
  <c r="X292" i="4"/>
  <c r="Y292" i="4"/>
  <c r="X293" i="4"/>
  <c r="Y293" i="4"/>
  <c r="X295" i="4"/>
  <c r="Y295" i="4"/>
  <c r="X296" i="4"/>
  <c r="Y296" i="4"/>
  <c r="X298" i="4"/>
  <c r="Y298" i="4"/>
  <c r="X299" i="4"/>
  <c r="Y299" i="4"/>
  <c r="Y297" i="4"/>
  <c r="K64" i="12"/>
  <c r="L64" i="12"/>
  <c r="M64" i="12"/>
  <c r="N64" i="12"/>
  <c r="O64" i="12"/>
  <c r="P64" i="12"/>
  <c r="Q64" i="12"/>
  <c r="R64" i="12"/>
  <c r="K65" i="12"/>
  <c r="L65" i="12"/>
  <c r="M65" i="12"/>
  <c r="N65" i="12"/>
  <c r="O65" i="12"/>
  <c r="P65" i="12"/>
  <c r="Q65" i="12"/>
  <c r="R65" i="12"/>
  <c r="J66" i="12"/>
  <c r="K66" i="12"/>
  <c r="L66" i="12"/>
  <c r="M66" i="12"/>
  <c r="N66" i="12"/>
  <c r="O66" i="12"/>
  <c r="P66" i="12"/>
  <c r="Q66" i="12"/>
  <c r="R66" i="12"/>
  <c r="J67" i="12"/>
  <c r="K67" i="12"/>
  <c r="L67" i="12"/>
  <c r="M67" i="12"/>
  <c r="N67" i="12"/>
  <c r="O67" i="12"/>
  <c r="P67" i="12"/>
  <c r="Q67" i="12"/>
  <c r="R67" i="12"/>
  <c r="K68" i="12"/>
  <c r="L68" i="12"/>
  <c r="M68" i="12"/>
  <c r="N68" i="12"/>
  <c r="O68" i="12"/>
  <c r="P68" i="12"/>
  <c r="Q68" i="12"/>
  <c r="R68" i="12"/>
  <c r="J69" i="12"/>
  <c r="K69" i="12"/>
  <c r="L69" i="12"/>
  <c r="M69" i="12"/>
  <c r="N69" i="12"/>
  <c r="O69" i="12"/>
  <c r="P69" i="12"/>
  <c r="Q69" i="12"/>
  <c r="R69" i="12"/>
  <c r="J70" i="12"/>
  <c r="K70" i="12"/>
  <c r="L70" i="12"/>
  <c r="M70" i="12"/>
  <c r="N70" i="12"/>
  <c r="O70" i="12"/>
  <c r="P70" i="12"/>
  <c r="Q70" i="12"/>
  <c r="R70" i="12"/>
  <c r="K71" i="12"/>
  <c r="L71" i="12"/>
  <c r="M71" i="12"/>
  <c r="N71" i="12"/>
  <c r="O71" i="12"/>
  <c r="P71" i="12"/>
  <c r="Q71" i="12"/>
  <c r="R71" i="12"/>
  <c r="J72" i="12"/>
  <c r="K72" i="12"/>
  <c r="L72" i="12"/>
  <c r="M72" i="12"/>
  <c r="N72" i="12"/>
  <c r="O72" i="12"/>
  <c r="P72" i="12"/>
  <c r="Q72" i="12"/>
  <c r="R72" i="12"/>
  <c r="J73" i="12"/>
  <c r="K73" i="12"/>
  <c r="L73" i="12"/>
  <c r="M73" i="12"/>
  <c r="N73" i="12"/>
  <c r="O73" i="12"/>
  <c r="P73" i="12"/>
  <c r="Q73" i="12"/>
  <c r="R73" i="12"/>
  <c r="K74" i="12"/>
  <c r="L74" i="12"/>
  <c r="M74" i="12"/>
  <c r="N74" i="12"/>
  <c r="O74" i="12"/>
  <c r="P74" i="12"/>
  <c r="Q74" i="12"/>
  <c r="R74" i="12"/>
  <c r="J75" i="12"/>
  <c r="K75" i="12"/>
  <c r="L75" i="12"/>
  <c r="M75" i="12"/>
  <c r="N75" i="12"/>
  <c r="O75" i="12"/>
  <c r="P75" i="12"/>
  <c r="Q75" i="12"/>
  <c r="R75" i="12"/>
  <c r="J76" i="12"/>
  <c r="K76" i="12"/>
  <c r="L76" i="12"/>
  <c r="M76" i="12"/>
  <c r="N76" i="12"/>
  <c r="O76" i="12"/>
  <c r="P76" i="12"/>
  <c r="Q76" i="12"/>
  <c r="R76" i="12"/>
  <c r="L7" i="12"/>
  <c r="L13" i="12"/>
  <c r="M13" i="12"/>
  <c r="M31" i="12" s="1"/>
  <c r="N13" i="12"/>
  <c r="O13" i="12"/>
  <c r="P13" i="12"/>
  <c r="P31" i="12" s="1"/>
  <c r="Q13" i="12"/>
  <c r="Q31" i="12" s="1"/>
  <c r="R13" i="12"/>
  <c r="L16" i="12"/>
  <c r="M16" i="12"/>
  <c r="M34" i="12" s="1"/>
  <c r="N16" i="12"/>
  <c r="N34" i="12" s="1"/>
  <c r="O16" i="12"/>
  <c r="O34" i="12" s="1"/>
  <c r="P16" i="12"/>
  <c r="P34" i="12" s="1"/>
  <c r="Q16" i="12"/>
  <c r="Q34" i="12" s="1"/>
  <c r="R16" i="12"/>
  <c r="R34" i="12" s="1"/>
  <c r="Q6" i="12" l="1"/>
  <c r="Q24" i="12" s="1"/>
  <c r="M6" i="12"/>
  <c r="M24" i="12" s="1"/>
  <c r="L6" i="12"/>
  <c r="X294" i="4"/>
  <c r="X297" i="4"/>
  <c r="Y294" i="4"/>
  <c r="Y287" i="4" s="1"/>
  <c r="O6" i="12"/>
  <c r="O24" i="12" s="1"/>
  <c r="O31" i="12"/>
  <c r="N6" i="12"/>
  <c r="N24" i="12" s="1"/>
  <c r="N31" i="12"/>
  <c r="P6" i="12"/>
  <c r="P24" i="12" s="1"/>
  <c r="R6" i="12"/>
  <c r="R24" i="12" s="1"/>
  <c r="R31" i="12"/>
  <c r="X287" i="4" l="1"/>
  <c r="J17" i="10" l="1"/>
  <c r="AF147" i="11"/>
  <c r="AF146" i="11"/>
  <c r="AF145" i="11"/>
  <c r="AF143" i="11"/>
  <c r="AF142" i="11"/>
  <c r="AF141" i="11"/>
  <c r="AF140" i="11"/>
  <c r="AF139" i="11"/>
  <c r="AF137" i="11"/>
  <c r="AF136" i="11"/>
  <c r="AF135" i="11"/>
  <c r="AF134" i="11"/>
  <c r="AF133" i="11"/>
  <c r="AF132" i="11"/>
  <c r="AF131" i="11"/>
  <c r="AF130" i="11"/>
  <c r="AF129" i="11"/>
  <c r="AF128" i="11"/>
  <c r="AF127" i="11"/>
  <c r="AF126" i="11"/>
  <c r="AF125" i="11"/>
  <c r="AF124" i="11"/>
  <c r="AF123" i="11"/>
  <c r="AF122" i="11"/>
  <c r="AF121" i="11"/>
  <c r="AF114" i="11"/>
  <c r="AF113" i="11"/>
  <c r="AF112" i="11"/>
  <c r="AF111" i="11"/>
  <c r="AF109" i="11"/>
  <c r="AF108" i="11"/>
  <c r="AF107" i="11"/>
  <c r="AF106" i="11"/>
  <c r="AF105" i="11"/>
  <c r="AF103" i="11"/>
  <c r="AF102" i="11"/>
  <c r="AF101" i="11"/>
  <c r="AF100" i="11"/>
  <c r="AF99" i="11"/>
  <c r="AF97" i="11"/>
  <c r="AF96" i="11"/>
  <c r="AF95" i="11"/>
  <c r="AF94" i="11"/>
  <c r="AF93" i="11"/>
  <c r="AF91" i="11"/>
  <c r="AF90" i="11"/>
  <c r="AF89" i="11"/>
  <c r="AF88" i="11"/>
  <c r="AF80" i="11"/>
  <c r="AF79" i="11"/>
  <c r="AF78" i="11"/>
  <c r="AF77" i="11"/>
  <c r="AF75" i="11"/>
  <c r="AF74" i="11"/>
  <c r="AF73" i="11"/>
  <c r="AF72" i="11"/>
  <c r="AF71" i="11"/>
  <c r="AF69" i="11"/>
  <c r="AF68" i="11"/>
  <c r="AF67" i="11"/>
  <c r="AF66" i="11"/>
  <c r="AF65" i="11"/>
  <c r="AF63" i="11"/>
  <c r="AF62" i="11"/>
  <c r="AF61" i="11"/>
  <c r="AF60" i="11"/>
  <c r="AF59" i="11"/>
  <c r="AF57" i="11"/>
  <c r="AF56" i="11"/>
  <c r="AF55" i="11"/>
  <c r="AF54" i="11"/>
  <c r="T138" i="9"/>
  <c r="T36" i="9" s="1"/>
  <c r="S138" i="9"/>
  <c r="S36" i="9" s="1"/>
  <c r="R138" i="9"/>
  <c r="R36" i="9" s="1"/>
  <c r="Q138" i="9"/>
  <c r="P138" i="9"/>
  <c r="O138" i="9"/>
  <c r="N138" i="9"/>
  <c r="N36" i="9" s="1"/>
  <c r="M138" i="9"/>
  <c r="L138" i="9"/>
  <c r="K138" i="9"/>
  <c r="J138" i="9"/>
  <c r="N127" i="9"/>
  <c r="M127" i="9"/>
  <c r="L127" i="9"/>
  <c r="K127" i="9"/>
  <c r="J127" i="9"/>
  <c r="N124" i="9"/>
  <c r="M124" i="9"/>
  <c r="L124" i="9"/>
  <c r="K124" i="9"/>
  <c r="J124" i="9"/>
  <c r="P121" i="9"/>
  <c r="F113" i="9"/>
  <c r="E113" i="9"/>
  <c r="D113" i="9"/>
  <c r="C113" i="9"/>
  <c r="F111" i="9"/>
  <c r="E111" i="9"/>
  <c r="D111" i="9"/>
  <c r="C111" i="9"/>
  <c r="F110" i="9"/>
  <c r="E110" i="9"/>
  <c r="D110" i="9"/>
  <c r="C110" i="9"/>
  <c r="F108" i="9"/>
  <c r="E108" i="9"/>
  <c r="D108" i="9"/>
  <c r="C108" i="9"/>
  <c r="F107" i="9"/>
  <c r="E107" i="9"/>
  <c r="D107" i="9"/>
  <c r="C107" i="9"/>
  <c r="F106" i="9"/>
  <c r="E106" i="9"/>
  <c r="D106" i="9"/>
  <c r="C106" i="9"/>
  <c r="Y105" i="9"/>
  <c r="F105" i="9"/>
  <c r="E105" i="9"/>
  <c r="D105" i="9"/>
  <c r="C105" i="9"/>
  <c r="Y104" i="9"/>
  <c r="Y102" i="9"/>
  <c r="Y101" i="9"/>
  <c r="N101" i="9"/>
  <c r="M101" i="9"/>
  <c r="L101" i="9"/>
  <c r="K101" i="9"/>
  <c r="J101" i="9"/>
  <c r="I101" i="9"/>
  <c r="H101" i="9"/>
  <c r="G101" i="9"/>
  <c r="F101" i="9"/>
  <c r="E101" i="9"/>
  <c r="D101" i="9"/>
  <c r="C101" i="9"/>
  <c r="Y99" i="9"/>
  <c r="N99" i="9"/>
  <c r="Q99" i="9" s="1"/>
  <c r="M99" i="9"/>
  <c r="L99" i="9"/>
  <c r="K99" i="9"/>
  <c r="J99" i="9"/>
  <c r="I99" i="9"/>
  <c r="H99" i="9"/>
  <c r="G99" i="9"/>
  <c r="F99" i="9"/>
  <c r="E99" i="9"/>
  <c r="D99" i="9"/>
  <c r="C99" i="9"/>
  <c r="Y97" i="9"/>
  <c r="N97" i="9"/>
  <c r="M97" i="9"/>
  <c r="L97" i="9"/>
  <c r="K97" i="9"/>
  <c r="J97" i="9"/>
  <c r="I97" i="9"/>
  <c r="H97" i="9"/>
  <c r="G97" i="9"/>
  <c r="F97" i="9"/>
  <c r="E97" i="9"/>
  <c r="D97" i="9"/>
  <c r="C97" i="9"/>
  <c r="Y96" i="9"/>
  <c r="N96" i="9"/>
  <c r="M96" i="9"/>
  <c r="L96" i="9"/>
  <c r="K96" i="9"/>
  <c r="J96" i="9"/>
  <c r="I96" i="9"/>
  <c r="H96" i="9"/>
  <c r="G96" i="9"/>
  <c r="F96" i="9"/>
  <c r="E96" i="9"/>
  <c r="D96" i="9"/>
  <c r="C96" i="9"/>
  <c r="Y95" i="9"/>
  <c r="N95" i="9"/>
  <c r="M95" i="9"/>
  <c r="L95" i="9"/>
  <c r="K95" i="9"/>
  <c r="J95" i="9"/>
  <c r="I95" i="9"/>
  <c r="H95" i="9"/>
  <c r="G95" i="9"/>
  <c r="F95" i="9"/>
  <c r="E95" i="9"/>
  <c r="D95" i="9"/>
  <c r="C95" i="9"/>
  <c r="Y94" i="9"/>
  <c r="N94" i="9"/>
  <c r="M94" i="9"/>
  <c r="L94" i="9"/>
  <c r="K94" i="9"/>
  <c r="J94" i="9"/>
  <c r="I94" i="9"/>
  <c r="H94" i="9"/>
  <c r="G94" i="9"/>
  <c r="F94" i="9"/>
  <c r="E94" i="9"/>
  <c r="D94" i="9"/>
  <c r="C94" i="9"/>
  <c r="Y93" i="9"/>
  <c r="N93" i="9"/>
  <c r="M93" i="9"/>
  <c r="L93" i="9"/>
  <c r="K93" i="9"/>
  <c r="J93" i="9"/>
  <c r="I93" i="9"/>
  <c r="H93" i="9"/>
  <c r="G93" i="9"/>
  <c r="F93" i="9"/>
  <c r="E93" i="9"/>
  <c r="D93" i="9"/>
  <c r="C93" i="9"/>
  <c r="Y91" i="9"/>
  <c r="N91" i="9"/>
  <c r="M91" i="9"/>
  <c r="L91" i="9"/>
  <c r="T91" i="9" s="1"/>
  <c r="K91" i="9"/>
  <c r="S91" i="9" s="1"/>
  <c r="J91" i="9"/>
  <c r="I91" i="9"/>
  <c r="H91" i="9"/>
  <c r="G91" i="9"/>
  <c r="F91" i="9"/>
  <c r="E91" i="9"/>
  <c r="D91" i="9"/>
  <c r="C91" i="9"/>
  <c r="Y90" i="9"/>
  <c r="N90" i="9"/>
  <c r="M90" i="9"/>
  <c r="L90" i="9"/>
  <c r="K90" i="9"/>
  <c r="J90" i="9"/>
  <c r="I90" i="9"/>
  <c r="H90" i="9"/>
  <c r="G90" i="9"/>
  <c r="F90" i="9"/>
  <c r="E90" i="9"/>
  <c r="D90" i="9"/>
  <c r="C90" i="9"/>
  <c r="Y89" i="9"/>
  <c r="N89" i="9"/>
  <c r="M89" i="9"/>
  <c r="L89" i="9"/>
  <c r="K89" i="9"/>
  <c r="J89" i="9"/>
  <c r="I89" i="9"/>
  <c r="H89" i="9"/>
  <c r="G89" i="9"/>
  <c r="F89" i="9"/>
  <c r="E89" i="9"/>
  <c r="D89" i="9"/>
  <c r="C89" i="9"/>
  <c r="Y88" i="9"/>
  <c r="N88" i="9"/>
  <c r="M88" i="9"/>
  <c r="L88" i="9"/>
  <c r="K88" i="9"/>
  <c r="J88" i="9"/>
  <c r="I88" i="9"/>
  <c r="H88" i="9"/>
  <c r="G88" i="9"/>
  <c r="F88" i="9"/>
  <c r="E88" i="9"/>
  <c r="D88" i="9"/>
  <c r="C88" i="9"/>
  <c r="Y87" i="9"/>
  <c r="N87" i="9"/>
  <c r="M87" i="9"/>
  <c r="L87" i="9"/>
  <c r="K87" i="9"/>
  <c r="J87" i="9"/>
  <c r="I87" i="9"/>
  <c r="H87" i="9"/>
  <c r="G87" i="9"/>
  <c r="F87" i="9"/>
  <c r="E87" i="9"/>
  <c r="D87" i="9"/>
  <c r="C87" i="9"/>
  <c r="Y85" i="9"/>
  <c r="N85" i="9"/>
  <c r="M85" i="9"/>
  <c r="L85" i="9"/>
  <c r="K85" i="9"/>
  <c r="J85" i="9"/>
  <c r="Q85" i="9" s="1"/>
  <c r="R85" i="9" s="1"/>
  <c r="I85" i="9"/>
  <c r="H85" i="9"/>
  <c r="G85" i="9"/>
  <c r="F85" i="9"/>
  <c r="E85" i="9"/>
  <c r="D85" i="9"/>
  <c r="C85" i="9"/>
  <c r="Y84" i="9"/>
  <c r="N84" i="9"/>
  <c r="M84" i="9"/>
  <c r="L84" i="9"/>
  <c r="K84" i="9"/>
  <c r="J84" i="9"/>
  <c r="I84" i="9"/>
  <c r="H84" i="9"/>
  <c r="G84" i="9"/>
  <c r="F84" i="9"/>
  <c r="E84" i="9"/>
  <c r="D84" i="9"/>
  <c r="C84" i="9"/>
  <c r="Y83" i="9"/>
  <c r="N83" i="9"/>
  <c r="Q83" i="9" s="1"/>
  <c r="M83" i="9"/>
  <c r="L83" i="9"/>
  <c r="K83" i="9"/>
  <c r="J83" i="9"/>
  <c r="I83" i="9"/>
  <c r="H83" i="9"/>
  <c r="G83" i="9"/>
  <c r="F83" i="9"/>
  <c r="E83" i="9"/>
  <c r="D83" i="9"/>
  <c r="C83" i="9"/>
  <c r="Y82" i="9"/>
  <c r="N82" i="9"/>
  <c r="M82" i="9"/>
  <c r="L82" i="9"/>
  <c r="K82" i="9"/>
  <c r="J82" i="9"/>
  <c r="I82" i="9"/>
  <c r="H82" i="9"/>
  <c r="G82" i="9"/>
  <c r="F82" i="9"/>
  <c r="E82" i="9"/>
  <c r="D82" i="9"/>
  <c r="C82" i="9"/>
  <c r="Y81" i="9"/>
  <c r="N81" i="9"/>
  <c r="M81" i="9"/>
  <c r="Q81" i="9" s="1"/>
  <c r="L81" i="9"/>
  <c r="K81" i="9"/>
  <c r="J81" i="9"/>
  <c r="I81" i="9"/>
  <c r="H81" i="9"/>
  <c r="G81" i="9"/>
  <c r="F81" i="9"/>
  <c r="E81" i="9"/>
  <c r="D81" i="9"/>
  <c r="C81" i="9"/>
  <c r="Y79" i="9"/>
  <c r="N79" i="9"/>
  <c r="M79" i="9"/>
  <c r="L79" i="9"/>
  <c r="K79" i="9"/>
  <c r="J79" i="9"/>
  <c r="I79" i="9"/>
  <c r="H79" i="9"/>
  <c r="G79" i="9"/>
  <c r="F79" i="9"/>
  <c r="E79" i="9"/>
  <c r="D79" i="9"/>
  <c r="C79" i="9"/>
  <c r="Y78" i="9"/>
  <c r="N78" i="9"/>
  <c r="M78" i="9"/>
  <c r="L78" i="9"/>
  <c r="K78" i="9"/>
  <c r="J78" i="9"/>
  <c r="I78" i="9"/>
  <c r="H78" i="9"/>
  <c r="G78" i="9"/>
  <c r="F78" i="9"/>
  <c r="E78" i="9"/>
  <c r="D78" i="9"/>
  <c r="C78" i="9"/>
  <c r="Y77" i="9"/>
  <c r="N77" i="9"/>
  <c r="M77" i="9"/>
  <c r="L77" i="9"/>
  <c r="K77" i="9"/>
  <c r="J77" i="9"/>
  <c r="I77" i="9"/>
  <c r="H77" i="9"/>
  <c r="G77" i="9"/>
  <c r="F77" i="9"/>
  <c r="E77" i="9"/>
  <c r="D77" i="9"/>
  <c r="C77" i="9"/>
  <c r="Y76" i="9"/>
  <c r="N76" i="9"/>
  <c r="M76" i="9"/>
  <c r="L76" i="9"/>
  <c r="K76" i="9"/>
  <c r="J76" i="9"/>
  <c r="I76" i="9"/>
  <c r="H76" i="9"/>
  <c r="G76" i="9"/>
  <c r="F76" i="9"/>
  <c r="E76" i="9"/>
  <c r="D76" i="9"/>
  <c r="C76" i="9"/>
  <c r="Y75" i="9"/>
  <c r="N69" i="9"/>
  <c r="U69" i="9" s="1"/>
  <c r="M69" i="9"/>
  <c r="L69" i="9"/>
  <c r="K69" i="9"/>
  <c r="J69" i="9"/>
  <c r="I62" i="9"/>
  <c r="O61" i="9"/>
  <c r="M61" i="9"/>
  <c r="L61" i="9"/>
  <c r="K61" i="9"/>
  <c r="J61" i="9"/>
  <c r="N58" i="9"/>
  <c r="M58" i="9"/>
  <c r="L58" i="9"/>
  <c r="K58" i="9"/>
  <c r="J58" i="9"/>
  <c r="M56" i="9"/>
  <c r="F47" i="9"/>
  <c r="E47" i="9"/>
  <c r="D47" i="9"/>
  <c r="C47" i="9"/>
  <c r="F45" i="9"/>
  <c r="E45" i="9"/>
  <c r="D45" i="9"/>
  <c r="C45" i="9"/>
  <c r="F44" i="9"/>
  <c r="E44" i="9"/>
  <c r="D44" i="9"/>
  <c r="C44" i="9"/>
  <c r="F42" i="9"/>
  <c r="E42" i="9"/>
  <c r="D42" i="9"/>
  <c r="C42" i="9"/>
  <c r="F41" i="9"/>
  <c r="E41" i="9"/>
  <c r="D41" i="9"/>
  <c r="C41" i="9"/>
  <c r="F40" i="9"/>
  <c r="E40" i="9"/>
  <c r="D40" i="9"/>
  <c r="C40" i="9"/>
  <c r="F39" i="9"/>
  <c r="E39" i="9"/>
  <c r="D39" i="9"/>
  <c r="C39" i="9"/>
  <c r="BA35" i="9"/>
  <c r="N35" i="9"/>
  <c r="M35" i="9"/>
  <c r="L35" i="9"/>
  <c r="K35" i="9"/>
  <c r="J35" i="9"/>
  <c r="I35" i="9"/>
  <c r="H35" i="9"/>
  <c r="G35" i="9"/>
  <c r="F35" i="9"/>
  <c r="E35" i="9"/>
  <c r="D35" i="9"/>
  <c r="C35" i="9"/>
  <c r="BA33" i="9"/>
  <c r="N33" i="9"/>
  <c r="M33" i="9"/>
  <c r="L33" i="9"/>
  <c r="K33" i="9"/>
  <c r="J33" i="9"/>
  <c r="I33" i="9"/>
  <c r="H33" i="9"/>
  <c r="G33" i="9"/>
  <c r="F33" i="9"/>
  <c r="E33" i="9"/>
  <c r="D33" i="9"/>
  <c r="C33" i="9"/>
  <c r="BA31" i="9"/>
  <c r="N31" i="9"/>
  <c r="M31" i="9"/>
  <c r="L31" i="9"/>
  <c r="K31" i="9"/>
  <c r="J31" i="9"/>
  <c r="I31" i="9"/>
  <c r="H31" i="9"/>
  <c r="G31" i="9"/>
  <c r="F31" i="9"/>
  <c r="E31" i="9"/>
  <c r="D31" i="9"/>
  <c r="C31" i="9"/>
  <c r="N30" i="9"/>
  <c r="M30" i="9"/>
  <c r="L30" i="9"/>
  <c r="K30" i="9"/>
  <c r="J30" i="9"/>
  <c r="I30" i="9"/>
  <c r="H30" i="9"/>
  <c r="G30" i="9"/>
  <c r="F30" i="9"/>
  <c r="E30" i="9"/>
  <c r="D30" i="9"/>
  <c r="C30" i="9"/>
  <c r="BA29" i="9"/>
  <c r="N29" i="9"/>
  <c r="M29" i="9"/>
  <c r="L29" i="9"/>
  <c r="K29" i="9"/>
  <c r="J29" i="9"/>
  <c r="I29" i="9"/>
  <c r="H29" i="9"/>
  <c r="G29" i="9"/>
  <c r="F29" i="9"/>
  <c r="E29" i="9"/>
  <c r="D29" i="9"/>
  <c r="C29" i="9"/>
  <c r="BA28" i="9"/>
  <c r="N28" i="9"/>
  <c r="M28" i="9"/>
  <c r="L28" i="9"/>
  <c r="K28" i="9"/>
  <c r="J28" i="9"/>
  <c r="I28" i="9"/>
  <c r="H28" i="9"/>
  <c r="G28" i="9"/>
  <c r="F28" i="9"/>
  <c r="E28" i="9"/>
  <c r="D28" i="9"/>
  <c r="C28" i="9"/>
  <c r="BA27" i="9"/>
  <c r="N27" i="9"/>
  <c r="M27" i="9"/>
  <c r="L27" i="9"/>
  <c r="K27" i="9"/>
  <c r="J27" i="9"/>
  <c r="I27" i="9"/>
  <c r="H27" i="9"/>
  <c r="G27" i="9"/>
  <c r="F27" i="9"/>
  <c r="E27" i="9"/>
  <c r="D27" i="9"/>
  <c r="C27" i="9"/>
  <c r="BA25" i="9"/>
  <c r="N25" i="9"/>
  <c r="M25" i="9"/>
  <c r="L25" i="9"/>
  <c r="K25" i="9"/>
  <c r="J25" i="9"/>
  <c r="I25" i="9"/>
  <c r="H25" i="9"/>
  <c r="G25" i="9"/>
  <c r="F25" i="9"/>
  <c r="E25" i="9"/>
  <c r="D25" i="9"/>
  <c r="C25" i="9"/>
  <c r="N24" i="9"/>
  <c r="M24" i="9"/>
  <c r="L24" i="9"/>
  <c r="K24" i="9"/>
  <c r="J24" i="9"/>
  <c r="I24" i="9"/>
  <c r="H24" i="9"/>
  <c r="G24" i="9"/>
  <c r="F24" i="9"/>
  <c r="E24" i="9"/>
  <c r="D24" i="9"/>
  <c r="C24" i="9"/>
  <c r="BA23" i="9"/>
  <c r="N23" i="9"/>
  <c r="M23" i="9"/>
  <c r="L23" i="9"/>
  <c r="K23" i="9"/>
  <c r="J23" i="9"/>
  <c r="I23" i="9"/>
  <c r="H23" i="9"/>
  <c r="G23" i="9"/>
  <c r="F23" i="9"/>
  <c r="E23" i="9"/>
  <c r="D23" i="9"/>
  <c r="C23" i="9"/>
  <c r="BA22" i="9"/>
  <c r="N22" i="9"/>
  <c r="M22" i="9"/>
  <c r="L22" i="9"/>
  <c r="K22" i="9"/>
  <c r="J22" i="9"/>
  <c r="I22" i="9"/>
  <c r="H22" i="9"/>
  <c r="G22" i="9"/>
  <c r="F22" i="9"/>
  <c r="E22" i="9"/>
  <c r="D22" i="9"/>
  <c r="C22" i="9"/>
  <c r="N21" i="9"/>
  <c r="M21" i="9"/>
  <c r="L21" i="9"/>
  <c r="K21" i="9"/>
  <c r="J21" i="9"/>
  <c r="I21" i="9"/>
  <c r="H21" i="9"/>
  <c r="G21" i="9"/>
  <c r="F21" i="9"/>
  <c r="E21" i="9"/>
  <c r="D21" i="9"/>
  <c r="C21" i="9"/>
  <c r="BA20" i="9"/>
  <c r="BA19" i="9"/>
  <c r="N19" i="9"/>
  <c r="M19" i="9"/>
  <c r="L19" i="9"/>
  <c r="K19" i="9"/>
  <c r="J19" i="9"/>
  <c r="I19" i="9"/>
  <c r="H19" i="9"/>
  <c r="G19" i="9"/>
  <c r="F19" i="9"/>
  <c r="E19" i="9"/>
  <c r="D19" i="9"/>
  <c r="C19" i="9"/>
  <c r="BA18" i="9"/>
  <c r="N18" i="9"/>
  <c r="M18" i="9"/>
  <c r="L18" i="9"/>
  <c r="K18" i="9"/>
  <c r="J18" i="9"/>
  <c r="I18" i="9"/>
  <c r="H18" i="9"/>
  <c r="G18" i="9"/>
  <c r="F18" i="9"/>
  <c r="E18" i="9"/>
  <c r="D18" i="9"/>
  <c r="C18" i="9"/>
  <c r="BA17" i="9"/>
  <c r="N17" i="9"/>
  <c r="M17" i="9"/>
  <c r="L17" i="9"/>
  <c r="K17" i="9"/>
  <c r="J17" i="9"/>
  <c r="I17" i="9"/>
  <c r="H17" i="9"/>
  <c r="G17" i="9"/>
  <c r="F17" i="9"/>
  <c r="E17" i="9"/>
  <c r="D17" i="9"/>
  <c r="C17" i="9"/>
  <c r="BA16" i="9"/>
  <c r="N16" i="9"/>
  <c r="M16" i="9"/>
  <c r="L16" i="9"/>
  <c r="K16" i="9"/>
  <c r="J16" i="9"/>
  <c r="I16" i="9"/>
  <c r="H16" i="9"/>
  <c r="G16" i="9"/>
  <c r="F16" i="9"/>
  <c r="E16" i="9"/>
  <c r="D16" i="9"/>
  <c r="C16" i="9"/>
  <c r="BA15" i="9"/>
  <c r="N15" i="9"/>
  <c r="M15" i="9"/>
  <c r="L15" i="9"/>
  <c r="K15" i="9"/>
  <c r="J15" i="9"/>
  <c r="I15" i="9"/>
  <c r="H15" i="9"/>
  <c r="G15" i="9"/>
  <c r="F15" i="9"/>
  <c r="E15" i="9"/>
  <c r="D15" i="9"/>
  <c r="C15" i="9"/>
  <c r="BA13" i="9"/>
  <c r="N13" i="9"/>
  <c r="M13" i="9"/>
  <c r="L13" i="9"/>
  <c r="K13" i="9"/>
  <c r="J13" i="9"/>
  <c r="I13" i="9"/>
  <c r="H13" i="9"/>
  <c r="G13" i="9"/>
  <c r="F13" i="9"/>
  <c r="E13" i="9"/>
  <c r="D13" i="9"/>
  <c r="C13" i="9"/>
  <c r="BA12" i="9"/>
  <c r="N12" i="9"/>
  <c r="M12" i="9"/>
  <c r="L12" i="9"/>
  <c r="K12" i="9"/>
  <c r="J12" i="9"/>
  <c r="I12" i="9"/>
  <c r="H12" i="9"/>
  <c r="G12" i="9"/>
  <c r="F12" i="9"/>
  <c r="E12" i="9"/>
  <c r="D12" i="9"/>
  <c r="C12" i="9"/>
  <c r="BA11" i="9"/>
  <c r="N11" i="9"/>
  <c r="M11" i="9"/>
  <c r="L11" i="9"/>
  <c r="K11" i="9"/>
  <c r="J11" i="9"/>
  <c r="I11" i="9"/>
  <c r="H11" i="9"/>
  <c r="G11" i="9"/>
  <c r="F11" i="9"/>
  <c r="E11" i="9"/>
  <c r="D11" i="9"/>
  <c r="C11" i="9"/>
  <c r="BA10" i="9"/>
  <c r="N10" i="9"/>
  <c r="M10" i="9"/>
  <c r="L10" i="9"/>
  <c r="K10" i="9"/>
  <c r="J10" i="9"/>
  <c r="I10" i="9"/>
  <c r="H10" i="9"/>
  <c r="G10" i="9"/>
  <c r="F10" i="9"/>
  <c r="E10" i="9"/>
  <c r="D10" i="9"/>
  <c r="C10" i="9"/>
  <c r="O3" i="9"/>
  <c r="AM374" i="4"/>
  <c r="AM373" i="4"/>
  <c r="AM372" i="4"/>
  <c r="AM370" i="4"/>
  <c r="AM369" i="4"/>
  <c r="AM368" i="4"/>
  <c r="AM367" i="4"/>
  <c r="AM366" i="4"/>
  <c r="AM364" i="4"/>
  <c r="AM363" i="4"/>
  <c r="AM362" i="4"/>
  <c r="AM361" i="4"/>
  <c r="AM360" i="4"/>
  <c r="AM359" i="4"/>
  <c r="AM358" i="4"/>
  <c r="AM357" i="4"/>
  <c r="AM356" i="4"/>
  <c r="AM355" i="4"/>
  <c r="AM354" i="4"/>
  <c r="AM353" i="4"/>
  <c r="AM352" i="4"/>
  <c r="AM351" i="4"/>
  <c r="AM350" i="4"/>
  <c r="AM349" i="4"/>
  <c r="AM348" i="4"/>
  <c r="AM342" i="4"/>
  <c r="AL342" i="4"/>
  <c r="AM339" i="4"/>
  <c r="AL339" i="4"/>
  <c r="AM334" i="4"/>
  <c r="AL334" i="4"/>
  <c r="W299" i="4"/>
  <c r="V299" i="4"/>
  <c r="U299" i="4"/>
  <c r="T299" i="4"/>
  <c r="S299" i="4"/>
  <c r="R299" i="4"/>
  <c r="Q299" i="4"/>
  <c r="P299" i="4"/>
  <c r="O299" i="4"/>
  <c r="N299" i="4"/>
  <c r="M299" i="4"/>
  <c r="L299" i="4"/>
  <c r="K299" i="4"/>
  <c r="J299" i="4"/>
  <c r="W298" i="4"/>
  <c r="V298" i="4"/>
  <c r="U298" i="4"/>
  <c r="T298" i="4"/>
  <c r="S298" i="4"/>
  <c r="R298" i="4"/>
  <c r="Q298" i="4"/>
  <c r="P298" i="4"/>
  <c r="O298" i="4"/>
  <c r="N298" i="4"/>
  <c r="M298" i="4"/>
  <c r="L298" i="4"/>
  <c r="K298" i="4"/>
  <c r="J298" i="4"/>
  <c r="W297" i="4"/>
  <c r="AR297" i="4"/>
  <c r="AQ297" i="4"/>
  <c r="AP297" i="4"/>
  <c r="AO297" i="4"/>
  <c r="AN297" i="4"/>
  <c r="AM297" i="4"/>
  <c r="AL297" i="4"/>
  <c r="W296" i="4"/>
  <c r="V296" i="4"/>
  <c r="U296" i="4"/>
  <c r="T296" i="4"/>
  <c r="S296" i="4"/>
  <c r="R296" i="4"/>
  <c r="Q296" i="4"/>
  <c r="P296" i="4"/>
  <c r="O296" i="4"/>
  <c r="N296" i="4"/>
  <c r="M296" i="4"/>
  <c r="L296" i="4"/>
  <c r="K296" i="4"/>
  <c r="J296" i="4"/>
  <c r="W295" i="4"/>
  <c r="V295" i="4"/>
  <c r="U295" i="4"/>
  <c r="T295" i="4"/>
  <c r="S295" i="4"/>
  <c r="R295" i="4"/>
  <c r="Q295" i="4"/>
  <c r="P295" i="4"/>
  <c r="O295" i="4"/>
  <c r="N295" i="4"/>
  <c r="M295" i="4"/>
  <c r="L295" i="4"/>
  <c r="K295" i="4"/>
  <c r="J295" i="4"/>
  <c r="W294" i="4"/>
  <c r="U294" i="4"/>
  <c r="AR294" i="4"/>
  <c r="AQ294" i="4"/>
  <c r="AP294" i="4"/>
  <c r="AO294" i="4"/>
  <c r="AN294" i="4"/>
  <c r="AM294" i="4"/>
  <c r="AL294" i="4"/>
  <c r="W293" i="4"/>
  <c r="V293" i="4"/>
  <c r="U293" i="4"/>
  <c r="T293" i="4"/>
  <c r="S293" i="4"/>
  <c r="R293" i="4"/>
  <c r="Q293" i="4"/>
  <c r="P293" i="4"/>
  <c r="O293" i="4"/>
  <c r="N293" i="4"/>
  <c r="M293" i="4"/>
  <c r="L293" i="4"/>
  <c r="K293" i="4"/>
  <c r="J293" i="4"/>
  <c r="W292" i="4"/>
  <c r="V292" i="4"/>
  <c r="U292" i="4"/>
  <c r="T292" i="4"/>
  <c r="S292" i="4"/>
  <c r="R292" i="4"/>
  <c r="Q292" i="4"/>
  <c r="P292" i="4"/>
  <c r="O292" i="4"/>
  <c r="N292" i="4"/>
  <c r="M292" i="4"/>
  <c r="L292" i="4"/>
  <c r="K292" i="4"/>
  <c r="J292" i="4"/>
  <c r="W291" i="4"/>
  <c r="AR291" i="4"/>
  <c r="AQ291" i="4"/>
  <c r="AP291" i="4"/>
  <c r="AO291" i="4"/>
  <c r="AN291" i="4"/>
  <c r="AM291" i="4"/>
  <c r="AL291" i="4"/>
  <c r="W290" i="4"/>
  <c r="V290" i="4"/>
  <c r="U290" i="4"/>
  <c r="T290" i="4"/>
  <c r="S290" i="4"/>
  <c r="R290" i="4"/>
  <c r="Q290" i="4"/>
  <c r="P290" i="4"/>
  <c r="O290" i="4"/>
  <c r="N290" i="4"/>
  <c r="M290" i="4"/>
  <c r="L290" i="4"/>
  <c r="K290" i="4"/>
  <c r="J290" i="4"/>
  <c r="W289" i="4"/>
  <c r="V289" i="4"/>
  <c r="U289" i="4"/>
  <c r="T289" i="4"/>
  <c r="S289" i="4"/>
  <c r="R289" i="4"/>
  <c r="Q289" i="4"/>
  <c r="P289" i="4"/>
  <c r="O289" i="4"/>
  <c r="N289" i="4"/>
  <c r="M289" i="4"/>
  <c r="L289" i="4"/>
  <c r="K289" i="4"/>
  <c r="J289" i="4"/>
  <c r="W288" i="4"/>
  <c r="AR288" i="4"/>
  <c r="AQ288" i="4"/>
  <c r="AP288" i="4"/>
  <c r="AO288" i="4"/>
  <c r="AN288" i="4"/>
  <c r="AM288" i="4"/>
  <c r="AL288" i="4"/>
  <c r="W282" i="4"/>
  <c r="W281" i="4" s="1"/>
  <c r="V282" i="4"/>
  <c r="V281" i="4" s="1"/>
  <c r="U282" i="4"/>
  <c r="U281" i="4" s="1"/>
  <c r="T282" i="4"/>
  <c r="T281" i="4" s="1"/>
  <c r="S282" i="4"/>
  <c r="S281" i="4" s="1"/>
  <c r="R282" i="4"/>
  <c r="R281" i="4" s="1"/>
  <c r="Q282" i="4"/>
  <c r="Q281" i="4" s="1"/>
  <c r="P282" i="4"/>
  <c r="P281" i="4" s="1"/>
  <c r="O282" i="4"/>
  <c r="O281" i="4" s="1"/>
  <c r="N282" i="4"/>
  <c r="N281" i="4" s="1"/>
  <c r="M282" i="4"/>
  <c r="M281" i="4" s="1"/>
  <c r="L282" i="4"/>
  <c r="L281" i="4" s="1"/>
  <c r="K282" i="4"/>
  <c r="K281" i="4" s="1"/>
  <c r="AR281" i="4"/>
  <c r="AQ281" i="4"/>
  <c r="AP281" i="4"/>
  <c r="AO281" i="4"/>
  <c r="AN281" i="4"/>
  <c r="AM281" i="4"/>
  <c r="W280" i="4"/>
  <c r="V280" i="4"/>
  <c r="U280" i="4"/>
  <c r="T280" i="4"/>
  <c r="S280" i="4"/>
  <c r="R280" i="4"/>
  <c r="Q280" i="4"/>
  <c r="P280" i="4"/>
  <c r="O280" i="4"/>
  <c r="N280" i="4"/>
  <c r="M280" i="4"/>
  <c r="L280" i="4"/>
  <c r="K280" i="4"/>
  <c r="W279" i="4"/>
  <c r="V279" i="4"/>
  <c r="U279" i="4"/>
  <c r="T279" i="4"/>
  <c r="Q279" i="4"/>
  <c r="P279" i="4"/>
  <c r="O279" i="4"/>
  <c r="N279" i="4"/>
  <c r="M279" i="4"/>
  <c r="L279" i="4"/>
  <c r="K279" i="4"/>
  <c r="AR278" i="4"/>
  <c r="AQ278" i="4"/>
  <c r="AP278" i="4"/>
  <c r="AO278" i="4"/>
  <c r="AN278" i="4"/>
  <c r="AM278" i="4"/>
  <c r="W277" i="4"/>
  <c r="V277" i="4"/>
  <c r="U277" i="4"/>
  <c r="T277" i="4"/>
  <c r="S277" i="4"/>
  <c r="R277" i="4"/>
  <c r="Q277" i="4"/>
  <c r="P277" i="4"/>
  <c r="O277" i="4"/>
  <c r="N277" i="4"/>
  <c r="M277" i="4"/>
  <c r="L277" i="4"/>
  <c r="K277" i="4"/>
  <c r="W276" i="4"/>
  <c r="V276" i="4"/>
  <c r="U276" i="4"/>
  <c r="T276" i="4"/>
  <c r="S276" i="4"/>
  <c r="R276" i="4"/>
  <c r="Q276" i="4"/>
  <c r="P276" i="4"/>
  <c r="O276" i="4"/>
  <c r="N276" i="4"/>
  <c r="M276" i="4"/>
  <c r="L276" i="4"/>
  <c r="K276" i="4"/>
  <c r="W275" i="4"/>
  <c r="V275" i="4"/>
  <c r="U275" i="4"/>
  <c r="T275" i="4"/>
  <c r="S275" i="4"/>
  <c r="R275" i="4"/>
  <c r="Q275" i="4"/>
  <c r="P275" i="4"/>
  <c r="O275" i="4"/>
  <c r="N275" i="4"/>
  <c r="M275" i="4"/>
  <c r="L275" i="4"/>
  <c r="K275" i="4"/>
  <c r="W274" i="4"/>
  <c r="V274" i="4"/>
  <c r="U274" i="4"/>
  <c r="T274" i="4"/>
  <c r="S274" i="4"/>
  <c r="R274" i="4"/>
  <c r="Q274" i="4"/>
  <c r="P274" i="4"/>
  <c r="O274" i="4"/>
  <c r="N274" i="4"/>
  <c r="M274" i="4"/>
  <c r="L274" i="4"/>
  <c r="K274" i="4"/>
  <c r="AR273" i="4"/>
  <c r="G38" i="9" s="1"/>
  <c r="AQ273" i="4"/>
  <c r="AP273" i="4"/>
  <c r="AO273" i="4"/>
  <c r="AN273" i="4"/>
  <c r="AM273" i="4"/>
  <c r="AL273" i="4"/>
  <c r="AL272" i="4" s="1"/>
  <c r="W270" i="4"/>
  <c r="V270" i="4"/>
  <c r="U270" i="4"/>
  <c r="T270" i="4"/>
  <c r="S270" i="4"/>
  <c r="R270" i="4"/>
  <c r="Q270" i="4"/>
  <c r="P270" i="4"/>
  <c r="O270" i="4"/>
  <c r="N270" i="4"/>
  <c r="M270" i="4"/>
  <c r="L270" i="4"/>
  <c r="K270" i="4"/>
  <c r="AL269" i="4"/>
  <c r="AL244" i="4" s="1"/>
  <c r="W268" i="4"/>
  <c r="V268" i="4"/>
  <c r="U268" i="4"/>
  <c r="T268" i="4"/>
  <c r="S268" i="4"/>
  <c r="R268" i="4"/>
  <c r="Q268" i="4"/>
  <c r="P268" i="4"/>
  <c r="O268" i="4"/>
  <c r="N268" i="4"/>
  <c r="M268" i="4"/>
  <c r="L268" i="4"/>
  <c r="K268" i="4"/>
  <c r="W266" i="4"/>
  <c r="V266" i="4"/>
  <c r="U266" i="4"/>
  <c r="T266" i="4"/>
  <c r="S266" i="4"/>
  <c r="R266" i="4"/>
  <c r="Q266" i="4"/>
  <c r="P266" i="4"/>
  <c r="O266" i="4"/>
  <c r="N266" i="4"/>
  <c r="M266" i="4"/>
  <c r="L266" i="4"/>
  <c r="K266" i="4"/>
  <c r="W265" i="4"/>
  <c r="V265" i="4"/>
  <c r="U265" i="4"/>
  <c r="T265" i="4"/>
  <c r="S265" i="4"/>
  <c r="R265" i="4"/>
  <c r="Q265" i="4"/>
  <c r="P265" i="4"/>
  <c r="O265" i="4"/>
  <c r="N265" i="4"/>
  <c r="M265" i="4"/>
  <c r="L265" i="4"/>
  <c r="K265" i="4"/>
  <c r="W264" i="4"/>
  <c r="V264" i="4"/>
  <c r="U264" i="4"/>
  <c r="T264" i="4"/>
  <c r="S264" i="4"/>
  <c r="R264" i="4"/>
  <c r="Q264" i="4"/>
  <c r="P264" i="4"/>
  <c r="O264" i="4"/>
  <c r="N264" i="4"/>
  <c r="M264" i="4"/>
  <c r="L264" i="4"/>
  <c r="K264" i="4"/>
  <c r="W263" i="4"/>
  <c r="V263" i="4"/>
  <c r="U263" i="4"/>
  <c r="T263" i="4"/>
  <c r="S263" i="4"/>
  <c r="R263" i="4"/>
  <c r="Q263" i="4"/>
  <c r="P263" i="4"/>
  <c r="O263" i="4"/>
  <c r="N263" i="4"/>
  <c r="M263" i="4"/>
  <c r="L263" i="4"/>
  <c r="K263" i="4"/>
  <c r="W262" i="4"/>
  <c r="V262" i="4"/>
  <c r="U262" i="4"/>
  <c r="T262" i="4"/>
  <c r="S262" i="4"/>
  <c r="R262" i="4"/>
  <c r="Q262" i="4"/>
  <c r="P262" i="4"/>
  <c r="O262" i="4"/>
  <c r="N262" i="4"/>
  <c r="M262" i="4"/>
  <c r="L262" i="4"/>
  <c r="K262" i="4"/>
  <c r="W261" i="4"/>
  <c r="V261" i="4"/>
  <c r="U261" i="4"/>
  <c r="T261" i="4"/>
  <c r="S261" i="4"/>
  <c r="R261" i="4"/>
  <c r="Q261" i="4"/>
  <c r="P261" i="4"/>
  <c r="O261" i="4"/>
  <c r="N261" i="4"/>
  <c r="M261" i="4"/>
  <c r="L261" i="4"/>
  <c r="K261" i="4"/>
  <c r="W260" i="4"/>
  <c r="V260" i="4"/>
  <c r="U260" i="4"/>
  <c r="T260" i="4"/>
  <c r="S260" i="4"/>
  <c r="R260" i="4"/>
  <c r="Q260" i="4"/>
  <c r="P260" i="4"/>
  <c r="O260" i="4"/>
  <c r="N260" i="4"/>
  <c r="M260" i="4"/>
  <c r="L260" i="4"/>
  <c r="K260" i="4"/>
  <c r="W259" i="4"/>
  <c r="V259" i="4"/>
  <c r="U259" i="4"/>
  <c r="T259" i="4"/>
  <c r="S259" i="4"/>
  <c r="R259" i="4"/>
  <c r="Q259" i="4"/>
  <c r="P259" i="4"/>
  <c r="O259" i="4"/>
  <c r="N259" i="4"/>
  <c r="M259" i="4"/>
  <c r="L259" i="4"/>
  <c r="K259" i="4"/>
  <c r="W258" i="4"/>
  <c r="V258" i="4"/>
  <c r="U258" i="4"/>
  <c r="T258" i="4"/>
  <c r="S258" i="4"/>
  <c r="R258" i="4"/>
  <c r="Q258" i="4"/>
  <c r="P258" i="4"/>
  <c r="O258" i="4"/>
  <c r="N258" i="4"/>
  <c r="M258" i="4"/>
  <c r="L258" i="4"/>
  <c r="K258" i="4"/>
  <c r="W257" i="4"/>
  <c r="V257" i="4"/>
  <c r="U257" i="4"/>
  <c r="T257" i="4"/>
  <c r="S257" i="4"/>
  <c r="R257" i="4"/>
  <c r="Q257" i="4"/>
  <c r="P257" i="4"/>
  <c r="O257" i="4"/>
  <c r="N257" i="4"/>
  <c r="M257" i="4"/>
  <c r="L257" i="4"/>
  <c r="K257" i="4"/>
  <c r="O20" i="9"/>
  <c r="AN256" i="4"/>
  <c r="AM256" i="4"/>
  <c r="AL256" i="4"/>
  <c r="W255" i="4"/>
  <c r="V255" i="4"/>
  <c r="U255" i="4"/>
  <c r="T255" i="4"/>
  <c r="S255" i="4"/>
  <c r="R255" i="4"/>
  <c r="Q255" i="4"/>
  <c r="P255" i="4"/>
  <c r="O255" i="4"/>
  <c r="N255" i="4"/>
  <c r="M255" i="4"/>
  <c r="L255" i="4"/>
  <c r="K255" i="4"/>
  <c r="W254" i="4"/>
  <c r="V254" i="4"/>
  <c r="U254" i="4"/>
  <c r="T254" i="4"/>
  <c r="S254" i="4"/>
  <c r="R254" i="4"/>
  <c r="Q254" i="4"/>
  <c r="P254" i="4"/>
  <c r="O254" i="4"/>
  <c r="N254" i="4"/>
  <c r="M254" i="4"/>
  <c r="L254" i="4"/>
  <c r="K254" i="4"/>
  <c r="W253" i="4"/>
  <c r="V253" i="4"/>
  <c r="U253" i="4"/>
  <c r="T253" i="4"/>
  <c r="S253" i="4"/>
  <c r="R253" i="4"/>
  <c r="Q253" i="4"/>
  <c r="P253" i="4"/>
  <c r="O253" i="4"/>
  <c r="N253" i="4"/>
  <c r="M253" i="4"/>
  <c r="L253" i="4"/>
  <c r="K253" i="4"/>
  <c r="W252" i="4"/>
  <c r="V252" i="4"/>
  <c r="U252" i="4"/>
  <c r="T252" i="4"/>
  <c r="S252" i="4"/>
  <c r="R252" i="4"/>
  <c r="Q252" i="4"/>
  <c r="P252" i="4"/>
  <c r="O252" i="4"/>
  <c r="N252" i="4"/>
  <c r="M252" i="4"/>
  <c r="L252" i="4"/>
  <c r="K252" i="4"/>
  <c r="W251" i="4"/>
  <c r="V251" i="4"/>
  <c r="U251" i="4"/>
  <c r="T251" i="4"/>
  <c r="S251" i="4"/>
  <c r="R251" i="4"/>
  <c r="Q251" i="4"/>
  <c r="P251" i="4"/>
  <c r="O251" i="4"/>
  <c r="N251" i="4"/>
  <c r="M251" i="4"/>
  <c r="L251" i="4"/>
  <c r="K251" i="4"/>
  <c r="AN250" i="4"/>
  <c r="AM250" i="4"/>
  <c r="AL250" i="4"/>
  <c r="W249" i="4"/>
  <c r="V249" i="4"/>
  <c r="U249" i="4"/>
  <c r="T249" i="4"/>
  <c r="S249" i="4"/>
  <c r="R249" i="4"/>
  <c r="Q249" i="4"/>
  <c r="P249" i="4"/>
  <c r="O249" i="4"/>
  <c r="N249" i="4"/>
  <c r="M249" i="4"/>
  <c r="L249" i="4"/>
  <c r="K249" i="4"/>
  <c r="W248" i="4"/>
  <c r="V248" i="4"/>
  <c r="U248" i="4"/>
  <c r="T248" i="4"/>
  <c r="S248" i="4"/>
  <c r="R248" i="4"/>
  <c r="Q248" i="4"/>
  <c r="P248" i="4"/>
  <c r="O248" i="4"/>
  <c r="N248" i="4"/>
  <c r="M248" i="4"/>
  <c r="L248" i="4"/>
  <c r="K248" i="4"/>
  <c r="W247" i="4"/>
  <c r="V247" i="4"/>
  <c r="U247" i="4"/>
  <c r="T247" i="4"/>
  <c r="S247" i="4"/>
  <c r="R247" i="4"/>
  <c r="Q247" i="4"/>
  <c r="P247" i="4"/>
  <c r="O247" i="4"/>
  <c r="N247" i="4"/>
  <c r="M247" i="4"/>
  <c r="L247" i="4"/>
  <c r="K247" i="4"/>
  <c r="W246" i="4"/>
  <c r="V246" i="4"/>
  <c r="U246" i="4"/>
  <c r="T246" i="4"/>
  <c r="S246" i="4"/>
  <c r="R246" i="4"/>
  <c r="Q246" i="4"/>
  <c r="P246" i="4"/>
  <c r="O246" i="4"/>
  <c r="N246" i="4"/>
  <c r="M246" i="4"/>
  <c r="L246" i="4"/>
  <c r="K246" i="4"/>
  <c r="AN245" i="4"/>
  <c r="AM245" i="4"/>
  <c r="AL245" i="4"/>
  <c r="J245" i="4"/>
  <c r="W235" i="4"/>
  <c r="W234" i="4" s="1"/>
  <c r="V235" i="4"/>
  <c r="V234" i="4" s="1"/>
  <c r="U235" i="4"/>
  <c r="U234" i="4" s="1"/>
  <c r="T235" i="4"/>
  <c r="T234" i="4" s="1"/>
  <c r="S235" i="4"/>
  <c r="S234" i="4" s="1"/>
  <c r="R235" i="4"/>
  <c r="R234" i="4" s="1"/>
  <c r="Q235" i="4"/>
  <c r="Q234" i="4" s="1"/>
  <c r="P235" i="4"/>
  <c r="P234" i="4" s="1"/>
  <c r="O235" i="4"/>
  <c r="O234" i="4" s="1"/>
  <c r="N235" i="4"/>
  <c r="N234" i="4" s="1"/>
  <c r="M235" i="4"/>
  <c r="M234" i="4" s="1"/>
  <c r="L235" i="4"/>
  <c r="L234" i="4" s="1"/>
  <c r="K235" i="4"/>
  <c r="K234" i="4" s="1"/>
  <c r="J235" i="4"/>
  <c r="J234" i="4" s="1"/>
  <c r="I235" i="4"/>
  <c r="I234" i="4" s="1"/>
  <c r="AR234" i="4"/>
  <c r="AQ234" i="4"/>
  <c r="AP234" i="4"/>
  <c r="AO234" i="4"/>
  <c r="AN234" i="4"/>
  <c r="AM234" i="4"/>
  <c r="AL234" i="4"/>
  <c r="W233" i="4"/>
  <c r="V233" i="4"/>
  <c r="U233" i="4"/>
  <c r="T233" i="4"/>
  <c r="S233" i="4"/>
  <c r="R233" i="4"/>
  <c r="Q233" i="4"/>
  <c r="P233" i="4"/>
  <c r="O233" i="4"/>
  <c r="N233" i="4"/>
  <c r="M233" i="4"/>
  <c r="L233" i="4"/>
  <c r="K233" i="4"/>
  <c r="J233" i="4"/>
  <c r="I233" i="4"/>
  <c r="W232" i="4"/>
  <c r="V232" i="4"/>
  <c r="U232" i="4"/>
  <c r="T232" i="4"/>
  <c r="S232" i="4"/>
  <c r="R232" i="4"/>
  <c r="Q232" i="4"/>
  <c r="P232" i="4"/>
  <c r="O232" i="4"/>
  <c r="N232" i="4"/>
  <c r="M232" i="4"/>
  <c r="L232" i="4"/>
  <c r="K232" i="4"/>
  <c r="J232" i="4"/>
  <c r="I232" i="4"/>
  <c r="AR231" i="4"/>
  <c r="AQ231" i="4"/>
  <c r="AP231" i="4"/>
  <c r="AO231" i="4"/>
  <c r="AN231" i="4"/>
  <c r="AM231" i="4"/>
  <c r="AL231" i="4"/>
  <c r="W230" i="4"/>
  <c r="V230" i="4"/>
  <c r="U230" i="4"/>
  <c r="T230" i="4"/>
  <c r="S230" i="4"/>
  <c r="R230" i="4"/>
  <c r="Q230" i="4"/>
  <c r="P230" i="4"/>
  <c r="O230" i="4"/>
  <c r="N230" i="4"/>
  <c r="M230" i="4"/>
  <c r="L230" i="4"/>
  <c r="K230" i="4"/>
  <c r="J230" i="4"/>
  <c r="I230" i="4"/>
  <c r="W229" i="4"/>
  <c r="V229" i="4"/>
  <c r="U229" i="4"/>
  <c r="T229" i="4"/>
  <c r="S229" i="4"/>
  <c r="R229" i="4"/>
  <c r="Q229" i="4"/>
  <c r="P229" i="4"/>
  <c r="O229" i="4"/>
  <c r="N229" i="4"/>
  <c r="M229" i="4"/>
  <c r="L229" i="4"/>
  <c r="K229" i="4"/>
  <c r="J229" i="4"/>
  <c r="I229" i="4"/>
  <c r="W228" i="4"/>
  <c r="V228" i="4"/>
  <c r="U228" i="4"/>
  <c r="T228" i="4"/>
  <c r="S228" i="4"/>
  <c r="R228" i="4"/>
  <c r="Q228" i="4"/>
  <c r="P228" i="4"/>
  <c r="O228" i="4"/>
  <c r="N228" i="4"/>
  <c r="M228" i="4"/>
  <c r="L228" i="4"/>
  <c r="K228" i="4"/>
  <c r="J228" i="4"/>
  <c r="I228" i="4"/>
  <c r="W227" i="4"/>
  <c r="V227" i="4"/>
  <c r="U227" i="4"/>
  <c r="T227" i="4"/>
  <c r="S227" i="4"/>
  <c r="R227" i="4"/>
  <c r="Q227" i="4"/>
  <c r="P227" i="4"/>
  <c r="O227" i="4"/>
  <c r="N227" i="4"/>
  <c r="M227" i="4"/>
  <c r="L227" i="4"/>
  <c r="K227" i="4"/>
  <c r="J227" i="4"/>
  <c r="I227" i="4"/>
  <c r="AQ226" i="4"/>
  <c r="AP226" i="4"/>
  <c r="AO226" i="4"/>
  <c r="AN226" i="4"/>
  <c r="AM226" i="4"/>
  <c r="AL226" i="4"/>
  <c r="W223" i="4"/>
  <c r="V223" i="4"/>
  <c r="U223" i="4"/>
  <c r="T223" i="4"/>
  <c r="S223" i="4"/>
  <c r="R223" i="4"/>
  <c r="Q223" i="4"/>
  <c r="P223" i="4"/>
  <c r="O223" i="4"/>
  <c r="N223" i="4"/>
  <c r="M223" i="4"/>
  <c r="L223" i="4"/>
  <c r="K223" i="4"/>
  <c r="J223" i="4"/>
  <c r="I223" i="4"/>
  <c r="W221" i="4"/>
  <c r="V221" i="4"/>
  <c r="U221" i="4"/>
  <c r="T221" i="4"/>
  <c r="S221" i="4"/>
  <c r="R221" i="4"/>
  <c r="Q221" i="4"/>
  <c r="P221" i="4"/>
  <c r="O221" i="4"/>
  <c r="N221" i="4"/>
  <c r="M221" i="4"/>
  <c r="L221" i="4"/>
  <c r="K221" i="4"/>
  <c r="J221" i="4"/>
  <c r="I221" i="4"/>
  <c r="W219" i="4"/>
  <c r="V219" i="4"/>
  <c r="U219" i="4"/>
  <c r="T219" i="4"/>
  <c r="S219" i="4"/>
  <c r="R219" i="4"/>
  <c r="Q219" i="4"/>
  <c r="P219" i="4"/>
  <c r="O219" i="4"/>
  <c r="N219" i="4"/>
  <c r="M219" i="4"/>
  <c r="L219" i="4"/>
  <c r="K219" i="4"/>
  <c r="J219" i="4"/>
  <c r="I219" i="4"/>
  <c r="W218" i="4"/>
  <c r="V218" i="4"/>
  <c r="U218" i="4"/>
  <c r="T218" i="4"/>
  <c r="S218" i="4"/>
  <c r="R218" i="4"/>
  <c r="Q218" i="4"/>
  <c r="P218" i="4"/>
  <c r="O218" i="4"/>
  <c r="N218" i="4"/>
  <c r="M218" i="4"/>
  <c r="L218" i="4"/>
  <c r="K218" i="4"/>
  <c r="J218" i="4"/>
  <c r="I218" i="4"/>
  <c r="W217" i="4"/>
  <c r="V217" i="4"/>
  <c r="U217" i="4"/>
  <c r="T217" i="4"/>
  <c r="S217" i="4"/>
  <c r="R217" i="4"/>
  <c r="Q217" i="4"/>
  <c r="P217" i="4"/>
  <c r="O217" i="4"/>
  <c r="N217" i="4"/>
  <c r="M217" i="4"/>
  <c r="L217" i="4"/>
  <c r="K217" i="4"/>
  <c r="J217" i="4"/>
  <c r="I217" i="4"/>
  <c r="W216" i="4"/>
  <c r="V216" i="4"/>
  <c r="U216" i="4"/>
  <c r="T216" i="4"/>
  <c r="S216" i="4"/>
  <c r="R216" i="4"/>
  <c r="Q216" i="4"/>
  <c r="P216" i="4"/>
  <c r="O216" i="4"/>
  <c r="N216" i="4"/>
  <c r="M216" i="4"/>
  <c r="L216" i="4"/>
  <c r="K216" i="4"/>
  <c r="J216" i="4"/>
  <c r="I216" i="4"/>
  <c r="W215" i="4"/>
  <c r="V215" i="4"/>
  <c r="U215" i="4"/>
  <c r="T215" i="4"/>
  <c r="S215" i="4"/>
  <c r="R215" i="4"/>
  <c r="Q215" i="4"/>
  <c r="P215" i="4"/>
  <c r="O215" i="4"/>
  <c r="N215" i="4"/>
  <c r="M215" i="4"/>
  <c r="L215" i="4"/>
  <c r="K215" i="4"/>
  <c r="J215" i="4"/>
  <c r="I215" i="4"/>
  <c r="W214" i="4"/>
  <c r="V214" i="4"/>
  <c r="U214" i="4"/>
  <c r="T214" i="4"/>
  <c r="S214" i="4"/>
  <c r="R214" i="4"/>
  <c r="Q214" i="4"/>
  <c r="P214" i="4"/>
  <c r="O214" i="4"/>
  <c r="N214" i="4"/>
  <c r="M214" i="4"/>
  <c r="L214" i="4"/>
  <c r="K214" i="4"/>
  <c r="J214" i="4"/>
  <c r="I214" i="4"/>
  <c r="W213" i="4"/>
  <c r="V213" i="4"/>
  <c r="U213" i="4"/>
  <c r="T213" i="4"/>
  <c r="S213" i="4"/>
  <c r="R213" i="4"/>
  <c r="Q213" i="4"/>
  <c r="P213" i="4"/>
  <c r="O213" i="4"/>
  <c r="N213" i="4"/>
  <c r="M213" i="4"/>
  <c r="L213" i="4"/>
  <c r="K213" i="4"/>
  <c r="J213" i="4"/>
  <c r="I213" i="4"/>
  <c r="W212" i="4"/>
  <c r="V212" i="4"/>
  <c r="U212" i="4"/>
  <c r="T212" i="4"/>
  <c r="S212" i="4"/>
  <c r="R212" i="4"/>
  <c r="Q212" i="4"/>
  <c r="P212" i="4"/>
  <c r="O212" i="4"/>
  <c r="N212" i="4"/>
  <c r="M212" i="4"/>
  <c r="L212" i="4"/>
  <c r="K212" i="4"/>
  <c r="J212" i="4"/>
  <c r="I212" i="4"/>
  <c r="W211" i="4"/>
  <c r="V211" i="4"/>
  <c r="U211" i="4"/>
  <c r="T211" i="4"/>
  <c r="S211" i="4"/>
  <c r="R211" i="4"/>
  <c r="Q211" i="4"/>
  <c r="P211" i="4"/>
  <c r="O211" i="4"/>
  <c r="N211" i="4"/>
  <c r="M211" i="4"/>
  <c r="L211" i="4"/>
  <c r="K211" i="4"/>
  <c r="J211" i="4"/>
  <c r="I211" i="4"/>
  <c r="W210" i="4"/>
  <c r="V210" i="4"/>
  <c r="U210" i="4"/>
  <c r="T210" i="4"/>
  <c r="S210" i="4"/>
  <c r="R210" i="4"/>
  <c r="Q210" i="4"/>
  <c r="P210" i="4"/>
  <c r="O210" i="4"/>
  <c r="N210" i="4"/>
  <c r="M210" i="4"/>
  <c r="L210" i="4"/>
  <c r="K210" i="4"/>
  <c r="J210" i="4"/>
  <c r="I210" i="4"/>
  <c r="AN209" i="4"/>
  <c r="AM209" i="4"/>
  <c r="AL209" i="4"/>
  <c r="W208" i="4"/>
  <c r="V208" i="4"/>
  <c r="U208" i="4"/>
  <c r="T208" i="4"/>
  <c r="S208" i="4"/>
  <c r="R208" i="4"/>
  <c r="Q208" i="4"/>
  <c r="P208" i="4"/>
  <c r="O208" i="4"/>
  <c r="N208" i="4"/>
  <c r="M208" i="4"/>
  <c r="L208" i="4"/>
  <c r="K208" i="4"/>
  <c r="J208" i="4"/>
  <c r="I208" i="4"/>
  <c r="W207" i="4"/>
  <c r="V207" i="4"/>
  <c r="U207" i="4"/>
  <c r="T207" i="4"/>
  <c r="S207" i="4"/>
  <c r="R207" i="4"/>
  <c r="Q207" i="4"/>
  <c r="P207" i="4"/>
  <c r="O207" i="4"/>
  <c r="N207" i="4"/>
  <c r="M207" i="4"/>
  <c r="L207" i="4"/>
  <c r="K207" i="4"/>
  <c r="J207" i="4"/>
  <c r="I207" i="4"/>
  <c r="W206" i="4"/>
  <c r="V206" i="4"/>
  <c r="U206" i="4"/>
  <c r="T206" i="4"/>
  <c r="S206" i="4"/>
  <c r="R206" i="4"/>
  <c r="Q206" i="4"/>
  <c r="P206" i="4"/>
  <c r="O206" i="4"/>
  <c r="N206" i="4"/>
  <c r="M206" i="4"/>
  <c r="L206" i="4"/>
  <c r="K206" i="4"/>
  <c r="J206" i="4"/>
  <c r="I206" i="4"/>
  <c r="W205" i="4"/>
  <c r="V205" i="4"/>
  <c r="U205" i="4"/>
  <c r="T205" i="4"/>
  <c r="S205" i="4"/>
  <c r="R205" i="4"/>
  <c r="Q205" i="4"/>
  <c r="P205" i="4"/>
  <c r="O205" i="4"/>
  <c r="N205" i="4"/>
  <c r="M205" i="4"/>
  <c r="L205" i="4"/>
  <c r="K205" i="4"/>
  <c r="J205" i="4"/>
  <c r="I205" i="4"/>
  <c r="W204" i="4"/>
  <c r="V204" i="4"/>
  <c r="U204" i="4"/>
  <c r="T204" i="4"/>
  <c r="S204" i="4"/>
  <c r="R204" i="4"/>
  <c r="Q204" i="4"/>
  <c r="P204" i="4"/>
  <c r="O204" i="4"/>
  <c r="N204" i="4"/>
  <c r="M204" i="4"/>
  <c r="L204" i="4"/>
  <c r="K204" i="4"/>
  <c r="J204" i="4"/>
  <c r="I204" i="4"/>
  <c r="AN203" i="4"/>
  <c r="AN220" i="4" s="1"/>
  <c r="AM203" i="4"/>
  <c r="AL203" i="4"/>
  <c r="W202" i="4"/>
  <c r="V202" i="4"/>
  <c r="U202" i="4"/>
  <c r="T202" i="4"/>
  <c r="S202" i="4"/>
  <c r="R202" i="4"/>
  <c r="Q202" i="4"/>
  <c r="P202" i="4"/>
  <c r="O202" i="4"/>
  <c r="N202" i="4"/>
  <c r="M202" i="4"/>
  <c r="L202" i="4"/>
  <c r="K202" i="4"/>
  <c r="J202" i="4"/>
  <c r="I202" i="4"/>
  <c r="W201" i="4"/>
  <c r="V201" i="4"/>
  <c r="U201" i="4"/>
  <c r="T201" i="4"/>
  <c r="S201" i="4"/>
  <c r="R201" i="4"/>
  <c r="Q201" i="4"/>
  <c r="P201" i="4"/>
  <c r="O201" i="4"/>
  <c r="N201" i="4"/>
  <c r="M201" i="4"/>
  <c r="L201" i="4"/>
  <c r="K201" i="4"/>
  <c r="J201" i="4"/>
  <c r="I201" i="4"/>
  <c r="W200" i="4"/>
  <c r="V200" i="4"/>
  <c r="U200" i="4"/>
  <c r="T200" i="4"/>
  <c r="S200" i="4"/>
  <c r="R200" i="4"/>
  <c r="Q200" i="4"/>
  <c r="P200" i="4"/>
  <c r="O200" i="4"/>
  <c r="N200" i="4"/>
  <c r="M200" i="4"/>
  <c r="L200" i="4"/>
  <c r="K200" i="4"/>
  <c r="J200" i="4"/>
  <c r="I200" i="4"/>
  <c r="W199" i="4"/>
  <c r="V199" i="4"/>
  <c r="U199" i="4"/>
  <c r="T199" i="4"/>
  <c r="S199" i="4"/>
  <c r="R199" i="4"/>
  <c r="Q199" i="4"/>
  <c r="P199" i="4"/>
  <c r="O199" i="4"/>
  <c r="N199" i="4"/>
  <c r="M199" i="4"/>
  <c r="L199" i="4"/>
  <c r="K199" i="4"/>
  <c r="J199" i="4"/>
  <c r="I199" i="4"/>
  <c r="H198" i="4"/>
  <c r="G198" i="4"/>
  <c r="F198" i="4"/>
  <c r="AA189" i="4"/>
  <c r="Z189" i="4"/>
  <c r="Z11" i="4" s="1"/>
  <c r="Y189" i="4"/>
  <c r="X189" i="4"/>
  <c r="X11" i="4" s="1"/>
  <c r="W189" i="4"/>
  <c r="V189" i="4"/>
  <c r="U189" i="4"/>
  <c r="T189" i="4"/>
  <c r="T11" i="4" s="1"/>
  <c r="S189" i="4"/>
  <c r="S11" i="4" s="1"/>
  <c r="R189" i="4"/>
  <c r="Q189" i="4"/>
  <c r="P189" i="4"/>
  <c r="P11" i="4" s="1"/>
  <c r="O189" i="4"/>
  <c r="N189" i="4"/>
  <c r="M189" i="4"/>
  <c r="L189" i="4"/>
  <c r="L11" i="4" s="1"/>
  <c r="K189" i="4"/>
  <c r="J189" i="4"/>
  <c r="G188" i="4"/>
  <c r="F188" i="4"/>
  <c r="AM145" i="4"/>
  <c r="AM144" i="4"/>
  <c r="AM143" i="4"/>
  <c r="AM142" i="4"/>
  <c r="AM141" i="4"/>
  <c r="AM140" i="4"/>
  <c r="AM139" i="4"/>
  <c r="AM138" i="4"/>
  <c r="AM137" i="4"/>
  <c r="AM136" i="4"/>
  <c r="AM135" i="4"/>
  <c r="AM134" i="4"/>
  <c r="AM133" i="4"/>
  <c r="AM132" i="4"/>
  <c r="AM130" i="4"/>
  <c r="AM129" i="4"/>
  <c r="AM128" i="4"/>
  <c r="AM127" i="4"/>
  <c r="AM126" i="4"/>
  <c r="AM124" i="4"/>
  <c r="AM123" i="4"/>
  <c r="AM122" i="4"/>
  <c r="AM121" i="4"/>
  <c r="AM116" i="4"/>
  <c r="AL116" i="4"/>
  <c r="AZ114" i="4"/>
  <c r="AY114" i="4"/>
  <c r="AX114" i="4"/>
  <c r="AW114" i="4"/>
  <c r="AV114" i="4"/>
  <c r="AU114" i="4"/>
  <c r="AT114" i="4"/>
  <c r="AS114" i="4"/>
  <c r="AR114" i="4"/>
  <c r="AQ114" i="4"/>
  <c r="AP114" i="4"/>
  <c r="AO114" i="4"/>
  <c r="AN114" i="4"/>
  <c r="J114" i="4"/>
  <c r="J113" i="4"/>
  <c r="AZ112" i="4"/>
  <c r="AY112" i="4"/>
  <c r="AX112" i="4"/>
  <c r="AW112" i="4"/>
  <c r="AV112" i="4"/>
  <c r="AU112" i="4"/>
  <c r="AT112" i="4"/>
  <c r="AS112" i="4"/>
  <c r="AR112" i="4"/>
  <c r="AQ112" i="4"/>
  <c r="AP112" i="4"/>
  <c r="AO112" i="4"/>
  <c r="AN112" i="4"/>
  <c r="J112" i="4"/>
  <c r="J111" i="4"/>
  <c r="AZ110" i="4"/>
  <c r="AY110" i="4"/>
  <c r="AX110" i="4"/>
  <c r="AW110" i="4"/>
  <c r="AV110" i="4"/>
  <c r="AU110" i="4"/>
  <c r="AT110" i="4"/>
  <c r="AS110" i="4"/>
  <c r="AR110" i="4"/>
  <c r="AQ110" i="4"/>
  <c r="AP110" i="4"/>
  <c r="AO110" i="4"/>
  <c r="AN110" i="4"/>
  <c r="J110" i="4"/>
  <c r="AZ109" i="4"/>
  <c r="AY109" i="4"/>
  <c r="AX109" i="4"/>
  <c r="AW109" i="4"/>
  <c r="AV109" i="4"/>
  <c r="AU109" i="4"/>
  <c r="AT109" i="4"/>
  <c r="AS109" i="4"/>
  <c r="AR109" i="4"/>
  <c r="AQ109" i="4"/>
  <c r="AP109" i="4"/>
  <c r="AO109" i="4"/>
  <c r="AN109" i="4"/>
  <c r="J109" i="4"/>
  <c r="AZ108" i="4"/>
  <c r="AY108" i="4"/>
  <c r="AX108" i="4"/>
  <c r="AW108" i="4"/>
  <c r="AV108" i="4"/>
  <c r="AU108" i="4"/>
  <c r="AT108" i="4"/>
  <c r="AS108" i="4"/>
  <c r="AR108" i="4"/>
  <c r="AQ108" i="4"/>
  <c r="AP108" i="4"/>
  <c r="AO108" i="4"/>
  <c r="AN108" i="4"/>
  <c r="J108" i="4"/>
  <c r="AZ107" i="4"/>
  <c r="AY107" i="4"/>
  <c r="AX107" i="4"/>
  <c r="AW107" i="4"/>
  <c r="AV107" i="4"/>
  <c r="AU107" i="4"/>
  <c r="AT107" i="4"/>
  <c r="AS107" i="4"/>
  <c r="AR107" i="4"/>
  <c r="AQ107" i="4"/>
  <c r="AP107" i="4"/>
  <c r="AO107" i="4"/>
  <c r="AN107" i="4"/>
  <c r="J107" i="4"/>
  <c r="AZ106" i="4"/>
  <c r="AY106" i="4"/>
  <c r="AX106" i="4"/>
  <c r="AW106" i="4"/>
  <c r="AV106" i="4"/>
  <c r="AU106" i="4"/>
  <c r="AT106" i="4"/>
  <c r="AR106" i="4"/>
  <c r="AQ106" i="4"/>
  <c r="AP106" i="4"/>
  <c r="AO106" i="4"/>
  <c r="AN106" i="4"/>
  <c r="J106" i="4"/>
  <c r="AZ105" i="4"/>
  <c r="AY105" i="4"/>
  <c r="AX105" i="4"/>
  <c r="AW105" i="4"/>
  <c r="AV105" i="4"/>
  <c r="AU105" i="4"/>
  <c r="AT105" i="4"/>
  <c r="AS105" i="4"/>
  <c r="AR105" i="4"/>
  <c r="AQ105" i="4"/>
  <c r="AP105" i="4"/>
  <c r="AO105" i="4"/>
  <c r="AN105" i="4"/>
  <c r="J105" i="4"/>
  <c r="AZ104" i="4"/>
  <c r="AY104" i="4"/>
  <c r="AX104" i="4"/>
  <c r="AW104" i="4"/>
  <c r="AV104" i="4"/>
  <c r="AU104" i="4"/>
  <c r="AT104" i="4"/>
  <c r="AS104" i="4"/>
  <c r="AR104" i="4"/>
  <c r="AQ104" i="4"/>
  <c r="AP104" i="4"/>
  <c r="AO104" i="4"/>
  <c r="AN104" i="4"/>
  <c r="J104" i="4"/>
  <c r="AZ103" i="4"/>
  <c r="AY103" i="4"/>
  <c r="AX103" i="4"/>
  <c r="AW103" i="4"/>
  <c r="AV103" i="4"/>
  <c r="AU103" i="4"/>
  <c r="AT103" i="4"/>
  <c r="AS103" i="4"/>
  <c r="AR103" i="4"/>
  <c r="AQ103" i="4"/>
  <c r="AP103" i="4"/>
  <c r="AO103" i="4"/>
  <c r="AN103" i="4"/>
  <c r="J103" i="4"/>
  <c r="AZ102" i="4"/>
  <c r="AY102" i="4"/>
  <c r="AX102" i="4"/>
  <c r="AW102" i="4"/>
  <c r="AV102" i="4"/>
  <c r="AU102" i="4"/>
  <c r="AT102" i="4"/>
  <c r="AS102" i="4"/>
  <c r="AR102" i="4"/>
  <c r="AQ102" i="4"/>
  <c r="AP102" i="4"/>
  <c r="AO102" i="4"/>
  <c r="AN102" i="4"/>
  <c r="J102" i="4"/>
  <c r="AZ101" i="4"/>
  <c r="AY101" i="4"/>
  <c r="AX101" i="4"/>
  <c r="AW101" i="4"/>
  <c r="AV101" i="4"/>
  <c r="AU101" i="4"/>
  <c r="AT101" i="4"/>
  <c r="AS101" i="4"/>
  <c r="AR101" i="4"/>
  <c r="AQ101" i="4"/>
  <c r="AP101" i="4"/>
  <c r="AO101" i="4"/>
  <c r="AN101" i="4"/>
  <c r="J101" i="4"/>
  <c r="AM100" i="4"/>
  <c r="AL100" i="4"/>
  <c r="AZ99" i="4"/>
  <c r="AY99" i="4"/>
  <c r="AX99" i="4"/>
  <c r="AW99" i="4"/>
  <c r="AV99" i="4"/>
  <c r="AU99" i="4"/>
  <c r="AT99" i="4"/>
  <c r="AS99" i="4"/>
  <c r="AR99" i="4"/>
  <c r="AQ99" i="4"/>
  <c r="AP99" i="4"/>
  <c r="AO99" i="4"/>
  <c r="AN99" i="4"/>
  <c r="J99" i="4"/>
  <c r="AZ98" i="4"/>
  <c r="AY98" i="4"/>
  <c r="AX98" i="4"/>
  <c r="AW98" i="4"/>
  <c r="AV98" i="4"/>
  <c r="AT98" i="4"/>
  <c r="AS98" i="4"/>
  <c r="AR98" i="4"/>
  <c r="AQ98" i="4"/>
  <c r="AP98" i="4"/>
  <c r="AO98" i="4"/>
  <c r="AN98" i="4"/>
  <c r="J98" i="4"/>
  <c r="AZ97" i="4"/>
  <c r="AY97" i="4"/>
  <c r="AX97" i="4"/>
  <c r="AW97" i="4"/>
  <c r="AV97" i="4"/>
  <c r="AU97" i="4"/>
  <c r="AT97" i="4"/>
  <c r="AS97" i="4"/>
  <c r="AR97" i="4"/>
  <c r="AQ97" i="4"/>
  <c r="AP97" i="4"/>
  <c r="AO97" i="4"/>
  <c r="AN97" i="4"/>
  <c r="J97" i="4"/>
  <c r="AZ96" i="4"/>
  <c r="AY96" i="4"/>
  <c r="AX96" i="4"/>
  <c r="AW96" i="4"/>
  <c r="AV96" i="4"/>
  <c r="AU96" i="4"/>
  <c r="AT96" i="4"/>
  <c r="AS96" i="4"/>
  <c r="AR96" i="4"/>
  <c r="AQ96" i="4"/>
  <c r="AP96" i="4"/>
  <c r="AO96" i="4"/>
  <c r="AN96" i="4"/>
  <c r="J96" i="4"/>
  <c r="AZ95" i="4"/>
  <c r="AY95" i="4"/>
  <c r="AX95" i="4"/>
  <c r="AW95" i="4"/>
  <c r="AV95" i="4"/>
  <c r="AU95" i="4"/>
  <c r="AT95" i="4"/>
  <c r="AS95" i="4"/>
  <c r="AR95" i="4"/>
  <c r="AQ95" i="4"/>
  <c r="AP95" i="4"/>
  <c r="AO95" i="4"/>
  <c r="AN95" i="4"/>
  <c r="J95" i="4"/>
  <c r="AM94" i="4"/>
  <c r="AL94" i="4"/>
  <c r="AZ93" i="4"/>
  <c r="AY93" i="4"/>
  <c r="AX93" i="4"/>
  <c r="AW93" i="4"/>
  <c r="AV93" i="4"/>
  <c r="AU93" i="4"/>
  <c r="AT93" i="4"/>
  <c r="AS93" i="4"/>
  <c r="AR93" i="4"/>
  <c r="AQ93" i="4"/>
  <c r="AP93" i="4"/>
  <c r="AO93" i="4"/>
  <c r="AN93" i="4"/>
  <c r="J93" i="4"/>
  <c r="AZ92" i="4"/>
  <c r="AY92" i="4"/>
  <c r="AX92" i="4"/>
  <c r="AW92" i="4"/>
  <c r="AV92" i="4"/>
  <c r="AU92" i="4"/>
  <c r="AT92" i="4"/>
  <c r="AS92" i="4"/>
  <c r="AR92" i="4"/>
  <c r="AQ92" i="4"/>
  <c r="AP92" i="4"/>
  <c r="AO92" i="4"/>
  <c r="AN92" i="4"/>
  <c r="J92" i="4"/>
  <c r="AZ91" i="4"/>
  <c r="AY91" i="4"/>
  <c r="AX91" i="4"/>
  <c r="AW91" i="4"/>
  <c r="AV91" i="4"/>
  <c r="AU91" i="4"/>
  <c r="AT91" i="4"/>
  <c r="AS91" i="4"/>
  <c r="AR91" i="4"/>
  <c r="AQ91" i="4"/>
  <c r="AP91" i="4"/>
  <c r="AO91" i="4"/>
  <c r="AN91" i="4"/>
  <c r="J91" i="4"/>
  <c r="AZ90" i="4"/>
  <c r="AY90" i="4"/>
  <c r="AX90" i="4"/>
  <c r="AW90" i="4"/>
  <c r="AV90" i="4"/>
  <c r="AU90" i="4"/>
  <c r="AU89" i="4" s="1"/>
  <c r="AT90" i="4"/>
  <c r="AR90" i="4"/>
  <c r="AQ90" i="4"/>
  <c r="AP90" i="4"/>
  <c r="AO90" i="4"/>
  <c r="AN90" i="4"/>
  <c r="J90" i="4"/>
  <c r="AL82" i="4"/>
  <c r="AZ80" i="4"/>
  <c r="AY80" i="4"/>
  <c r="AX80" i="4"/>
  <c r="AW80" i="4"/>
  <c r="AV80" i="4"/>
  <c r="AU80" i="4"/>
  <c r="AT80" i="4"/>
  <c r="AS80" i="4"/>
  <c r="AR80" i="4"/>
  <c r="AQ80" i="4"/>
  <c r="AP80" i="4"/>
  <c r="AO80" i="4"/>
  <c r="AN80" i="4"/>
  <c r="AM80" i="4"/>
  <c r="J79" i="4"/>
  <c r="AZ78" i="4"/>
  <c r="AY78" i="4"/>
  <c r="AX78" i="4"/>
  <c r="AW78" i="4"/>
  <c r="AV78" i="4"/>
  <c r="AU78" i="4"/>
  <c r="AT78" i="4"/>
  <c r="AS78" i="4"/>
  <c r="AR78" i="4"/>
  <c r="AQ78" i="4"/>
  <c r="AP78" i="4"/>
  <c r="AO78" i="4"/>
  <c r="AN78" i="4"/>
  <c r="J78" i="4"/>
  <c r="J77" i="4"/>
  <c r="AZ76" i="4"/>
  <c r="AY76" i="4"/>
  <c r="AX76" i="4"/>
  <c r="AW76" i="4"/>
  <c r="AV76" i="4"/>
  <c r="AU76" i="4"/>
  <c r="AT76" i="4"/>
  <c r="AS76" i="4"/>
  <c r="AR76" i="4"/>
  <c r="AQ76" i="4"/>
  <c r="AP76" i="4"/>
  <c r="AO76" i="4"/>
  <c r="AN76" i="4"/>
  <c r="J76" i="4"/>
  <c r="AZ75" i="4"/>
  <c r="AY75" i="4"/>
  <c r="AX75" i="4"/>
  <c r="AW75" i="4"/>
  <c r="AV75" i="4"/>
  <c r="AU75" i="4"/>
  <c r="AT75" i="4"/>
  <c r="AS75" i="4"/>
  <c r="AR75" i="4"/>
  <c r="AQ75" i="4"/>
  <c r="AP75" i="4"/>
  <c r="AO75" i="4"/>
  <c r="AN75" i="4"/>
  <c r="J75" i="4"/>
  <c r="AZ74" i="4"/>
  <c r="AY74" i="4"/>
  <c r="AX74" i="4"/>
  <c r="AW74" i="4"/>
  <c r="AV74" i="4"/>
  <c r="AU74" i="4"/>
  <c r="AT74" i="4"/>
  <c r="AS74" i="4"/>
  <c r="AR74" i="4"/>
  <c r="AQ74" i="4"/>
  <c r="AP74" i="4"/>
  <c r="AO74" i="4"/>
  <c r="AN74" i="4"/>
  <c r="J74" i="4"/>
  <c r="AZ73" i="4"/>
  <c r="AY73" i="4"/>
  <c r="AX73" i="4"/>
  <c r="AW73" i="4"/>
  <c r="AV73" i="4"/>
  <c r="AU73" i="4"/>
  <c r="AT73" i="4"/>
  <c r="AS73" i="4"/>
  <c r="AR73" i="4"/>
  <c r="AQ73" i="4"/>
  <c r="AP73" i="4"/>
  <c r="AO73" i="4"/>
  <c r="AN73" i="4"/>
  <c r="J73" i="4"/>
  <c r="AZ72" i="4"/>
  <c r="AY72" i="4"/>
  <c r="AX72" i="4"/>
  <c r="AW72" i="4"/>
  <c r="AV72" i="4"/>
  <c r="AU72" i="4"/>
  <c r="AT72" i="4"/>
  <c r="AS72" i="4"/>
  <c r="AR72" i="4"/>
  <c r="AQ72" i="4"/>
  <c r="AP72" i="4"/>
  <c r="AO72" i="4"/>
  <c r="AN72" i="4"/>
  <c r="J72" i="4"/>
  <c r="AZ71" i="4"/>
  <c r="AY71" i="4"/>
  <c r="AX71" i="4"/>
  <c r="AW71" i="4"/>
  <c r="AV71" i="4"/>
  <c r="AU71" i="4"/>
  <c r="AT71" i="4"/>
  <c r="AS71" i="4"/>
  <c r="AR71" i="4"/>
  <c r="AQ71" i="4"/>
  <c r="AP71" i="4"/>
  <c r="AO71" i="4"/>
  <c r="AN71" i="4"/>
  <c r="J71" i="4"/>
  <c r="AZ70" i="4"/>
  <c r="AY70" i="4"/>
  <c r="AX70" i="4"/>
  <c r="AW70" i="4"/>
  <c r="AV70" i="4"/>
  <c r="AU70" i="4"/>
  <c r="AT70" i="4"/>
  <c r="AS70" i="4"/>
  <c r="AR70" i="4"/>
  <c r="AQ70" i="4"/>
  <c r="AP70" i="4"/>
  <c r="AO70" i="4"/>
  <c r="AN70" i="4"/>
  <c r="J70" i="4"/>
  <c r="AZ69" i="4"/>
  <c r="AY69" i="4"/>
  <c r="AX69" i="4"/>
  <c r="AW69" i="4"/>
  <c r="AV69" i="4"/>
  <c r="AU69" i="4"/>
  <c r="AT69" i="4"/>
  <c r="AS69" i="4"/>
  <c r="AR69" i="4"/>
  <c r="AQ69" i="4"/>
  <c r="AP69" i="4"/>
  <c r="AO69" i="4"/>
  <c r="AN69" i="4"/>
  <c r="J69" i="4"/>
  <c r="AZ68" i="4"/>
  <c r="AY68" i="4"/>
  <c r="AX68" i="4"/>
  <c r="AW68" i="4"/>
  <c r="AV68" i="4"/>
  <c r="AU68" i="4"/>
  <c r="AT68" i="4"/>
  <c r="AS68" i="4"/>
  <c r="AR68" i="4"/>
  <c r="AQ68" i="4"/>
  <c r="AP68" i="4"/>
  <c r="AO68" i="4"/>
  <c r="AN68" i="4"/>
  <c r="J68" i="4"/>
  <c r="AZ67" i="4"/>
  <c r="AY67" i="4"/>
  <c r="AX67" i="4"/>
  <c r="AW67" i="4"/>
  <c r="AV67" i="4"/>
  <c r="AU67" i="4"/>
  <c r="AT67" i="4"/>
  <c r="AS67" i="4"/>
  <c r="AR67" i="4"/>
  <c r="AQ67" i="4"/>
  <c r="AP67" i="4"/>
  <c r="AO67" i="4"/>
  <c r="AN67" i="4"/>
  <c r="J67" i="4"/>
  <c r="J66" i="4"/>
  <c r="AZ65" i="4"/>
  <c r="AY65" i="4"/>
  <c r="AX65" i="4"/>
  <c r="AW65" i="4"/>
  <c r="AV65" i="4"/>
  <c r="AU65" i="4"/>
  <c r="AT65" i="4"/>
  <c r="AS65" i="4"/>
  <c r="AR65" i="4"/>
  <c r="AQ65" i="4"/>
  <c r="AP65" i="4"/>
  <c r="AO65" i="4"/>
  <c r="AN65" i="4"/>
  <c r="J65" i="4"/>
  <c r="AZ64" i="4"/>
  <c r="AY64" i="4"/>
  <c r="AX64" i="4"/>
  <c r="AW64" i="4"/>
  <c r="AV64" i="4"/>
  <c r="AU64" i="4"/>
  <c r="AT64" i="4"/>
  <c r="AS64" i="4"/>
  <c r="AR64" i="4"/>
  <c r="AQ64" i="4"/>
  <c r="AP64" i="4"/>
  <c r="AO64" i="4"/>
  <c r="AN64" i="4"/>
  <c r="J64" i="4"/>
  <c r="AZ63" i="4"/>
  <c r="AY63" i="4"/>
  <c r="AX63" i="4"/>
  <c r="AW63" i="4"/>
  <c r="AV63" i="4"/>
  <c r="AU63" i="4"/>
  <c r="AT63" i="4"/>
  <c r="AS63" i="4"/>
  <c r="AR63" i="4"/>
  <c r="AQ63" i="4"/>
  <c r="AP63" i="4"/>
  <c r="AO63" i="4"/>
  <c r="AN63" i="4"/>
  <c r="J63" i="4"/>
  <c r="AZ62" i="4"/>
  <c r="AY62" i="4"/>
  <c r="AX62" i="4"/>
  <c r="AW62" i="4"/>
  <c r="AV62" i="4"/>
  <c r="AU62" i="4"/>
  <c r="AT62" i="4"/>
  <c r="AS62" i="4"/>
  <c r="AR62" i="4"/>
  <c r="AQ62" i="4"/>
  <c r="AP62" i="4"/>
  <c r="AO62" i="4"/>
  <c r="AN62" i="4"/>
  <c r="J62" i="4"/>
  <c r="AZ61" i="4"/>
  <c r="AY61" i="4"/>
  <c r="AX61" i="4"/>
  <c r="AW61" i="4"/>
  <c r="AV61" i="4"/>
  <c r="AU61" i="4"/>
  <c r="AT61" i="4"/>
  <c r="AS61" i="4"/>
  <c r="AR61" i="4"/>
  <c r="AQ61" i="4"/>
  <c r="AP61" i="4"/>
  <c r="AO61" i="4"/>
  <c r="AN61" i="4"/>
  <c r="J61" i="4"/>
  <c r="J60" i="4"/>
  <c r="AZ59" i="4"/>
  <c r="AY59" i="4"/>
  <c r="AX59" i="4"/>
  <c r="AW59" i="4"/>
  <c r="AV59" i="4"/>
  <c r="AU59" i="4"/>
  <c r="AT59" i="4"/>
  <c r="AS59" i="4"/>
  <c r="AR59" i="4"/>
  <c r="AQ59" i="4"/>
  <c r="AP59" i="4"/>
  <c r="AO59" i="4"/>
  <c r="AN59" i="4"/>
  <c r="J59" i="4"/>
  <c r="AZ58" i="4"/>
  <c r="AY58" i="4"/>
  <c r="AX58" i="4"/>
  <c r="AW58" i="4"/>
  <c r="AV58" i="4"/>
  <c r="AU58" i="4"/>
  <c r="AT58" i="4"/>
  <c r="AS58" i="4"/>
  <c r="AR58" i="4"/>
  <c r="AQ58" i="4"/>
  <c r="AP58" i="4"/>
  <c r="AO58" i="4"/>
  <c r="AN58" i="4"/>
  <c r="J58" i="4"/>
  <c r="AZ57" i="4"/>
  <c r="AY57" i="4"/>
  <c r="AX57" i="4"/>
  <c r="AW57" i="4"/>
  <c r="AV57" i="4"/>
  <c r="AU57" i="4"/>
  <c r="AT57" i="4"/>
  <c r="AS57" i="4"/>
  <c r="AR57" i="4"/>
  <c r="AQ57" i="4"/>
  <c r="AP57" i="4"/>
  <c r="AO57" i="4"/>
  <c r="AN57" i="4"/>
  <c r="J57" i="4"/>
  <c r="AZ56" i="4"/>
  <c r="AY56" i="4"/>
  <c r="AX56" i="4"/>
  <c r="AW56" i="4"/>
  <c r="AW55" i="4" s="1"/>
  <c r="AV56" i="4"/>
  <c r="AU56" i="4"/>
  <c r="AT56" i="4"/>
  <c r="AS56" i="4"/>
  <c r="AR56" i="4"/>
  <c r="AQ56" i="4"/>
  <c r="AP56" i="4"/>
  <c r="AO56" i="4"/>
  <c r="AO55" i="4" s="1"/>
  <c r="AN56" i="4"/>
  <c r="J56" i="4"/>
  <c r="J55" i="4"/>
  <c r="T33" i="4"/>
  <c r="S33" i="4"/>
  <c r="R33" i="4"/>
  <c r="Q33" i="4"/>
  <c r="P33" i="4"/>
  <c r="O33" i="4"/>
  <c r="N33" i="4"/>
  <c r="M33" i="4"/>
  <c r="L33" i="4"/>
  <c r="K33" i="4"/>
  <c r="J33" i="4"/>
  <c r="T24" i="4"/>
  <c r="S24" i="4"/>
  <c r="R24" i="4"/>
  <c r="Q24" i="4"/>
  <c r="P24" i="4"/>
  <c r="O24" i="4"/>
  <c r="N24" i="4"/>
  <c r="M24" i="4"/>
  <c r="L24" i="4"/>
  <c r="K24" i="4"/>
  <c r="J24" i="4"/>
  <c r="T21" i="4"/>
  <c r="S21" i="4"/>
  <c r="R21" i="4"/>
  <c r="Q21" i="4"/>
  <c r="P21" i="4"/>
  <c r="O21" i="4"/>
  <c r="N21" i="4"/>
  <c r="M21" i="4"/>
  <c r="L21" i="4"/>
  <c r="K21" i="4"/>
  <c r="J21" i="4"/>
  <c r="AM12" i="4"/>
  <c r="AL12" i="4"/>
  <c r="BF11" i="4"/>
  <c r="BE11" i="4"/>
  <c r="BD11" i="4"/>
  <c r="BC11" i="4"/>
  <c r="BB11" i="4"/>
  <c r="BA11" i="4"/>
  <c r="AZ11" i="4"/>
  <c r="AY11" i="4"/>
  <c r="AX11" i="4"/>
  <c r="AW11" i="4"/>
  <c r="AV11" i="4"/>
  <c r="AU11" i="4"/>
  <c r="AT11" i="4"/>
  <c r="AS11" i="4"/>
  <c r="AR11" i="4"/>
  <c r="AQ11" i="4"/>
  <c r="AP11" i="4"/>
  <c r="AO11" i="4"/>
  <c r="AN11" i="4"/>
  <c r="AM11" i="4"/>
  <c r="AL11" i="4"/>
  <c r="AC11" i="4"/>
  <c r="AB11" i="4"/>
  <c r="AK4" i="4"/>
  <c r="AJ4" i="4" s="1"/>
  <c r="AI4" i="4" s="1"/>
  <c r="AH4" i="4" s="1"/>
  <c r="HG63" i="7"/>
  <c r="HF63" i="7"/>
  <c r="HE63" i="7"/>
  <c r="HD63" i="7"/>
  <c r="HC63" i="7"/>
  <c r="HB63" i="7"/>
  <c r="HA63" i="7"/>
  <c r="GZ63" i="7"/>
  <c r="GY63" i="7"/>
  <c r="GX63" i="7"/>
  <c r="GW63" i="7"/>
  <c r="GV63" i="7"/>
  <c r="GU63" i="7"/>
  <c r="GT63" i="7"/>
  <c r="GS63" i="7"/>
  <c r="GR63" i="7"/>
  <c r="GQ63" i="7"/>
  <c r="GP63" i="7"/>
  <c r="GO63" i="7"/>
  <c r="GN63" i="7"/>
  <c r="GM63" i="7"/>
  <c r="GL63" i="7"/>
  <c r="GK63" i="7"/>
  <c r="GJ63" i="7"/>
  <c r="GI63" i="7"/>
  <c r="GH63" i="7"/>
  <c r="GG63" i="7"/>
  <c r="GF63" i="7"/>
  <c r="GE63" i="7"/>
  <c r="GD63" i="7"/>
  <c r="GC63" i="7"/>
  <c r="GB63" i="7"/>
  <c r="GA63" i="7"/>
  <c r="FZ63" i="7"/>
  <c r="FY63" i="7"/>
  <c r="FX63" i="7"/>
  <c r="FW63" i="7"/>
  <c r="FV63" i="7"/>
  <c r="FU63" i="7"/>
  <c r="FT63" i="7"/>
  <c r="FS63" i="7"/>
  <c r="FR63" i="7"/>
  <c r="FQ63" i="7"/>
  <c r="HG62" i="7"/>
  <c r="HF62" i="7"/>
  <c r="HE62" i="7"/>
  <c r="HD62" i="7"/>
  <c r="HC62" i="7"/>
  <c r="HB62" i="7"/>
  <c r="HA62" i="7"/>
  <c r="GZ62" i="7"/>
  <c r="GY62" i="7"/>
  <c r="GX62" i="7"/>
  <c r="GW62" i="7"/>
  <c r="GV62" i="7"/>
  <c r="GU62" i="7"/>
  <c r="GT62" i="7"/>
  <c r="GS62" i="7"/>
  <c r="GR62" i="7"/>
  <c r="GQ62" i="7"/>
  <c r="GP62" i="7"/>
  <c r="GO62" i="7"/>
  <c r="GN62" i="7"/>
  <c r="GM62" i="7"/>
  <c r="GL62" i="7"/>
  <c r="GK62" i="7"/>
  <c r="GJ62" i="7"/>
  <c r="GI62" i="7"/>
  <c r="GH62" i="7"/>
  <c r="GG62" i="7"/>
  <c r="GF62" i="7"/>
  <c r="GE62" i="7"/>
  <c r="GD62" i="7"/>
  <c r="GC62" i="7"/>
  <c r="GB62" i="7"/>
  <c r="GA62" i="7"/>
  <c r="FZ62" i="7"/>
  <c r="FY62" i="7"/>
  <c r="FX62" i="7"/>
  <c r="FW62" i="7"/>
  <c r="FV62" i="7"/>
  <c r="FU62" i="7"/>
  <c r="FT62" i="7"/>
  <c r="FS62" i="7"/>
  <c r="FR62" i="7"/>
  <c r="FQ62" i="7"/>
  <c r="FP62" i="7"/>
  <c r="FO62" i="7"/>
  <c r="FN62" i="7"/>
  <c r="FM62" i="7"/>
  <c r="FL62" i="7"/>
  <c r="FK62" i="7"/>
  <c r="FJ62" i="7"/>
  <c r="FI62" i="7"/>
  <c r="FH62" i="7"/>
  <c r="FG62" i="7"/>
  <c r="FF62" i="7"/>
  <c r="FE62" i="7"/>
  <c r="FD62" i="7"/>
  <c r="FC62" i="7"/>
  <c r="FB62" i="7"/>
  <c r="FA62" i="7"/>
  <c r="EZ62" i="7"/>
  <c r="EY62" i="7"/>
  <c r="EX62" i="7"/>
  <c r="EW62" i="7"/>
  <c r="EV62" i="7"/>
  <c r="EU62" i="7"/>
  <c r="ET62" i="7"/>
  <c r="ES62" i="7"/>
  <c r="ER62" i="7"/>
  <c r="EQ62" i="7"/>
  <c r="EP62" i="7"/>
  <c r="EO62" i="7"/>
  <c r="EN62" i="7"/>
  <c r="EM62" i="7"/>
  <c r="EL62" i="7"/>
  <c r="EK62" i="7"/>
  <c r="EJ62" i="7"/>
  <c r="EI62" i="7"/>
  <c r="EH62" i="7"/>
  <c r="EG62" i="7"/>
  <c r="EF62" i="7"/>
  <c r="EE62" i="7"/>
  <c r="ED62" i="7"/>
  <c r="EC62" i="7"/>
  <c r="EB62" i="7"/>
  <c r="EA62" i="7"/>
  <c r="DZ62" i="7"/>
  <c r="DY62" i="7"/>
  <c r="DX62" i="7"/>
  <c r="DW62" i="7"/>
  <c r="DV62" i="7"/>
  <c r="DU62" i="7"/>
  <c r="DT62" i="7"/>
  <c r="DS62" i="7"/>
  <c r="DR62" i="7"/>
  <c r="DQ62" i="7"/>
  <c r="DP62" i="7"/>
  <c r="DO62" i="7"/>
  <c r="DN62" i="7"/>
  <c r="DM62" i="7"/>
  <c r="DL62" i="7"/>
  <c r="DK62" i="7"/>
  <c r="DJ62" i="7"/>
  <c r="HE43" i="7"/>
  <c r="HD43" i="7"/>
  <c r="HC43" i="7"/>
  <c r="HB43" i="7"/>
  <c r="HA43" i="7"/>
  <c r="GZ43" i="7"/>
  <c r="GY43" i="7"/>
  <c r="GX43" i="7"/>
  <c r="GW43" i="7"/>
  <c r="GV43" i="7"/>
  <c r="GU43" i="7"/>
  <c r="GT43" i="7"/>
  <c r="GS43" i="7"/>
  <c r="GR43" i="7"/>
  <c r="GQ43" i="7"/>
  <c r="GP43" i="7"/>
  <c r="GO43" i="7"/>
  <c r="GN43" i="7"/>
  <c r="GM43" i="7"/>
  <c r="GL43" i="7"/>
  <c r="AM18" i="7"/>
  <c r="AL18" i="7"/>
  <c r="JI13" i="7"/>
  <c r="JH13" i="7"/>
  <c r="JG13" i="7"/>
  <c r="JF13" i="7"/>
  <c r="JE13" i="7"/>
  <c r="JD13" i="7"/>
  <c r="JC13" i="7"/>
  <c r="JB13" i="7"/>
  <c r="JA13" i="7"/>
  <c r="IZ13" i="7"/>
  <c r="IY13" i="7"/>
  <c r="IX13" i="7"/>
  <c r="IW13" i="7"/>
  <c r="IV13" i="7"/>
  <c r="IU13" i="7"/>
  <c r="IT13" i="7"/>
  <c r="IS13" i="7"/>
  <c r="IR13" i="7"/>
  <c r="IO13" i="7"/>
  <c r="IN13" i="7"/>
  <c r="IM13" i="7"/>
  <c r="IL13" i="7"/>
  <c r="IK13" i="7"/>
  <c r="IJ13" i="7"/>
  <c r="II13" i="7"/>
  <c r="IH13" i="7"/>
  <c r="IG13" i="7"/>
  <c r="IF13" i="7"/>
  <c r="IE13" i="7"/>
  <c r="CV13" i="7"/>
  <c r="CU13" i="7"/>
  <c r="CT13" i="7"/>
  <c r="CS13" i="7"/>
  <c r="CR13" i="7"/>
  <c r="CQ13" i="7"/>
  <c r="CP13" i="7"/>
  <c r="CO13" i="7"/>
  <c r="CN13" i="7"/>
  <c r="CM13" i="7"/>
  <c r="CL13" i="7"/>
  <c r="CK13" i="7"/>
  <c r="U13" i="7"/>
  <c r="HW12" i="7"/>
  <c r="HV12" i="7"/>
  <c r="HU12" i="7"/>
  <c r="HT12" i="7"/>
  <c r="HS12" i="7"/>
  <c r="HR12" i="7"/>
  <c r="HQ12" i="7"/>
  <c r="HP12" i="7"/>
  <c r="HO12" i="7"/>
  <c r="HN12" i="7"/>
  <c r="HM12" i="7"/>
  <c r="HL12" i="7"/>
  <c r="HK12" i="7"/>
  <c r="HJ12" i="7"/>
  <c r="HI12" i="7"/>
  <c r="HH12" i="7"/>
  <c r="HG12" i="7"/>
  <c r="HF12" i="7"/>
  <c r="HE12" i="7"/>
  <c r="HD12" i="7"/>
  <c r="HC12" i="7"/>
  <c r="HB12" i="7"/>
  <c r="HA12" i="7"/>
  <c r="GZ12" i="7"/>
  <c r="GY12" i="7"/>
  <c r="GX12" i="7"/>
  <c r="GW12" i="7"/>
  <c r="GV12" i="7"/>
  <c r="GU12" i="7"/>
  <c r="GT12" i="7"/>
  <c r="GS12" i="7"/>
  <c r="GR12" i="7"/>
  <c r="GQ12" i="7"/>
  <c r="GP12" i="7"/>
  <c r="GO12" i="7"/>
  <c r="GN12" i="7"/>
  <c r="GM12" i="7"/>
  <c r="GL12" i="7"/>
  <c r="GK12" i="7"/>
  <c r="GJ12" i="7"/>
  <c r="GI12" i="7"/>
  <c r="GH12" i="7"/>
  <c r="GG12" i="7"/>
  <c r="GF12" i="7"/>
  <c r="GE12" i="7"/>
  <c r="GD12" i="7"/>
  <c r="GC12" i="7"/>
  <c r="GB12" i="7"/>
  <c r="GA12" i="7"/>
  <c r="FZ12" i="7"/>
  <c r="FY12" i="7"/>
  <c r="FX12" i="7"/>
  <c r="FW12" i="7"/>
  <c r="FV12" i="7"/>
  <c r="FU12" i="7"/>
  <c r="FT12" i="7"/>
  <c r="FS12" i="7"/>
  <c r="FR12" i="7"/>
  <c r="FQ12" i="7"/>
  <c r="FP12" i="7"/>
  <c r="FO12" i="7"/>
  <c r="FN12" i="7"/>
  <c r="FM12" i="7"/>
  <c r="FL12" i="7"/>
  <c r="FK12" i="7"/>
  <c r="FJ12" i="7"/>
  <c r="FI12" i="7"/>
  <c r="FH12" i="7"/>
  <c r="FG12" i="7"/>
  <c r="FF12" i="7"/>
  <c r="FE12" i="7"/>
  <c r="FD12" i="7"/>
  <c r="FC12" i="7"/>
  <c r="FB12" i="7"/>
  <c r="FA12" i="7"/>
  <c r="EZ12" i="7"/>
  <c r="EY12" i="7"/>
  <c r="EX12" i="7"/>
  <c r="EW12" i="7"/>
  <c r="EV12" i="7"/>
  <c r="EU12" i="7"/>
  <c r="ET12" i="7"/>
  <c r="ES12" i="7"/>
  <c r="ER12" i="7"/>
  <c r="EQ12" i="7"/>
  <c r="EP12" i="7"/>
  <c r="EO12" i="7"/>
  <c r="EN12" i="7"/>
  <c r="EM12" i="7"/>
  <c r="EL12" i="7"/>
  <c r="EK12" i="7"/>
  <c r="EJ12" i="7"/>
  <c r="EI12" i="7"/>
  <c r="EH12" i="7"/>
  <c r="EG12" i="7"/>
  <c r="EF12" i="7"/>
  <c r="EE12" i="7"/>
  <c r="ED12" i="7"/>
  <c r="EC12" i="7"/>
  <c r="EB12" i="7"/>
  <c r="EA12" i="7"/>
  <c r="DZ12" i="7"/>
  <c r="DY12" i="7"/>
  <c r="DX12" i="7"/>
  <c r="DW12" i="7"/>
  <c r="DV12" i="7"/>
  <c r="DU12" i="7"/>
  <c r="DT12" i="7"/>
  <c r="DS12" i="7"/>
  <c r="DR12" i="7"/>
  <c r="DQ12" i="7"/>
  <c r="DP12" i="7"/>
  <c r="DO12" i="7"/>
  <c r="DN12" i="7"/>
  <c r="DM12" i="7"/>
  <c r="DL12" i="7"/>
  <c r="DK12" i="7"/>
  <c r="DJ12" i="7"/>
  <c r="DI12" i="7"/>
  <c r="DH12" i="7"/>
  <c r="DG12" i="7"/>
  <c r="DF12" i="7"/>
  <c r="DE12" i="7"/>
  <c r="DD12" i="7"/>
  <c r="DC12" i="7"/>
  <c r="DB12" i="7"/>
  <c r="DA12" i="7"/>
  <c r="CZ12" i="7"/>
  <c r="CY12" i="7"/>
  <c r="CX12" i="7"/>
  <c r="CW12" i="7"/>
  <c r="CV12" i="7"/>
  <c r="HW11" i="7"/>
  <c r="HV11" i="7"/>
  <c r="HU11" i="7"/>
  <c r="HT11" i="7"/>
  <c r="HS11" i="7"/>
  <c r="HR11" i="7"/>
  <c r="HQ11" i="7"/>
  <c r="HP11" i="7"/>
  <c r="HO11" i="7"/>
  <c r="HN11" i="7"/>
  <c r="HM11" i="7"/>
  <c r="HL11" i="7"/>
  <c r="HK11" i="7"/>
  <c r="HJ11" i="7"/>
  <c r="HI11" i="7"/>
  <c r="HH11" i="7"/>
  <c r="HG11" i="7"/>
  <c r="HF11" i="7"/>
  <c r="HE11" i="7"/>
  <c r="HD11" i="7"/>
  <c r="HC11" i="7"/>
  <c r="HB11" i="7"/>
  <c r="HA11" i="7"/>
  <c r="GZ11" i="7"/>
  <c r="GY11" i="7"/>
  <c r="GX11" i="7"/>
  <c r="GW11" i="7"/>
  <c r="GV11" i="7"/>
  <c r="GU11" i="7"/>
  <c r="GT11" i="7"/>
  <c r="GS11" i="7"/>
  <c r="GR11" i="7"/>
  <c r="GQ11" i="7"/>
  <c r="GP11" i="7"/>
  <c r="GO11" i="7"/>
  <c r="GN11" i="7"/>
  <c r="GM11" i="7"/>
  <c r="EF11" i="7"/>
  <c r="EE11" i="7"/>
  <c r="ED11" i="7"/>
  <c r="EC11" i="7"/>
  <c r="EB11" i="7"/>
  <c r="EA11" i="7"/>
  <c r="DZ11" i="7"/>
  <c r="DY11" i="7"/>
  <c r="DX11" i="7"/>
  <c r="DW11" i="7"/>
  <c r="DV11" i="7"/>
  <c r="DU11" i="7"/>
  <c r="DH11" i="7"/>
  <c r="DG11" i="7"/>
  <c r="DF11" i="7"/>
  <c r="DE11" i="7"/>
  <c r="DD11" i="7"/>
  <c r="DC11" i="7"/>
  <c r="DB11" i="7"/>
  <c r="DA11" i="7"/>
  <c r="CZ11" i="7"/>
  <c r="CY11" i="7"/>
  <c r="CX11" i="7"/>
  <c r="CW11" i="7"/>
  <c r="CV11" i="7"/>
  <c r="CU11" i="7"/>
  <c r="CT11" i="7"/>
  <c r="CS11" i="7"/>
  <c r="CR11" i="7"/>
  <c r="CQ11" i="7"/>
  <c r="CP11" i="7"/>
  <c r="CO11" i="7"/>
  <c r="CN11" i="7"/>
  <c r="CM11" i="7"/>
  <c r="CL11" i="7"/>
  <c r="CK11" i="7"/>
  <c r="CJ11" i="7"/>
  <c r="CI11" i="7"/>
  <c r="CH11" i="7"/>
  <c r="CG11" i="7"/>
  <c r="CF11" i="7"/>
  <c r="CE11" i="7"/>
  <c r="CD11" i="7"/>
  <c r="CC11" i="7"/>
  <c r="CB11" i="7"/>
  <c r="CA11" i="7"/>
  <c r="BZ11" i="7"/>
  <c r="BY11" i="7"/>
  <c r="AX11" i="7"/>
  <c r="AW11" i="7"/>
  <c r="U11" i="7"/>
  <c r="IZ10" i="7"/>
  <c r="JL10" i="7" s="1"/>
  <c r="IY10" i="7"/>
  <c r="JK10" i="7" s="1"/>
  <c r="IX10" i="7"/>
  <c r="JJ10" i="7" s="1"/>
  <c r="FY10" i="7"/>
  <c r="FX10" i="7"/>
  <c r="FW10" i="7"/>
  <c r="FV10" i="7"/>
  <c r="FU10" i="7"/>
  <c r="FT10" i="7"/>
  <c r="FS10" i="7"/>
  <c r="FR10" i="7"/>
  <c r="FQ10" i="7"/>
  <c r="FP10" i="7"/>
  <c r="FO10" i="7"/>
  <c r="FN10" i="7"/>
  <c r="FM10" i="7"/>
  <c r="FL10" i="7"/>
  <c r="FK10" i="7"/>
  <c r="FJ10" i="7"/>
  <c r="FI10" i="7"/>
  <c r="FH10" i="7"/>
  <c r="FG10" i="7"/>
  <c r="FF10" i="7"/>
  <c r="FE10" i="7"/>
  <c r="FD10" i="7"/>
  <c r="FC10" i="7"/>
  <c r="FB10" i="7"/>
  <c r="FA10" i="7"/>
  <c r="EZ10" i="7"/>
  <c r="EY10" i="7"/>
  <c r="EX10" i="7"/>
  <c r="EW10" i="7"/>
  <c r="EV10" i="7"/>
  <c r="EU10" i="7"/>
  <c r="ET10" i="7"/>
  <c r="ES10" i="7"/>
  <c r="ER10" i="7"/>
  <c r="EQ10" i="7"/>
  <c r="EP10" i="7"/>
  <c r="EO10" i="7"/>
  <c r="EN10" i="7"/>
  <c r="EM10" i="7"/>
  <c r="EL10" i="7"/>
  <c r="EK10" i="7"/>
  <c r="EJ10" i="7"/>
  <c r="EI10" i="7"/>
  <c r="EH10" i="7"/>
  <c r="EG10" i="7"/>
  <c r="AZ10" i="7"/>
  <c r="BA11" i="7" s="1"/>
  <c r="AY10" i="7"/>
  <c r="AX10" i="7"/>
  <c r="AW10" i="7"/>
  <c r="AT10" i="7"/>
  <c r="AS10" i="7"/>
  <c r="AQ10" i="7"/>
  <c r="AP10" i="7"/>
  <c r="AO10" i="7"/>
  <c r="AN10" i="7"/>
  <c r="X10" i="7"/>
  <c r="W10" i="7"/>
  <c r="V10" i="7"/>
  <c r="U10" i="7"/>
  <c r="P10" i="7"/>
  <c r="O10" i="7"/>
  <c r="N10" i="7"/>
  <c r="M10" i="7"/>
  <c r="L10" i="7"/>
  <c r="K10" i="7"/>
  <c r="HX9" i="7"/>
  <c r="HW9" i="7"/>
  <c r="HV9" i="7"/>
  <c r="HU9" i="7"/>
  <c r="HT9" i="7"/>
  <c r="HS9" i="7"/>
  <c r="HR9" i="7"/>
  <c r="HQ9" i="7"/>
  <c r="HP9" i="7"/>
  <c r="HO9" i="7"/>
  <c r="HN9" i="7"/>
  <c r="HM9" i="7"/>
  <c r="HL9" i="7"/>
  <c r="HK9" i="7"/>
  <c r="HJ9" i="7"/>
  <c r="HI9" i="7"/>
  <c r="HH9" i="7"/>
  <c r="HG9" i="7"/>
  <c r="HF9" i="7"/>
  <c r="HE9" i="7"/>
  <c r="HD9" i="7"/>
  <c r="HC9" i="7"/>
  <c r="HB9" i="7"/>
  <c r="HA9" i="7"/>
  <c r="FY9" i="7"/>
  <c r="FX9" i="7"/>
  <c r="FW9" i="7"/>
  <c r="FV9" i="7"/>
  <c r="FU9" i="7"/>
  <c r="FT9" i="7"/>
  <c r="FS9" i="7"/>
  <c r="FR9" i="7"/>
  <c r="FQ9" i="7"/>
  <c r="FP9" i="7"/>
  <c r="FO9" i="7"/>
  <c r="FN9" i="7"/>
  <c r="FM9" i="7"/>
  <c r="FL9" i="7"/>
  <c r="FK9" i="7"/>
  <c r="FJ9" i="7"/>
  <c r="FI9" i="7"/>
  <c r="FH9" i="7"/>
  <c r="FG9" i="7"/>
  <c r="FF9" i="7"/>
  <c r="FE9" i="7"/>
  <c r="FD9" i="7"/>
  <c r="FC9" i="7"/>
  <c r="FB9" i="7"/>
  <c r="FA9" i="7"/>
  <c r="EZ9" i="7"/>
  <c r="EY9" i="7"/>
  <c r="EX9" i="7"/>
  <c r="EW9" i="7"/>
  <c r="EV9" i="7"/>
  <c r="EU9" i="7"/>
  <c r="ET9" i="7"/>
  <c r="ES9" i="7"/>
  <c r="ER9" i="7"/>
  <c r="EQ9" i="7"/>
  <c r="EP9" i="7"/>
  <c r="EM9" i="7"/>
  <c r="EL9" i="7"/>
  <c r="EK9" i="7"/>
  <c r="EJ9" i="7"/>
  <c r="EI9" i="7"/>
  <c r="EH9" i="7"/>
  <c r="EG9" i="7"/>
  <c r="EF9" i="7"/>
  <c r="EE9" i="7"/>
  <c r="ED9" i="7"/>
  <c r="EC9" i="7"/>
  <c r="EB9" i="7"/>
  <c r="EA9" i="7"/>
  <c r="DZ9" i="7"/>
  <c r="DY9" i="7"/>
  <c r="DX9" i="7"/>
  <c r="DW9" i="7"/>
  <c r="DV9" i="7"/>
  <c r="DU9" i="7"/>
  <c r="DT9" i="7"/>
  <c r="DS9" i="7"/>
  <c r="DR9" i="7"/>
  <c r="DQ9" i="7"/>
  <c r="DP9" i="7"/>
  <c r="DO9" i="7"/>
  <c r="DN9" i="7"/>
  <c r="DM9" i="7"/>
  <c r="DL9" i="7"/>
  <c r="DK9" i="7"/>
  <c r="DJ9" i="7"/>
  <c r="DI9" i="7"/>
  <c r="DH9" i="7"/>
  <c r="DG9" i="7"/>
  <c r="DF9" i="7"/>
  <c r="DE9" i="7"/>
  <c r="DD9" i="7"/>
  <c r="DC9" i="7"/>
  <c r="DB9" i="7"/>
  <c r="DA9" i="7"/>
  <c r="CZ9" i="7"/>
  <c r="CY9" i="7"/>
  <c r="CX9" i="7"/>
  <c r="CW9" i="7"/>
  <c r="CV9" i="7"/>
  <c r="CU9" i="7"/>
  <c r="CT9" i="7"/>
  <c r="CS9" i="7"/>
  <c r="CR9" i="7"/>
  <c r="CQ9" i="7"/>
  <c r="CP9" i="7"/>
  <c r="CO9" i="7"/>
  <c r="CN9" i="7"/>
  <c r="CM9" i="7"/>
  <c r="CL9" i="7"/>
  <c r="CK9" i="7"/>
  <c r="CJ9" i="7"/>
  <c r="CI9" i="7"/>
  <c r="CH9" i="7"/>
  <c r="CG9" i="7"/>
  <c r="CF9" i="7"/>
  <c r="CE9" i="7"/>
  <c r="CD9" i="7"/>
  <c r="CC9" i="7"/>
  <c r="CB9" i="7"/>
  <c r="CA9" i="7"/>
  <c r="BZ9" i="7"/>
  <c r="BY9" i="7"/>
  <c r="AW9" i="7"/>
  <c r="AM9" i="7"/>
  <c r="AL9" i="7"/>
  <c r="AK9" i="7"/>
  <c r="AJ9" i="7"/>
  <c r="AI9" i="7"/>
  <c r="U9" i="7"/>
  <c r="GN8" i="7"/>
  <c r="GM8" i="7"/>
  <c r="GL8" i="7"/>
  <c r="GK8" i="7"/>
  <c r="GJ8" i="7"/>
  <c r="GI8" i="7"/>
  <c r="GH8" i="7"/>
  <c r="GG8" i="7"/>
  <c r="GF8" i="7"/>
  <c r="GE8" i="7"/>
  <c r="GD8" i="7"/>
  <c r="GC8" i="7"/>
  <c r="GB8" i="7"/>
  <c r="GA8" i="7"/>
  <c r="FZ8" i="7"/>
  <c r="AZ8" i="7"/>
  <c r="BA9" i="7" s="1"/>
  <c r="AY8" i="7"/>
  <c r="AV8" i="7"/>
  <c r="AU8" i="7"/>
  <c r="AT8" i="7"/>
  <c r="AS8" i="7"/>
  <c r="AR8" i="7"/>
  <c r="AQ8" i="7"/>
  <c r="AP8" i="7"/>
  <c r="AO8" i="7"/>
  <c r="AN8" i="7"/>
  <c r="X8" i="7"/>
  <c r="W8" i="7"/>
  <c r="V8" i="7"/>
  <c r="T8" i="7"/>
  <c r="S8" i="7"/>
  <c r="R8" i="7"/>
  <c r="Q8" i="7"/>
  <c r="P8" i="7"/>
  <c r="O8" i="7"/>
  <c r="N8" i="7"/>
  <c r="M8" i="7"/>
  <c r="L8" i="7"/>
  <c r="K8" i="7"/>
  <c r="HX13" i="7"/>
  <c r="HW13" i="7"/>
  <c r="HV7" i="7"/>
  <c r="HV13" i="7" s="1"/>
  <c r="HU7" i="7"/>
  <c r="HU13" i="7" s="1"/>
  <c r="HT7" i="7"/>
  <c r="HT13" i="7" s="1"/>
  <c r="HS7" i="7"/>
  <c r="HS13" i="7" s="1"/>
  <c r="HR7" i="7"/>
  <c r="HR13" i="7" s="1"/>
  <c r="HQ7" i="7"/>
  <c r="HQ13" i="7" s="1"/>
  <c r="HP7" i="7"/>
  <c r="HP13" i="7" s="1"/>
  <c r="HO7" i="7"/>
  <c r="HO13" i="7" s="1"/>
  <c r="HN7" i="7"/>
  <c r="HN13" i="7" s="1"/>
  <c r="HM7" i="7"/>
  <c r="HM13" i="7" s="1"/>
  <c r="HL7" i="7"/>
  <c r="HL13" i="7" s="1"/>
  <c r="HK7" i="7"/>
  <c r="HK13" i="7" s="1"/>
  <c r="HJ7" i="7"/>
  <c r="HJ13" i="7" s="1"/>
  <c r="HI7" i="7"/>
  <c r="HI13" i="7" s="1"/>
  <c r="HH7" i="7"/>
  <c r="HH13" i="7" s="1"/>
  <c r="HG7" i="7"/>
  <c r="HG13" i="7" s="1"/>
  <c r="HF7" i="7"/>
  <c r="HF13" i="7" s="1"/>
  <c r="HE7" i="7"/>
  <c r="HE13" i="7" s="1"/>
  <c r="HD7" i="7"/>
  <c r="HD13" i="7" s="1"/>
  <c r="HC7" i="7"/>
  <c r="HC13" i="7" s="1"/>
  <c r="HB7" i="7"/>
  <c r="HB13" i="7" s="1"/>
  <c r="HA7" i="7"/>
  <c r="HA13" i="7" s="1"/>
  <c r="GZ7" i="7"/>
  <c r="GZ13" i="7" s="1"/>
  <c r="GY7" i="7"/>
  <c r="GY13" i="7" s="1"/>
  <c r="GX7" i="7"/>
  <c r="GX13" i="7" s="1"/>
  <c r="GW7" i="7"/>
  <c r="GW13" i="7" s="1"/>
  <c r="GV7" i="7"/>
  <c r="GV13" i="7" s="1"/>
  <c r="GU7" i="7"/>
  <c r="GU13" i="7" s="1"/>
  <c r="GT7" i="7"/>
  <c r="GT13" i="7" s="1"/>
  <c r="GS7" i="7"/>
  <c r="GS13" i="7" s="1"/>
  <c r="GR7" i="7"/>
  <c r="GR13" i="7" s="1"/>
  <c r="GQ7" i="7"/>
  <c r="GQ13" i="7" s="1"/>
  <c r="GP7" i="7"/>
  <c r="GP13" i="7" s="1"/>
  <c r="GO7" i="7"/>
  <c r="GO13" i="7" s="1"/>
  <c r="GN7" i="7"/>
  <c r="GN13" i="7" s="1"/>
  <c r="GM7" i="7"/>
  <c r="GM13" i="7" s="1"/>
  <c r="GL7" i="7"/>
  <c r="GL13" i="7" s="1"/>
  <c r="FY7" i="7"/>
  <c r="FY13" i="7" s="1"/>
  <c r="FX7" i="7"/>
  <c r="FX13" i="7" s="1"/>
  <c r="FW7" i="7"/>
  <c r="FW13" i="7" s="1"/>
  <c r="FV7" i="7"/>
  <c r="FV13" i="7" s="1"/>
  <c r="FU7" i="7"/>
  <c r="FU13" i="7" s="1"/>
  <c r="FT7" i="7"/>
  <c r="FT13" i="7" s="1"/>
  <c r="FS7" i="7"/>
  <c r="FS13" i="7" s="1"/>
  <c r="FR7" i="7"/>
  <c r="FR13" i="7" s="1"/>
  <c r="FQ7" i="7"/>
  <c r="FQ13" i="7" s="1"/>
  <c r="FP7" i="7"/>
  <c r="FP13" i="7" s="1"/>
  <c r="FO7" i="7"/>
  <c r="FO13" i="7" s="1"/>
  <c r="FN7" i="7"/>
  <c r="FN13" i="7" s="1"/>
  <c r="FM7" i="7"/>
  <c r="FM13" i="7" s="1"/>
  <c r="FL7" i="7"/>
  <c r="FL13" i="7" s="1"/>
  <c r="FK7" i="7"/>
  <c r="FK13" i="7" s="1"/>
  <c r="FJ7" i="7"/>
  <c r="FJ13" i="7" s="1"/>
  <c r="FI7" i="7"/>
  <c r="FI13" i="7" s="1"/>
  <c r="FH7" i="7"/>
  <c r="FH13" i="7" s="1"/>
  <c r="FG7" i="7"/>
  <c r="FG13" i="7" s="1"/>
  <c r="FF7" i="7"/>
  <c r="FF13" i="7" s="1"/>
  <c r="FE7" i="7"/>
  <c r="FE13" i="7" s="1"/>
  <c r="FD7" i="7"/>
  <c r="FD13" i="7" s="1"/>
  <c r="FC7" i="7"/>
  <c r="FC13" i="7" s="1"/>
  <c r="FB7" i="7"/>
  <c r="FB13" i="7" s="1"/>
  <c r="FA7" i="7"/>
  <c r="FA13" i="7" s="1"/>
  <c r="EZ7" i="7"/>
  <c r="EZ13" i="7" s="1"/>
  <c r="EY7" i="7"/>
  <c r="EY13" i="7" s="1"/>
  <c r="EX7" i="7"/>
  <c r="EX13" i="7" s="1"/>
  <c r="EW7" i="7"/>
  <c r="EW13" i="7" s="1"/>
  <c r="EV7" i="7"/>
  <c r="EV13" i="7" s="1"/>
  <c r="EU7" i="7"/>
  <c r="EU13" i="7" s="1"/>
  <c r="ET7" i="7"/>
  <c r="ET13" i="7" s="1"/>
  <c r="ES7" i="7"/>
  <c r="ES13" i="7" s="1"/>
  <c r="ER7" i="7"/>
  <c r="ER13" i="7" s="1"/>
  <c r="EQ7" i="7"/>
  <c r="EQ13" i="7" s="1"/>
  <c r="EP7" i="7"/>
  <c r="EP13" i="7" s="1"/>
  <c r="EO7" i="7"/>
  <c r="EO13" i="7" s="1"/>
  <c r="EN7" i="7"/>
  <c r="EN13" i="7" s="1"/>
  <c r="EM7" i="7"/>
  <c r="EL7" i="7"/>
  <c r="EK7" i="7"/>
  <c r="EJ7" i="7"/>
  <c r="EI7" i="7"/>
  <c r="EH7" i="7"/>
  <c r="EG7" i="7"/>
  <c r="EF7" i="7"/>
  <c r="EE7" i="7"/>
  <c r="ED7" i="7"/>
  <c r="EC7" i="7"/>
  <c r="EB7" i="7"/>
  <c r="EA7" i="7"/>
  <c r="DZ7" i="7"/>
  <c r="DY7" i="7"/>
  <c r="DX7" i="7"/>
  <c r="DW7" i="7"/>
  <c r="DV7" i="7"/>
  <c r="DU7" i="7"/>
  <c r="DT7" i="7"/>
  <c r="DS7" i="7"/>
  <c r="DR7" i="7"/>
  <c r="DQ7" i="7"/>
  <c r="DP7" i="7"/>
  <c r="DO7" i="7"/>
  <c r="DN7" i="7"/>
  <c r="DM7" i="7"/>
  <c r="DL7" i="7"/>
  <c r="DK7" i="7"/>
  <c r="DJ7" i="7"/>
  <c r="DI7" i="7"/>
  <c r="DH7" i="7"/>
  <c r="AW7" i="7"/>
  <c r="AN7" i="7"/>
  <c r="AN9" i="7" s="1"/>
  <c r="U7" i="7"/>
  <c r="IJ2" i="7"/>
  <c r="II2" i="7"/>
  <c r="IH2" i="7"/>
  <c r="IG2" i="7"/>
  <c r="CU6" i="7"/>
  <c r="CI6" i="7" s="1"/>
  <c r="BW6" i="7" s="1"/>
  <c r="CT6" i="7"/>
  <c r="CH6" i="7" s="1"/>
  <c r="BV6" i="7" s="1"/>
  <c r="CS6" i="7"/>
  <c r="CG6" i="7" s="1"/>
  <c r="BU6" i="7" s="1"/>
  <c r="CR6" i="7"/>
  <c r="CF6" i="7" s="1"/>
  <c r="BT6" i="7" s="1"/>
  <c r="CQ6" i="7"/>
  <c r="CE6" i="7" s="1"/>
  <c r="BS6" i="7" s="1"/>
  <c r="CP6" i="7"/>
  <c r="CD6" i="7" s="1"/>
  <c r="BR6" i="7" s="1"/>
  <c r="CO6" i="7"/>
  <c r="CC6" i="7" s="1"/>
  <c r="BQ6" i="7" s="1"/>
  <c r="CN6" i="7"/>
  <c r="CB6" i="7" s="1"/>
  <c r="BP6" i="7" s="1"/>
  <c r="CM6" i="7"/>
  <c r="CA6" i="7" s="1"/>
  <c r="BO6" i="7" s="1"/>
  <c r="CL6" i="7"/>
  <c r="BZ6" i="7" s="1"/>
  <c r="BN6" i="7" s="1"/>
  <c r="CK6" i="7"/>
  <c r="BY6" i="7" s="1"/>
  <c r="BM6" i="7" s="1"/>
  <c r="CJ6" i="7"/>
  <c r="BX6" i="7" s="1"/>
  <c r="AY6" i="7"/>
  <c r="AX6" i="7"/>
  <c r="AW6" i="7"/>
  <c r="AV6" i="7"/>
  <c r="AU6" i="7"/>
  <c r="AT6" i="7"/>
  <c r="AS6" i="7"/>
  <c r="AR6" i="7"/>
  <c r="AQ6" i="7"/>
  <c r="AP6" i="7"/>
  <c r="X6" i="7"/>
  <c r="W6" i="7"/>
  <c r="V6" i="7"/>
  <c r="U6" i="7"/>
  <c r="T6" i="7"/>
  <c r="S6" i="7"/>
  <c r="R6" i="7"/>
  <c r="Q6" i="7"/>
  <c r="P6" i="7"/>
  <c r="O6" i="7"/>
  <c r="N6" i="7"/>
  <c r="N234" i="12"/>
  <c r="M234" i="12"/>
  <c r="L234" i="12"/>
  <c r="L237" i="12" s="1"/>
  <c r="K234" i="12"/>
  <c r="K237" i="12" s="1"/>
  <c r="N231" i="12"/>
  <c r="N233" i="12" s="1"/>
  <c r="M231" i="12"/>
  <c r="M233" i="12" s="1"/>
  <c r="L231" i="12"/>
  <c r="K231" i="12"/>
  <c r="N214" i="12"/>
  <c r="N220" i="12" s="1"/>
  <c r="M214" i="12"/>
  <c r="M220" i="12" s="1"/>
  <c r="L214" i="12"/>
  <c r="L220" i="12" s="1"/>
  <c r="K214" i="12"/>
  <c r="K220" i="12" s="1"/>
  <c r="N208" i="12"/>
  <c r="N213" i="12" s="1"/>
  <c r="M208" i="12"/>
  <c r="M213" i="12" s="1"/>
  <c r="L208" i="12"/>
  <c r="L213" i="12" s="1"/>
  <c r="K208" i="12"/>
  <c r="K213" i="12" s="1"/>
  <c r="J202" i="12"/>
  <c r="H242" i="12" s="1"/>
  <c r="I202" i="12"/>
  <c r="G242" i="12" s="1"/>
  <c r="H202" i="12"/>
  <c r="F242" i="12" s="1"/>
  <c r="G202" i="12"/>
  <c r="E242" i="12" s="1"/>
  <c r="F202" i="12"/>
  <c r="D242" i="12" s="1"/>
  <c r="J201" i="12"/>
  <c r="H243" i="12" s="1"/>
  <c r="I201" i="12"/>
  <c r="G243" i="12" s="1"/>
  <c r="H201" i="12"/>
  <c r="F243" i="12" s="1"/>
  <c r="G201" i="12"/>
  <c r="E243" i="12" s="1"/>
  <c r="F201" i="12"/>
  <c r="D243" i="12" s="1"/>
  <c r="L197" i="12"/>
  <c r="L166" i="12" s="1"/>
  <c r="K197" i="12"/>
  <c r="K166" i="12" s="1"/>
  <c r="N194" i="12"/>
  <c r="N202" i="12" s="1"/>
  <c r="M194" i="12"/>
  <c r="M202" i="12" s="1"/>
  <c r="L191" i="12"/>
  <c r="L194" i="12" s="1"/>
  <c r="K191" i="12"/>
  <c r="K194" i="12" s="1"/>
  <c r="K196" i="12" s="1"/>
  <c r="K177" i="12"/>
  <c r="J177" i="12"/>
  <c r="I177" i="12"/>
  <c r="H177" i="12"/>
  <c r="G177" i="12"/>
  <c r="F177" i="12"/>
  <c r="N171" i="12"/>
  <c r="M171" i="12"/>
  <c r="L171" i="12"/>
  <c r="K171" i="12"/>
  <c r="J171" i="12"/>
  <c r="I171" i="12"/>
  <c r="H171" i="12"/>
  <c r="G171" i="12"/>
  <c r="F171" i="12"/>
  <c r="N167" i="12"/>
  <c r="M167" i="12"/>
  <c r="L163" i="12"/>
  <c r="L165" i="12" s="1"/>
  <c r="K163" i="12"/>
  <c r="K165" i="12" s="1"/>
  <c r="L160" i="12"/>
  <c r="K160" i="12"/>
  <c r="J160" i="12"/>
  <c r="I160" i="12"/>
  <c r="H160" i="12"/>
  <c r="G160" i="12"/>
  <c r="F160" i="12"/>
  <c r="L147" i="12"/>
  <c r="L153" i="12" s="1"/>
  <c r="K147" i="12"/>
  <c r="K153" i="12" s="1"/>
  <c r="J147" i="12"/>
  <c r="J153" i="12" s="1"/>
  <c r="I147" i="12"/>
  <c r="I153" i="12" s="1"/>
  <c r="H147" i="12"/>
  <c r="H153" i="12" s="1"/>
  <c r="G147" i="12"/>
  <c r="G153" i="12" s="1"/>
  <c r="F147" i="12"/>
  <c r="F153" i="12" s="1"/>
  <c r="E147" i="12"/>
  <c r="E153" i="12" s="1"/>
  <c r="D147" i="12"/>
  <c r="D153" i="12" s="1"/>
  <c r="K137" i="12"/>
  <c r="J137" i="12"/>
  <c r="I137" i="12"/>
  <c r="H137" i="12"/>
  <c r="G137" i="12"/>
  <c r="F137" i="12"/>
  <c r="E137" i="12"/>
  <c r="D137" i="12"/>
  <c r="K132" i="12"/>
  <c r="J132" i="12"/>
  <c r="I132" i="12"/>
  <c r="H132" i="12"/>
  <c r="G132" i="12"/>
  <c r="F132" i="12"/>
  <c r="E132" i="12"/>
  <c r="D132" i="12"/>
  <c r="K128" i="12"/>
  <c r="K127" i="12" s="1"/>
  <c r="J128" i="12"/>
  <c r="I128" i="12"/>
  <c r="I127" i="12" s="1"/>
  <c r="H128" i="12"/>
  <c r="G128" i="12"/>
  <c r="G127" i="12" s="1"/>
  <c r="F128" i="12"/>
  <c r="E128" i="12"/>
  <c r="E127" i="12" s="1"/>
  <c r="D128" i="12"/>
  <c r="L117" i="12"/>
  <c r="K117" i="12"/>
  <c r="J117" i="12"/>
  <c r="I117" i="12"/>
  <c r="H117" i="12"/>
  <c r="G117" i="12"/>
  <c r="F117" i="12"/>
  <c r="E117" i="12"/>
  <c r="D117" i="12"/>
  <c r="L116" i="12"/>
  <c r="K116" i="12"/>
  <c r="J116" i="12"/>
  <c r="I116" i="12"/>
  <c r="H116" i="12"/>
  <c r="G116" i="12"/>
  <c r="F116" i="12"/>
  <c r="E116" i="12"/>
  <c r="D116" i="12"/>
  <c r="L115" i="12"/>
  <c r="K115" i="12"/>
  <c r="J115" i="12"/>
  <c r="I115" i="12"/>
  <c r="H115" i="12"/>
  <c r="G115" i="12"/>
  <c r="F115" i="12"/>
  <c r="E115" i="12"/>
  <c r="D115" i="12"/>
  <c r="L113" i="12"/>
  <c r="K113" i="12"/>
  <c r="J113" i="12"/>
  <c r="I113" i="12"/>
  <c r="H113" i="12"/>
  <c r="G113" i="12"/>
  <c r="F113" i="12"/>
  <c r="E113" i="12"/>
  <c r="D113" i="12"/>
  <c r="L112" i="12"/>
  <c r="K112" i="12"/>
  <c r="J112" i="12"/>
  <c r="I112" i="12"/>
  <c r="H112" i="12"/>
  <c r="G112" i="12"/>
  <c r="F112" i="12"/>
  <c r="E112" i="12"/>
  <c r="D112" i="12"/>
  <c r="L111" i="12"/>
  <c r="K111" i="12"/>
  <c r="J111" i="12"/>
  <c r="I111" i="12"/>
  <c r="H111" i="12"/>
  <c r="G111" i="12"/>
  <c r="F111" i="12"/>
  <c r="E111" i="12"/>
  <c r="D111" i="12"/>
  <c r="L110" i="12"/>
  <c r="K110" i="12"/>
  <c r="J110" i="12"/>
  <c r="I110" i="12"/>
  <c r="H110" i="12"/>
  <c r="G110" i="12"/>
  <c r="F110" i="12"/>
  <c r="E110" i="12"/>
  <c r="D110" i="12"/>
  <c r="L108" i="12"/>
  <c r="K108" i="12"/>
  <c r="J108" i="12"/>
  <c r="I108" i="12"/>
  <c r="H108" i="12"/>
  <c r="G108" i="12"/>
  <c r="F108" i="12"/>
  <c r="E108" i="12"/>
  <c r="D108" i="12"/>
  <c r="L107" i="12"/>
  <c r="K107" i="12"/>
  <c r="J107" i="12"/>
  <c r="I107" i="12"/>
  <c r="H107" i="12"/>
  <c r="G107" i="12"/>
  <c r="F107" i="12"/>
  <c r="E107" i="12"/>
  <c r="D107" i="12"/>
  <c r="L106" i="12"/>
  <c r="K106" i="12"/>
  <c r="J106" i="12"/>
  <c r="I106" i="12"/>
  <c r="H106" i="12"/>
  <c r="G106" i="12"/>
  <c r="F106" i="12"/>
  <c r="E106" i="12"/>
  <c r="D106" i="12"/>
  <c r="L94" i="12"/>
  <c r="L114" i="12" s="1"/>
  <c r="K94" i="12"/>
  <c r="K114" i="12" s="1"/>
  <c r="J94" i="12"/>
  <c r="J114" i="12" s="1"/>
  <c r="I94" i="12"/>
  <c r="I114" i="12" s="1"/>
  <c r="H94" i="12"/>
  <c r="H114" i="12" s="1"/>
  <c r="G94" i="12"/>
  <c r="G114" i="12" s="1"/>
  <c r="F94" i="12"/>
  <c r="F114" i="12" s="1"/>
  <c r="E94" i="12"/>
  <c r="E114" i="12" s="1"/>
  <c r="D94" i="12"/>
  <c r="D114" i="12" s="1"/>
  <c r="L89" i="12"/>
  <c r="K89" i="12"/>
  <c r="K109" i="12" s="1"/>
  <c r="J89" i="12"/>
  <c r="J109" i="12" s="1"/>
  <c r="I89" i="12"/>
  <c r="I109" i="12" s="1"/>
  <c r="H89" i="12"/>
  <c r="H109" i="12" s="1"/>
  <c r="G89" i="12"/>
  <c r="G109" i="12" s="1"/>
  <c r="F89" i="12"/>
  <c r="F109" i="12" s="1"/>
  <c r="E89" i="12"/>
  <c r="E109" i="12" s="1"/>
  <c r="D89" i="12"/>
  <c r="D109" i="12" s="1"/>
  <c r="L105" i="12"/>
  <c r="K85" i="12"/>
  <c r="K105" i="12" s="1"/>
  <c r="J85" i="12"/>
  <c r="I85" i="12"/>
  <c r="H85" i="12"/>
  <c r="H105" i="12" s="1"/>
  <c r="G85" i="12"/>
  <c r="F85" i="12"/>
  <c r="F105" i="12" s="1"/>
  <c r="E85" i="12"/>
  <c r="D85" i="12"/>
  <c r="D105" i="12" s="1"/>
  <c r="I76" i="12"/>
  <c r="H76" i="12"/>
  <c r="G76" i="12"/>
  <c r="F76" i="12"/>
  <c r="E76" i="12"/>
  <c r="D76" i="12"/>
  <c r="I75" i="12"/>
  <c r="H75" i="12"/>
  <c r="G75" i="12"/>
  <c r="F75" i="12"/>
  <c r="E75" i="12"/>
  <c r="D75" i="12"/>
  <c r="I73" i="12"/>
  <c r="H73" i="12"/>
  <c r="G73" i="12"/>
  <c r="F73" i="12"/>
  <c r="E73" i="12"/>
  <c r="D73" i="12"/>
  <c r="I72" i="12"/>
  <c r="H72" i="12"/>
  <c r="G72" i="12"/>
  <c r="F72" i="12"/>
  <c r="E72" i="12"/>
  <c r="D72" i="12"/>
  <c r="I70" i="12"/>
  <c r="H70" i="12"/>
  <c r="G70" i="12"/>
  <c r="F70" i="12"/>
  <c r="E70" i="12"/>
  <c r="D70" i="12"/>
  <c r="I69" i="12"/>
  <c r="H69" i="12"/>
  <c r="G69" i="12"/>
  <c r="F69" i="12"/>
  <c r="E69" i="12"/>
  <c r="D69" i="12"/>
  <c r="I67" i="12"/>
  <c r="H67" i="12"/>
  <c r="G67" i="12"/>
  <c r="F67" i="12"/>
  <c r="E67" i="12"/>
  <c r="D67" i="12"/>
  <c r="I66" i="12"/>
  <c r="H66" i="12"/>
  <c r="G66" i="12"/>
  <c r="F66" i="12"/>
  <c r="E66" i="12"/>
  <c r="D66" i="12"/>
  <c r="I55" i="12"/>
  <c r="J74" i="12" s="1"/>
  <c r="H55" i="12"/>
  <c r="G55" i="12"/>
  <c r="F55" i="12"/>
  <c r="E55" i="12"/>
  <c r="D55" i="12"/>
  <c r="C55" i="12"/>
  <c r="I52" i="12"/>
  <c r="J71" i="12" s="1"/>
  <c r="H52" i="12"/>
  <c r="G52" i="12"/>
  <c r="F52" i="12"/>
  <c r="E52" i="12"/>
  <c r="D52" i="12"/>
  <c r="C52" i="12"/>
  <c r="I49" i="12"/>
  <c r="J68" i="12" s="1"/>
  <c r="H49" i="12"/>
  <c r="G49" i="12"/>
  <c r="F49" i="12"/>
  <c r="E49" i="12"/>
  <c r="D49" i="12"/>
  <c r="C49" i="12"/>
  <c r="I46" i="12"/>
  <c r="J65" i="12" s="1"/>
  <c r="H46" i="12"/>
  <c r="G46" i="12"/>
  <c r="F46" i="12"/>
  <c r="E46" i="12"/>
  <c r="D46" i="12"/>
  <c r="C46" i="12"/>
  <c r="L36" i="12"/>
  <c r="K36" i="12"/>
  <c r="J36" i="12"/>
  <c r="I36" i="12"/>
  <c r="H36" i="12"/>
  <c r="G36" i="12"/>
  <c r="F36" i="12"/>
  <c r="E36" i="12"/>
  <c r="D36" i="12"/>
  <c r="C36" i="12"/>
  <c r="L35" i="12"/>
  <c r="K35" i="12"/>
  <c r="J35" i="12"/>
  <c r="I35" i="12"/>
  <c r="H35" i="12"/>
  <c r="G35" i="12"/>
  <c r="F35" i="12"/>
  <c r="E35" i="12"/>
  <c r="D35" i="12"/>
  <c r="C35" i="12"/>
  <c r="L33" i="12"/>
  <c r="K33" i="12"/>
  <c r="J33" i="12"/>
  <c r="I33" i="12"/>
  <c r="H33" i="12"/>
  <c r="G33" i="12"/>
  <c r="F33" i="12"/>
  <c r="E33" i="12"/>
  <c r="D33" i="12"/>
  <c r="C33" i="12"/>
  <c r="L32" i="12"/>
  <c r="K32" i="12"/>
  <c r="J32" i="12"/>
  <c r="I32" i="12"/>
  <c r="H32" i="12"/>
  <c r="G32" i="12"/>
  <c r="F32" i="12"/>
  <c r="E32" i="12"/>
  <c r="D32" i="12"/>
  <c r="C32" i="12"/>
  <c r="L31" i="12"/>
  <c r="L30" i="12"/>
  <c r="K30" i="12"/>
  <c r="J30" i="12"/>
  <c r="I30" i="12"/>
  <c r="H30" i="12"/>
  <c r="G30" i="12"/>
  <c r="F30" i="12"/>
  <c r="E30" i="12"/>
  <c r="D30" i="12"/>
  <c r="C30" i="12"/>
  <c r="L29" i="12"/>
  <c r="K29" i="12"/>
  <c r="J29" i="12"/>
  <c r="I29" i="12"/>
  <c r="H29" i="12"/>
  <c r="G29" i="12"/>
  <c r="F29" i="12"/>
  <c r="E29" i="12"/>
  <c r="D29" i="12"/>
  <c r="C29" i="12"/>
  <c r="L27" i="12"/>
  <c r="K27" i="12"/>
  <c r="J27" i="12"/>
  <c r="I27" i="12"/>
  <c r="H27" i="12"/>
  <c r="G27" i="12"/>
  <c r="F27" i="12"/>
  <c r="E27" i="12"/>
  <c r="D27" i="12"/>
  <c r="C27" i="12"/>
  <c r="L26" i="12"/>
  <c r="K26" i="12"/>
  <c r="J26" i="12"/>
  <c r="I26" i="12"/>
  <c r="H26" i="12"/>
  <c r="G26" i="12"/>
  <c r="F26" i="12"/>
  <c r="E26" i="12"/>
  <c r="D26" i="12"/>
  <c r="C26" i="12"/>
  <c r="L34" i="12"/>
  <c r="K16" i="12"/>
  <c r="J16" i="12"/>
  <c r="I16" i="12"/>
  <c r="H16" i="12"/>
  <c r="G16" i="12"/>
  <c r="F16" i="12"/>
  <c r="E16" i="12"/>
  <c r="D16" i="12"/>
  <c r="C16" i="12"/>
  <c r="K13" i="12"/>
  <c r="J13" i="12"/>
  <c r="I13" i="12"/>
  <c r="H13" i="12"/>
  <c r="G13" i="12"/>
  <c r="F13" i="12"/>
  <c r="E13" i="12"/>
  <c r="D13" i="12"/>
  <c r="C13" i="12"/>
  <c r="L28" i="12"/>
  <c r="K10" i="12"/>
  <c r="J10" i="12"/>
  <c r="I10" i="12"/>
  <c r="I28" i="12" s="1"/>
  <c r="H10" i="12"/>
  <c r="G10" i="12"/>
  <c r="F10" i="12"/>
  <c r="E10" i="12"/>
  <c r="D10" i="12"/>
  <c r="C10" i="12"/>
  <c r="L24" i="12"/>
  <c r="K7" i="12"/>
  <c r="J7" i="12"/>
  <c r="I7" i="12"/>
  <c r="H7" i="12"/>
  <c r="G7" i="12"/>
  <c r="F7" i="12"/>
  <c r="E7" i="12"/>
  <c r="D7" i="12"/>
  <c r="C7" i="12"/>
  <c r="BA87" i="9" l="1"/>
  <c r="Q89" i="9"/>
  <c r="R90" i="9"/>
  <c r="Q95" i="9"/>
  <c r="R76" i="9"/>
  <c r="BA77" i="9"/>
  <c r="Q79" i="9"/>
  <c r="Q87" i="9"/>
  <c r="Q93" i="9"/>
  <c r="Q97" i="9"/>
  <c r="Q76" i="9"/>
  <c r="U76" i="9" s="1"/>
  <c r="S76" i="9"/>
  <c r="Q82" i="9"/>
  <c r="Q90" i="9"/>
  <c r="V90" i="9" s="1"/>
  <c r="V24" i="9" s="1"/>
  <c r="S90" i="9"/>
  <c r="Q91" i="9"/>
  <c r="U91" i="9" s="1"/>
  <c r="Q94" i="9"/>
  <c r="Q96" i="9"/>
  <c r="R96" i="9" s="1"/>
  <c r="R97" i="9"/>
  <c r="R99" i="9"/>
  <c r="T76" i="9"/>
  <c r="V76" i="9"/>
  <c r="R82" i="9"/>
  <c r="R91" i="9"/>
  <c r="V91" i="9" s="1"/>
  <c r="V25" i="9" s="1"/>
  <c r="R93" i="9"/>
  <c r="R94" i="9"/>
  <c r="S97" i="9"/>
  <c r="I36" i="9"/>
  <c r="R77" i="9"/>
  <c r="Q77" i="9"/>
  <c r="Q193" i="9"/>
  <c r="R188" i="9"/>
  <c r="R185" i="9"/>
  <c r="R183" i="9"/>
  <c r="Q182" i="9"/>
  <c r="Q181" i="9"/>
  <c r="Q180" i="9"/>
  <c r="R186" i="9"/>
  <c r="S181" i="9"/>
  <c r="R81" i="9"/>
  <c r="U90" i="9"/>
  <c r="BG13" i="7"/>
  <c r="AE13" i="7" s="1"/>
  <c r="AD7" i="7"/>
  <c r="Q78" i="9"/>
  <c r="R181" i="9"/>
  <c r="S188" i="9"/>
  <c r="S183" i="9"/>
  <c r="R83" i="9"/>
  <c r="S83" i="9" s="1"/>
  <c r="Q84" i="9"/>
  <c r="Q217" i="9"/>
  <c r="R217" i="9" s="1"/>
  <c r="S217" i="9" s="1"/>
  <c r="T217" i="9" s="1"/>
  <c r="U217" i="9" s="1"/>
  <c r="V217" i="9" s="1"/>
  <c r="Q160" i="9"/>
  <c r="R160" i="9" s="1"/>
  <c r="S160" i="9" s="1"/>
  <c r="T160" i="9" s="1"/>
  <c r="U160" i="9" s="1"/>
  <c r="V160" i="9" s="1"/>
  <c r="S85" i="9"/>
  <c r="T85" i="9" s="1"/>
  <c r="U85" i="9" s="1"/>
  <c r="V85" i="9" s="1"/>
  <c r="Q88" i="9"/>
  <c r="R88" i="9" s="1"/>
  <c r="R89" i="9"/>
  <c r="S89" i="9" s="1"/>
  <c r="T90" i="9"/>
  <c r="T24" i="9" s="1"/>
  <c r="R95" i="9"/>
  <c r="S95" i="9" s="1"/>
  <c r="AN55" i="4"/>
  <c r="AV55" i="4"/>
  <c r="AT89" i="4"/>
  <c r="AM220" i="4"/>
  <c r="AP225" i="4"/>
  <c r="U24" i="9"/>
  <c r="U25" i="9"/>
  <c r="AR55" i="4"/>
  <c r="AZ55" i="4"/>
  <c r="AO89" i="4"/>
  <c r="AX89" i="4"/>
  <c r="AR225" i="4"/>
  <c r="AS55" i="4"/>
  <c r="AY89" i="4"/>
  <c r="AS89" i="4"/>
  <c r="AX13" i="7"/>
  <c r="L62" i="9" s="1"/>
  <c r="AQ55" i="4"/>
  <c r="AU55" i="4"/>
  <c r="AY55" i="4"/>
  <c r="AN89" i="4"/>
  <c r="AR89" i="4"/>
  <c r="AW89" i="4"/>
  <c r="AL220" i="4"/>
  <c r="AO225" i="4"/>
  <c r="AO236" i="4" s="1"/>
  <c r="BA12" i="7"/>
  <c r="AP89" i="4"/>
  <c r="AQ225" i="4"/>
  <c r="AP55" i="4"/>
  <c r="AT55" i="4"/>
  <c r="AX55" i="4"/>
  <c r="AQ89" i="4"/>
  <c r="AV89" i="4"/>
  <c r="AZ89" i="4"/>
  <c r="AN225" i="4"/>
  <c r="P101" i="9"/>
  <c r="Q101" i="9" s="1"/>
  <c r="BA89" i="9"/>
  <c r="BA99" i="9"/>
  <c r="BA84" i="9"/>
  <c r="BA79" i="9"/>
  <c r="BA13" i="7"/>
  <c r="S25" i="9"/>
  <c r="BA101" i="9"/>
  <c r="O36" i="9"/>
  <c r="Q36" i="9"/>
  <c r="Q41" i="9"/>
  <c r="Q40" i="9"/>
  <c r="Q42" i="9"/>
  <c r="P36" i="9"/>
  <c r="M278" i="4"/>
  <c r="BA78" i="9"/>
  <c r="BA81" i="9"/>
  <c r="BA83" i="9"/>
  <c r="BA85" i="9"/>
  <c r="BA88" i="9"/>
  <c r="Q25" i="9"/>
  <c r="BA93" i="9"/>
  <c r="BA95" i="9"/>
  <c r="BA97" i="9"/>
  <c r="BA82" i="9"/>
  <c r="BA96" i="9"/>
  <c r="BA94" i="9"/>
  <c r="BA90" i="9"/>
  <c r="BA76" i="9"/>
  <c r="BA91" i="9"/>
  <c r="O278" i="4"/>
  <c r="M237" i="12"/>
  <c r="F74" i="12"/>
  <c r="I71" i="12"/>
  <c r="F28" i="12"/>
  <c r="C31" i="12"/>
  <c r="K31" i="12"/>
  <c r="N237" i="12"/>
  <c r="W12" i="7"/>
  <c r="Y12" i="7"/>
  <c r="N278" i="4"/>
  <c r="G31" i="12"/>
  <c r="C34" i="12"/>
  <c r="K34" i="12"/>
  <c r="V12" i="7"/>
  <c r="X12" i="7"/>
  <c r="AQ22" i="7"/>
  <c r="AZ13" i="7"/>
  <c r="Q278" i="4"/>
  <c r="L109" i="12"/>
  <c r="L84" i="12"/>
  <c r="L83" i="12" s="1"/>
  <c r="K200" i="12"/>
  <c r="K201" i="12" s="1"/>
  <c r="I243" i="12" s="1"/>
  <c r="K278" i="4"/>
  <c r="D45" i="12"/>
  <c r="R24" i="9"/>
  <c r="AF217" i="11"/>
  <c r="AF215" i="11"/>
  <c r="AF216" i="11"/>
  <c r="AF214" i="11"/>
  <c r="F45" i="12"/>
  <c r="G68" i="12"/>
  <c r="E6" i="12"/>
  <c r="E24" i="12" s="1"/>
  <c r="I6" i="12"/>
  <c r="I24" i="12" s="1"/>
  <c r="D31" i="12"/>
  <c r="J28" i="12"/>
  <c r="BM12" i="7"/>
  <c r="BU12" i="7"/>
  <c r="CC12" i="7"/>
  <c r="CG12" i="7"/>
  <c r="CO12" i="7"/>
  <c r="K55" i="9"/>
  <c r="K121" i="9" s="1"/>
  <c r="GQ9" i="7"/>
  <c r="GY9" i="7"/>
  <c r="EI11" i="7"/>
  <c r="EM11" i="7"/>
  <c r="EQ11" i="7"/>
  <c r="BR12" i="7"/>
  <c r="CD12" i="7"/>
  <c r="L12" i="7" s="1"/>
  <c r="AW8" i="7"/>
  <c r="GV9" i="7"/>
  <c r="AO11" i="7"/>
  <c r="EN11" i="7"/>
  <c r="AU10" i="7"/>
  <c r="BO12" i="7"/>
  <c r="BS12" i="7"/>
  <c r="BW12" i="7"/>
  <c r="CA12" i="7"/>
  <c r="CE12" i="7"/>
  <c r="CI12" i="7"/>
  <c r="CM12" i="7"/>
  <c r="CQ12" i="7"/>
  <c r="DC13" i="7" s="1"/>
  <c r="CU12" i="7"/>
  <c r="DG13" i="7" s="1"/>
  <c r="GO9" i="7"/>
  <c r="GS9" i="7"/>
  <c r="GW9" i="7"/>
  <c r="Y10" i="7"/>
  <c r="EG11" i="7"/>
  <c r="EK11" i="7"/>
  <c r="EO11" i="7"/>
  <c r="BQ12" i="7"/>
  <c r="BY12" i="7"/>
  <c r="CK12" i="7"/>
  <c r="CW13" i="7" s="1"/>
  <c r="CS12" i="7"/>
  <c r="GU9" i="7"/>
  <c r="AS11" i="7"/>
  <c r="JF10" i="7"/>
  <c r="JR10" i="7" s="1"/>
  <c r="AT7" i="7"/>
  <c r="H55" i="9" s="1"/>
  <c r="BN12" i="7"/>
  <c r="BV12" i="7"/>
  <c r="BZ12" i="7"/>
  <c r="CH12" i="7"/>
  <c r="CL12" i="7"/>
  <c r="CT12" i="7"/>
  <c r="M9" i="7"/>
  <c r="Q9" i="7"/>
  <c r="AO9" i="7"/>
  <c r="GR9" i="7"/>
  <c r="L11" i="7"/>
  <c r="AT11" i="7"/>
  <c r="EJ11" i="7"/>
  <c r="ER11" i="7"/>
  <c r="IU10" i="7"/>
  <c r="JG10" i="7" s="1"/>
  <c r="JS10" i="7" s="1"/>
  <c r="BP12" i="7"/>
  <c r="BT12" i="7"/>
  <c r="BX12" i="7"/>
  <c r="CB12" i="7"/>
  <c r="CF12" i="7"/>
  <c r="CJ12" i="7"/>
  <c r="CN12" i="7"/>
  <c r="CR12" i="7"/>
  <c r="GP9" i="7"/>
  <c r="GT9" i="7"/>
  <c r="EH11" i="7"/>
  <c r="EL11" i="7"/>
  <c r="EP11" i="7"/>
  <c r="R10" i="7"/>
  <c r="S10" i="7"/>
  <c r="T10" i="7"/>
  <c r="JA10" i="7"/>
  <c r="JM10" i="7" s="1"/>
  <c r="JE10" i="7"/>
  <c r="JQ10" i="7" s="1"/>
  <c r="U12" i="7"/>
  <c r="H25" i="12"/>
  <c r="K126" i="12"/>
  <c r="K141" i="12" s="1"/>
  <c r="X9" i="7"/>
  <c r="AQ9" i="7"/>
  <c r="AU9" i="7"/>
  <c r="E25" i="12"/>
  <c r="I25" i="12"/>
  <c r="F31" i="12"/>
  <c r="J31" i="12"/>
  <c r="D25" i="12"/>
  <c r="F127" i="12"/>
  <c r="S12" i="7"/>
  <c r="AY12" i="7"/>
  <c r="IV10" i="7"/>
  <c r="JH10" i="7" s="1"/>
  <c r="JT10" i="7" s="1"/>
  <c r="KF10" i="7" s="1"/>
  <c r="KR10" i="7" s="1"/>
  <c r="LD10" i="7" s="1"/>
  <c r="R7" i="7"/>
  <c r="AR12" i="7"/>
  <c r="P7" i="7"/>
  <c r="X7" i="7"/>
  <c r="N120" i="9" s="1"/>
  <c r="AZ12" i="7"/>
  <c r="V7" i="7"/>
  <c r="L120" i="9" s="1"/>
  <c r="C28" i="12"/>
  <c r="G28" i="12"/>
  <c r="E34" i="12"/>
  <c r="I34" i="12"/>
  <c r="GN9" i="7"/>
  <c r="AX9" i="7" s="1"/>
  <c r="FL11" i="7"/>
  <c r="FT11" i="7"/>
  <c r="D6" i="12"/>
  <c r="D24" i="12" s="1"/>
  <c r="H6" i="12"/>
  <c r="H24" i="12" s="1"/>
  <c r="F6" i="12"/>
  <c r="F24" i="12" s="1"/>
  <c r="J6" i="12"/>
  <c r="J24" i="12" s="1"/>
  <c r="D74" i="12"/>
  <c r="H74" i="12"/>
  <c r="L6" i="7"/>
  <c r="AN6" i="7"/>
  <c r="AB7" i="7"/>
  <c r="AP9" i="7"/>
  <c r="AT9" i="7"/>
  <c r="Q10" i="7"/>
  <c r="DL13" i="7"/>
  <c r="DT13" i="7"/>
  <c r="EB13" i="7"/>
  <c r="EJ13" i="7"/>
  <c r="C45" i="12"/>
  <c r="G45" i="12"/>
  <c r="G74" i="12"/>
  <c r="K84" i="12"/>
  <c r="K83" i="12" s="1"/>
  <c r="G84" i="12"/>
  <c r="G104" i="12" s="1"/>
  <c r="L167" i="12"/>
  <c r="O7" i="7"/>
  <c r="W7" i="7"/>
  <c r="M120" i="9" s="1"/>
  <c r="AQ7" i="7"/>
  <c r="AU7" i="7"/>
  <c r="I55" i="9" s="1"/>
  <c r="AY7" i="7"/>
  <c r="M55" i="9" s="1"/>
  <c r="M121" i="9" s="1"/>
  <c r="L9" i="7"/>
  <c r="P9" i="7"/>
  <c r="T9" i="7"/>
  <c r="EU11" i="7"/>
  <c r="EY11" i="7"/>
  <c r="FC11" i="7"/>
  <c r="FG11" i="7"/>
  <c r="FK11" i="7"/>
  <c r="FO11" i="7"/>
  <c r="FS11" i="7"/>
  <c r="FW11" i="7"/>
  <c r="AQ12" i="7"/>
  <c r="O12" i="7"/>
  <c r="DI13" i="7"/>
  <c r="P12" i="7"/>
  <c r="DY13" i="7"/>
  <c r="AT12" i="7"/>
  <c r="R12" i="7"/>
  <c r="AU12" i="7"/>
  <c r="AV12" i="7"/>
  <c r="T12" i="7"/>
  <c r="AW12" i="7"/>
  <c r="G105" i="12"/>
  <c r="D68" i="12"/>
  <c r="H68" i="12"/>
  <c r="E71" i="12"/>
  <c r="D84" i="12"/>
  <c r="D83" i="12" s="1"/>
  <c r="D98" i="12" s="1"/>
  <c r="D118" i="12" s="1"/>
  <c r="J127" i="12"/>
  <c r="G6" i="12"/>
  <c r="G24" i="12" s="1"/>
  <c r="H31" i="12"/>
  <c r="G34" i="12"/>
  <c r="E45" i="12"/>
  <c r="F71" i="12"/>
  <c r="E31" i="12"/>
  <c r="I31" i="12"/>
  <c r="J34" i="12"/>
  <c r="D71" i="12"/>
  <c r="J11" i="4"/>
  <c r="R11" i="4"/>
  <c r="W287" i="4"/>
  <c r="AU22" i="7"/>
  <c r="N11" i="4"/>
  <c r="AY22" i="7"/>
  <c r="V11" i="4"/>
  <c r="AL20" i="7"/>
  <c r="U278" i="4"/>
  <c r="W11" i="4"/>
  <c r="D63" i="4"/>
  <c r="O11" i="4"/>
  <c r="K11" i="4"/>
  <c r="AA11" i="4"/>
  <c r="J18" i="7"/>
  <c r="T297" i="4"/>
  <c r="L297" i="4"/>
  <c r="K61" i="4"/>
  <c r="K64" i="4"/>
  <c r="D64" i="4"/>
  <c r="AM82" i="4"/>
  <c r="AM20" i="7" s="1"/>
  <c r="AN122" i="4"/>
  <c r="K95" i="4"/>
  <c r="K59" i="11" s="1"/>
  <c r="K97" i="4"/>
  <c r="K61" i="11" s="1"/>
  <c r="K57" i="4"/>
  <c r="K59" i="4"/>
  <c r="K63" i="4"/>
  <c r="K67" i="4"/>
  <c r="K69" i="4"/>
  <c r="K71" i="4"/>
  <c r="K73" i="4"/>
  <c r="D73" i="4"/>
  <c r="K75" i="4"/>
  <c r="D75" i="4"/>
  <c r="S279" i="4"/>
  <c r="S278" i="4" s="1"/>
  <c r="K62" i="4"/>
  <c r="K65" i="4"/>
  <c r="AO22" i="7"/>
  <c r="AS22" i="7"/>
  <c r="AW22" i="7"/>
  <c r="T291" i="4"/>
  <c r="K56" i="4"/>
  <c r="K58" i="4"/>
  <c r="Q59" i="4"/>
  <c r="K68" i="4"/>
  <c r="D68" i="4"/>
  <c r="K70" i="4"/>
  <c r="D70" i="4"/>
  <c r="K72" i="4"/>
  <c r="D72" i="4"/>
  <c r="W72" i="4"/>
  <c r="K74" i="4"/>
  <c r="D74" i="4"/>
  <c r="AP22" i="7"/>
  <c r="AT22" i="7"/>
  <c r="AX22" i="7"/>
  <c r="K99" i="4"/>
  <c r="K130" i="4" s="1"/>
  <c r="K103" i="4"/>
  <c r="K134" i="4" s="1"/>
  <c r="K105" i="4"/>
  <c r="K136" i="4" s="1"/>
  <c r="K107" i="4"/>
  <c r="K72" i="11" s="1"/>
  <c r="K109" i="4"/>
  <c r="K74" i="11" s="1"/>
  <c r="M11" i="4"/>
  <c r="Q11" i="4"/>
  <c r="U11" i="4"/>
  <c r="Y11" i="4"/>
  <c r="K28" i="12"/>
  <c r="AV94" i="4"/>
  <c r="AM333" i="4"/>
  <c r="AM345" i="4" s="1"/>
  <c r="M91" i="4"/>
  <c r="P297" i="4"/>
  <c r="AL333" i="4"/>
  <c r="AL345" i="4" s="1"/>
  <c r="L196" i="12"/>
  <c r="L200" i="12" s="1"/>
  <c r="L201" i="12" s="1"/>
  <c r="J243" i="12" s="1"/>
  <c r="L202" i="12"/>
  <c r="J242" i="12" s="1"/>
  <c r="C6" i="12"/>
  <c r="C24" i="12" s="1"/>
  <c r="K6" i="12"/>
  <c r="K24" i="12" s="1"/>
  <c r="L25" i="12"/>
  <c r="F25" i="12"/>
  <c r="J25" i="12"/>
  <c r="D28" i="12"/>
  <c r="H28" i="12"/>
  <c r="F84" i="12"/>
  <c r="J84" i="12"/>
  <c r="J104" i="12" s="1"/>
  <c r="J105" i="12"/>
  <c r="D127" i="12"/>
  <c r="H127" i="12"/>
  <c r="Q7" i="7"/>
  <c r="Y6" i="7"/>
  <c r="AO6" i="7"/>
  <c r="AC7" i="7"/>
  <c r="U8" i="7"/>
  <c r="V11" i="7"/>
  <c r="AQ11" i="7"/>
  <c r="ET11" i="7"/>
  <c r="EX11" i="7"/>
  <c r="FB11" i="7"/>
  <c r="FF11" i="7"/>
  <c r="FJ11" i="7"/>
  <c r="FN11" i="7"/>
  <c r="FR11" i="7"/>
  <c r="FV11" i="7"/>
  <c r="DK13" i="7"/>
  <c r="DO13" i="7"/>
  <c r="DS13" i="7"/>
  <c r="DW13" i="7"/>
  <c r="EA13" i="7"/>
  <c r="EE13" i="7"/>
  <c r="EI13" i="7"/>
  <c r="EM13" i="7"/>
  <c r="P92" i="4"/>
  <c r="C25" i="12"/>
  <c r="G25" i="12"/>
  <c r="K25" i="12"/>
  <c r="E28" i="12"/>
  <c r="D34" i="12"/>
  <c r="H34" i="12"/>
  <c r="F34" i="12"/>
  <c r="E65" i="12"/>
  <c r="I65" i="12"/>
  <c r="BD13" i="7"/>
  <c r="BD19" i="7" s="1"/>
  <c r="N9" i="7"/>
  <c r="R9" i="7"/>
  <c r="GM9" i="7"/>
  <c r="DH13" i="7"/>
  <c r="DP13" i="7"/>
  <c r="DX13" i="7"/>
  <c r="EF13" i="7"/>
  <c r="BE13" i="7"/>
  <c r="BE21" i="7" s="1"/>
  <c r="T7" i="7"/>
  <c r="J54" i="9" s="1"/>
  <c r="S7" i="7"/>
  <c r="EV11" i="7"/>
  <c r="AR11" i="7"/>
  <c r="AZ11" i="7"/>
  <c r="DQ13" i="7"/>
  <c r="BF13" i="7"/>
  <c r="S93" i="4"/>
  <c r="W103" i="4"/>
  <c r="AR22" i="7"/>
  <c r="AV22" i="7"/>
  <c r="AZ22" i="7"/>
  <c r="Q297" i="4"/>
  <c r="K202" i="12"/>
  <c r="I242" i="12" s="1"/>
  <c r="FD11" i="7"/>
  <c r="AU98" i="4"/>
  <c r="AO62" i="11" s="1"/>
  <c r="P112" i="4"/>
  <c r="V278" i="4"/>
  <c r="CP12" i="7"/>
  <c r="M6" i="7"/>
  <c r="AZ9" i="7"/>
  <c r="E68" i="12"/>
  <c r="G71" i="12"/>
  <c r="H71" i="12"/>
  <c r="O9" i="7"/>
  <c r="W9" i="7"/>
  <c r="I74" i="12"/>
  <c r="IV6" i="7"/>
  <c r="I68" i="12"/>
  <c r="AY13" i="7"/>
  <c r="S9" i="7"/>
  <c r="H45" i="12"/>
  <c r="D65" i="12"/>
  <c r="H65" i="12"/>
  <c r="F68" i="12"/>
  <c r="F65" i="12"/>
  <c r="E74" i="12"/>
  <c r="K167" i="12"/>
  <c r="AR7" i="7"/>
  <c r="AV7" i="7"/>
  <c r="J55" i="9" s="1"/>
  <c r="J121" i="9" s="1"/>
  <c r="AZ7" i="7"/>
  <c r="N55" i="9" s="1"/>
  <c r="N121" i="9" s="1"/>
  <c r="AX7" i="7"/>
  <c r="L55" i="9" s="1"/>
  <c r="L121" i="9" s="1"/>
  <c r="AR9" i="7"/>
  <c r="AV9" i="7"/>
  <c r="I45" i="12"/>
  <c r="J64" i="12" s="1"/>
  <c r="G65" i="12"/>
  <c r="H84" i="12"/>
  <c r="E84" i="12"/>
  <c r="E105" i="12"/>
  <c r="I84" i="12"/>
  <c r="I105" i="12"/>
  <c r="K6" i="7"/>
  <c r="AS7" i="7"/>
  <c r="BC13" i="7"/>
  <c r="GZ9" i="7"/>
  <c r="AX8" i="7"/>
  <c r="AS9" i="7"/>
  <c r="AP11" i="7"/>
  <c r="EZ11" i="7"/>
  <c r="FH11" i="7"/>
  <c r="AV10" i="7"/>
  <c r="FP11" i="7"/>
  <c r="FX11" i="7"/>
  <c r="N297" i="4"/>
  <c r="N196" i="12"/>
  <c r="N200" i="12" s="1"/>
  <c r="N201" i="12" s="1"/>
  <c r="GX9" i="7"/>
  <c r="GL9" i="7"/>
  <c r="P11" i="7"/>
  <c r="AY11" i="7"/>
  <c r="CX13" i="7"/>
  <c r="DJ13" i="7"/>
  <c r="DN13" i="7"/>
  <c r="DR13" i="7"/>
  <c r="DV13" i="7"/>
  <c r="DZ13" i="7"/>
  <c r="Q12" i="7"/>
  <c r="ED13" i="7"/>
  <c r="EH13" i="7"/>
  <c r="EL13" i="7"/>
  <c r="AN124" i="4"/>
  <c r="K93" i="4"/>
  <c r="K57" i="11" s="1"/>
  <c r="J297" i="4"/>
  <c r="R297" i="4"/>
  <c r="M196" i="12"/>
  <c r="M200" i="12" s="1"/>
  <c r="M201" i="12" s="1"/>
  <c r="K54" i="9"/>
  <c r="K120" i="9"/>
  <c r="AW13" i="7"/>
  <c r="O11" i="7"/>
  <c r="W11" i="7"/>
  <c r="ES11" i="7"/>
  <c r="EW11" i="7"/>
  <c r="FA11" i="7"/>
  <c r="FE11" i="7"/>
  <c r="FI11" i="7"/>
  <c r="FM11" i="7"/>
  <c r="FQ11" i="7"/>
  <c r="FU11" i="7"/>
  <c r="FY11" i="7"/>
  <c r="DM13" i="7"/>
  <c r="DU13" i="7"/>
  <c r="AS12" i="7"/>
  <c r="EC13" i="7"/>
  <c r="EK13" i="7"/>
  <c r="EG13" i="7"/>
  <c r="O203" i="4"/>
  <c r="P209" i="4"/>
  <c r="J294" i="4"/>
  <c r="R294" i="4"/>
  <c r="M256" i="4"/>
  <c r="AL283" i="4"/>
  <c r="T278" i="4"/>
  <c r="V297" i="4"/>
  <c r="I52" i="9"/>
  <c r="S63" i="4"/>
  <c r="W278" i="4"/>
  <c r="N58" i="4"/>
  <c r="V58" i="4"/>
  <c r="AZ60" i="4"/>
  <c r="P62" i="4"/>
  <c r="W62" i="4"/>
  <c r="S67" i="4"/>
  <c r="O70" i="4"/>
  <c r="S71" i="4"/>
  <c r="M72" i="4"/>
  <c r="O72" i="4"/>
  <c r="Q72" i="4"/>
  <c r="S72" i="4"/>
  <c r="U72" i="4"/>
  <c r="L80" i="4"/>
  <c r="P80" i="4"/>
  <c r="W80" i="4"/>
  <c r="N90" i="4"/>
  <c r="V90" i="4"/>
  <c r="T98" i="4"/>
  <c r="O99" i="4"/>
  <c r="W99" i="4"/>
  <c r="Q101" i="4"/>
  <c r="O103" i="4"/>
  <c r="S103" i="4"/>
  <c r="L273" i="4"/>
  <c r="D67" i="4"/>
  <c r="R106" i="4"/>
  <c r="N108" i="4"/>
  <c r="R114" i="4"/>
  <c r="I198" i="4"/>
  <c r="O231" i="4"/>
  <c r="W231" i="4"/>
  <c r="N250" i="4"/>
  <c r="R250" i="4"/>
  <c r="V250" i="4"/>
  <c r="M56" i="4"/>
  <c r="O56" i="4"/>
  <c r="Q56" i="4"/>
  <c r="S56" i="4"/>
  <c r="U56" i="4"/>
  <c r="W56" i="4"/>
  <c r="L61" i="4"/>
  <c r="W64" i="4"/>
  <c r="O65" i="4"/>
  <c r="S65" i="4"/>
  <c r="W65" i="4"/>
  <c r="AS66" i="4"/>
  <c r="S75" i="4"/>
  <c r="L76" i="4"/>
  <c r="N76" i="4"/>
  <c r="P76" i="4"/>
  <c r="R76" i="4"/>
  <c r="T76" i="4"/>
  <c r="V76" i="4"/>
  <c r="W95" i="4"/>
  <c r="L96" i="4"/>
  <c r="P96" i="4"/>
  <c r="T96" i="4"/>
  <c r="W105" i="4"/>
  <c r="Q109" i="4"/>
  <c r="R110" i="4"/>
  <c r="Q226" i="4"/>
  <c r="V245" i="4"/>
  <c r="O288" i="4"/>
  <c r="Q291" i="4"/>
  <c r="AP94" i="4"/>
  <c r="AT94" i="4"/>
  <c r="AX94" i="4"/>
  <c r="O57" i="4"/>
  <c r="S57" i="4"/>
  <c r="W57" i="4"/>
  <c r="AR60" i="4"/>
  <c r="T61" i="4"/>
  <c r="M64" i="4"/>
  <c r="O64" i="4"/>
  <c r="Q64" i="4"/>
  <c r="S64" i="4"/>
  <c r="U64" i="4"/>
  <c r="D65" i="4"/>
  <c r="W68" i="4"/>
  <c r="O69" i="4"/>
  <c r="S69" i="4"/>
  <c r="W69" i="4"/>
  <c r="D71" i="4"/>
  <c r="O74" i="4"/>
  <c r="W74" i="4"/>
  <c r="N78" i="4"/>
  <c r="R78" i="4"/>
  <c r="V78" i="4"/>
  <c r="J80" i="4"/>
  <c r="J82" i="4" s="1"/>
  <c r="M95" i="4"/>
  <c r="O95" i="4"/>
  <c r="Q95" i="4"/>
  <c r="S95" i="4"/>
  <c r="U95" i="4"/>
  <c r="L98" i="4"/>
  <c r="P98" i="4"/>
  <c r="R102" i="4"/>
  <c r="L104" i="4"/>
  <c r="N104" i="4"/>
  <c r="P104" i="4"/>
  <c r="R104" i="4"/>
  <c r="T104" i="4"/>
  <c r="V104" i="4"/>
  <c r="Q107" i="4"/>
  <c r="W203" i="4"/>
  <c r="I226" i="4"/>
  <c r="N245" i="4"/>
  <c r="R245" i="4"/>
  <c r="U256" i="4"/>
  <c r="T273" i="4"/>
  <c r="AL287" i="4"/>
  <c r="J291" i="4"/>
  <c r="L291" i="4"/>
  <c r="N291" i="4"/>
  <c r="P291" i="4"/>
  <c r="R291" i="4"/>
  <c r="V291" i="4"/>
  <c r="P273" i="4"/>
  <c r="AP272" i="4"/>
  <c r="P56" i="4"/>
  <c r="L58" i="4"/>
  <c r="E51" i="9"/>
  <c r="P58" i="4"/>
  <c r="R58" i="4"/>
  <c r="T58" i="4"/>
  <c r="M59" i="4"/>
  <c r="O59" i="4"/>
  <c r="S59" i="4"/>
  <c r="U59" i="4"/>
  <c r="W59" i="4"/>
  <c r="AN60" i="4"/>
  <c r="K60" i="4" s="1"/>
  <c r="AV60" i="4"/>
  <c r="P61" i="4"/>
  <c r="N62" i="4"/>
  <c r="R62" i="4"/>
  <c r="V62" i="4"/>
  <c r="AP60" i="4"/>
  <c r="O63" i="4"/>
  <c r="AT60" i="4"/>
  <c r="AX60" i="4"/>
  <c r="W63" i="4"/>
  <c r="M68" i="4"/>
  <c r="O68" i="4"/>
  <c r="Q68" i="4"/>
  <c r="S68" i="4"/>
  <c r="U68" i="4"/>
  <c r="D69" i="4"/>
  <c r="W70" i="4"/>
  <c r="O73" i="4"/>
  <c r="S73" i="4"/>
  <c r="W73" i="4"/>
  <c r="AL417" i="4"/>
  <c r="R90" i="4"/>
  <c r="U91" i="4"/>
  <c r="L92" i="4"/>
  <c r="T92" i="4"/>
  <c r="O93" i="4"/>
  <c r="W93" i="4"/>
  <c r="AL422" i="4"/>
  <c r="AN94" i="4"/>
  <c r="AG58" i="11" s="1"/>
  <c r="R96" i="4"/>
  <c r="AP128" i="4"/>
  <c r="O97" i="4"/>
  <c r="AT128" i="4"/>
  <c r="S97" i="4"/>
  <c r="AX128" i="4"/>
  <c r="W97" i="4"/>
  <c r="AL428" i="4"/>
  <c r="AT100" i="4"/>
  <c r="M105" i="4"/>
  <c r="O105" i="4"/>
  <c r="Q105" i="4"/>
  <c r="S105" i="4"/>
  <c r="U105" i="4"/>
  <c r="N106" i="4"/>
  <c r="V106" i="4"/>
  <c r="V108" i="4"/>
  <c r="M109" i="4"/>
  <c r="U109" i="4"/>
  <c r="L112" i="4"/>
  <c r="N112" i="4"/>
  <c r="R112" i="4"/>
  <c r="T112" i="4"/>
  <c r="V112" i="4"/>
  <c r="L114" i="4"/>
  <c r="N114" i="4"/>
  <c r="P114" i="4"/>
  <c r="T114" i="4"/>
  <c r="V114" i="4"/>
  <c r="AN222" i="4"/>
  <c r="AR222" i="4"/>
  <c r="W222" i="4"/>
  <c r="W197" i="4" s="1"/>
  <c r="K198" i="4"/>
  <c r="M198" i="4"/>
  <c r="O198" i="4"/>
  <c r="Q198" i="4"/>
  <c r="S198" i="4"/>
  <c r="U198" i="4"/>
  <c r="W198" i="4"/>
  <c r="I203" i="4"/>
  <c r="K203" i="4"/>
  <c r="M203" i="4"/>
  <c r="Q203" i="4"/>
  <c r="S203" i="4"/>
  <c r="U203" i="4"/>
  <c r="J203" i="4"/>
  <c r="L203" i="4"/>
  <c r="N203" i="4"/>
  <c r="P203" i="4"/>
  <c r="R203" i="4"/>
  <c r="T203" i="4"/>
  <c r="V203" i="4"/>
  <c r="J209" i="4"/>
  <c r="L209" i="4"/>
  <c r="N209" i="4"/>
  <c r="R209" i="4"/>
  <c r="T209" i="4"/>
  <c r="V209" i="4"/>
  <c r="I209" i="4"/>
  <c r="K209" i="4"/>
  <c r="M209" i="4"/>
  <c r="O209" i="4"/>
  <c r="Q209" i="4"/>
  <c r="S209" i="4"/>
  <c r="U209" i="4"/>
  <c r="W209" i="4"/>
  <c r="AL225" i="4"/>
  <c r="K226" i="4"/>
  <c r="M226" i="4"/>
  <c r="O226" i="4"/>
  <c r="S226" i="4"/>
  <c r="U226" i="4"/>
  <c r="W226" i="4"/>
  <c r="AM225" i="4"/>
  <c r="I231" i="4"/>
  <c r="K231" i="4"/>
  <c r="M231" i="4"/>
  <c r="Q231" i="4"/>
  <c r="S231" i="4"/>
  <c r="U231" i="4"/>
  <c r="J231" i="4"/>
  <c r="L231" i="4"/>
  <c r="N231" i="4"/>
  <c r="P231" i="4"/>
  <c r="R231" i="4"/>
  <c r="T231" i="4"/>
  <c r="V231" i="4"/>
  <c r="Q256" i="4"/>
  <c r="L278" i="4"/>
  <c r="P278" i="4"/>
  <c r="R279" i="4"/>
  <c r="R278" i="4" s="1"/>
  <c r="J288" i="4"/>
  <c r="L288" i="4"/>
  <c r="N288" i="4"/>
  <c r="P288" i="4"/>
  <c r="R288" i="4"/>
  <c r="T288" i="4"/>
  <c r="V288" i="4"/>
  <c r="K294" i="4"/>
  <c r="M294" i="4"/>
  <c r="O294" i="4"/>
  <c r="Q294" i="4"/>
  <c r="S294" i="4"/>
  <c r="AO60" i="4"/>
  <c r="AS60" i="4"/>
  <c r="AW60" i="4"/>
  <c r="AN272" i="4"/>
  <c r="AR272" i="4"/>
  <c r="L56" i="4"/>
  <c r="T56" i="4"/>
  <c r="L57" i="4"/>
  <c r="N57" i="4"/>
  <c r="P57" i="4"/>
  <c r="R57" i="4"/>
  <c r="T57" i="4"/>
  <c r="V57" i="4"/>
  <c r="M61" i="4"/>
  <c r="O61" i="4"/>
  <c r="Q61" i="4"/>
  <c r="S61" i="4"/>
  <c r="U61" i="4"/>
  <c r="W61" i="4"/>
  <c r="L62" i="4"/>
  <c r="T62" i="4"/>
  <c r="M63" i="4"/>
  <c r="Q63" i="4"/>
  <c r="U63" i="4"/>
  <c r="M65" i="4"/>
  <c r="Q65" i="4"/>
  <c r="U65" i="4"/>
  <c r="O67" i="4"/>
  <c r="W67" i="4"/>
  <c r="M70" i="4"/>
  <c r="Q70" i="4"/>
  <c r="S70" i="4"/>
  <c r="U70" i="4"/>
  <c r="O71" i="4"/>
  <c r="W71" i="4"/>
  <c r="M74" i="4"/>
  <c r="Q74" i="4"/>
  <c r="S74" i="4"/>
  <c r="U74" i="4"/>
  <c r="O75" i="4"/>
  <c r="W75" i="4"/>
  <c r="L78" i="4"/>
  <c r="P78" i="4"/>
  <c r="T78" i="4"/>
  <c r="N80" i="4"/>
  <c r="R80" i="4"/>
  <c r="L90" i="4"/>
  <c r="P90" i="4"/>
  <c r="T90" i="4"/>
  <c r="K91" i="4"/>
  <c r="K122" i="4" s="1"/>
  <c r="O91" i="4"/>
  <c r="Q91" i="4"/>
  <c r="S91" i="4"/>
  <c r="W91" i="4"/>
  <c r="AO123" i="4"/>
  <c r="AQ123" i="4"/>
  <c r="AS123" i="4"/>
  <c r="AU123" i="4"/>
  <c r="AW123" i="4"/>
  <c r="AY123" i="4"/>
  <c r="M93" i="4"/>
  <c r="Q93" i="4"/>
  <c r="U93" i="4"/>
  <c r="AR94" i="4"/>
  <c r="AZ94" i="4"/>
  <c r="N96" i="4"/>
  <c r="V96" i="4"/>
  <c r="Q97" i="4"/>
  <c r="N98" i="4"/>
  <c r="V98" i="4"/>
  <c r="M99" i="4"/>
  <c r="Q99" i="4"/>
  <c r="S99" i="4"/>
  <c r="U99" i="4"/>
  <c r="J100" i="4"/>
  <c r="AM131" i="4"/>
  <c r="AP132" i="4"/>
  <c r="AT132" i="4"/>
  <c r="AX132" i="4"/>
  <c r="L102" i="4"/>
  <c r="N102" i="4"/>
  <c r="P102" i="4"/>
  <c r="T102" i="4"/>
  <c r="V102" i="4"/>
  <c r="L106" i="4"/>
  <c r="AQ137" i="4"/>
  <c r="P106" i="4"/>
  <c r="AU137" i="4"/>
  <c r="T106" i="4"/>
  <c r="AY137" i="4"/>
  <c r="M107" i="4"/>
  <c r="O107" i="4"/>
  <c r="S107" i="4"/>
  <c r="U107" i="4"/>
  <c r="W107" i="4"/>
  <c r="L108" i="4"/>
  <c r="AQ139" i="4"/>
  <c r="P108" i="4"/>
  <c r="AU139" i="4"/>
  <c r="T108" i="4"/>
  <c r="AY139" i="4"/>
  <c r="O109" i="4"/>
  <c r="S109" i="4"/>
  <c r="W109" i="4"/>
  <c r="L110" i="4"/>
  <c r="N110" i="4"/>
  <c r="P110" i="4"/>
  <c r="T110" i="4"/>
  <c r="V110" i="4"/>
  <c r="AN267" i="4"/>
  <c r="AN269" i="4" s="1"/>
  <c r="AN244" i="4" s="1"/>
  <c r="AP267" i="4"/>
  <c r="AP269" i="4" s="1"/>
  <c r="AP244" i="4" s="1"/>
  <c r="AR267" i="4"/>
  <c r="AR269" i="4" s="1"/>
  <c r="AR244" i="4" s="1"/>
  <c r="AT244" i="4"/>
  <c r="AV244" i="4"/>
  <c r="AX244" i="4"/>
  <c r="AZ244" i="4"/>
  <c r="L245" i="4"/>
  <c r="P245" i="4"/>
  <c r="T245" i="4"/>
  <c r="K245" i="4"/>
  <c r="M245" i="4"/>
  <c r="O245" i="4"/>
  <c r="Q245" i="4"/>
  <c r="S245" i="4"/>
  <c r="U245" i="4"/>
  <c r="W245" i="4"/>
  <c r="L250" i="4"/>
  <c r="P250" i="4"/>
  <c r="T250" i="4"/>
  <c r="K256" i="4"/>
  <c r="O256" i="4"/>
  <c r="S256" i="4"/>
  <c r="W256" i="4"/>
  <c r="N273" i="4"/>
  <c r="R273" i="4"/>
  <c r="V273" i="4"/>
  <c r="X277" i="4"/>
  <c r="AP287" i="4"/>
  <c r="K288" i="4"/>
  <c r="S288" i="4"/>
  <c r="M291" i="4"/>
  <c r="N294" i="4"/>
  <c r="M297" i="4"/>
  <c r="K101" i="4"/>
  <c r="K65" i="11" s="1"/>
  <c r="AN100" i="4"/>
  <c r="K100" i="4" s="1"/>
  <c r="O101" i="4"/>
  <c r="AR100" i="4"/>
  <c r="S101" i="4"/>
  <c r="AV100" i="4"/>
  <c r="W101" i="4"/>
  <c r="AZ100" i="4"/>
  <c r="AL222" i="4"/>
  <c r="I222" i="4" s="1"/>
  <c r="I197" i="4" s="1"/>
  <c r="AL197" i="4"/>
  <c r="AP222" i="4"/>
  <c r="AT236" i="4"/>
  <c r="V222" i="4"/>
  <c r="V197" i="4" s="1"/>
  <c r="AX236" i="4"/>
  <c r="AP134" i="4"/>
  <c r="M103" i="4"/>
  <c r="AT134" i="4"/>
  <c r="Q103" i="4"/>
  <c r="AX134" i="4"/>
  <c r="U103" i="4"/>
  <c r="AM19" i="7"/>
  <c r="C51" i="9"/>
  <c r="G117" i="9"/>
  <c r="N56" i="4"/>
  <c r="R56" i="4"/>
  <c r="V56" i="4"/>
  <c r="M57" i="4"/>
  <c r="Q57" i="4"/>
  <c r="U57" i="4"/>
  <c r="M58" i="4"/>
  <c r="O58" i="4"/>
  <c r="Q58" i="4"/>
  <c r="S58" i="4"/>
  <c r="U58" i="4"/>
  <c r="W58" i="4"/>
  <c r="L59" i="4"/>
  <c r="N59" i="4"/>
  <c r="P59" i="4"/>
  <c r="R59" i="4"/>
  <c r="T59" i="4"/>
  <c r="V59" i="4"/>
  <c r="AQ60" i="4"/>
  <c r="AU60" i="4"/>
  <c r="AY60" i="4"/>
  <c r="N61" i="4"/>
  <c r="R61" i="4"/>
  <c r="V61" i="4"/>
  <c r="M62" i="4"/>
  <c r="O62" i="4"/>
  <c r="Q62" i="4"/>
  <c r="S62" i="4"/>
  <c r="U62" i="4"/>
  <c r="AO66" i="4"/>
  <c r="AW66" i="4"/>
  <c r="M67" i="4"/>
  <c r="AQ66" i="4"/>
  <c r="Q67" i="4"/>
  <c r="AU66" i="4"/>
  <c r="U67" i="4"/>
  <c r="AY66" i="4"/>
  <c r="M69" i="4"/>
  <c r="Q69" i="4"/>
  <c r="U69" i="4"/>
  <c r="M71" i="4"/>
  <c r="Q71" i="4"/>
  <c r="U71" i="4"/>
  <c r="M73" i="4"/>
  <c r="Q73" i="4"/>
  <c r="U73" i="4"/>
  <c r="M75" i="4"/>
  <c r="Q75" i="4"/>
  <c r="U75" i="4"/>
  <c r="AO121" i="4"/>
  <c r="AQ121" i="4"/>
  <c r="AS121" i="4"/>
  <c r="AU121" i="4"/>
  <c r="AW121" i="4"/>
  <c r="AY121" i="4"/>
  <c r="N92" i="4"/>
  <c r="R92" i="4"/>
  <c r="V92" i="4"/>
  <c r="AP124" i="4"/>
  <c r="AR124" i="4"/>
  <c r="AT124" i="4"/>
  <c r="AV124" i="4"/>
  <c r="AX124" i="4"/>
  <c r="J94" i="4"/>
  <c r="AM125" i="4"/>
  <c r="AP126" i="4"/>
  <c r="AT126" i="4"/>
  <c r="AX126" i="4"/>
  <c r="AQ127" i="4"/>
  <c r="AU127" i="4"/>
  <c r="M97" i="4"/>
  <c r="U97" i="4"/>
  <c r="AP100" i="4"/>
  <c r="AX100" i="4"/>
  <c r="M101" i="4"/>
  <c r="U101" i="4"/>
  <c r="R108" i="4"/>
  <c r="AN197" i="4"/>
  <c r="AV236" i="4"/>
  <c r="AM272" i="4"/>
  <c r="AO272" i="4"/>
  <c r="AO283" i="4" s="1"/>
  <c r="AQ272" i="4"/>
  <c r="AY127" i="4"/>
  <c r="AQ129" i="4"/>
  <c r="AY129" i="4"/>
  <c r="AP130" i="4"/>
  <c r="AT130" i="4"/>
  <c r="AX130" i="4"/>
  <c r="AQ133" i="4"/>
  <c r="AU133" i="4"/>
  <c r="AY133" i="4"/>
  <c r="AQ135" i="4"/>
  <c r="AU135" i="4"/>
  <c r="AY135" i="4"/>
  <c r="AP136" i="4"/>
  <c r="AT136" i="4"/>
  <c r="AX136" i="4"/>
  <c r="AP138" i="4"/>
  <c r="AT138" i="4"/>
  <c r="AX138" i="4"/>
  <c r="AM222" i="4"/>
  <c r="AO222" i="4"/>
  <c r="AQ222" i="4"/>
  <c r="J198" i="4"/>
  <c r="L198" i="4"/>
  <c r="N198" i="4"/>
  <c r="P198" i="4"/>
  <c r="R198" i="4"/>
  <c r="T198" i="4"/>
  <c r="V198" i="4"/>
  <c r="C104" i="9"/>
  <c r="J226" i="4"/>
  <c r="L226" i="4"/>
  <c r="N226" i="4"/>
  <c r="P226" i="4"/>
  <c r="R226" i="4"/>
  <c r="T226" i="4"/>
  <c r="V226" i="4"/>
  <c r="AM267" i="4"/>
  <c r="AM269" i="4" s="1"/>
  <c r="AM244" i="4" s="1"/>
  <c r="AQ267" i="4"/>
  <c r="AQ269" i="4" s="1"/>
  <c r="AQ244" i="4" s="1"/>
  <c r="AS244" i="4"/>
  <c r="AU244" i="4"/>
  <c r="AW244" i="4"/>
  <c r="AY244" i="4"/>
  <c r="K250" i="4"/>
  <c r="M250" i="4"/>
  <c r="O250" i="4"/>
  <c r="Q250" i="4"/>
  <c r="S250" i="4"/>
  <c r="U250" i="4"/>
  <c r="W250" i="4"/>
  <c r="K20" i="9"/>
  <c r="M20" i="9"/>
  <c r="L256" i="4"/>
  <c r="N256" i="4"/>
  <c r="P256" i="4"/>
  <c r="R256" i="4"/>
  <c r="T256" i="4"/>
  <c r="V256" i="4"/>
  <c r="D38" i="9"/>
  <c r="F38" i="9"/>
  <c r="K273" i="4"/>
  <c r="M273" i="4"/>
  <c r="O273" i="4"/>
  <c r="Q273" i="4"/>
  <c r="S273" i="4"/>
  <c r="U273" i="4"/>
  <c r="W273" i="4"/>
  <c r="AN287" i="4"/>
  <c r="AR287" i="4"/>
  <c r="M288" i="4"/>
  <c r="Q288" i="4"/>
  <c r="U288" i="4"/>
  <c r="K291" i="4"/>
  <c r="O291" i="4"/>
  <c r="S291" i="4"/>
  <c r="U291" i="4"/>
  <c r="L294" i="4"/>
  <c r="P294" i="4"/>
  <c r="T294" i="4"/>
  <c r="V294" i="4"/>
  <c r="K297" i="4"/>
  <c r="O297" i="4"/>
  <c r="S297" i="4"/>
  <c r="U297" i="4"/>
  <c r="S24" i="9"/>
  <c r="AO349" i="4"/>
  <c r="AQ349" i="4"/>
  <c r="AS349" i="4"/>
  <c r="AU349" i="4"/>
  <c r="AW349" i="4"/>
  <c r="AY349" i="4"/>
  <c r="AN350" i="4"/>
  <c r="AP350" i="4"/>
  <c r="AR350" i="4"/>
  <c r="AT350" i="4"/>
  <c r="AV350" i="4"/>
  <c r="AX350" i="4"/>
  <c r="AZ350" i="4"/>
  <c r="AO351" i="4"/>
  <c r="AQ351" i="4"/>
  <c r="AS351" i="4"/>
  <c r="AU351" i="4"/>
  <c r="AW351" i="4"/>
  <c r="AY351" i="4"/>
  <c r="AN352" i="4"/>
  <c r="AP352" i="4"/>
  <c r="AR352" i="4"/>
  <c r="AT352" i="4"/>
  <c r="AV352" i="4"/>
  <c r="AX352" i="4"/>
  <c r="AZ352" i="4"/>
  <c r="AO354" i="4"/>
  <c r="AQ354" i="4"/>
  <c r="AS354" i="4"/>
  <c r="AU354" i="4"/>
  <c r="AW354" i="4"/>
  <c r="AY354" i="4"/>
  <c r="AO355" i="4"/>
  <c r="AQ355" i="4"/>
  <c r="AS355" i="4"/>
  <c r="AU355" i="4"/>
  <c r="AW355" i="4"/>
  <c r="AY355" i="4"/>
  <c r="AO356" i="4"/>
  <c r="L63" i="4"/>
  <c r="AQ356" i="4"/>
  <c r="N63" i="4"/>
  <c r="AS356" i="4"/>
  <c r="P63" i="4"/>
  <c r="AU356" i="4"/>
  <c r="R63" i="4"/>
  <c r="AW356" i="4"/>
  <c r="T63" i="4"/>
  <c r="AY356" i="4"/>
  <c r="V63" i="4"/>
  <c r="AO357" i="4"/>
  <c r="L64" i="4"/>
  <c r="AQ357" i="4"/>
  <c r="N64" i="4"/>
  <c r="AS357" i="4"/>
  <c r="P64" i="4"/>
  <c r="AU357" i="4"/>
  <c r="R64" i="4"/>
  <c r="AW357" i="4"/>
  <c r="T64" i="4"/>
  <c r="AY357" i="4"/>
  <c r="V64" i="4"/>
  <c r="AO358" i="4"/>
  <c r="L65" i="4"/>
  <c r="AQ358" i="4"/>
  <c r="N65" i="4"/>
  <c r="AS358" i="4"/>
  <c r="P65" i="4"/>
  <c r="AU358" i="4"/>
  <c r="R65" i="4"/>
  <c r="AW358" i="4"/>
  <c r="T65" i="4"/>
  <c r="AY358" i="4"/>
  <c r="V65" i="4"/>
  <c r="AN370" i="4"/>
  <c r="K76" i="4"/>
  <c r="AN66" i="4"/>
  <c r="AP370" i="4"/>
  <c r="M76" i="4"/>
  <c r="AP66" i="4"/>
  <c r="AR370" i="4"/>
  <c r="O76" i="4"/>
  <c r="AR66" i="4"/>
  <c r="AT370" i="4"/>
  <c r="Q76" i="4"/>
  <c r="AT66" i="4"/>
  <c r="AV370" i="4"/>
  <c r="S76" i="4"/>
  <c r="AV66" i="4"/>
  <c r="AX370" i="4"/>
  <c r="U76" i="4"/>
  <c r="AX66" i="4"/>
  <c r="AZ370" i="4"/>
  <c r="W76" i="4"/>
  <c r="AZ66" i="4"/>
  <c r="AN373" i="4"/>
  <c r="K78" i="4"/>
  <c r="AP373" i="4"/>
  <c r="M78" i="4"/>
  <c r="AR373" i="4"/>
  <c r="O78" i="4"/>
  <c r="AT373" i="4"/>
  <c r="Q78" i="4"/>
  <c r="AV373" i="4"/>
  <c r="S78" i="4"/>
  <c r="AX373" i="4"/>
  <c r="U78" i="4"/>
  <c r="AZ373" i="4"/>
  <c r="W78" i="4"/>
  <c r="AN375" i="4"/>
  <c r="K80" i="4"/>
  <c r="AP375" i="4"/>
  <c r="M80" i="4"/>
  <c r="AR375" i="4"/>
  <c r="O80" i="4"/>
  <c r="AT375" i="4"/>
  <c r="Q80" i="4"/>
  <c r="AV375" i="4"/>
  <c r="D81" i="4"/>
  <c r="S80" i="4"/>
  <c r="AX375" i="4"/>
  <c r="AZ375" i="4"/>
  <c r="AF87" i="11"/>
  <c r="AM417" i="4"/>
  <c r="AF53" i="11"/>
  <c r="AM120" i="4"/>
  <c r="J89" i="4"/>
  <c r="AG54" i="11"/>
  <c r="AN121" i="4"/>
  <c r="K90" i="4"/>
  <c r="AI54" i="11"/>
  <c r="AP121" i="4"/>
  <c r="M90" i="4"/>
  <c r="AK54" i="11"/>
  <c r="AR121" i="4"/>
  <c r="O90" i="4"/>
  <c r="AM54" i="11"/>
  <c r="AT121" i="4"/>
  <c r="Q90" i="4"/>
  <c r="AO54" i="11"/>
  <c r="AV121" i="4"/>
  <c r="S90" i="4"/>
  <c r="AQ54" i="11"/>
  <c r="AX121" i="4"/>
  <c r="U90" i="4"/>
  <c r="AS54" i="11"/>
  <c r="AZ121" i="4"/>
  <c r="W90" i="4"/>
  <c r="AG56" i="11"/>
  <c r="AN123" i="4"/>
  <c r="K92" i="4"/>
  <c r="AI56" i="11"/>
  <c r="AP123" i="4"/>
  <c r="M92" i="4"/>
  <c r="AK56" i="11"/>
  <c r="AR123" i="4"/>
  <c r="O92" i="4"/>
  <c r="AM56" i="11"/>
  <c r="AT123" i="4"/>
  <c r="Q92" i="4"/>
  <c r="AO56" i="11"/>
  <c r="AV123" i="4"/>
  <c r="S92" i="4"/>
  <c r="AQ56" i="11"/>
  <c r="AX123" i="4"/>
  <c r="U92" i="4"/>
  <c r="AS56" i="11"/>
  <c r="AZ123" i="4"/>
  <c r="W92" i="4"/>
  <c r="D61" i="4"/>
  <c r="D62" i="4"/>
  <c r="AP122" i="4"/>
  <c r="AR122" i="4"/>
  <c r="AT122" i="4"/>
  <c r="AV122" i="4"/>
  <c r="AX122" i="4"/>
  <c r="AZ122" i="4"/>
  <c r="AN349" i="4"/>
  <c r="AP349" i="4"/>
  <c r="AR349" i="4"/>
  <c r="AT349" i="4"/>
  <c r="AV349" i="4"/>
  <c r="AX349" i="4"/>
  <c r="AZ349" i="4"/>
  <c r="AO350" i="4"/>
  <c r="AQ350" i="4"/>
  <c r="AS350" i="4"/>
  <c r="AU350" i="4"/>
  <c r="AW350" i="4"/>
  <c r="AY350" i="4"/>
  <c r="AN351" i="4"/>
  <c r="AP351" i="4"/>
  <c r="AR351" i="4"/>
  <c r="AT351" i="4"/>
  <c r="AV351" i="4"/>
  <c r="AX351" i="4"/>
  <c r="AZ351" i="4"/>
  <c r="AO352" i="4"/>
  <c r="AQ352" i="4"/>
  <c r="AS352" i="4"/>
  <c r="AU352" i="4"/>
  <c r="AW352" i="4"/>
  <c r="AY352" i="4"/>
  <c r="AN354" i="4"/>
  <c r="AP354" i="4"/>
  <c r="AR354" i="4"/>
  <c r="AT354" i="4"/>
  <c r="AV354" i="4"/>
  <c r="AX354" i="4"/>
  <c r="AZ354" i="4"/>
  <c r="AN355" i="4"/>
  <c r="AP355" i="4"/>
  <c r="AR355" i="4"/>
  <c r="AT355" i="4"/>
  <c r="AV355" i="4"/>
  <c r="AX355" i="4"/>
  <c r="AO360" i="4"/>
  <c r="L67" i="4"/>
  <c r="AQ360" i="4"/>
  <c r="N67" i="4"/>
  <c r="AS360" i="4"/>
  <c r="P67" i="4"/>
  <c r="AU360" i="4"/>
  <c r="R67" i="4"/>
  <c r="AW360" i="4"/>
  <c r="T67" i="4"/>
  <c r="AY360" i="4"/>
  <c r="V67" i="4"/>
  <c r="AO361" i="4"/>
  <c r="L68" i="4"/>
  <c r="AQ361" i="4"/>
  <c r="N68" i="4"/>
  <c r="AS361" i="4"/>
  <c r="P68" i="4"/>
  <c r="AU361" i="4"/>
  <c r="R68" i="4"/>
  <c r="AW361" i="4"/>
  <c r="T68" i="4"/>
  <c r="AY361" i="4"/>
  <c r="V68" i="4"/>
  <c r="AO362" i="4"/>
  <c r="L69" i="4"/>
  <c r="AQ362" i="4"/>
  <c r="N69" i="4"/>
  <c r="AS362" i="4"/>
  <c r="P69" i="4"/>
  <c r="AU362" i="4"/>
  <c r="R69" i="4"/>
  <c r="AW362" i="4"/>
  <c r="T69" i="4"/>
  <c r="AY362" i="4"/>
  <c r="V69" i="4"/>
  <c r="AO363" i="4"/>
  <c r="L70" i="4"/>
  <c r="AQ363" i="4"/>
  <c r="N70" i="4"/>
  <c r="AS363" i="4"/>
  <c r="P70" i="4"/>
  <c r="AU363" i="4"/>
  <c r="R70" i="4"/>
  <c r="AW363" i="4"/>
  <c r="T70" i="4"/>
  <c r="AY363" i="4"/>
  <c r="V70" i="4"/>
  <c r="AO364" i="4"/>
  <c r="L71" i="4"/>
  <c r="AQ364" i="4"/>
  <c r="N71" i="4"/>
  <c r="AS364" i="4"/>
  <c r="P71" i="4"/>
  <c r="AU364" i="4"/>
  <c r="R71" i="4"/>
  <c r="AW364" i="4"/>
  <c r="T71" i="4"/>
  <c r="AY364" i="4"/>
  <c r="V71" i="4"/>
  <c r="AO366" i="4"/>
  <c r="L72" i="4"/>
  <c r="AQ366" i="4"/>
  <c r="N72" i="4"/>
  <c r="AS366" i="4"/>
  <c r="P72" i="4"/>
  <c r="AU366" i="4"/>
  <c r="R72" i="4"/>
  <c r="AW366" i="4"/>
  <c r="T72" i="4"/>
  <c r="AY366" i="4"/>
  <c r="V72" i="4"/>
  <c r="AO367" i="4"/>
  <c r="L73" i="4"/>
  <c r="AQ367" i="4"/>
  <c r="N73" i="4"/>
  <c r="AS367" i="4"/>
  <c r="P73" i="4"/>
  <c r="AU367" i="4"/>
  <c r="R73" i="4"/>
  <c r="AW367" i="4"/>
  <c r="T73" i="4"/>
  <c r="AY367" i="4"/>
  <c r="V73" i="4"/>
  <c r="AO368" i="4"/>
  <c r="L74" i="4"/>
  <c r="AQ368" i="4"/>
  <c r="N74" i="4"/>
  <c r="AS368" i="4"/>
  <c r="P74" i="4"/>
  <c r="AU368" i="4"/>
  <c r="R74" i="4"/>
  <c r="AW368" i="4"/>
  <c r="T74" i="4"/>
  <c r="AY368" i="4"/>
  <c r="V74" i="4"/>
  <c r="AO369" i="4"/>
  <c r="L75" i="4"/>
  <c r="AQ369" i="4"/>
  <c r="N75" i="4"/>
  <c r="AS369" i="4"/>
  <c r="P75" i="4"/>
  <c r="AU369" i="4"/>
  <c r="R75" i="4"/>
  <c r="AW369" i="4"/>
  <c r="T75" i="4"/>
  <c r="AY369" i="4"/>
  <c r="V75" i="4"/>
  <c r="AH55" i="11"/>
  <c r="AO122" i="4"/>
  <c r="L91" i="4"/>
  <c r="AJ55" i="11"/>
  <c r="AQ122" i="4"/>
  <c r="N91" i="4"/>
  <c r="AL55" i="11"/>
  <c r="AS122" i="4"/>
  <c r="P91" i="4"/>
  <c r="AN55" i="11"/>
  <c r="AU122" i="4"/>
  <c r="R91" i="4"/>
  <c r="AP55" i="11"/>
  <c r="AW122" i="4"/>
  <c r="T91" i="4"/>
  <c r="AR55" i="11"/>
  <c r="AY122" i="4"/>
  <c r="V91" i="4"/>
  <c r="AH57" i="11"/>
  <c r="AJ57" i="11"/>
  <c r="AL57" i="11"/>
  <c r="AN57" i="11"/>
  <c r="AP57" i="11"/>
  <c r="AR57" i="11"/>
  <c r="AY124" i="4"/>
  <c r="AH59" i="11"/>
  <c r="AO126" i="4"/>
  <c r="AJ59" i="11"/>
  <c r="AQ126" i="4"/>
  <c r="AL59" i="11"/>
  <c r="AS126" i="4"/>
  <c r="AN59" i="11"/>
  <c r="AU126" i="4"/>
  <c r="AP59" i="11"/>
  <c r="AW126" i="4"/>
  <c r="AR59" i="11"/>
  <c r="AY126" i="4"/>
  <c r="AG60" i="11"/>
  <c r="AN127" i="4"/>
  <c r="AI60" i="11"/>
  <c r="AP127" i="4"/>
  <c r="AK60" i="11"/>
  <c r="AR127" i="4"/>
  <c r="AM60" i="11"/>
  <c r="AT127" i="4"/>
  <c r="AO60" i="11"/>
  <c r="AV127" i="4"/>
  <c r="AQ60" i="11"/>
  <c r="AX127" i="4"/>
  <c r="AS60" i="11"/>
  <c r="AZ127" i="4"/>
  <c r="AH61" i="11"/>
  <c r="AO128" i="4"/>
  <c r="AJ61" i="11"/>
  <c r="AQ128" i="4"/>
  <c r="AL61" i="11"/>
  <c r="AS128" i="4"/>
  <c r="AN61" i="11"/>
  <c r="AU128" i="4"/>
  <c r="AP61" i="11"/>
  <c r="AW128" i="4"/>
  <c r="AR61" i="11"/>
  <c r="AY128" i="4"/>
  <c r="AG62" i="11"/>
  <c r="AN129" i="4"/>
  <c r="AI62" i="11"/>
  <c r="AP129" i="4"/>
  <c r="AK62" i="11"/>
  <c r="AR129" i="4"/>
  <c r="AM62" i="11"/>
  <c r="AT129" i="4"/>
  <c r="AQ62" i="11"/>
  <c r="AX129" i="4"/>
  <c r="AS62" i="11"/>
  <c r="AZ129" i="4"/>
  <c r="AH63" i="11"/>
  <c r="AO130" i="4"/>
  <c r="AJ63" i="11"/>
  <c r="AQ130" i="4"/>
  <c r="AL63" i="11"/>
  <c r="AS130" i="4"/>
  <c r="AN63" i="11"/>
  <c r="AU130" i="4"/>
  <c r="AP63" i="11"/>
  <c r="AW130" i="4"/>
  <c r="AR63" i="11"/>
  <c r="AY130" i="4"/>
  <c r="AH65" i="11"/>
  <c r="AO132" i="4"/>
  <c r="AJ65" i="11"/>
  <c r="AQ132" i="4"/>
  <c r="AL65" i="11"/>
  <c r="AS132" i="4"/>
  <c r="AN65" i="11"/>
  <c r="AU132" i="4"/>
  <c r="AP65" i="11"/>
  <c r="AW132" i="4"/>
  <c r="AR65" i="11"/>
  <c r="AY132" i="4"/>
  <c r="AG66" i="11"/>
  <c r="AN133" i="4"/>
  <c r="AI66" i="11"/>
  <c r="AP133" i="4"/>
  <c r="AK66" i="11"/>
  <c r="AR133" i="4"/>
  <c r="AM66" i="11"/>
  <c r="AT133" i="4"/>
  <c r="AO66" i="11"/>
  <c r="AV133" i="4"/>
  <c r="AQ66" i="11"/>
  <c r="AX133" i="4"/>
  <c r="AS66" i="11"/>
  <c r="AZ133" i="4"/>
  <c r="AH67" i="11"/>
  <c r="AO134" i="4"/>
  <c r="AJ67" i="11"/>
  <c r="AQ134" i="4"/>
  <c r="AL67" i="11"/>
  <c r="AS134" i="4"/>
  <c r="AN67" i="11"/>
  <c r="AU134" i="4"/>
  <c r="AP67" i="11"/>
  <c r="AW134" i="4"/>
  <c r="AR67" i="11"/>
  <c r="AY134" i="4"/>
  <c r="AG68" i="11"/>
  <c r="AN135" i="4"/>
  <c r="AI68" i="11"/>
  <c r="AP135" i="4"/>
  <c r="AK68" i="11"/>
  <c r="AR135" i="4"/>
  <c r="AM68" i="11"/>
  <c r="AT135" i="4"/>
  <c r="AO68" i="11"/>
  <c r="AV135" i="4"/>
  <c r="AQ68" i="11"/>
  <c r="AX135" i="4"/>
  <c r="AS68" i="11"/>
  <c r="AZ135" i="4"/>
  <c r="AH69" i="11"/>
  <c r="AO136" i="4"/>
  <c r="AJ69" i="11"/>
  <c r="AQ136" i="4"/>
  <c r="AL69" i="11"/>
  <c r="AS136" i="4"/>
  <c r="AN69" i="11"/>
  <c r="AU136" i="4"/>
  <c r="AP69" i="11"/>
  <c r="AW136" i="4"/>
  <c r="AR69" i="11"/>
  <c r="AY136" i="4"/>
  <c r="AG71" i="11"/>
  <c r="AN137" i="4"/>
  <c r="AI71" i="11"/>
  <c r="AP137" i="4"/>
  <c r="AK71" i="11"/>
  <c r="AR137" i="4"/>
  <c r="AM71" i="11"/>
  <c r="AT137" i="4"/>
  <c r="AO71" i="11"/>
  <c r="AV137" i="4"/>
  <c r="AQ71" i="11"/>
  <c r="AX137" i="4"/>
  <c r="AS71" i="11"/>
  <c r="AZ137" i="4"/>
  <c r="AH72" i="11"/>
  <c r="AO138" i="4"/>
  <c r="AJ72" i="11"/>
  <c r="AQ138" i="4"/>
  <c r="AL72" i="11"/>
  <c r="AS138" i="4"/>
  <c r="AN72" i="11"/>
  <c r="AU138" i="4"/>
  <c r="AP72" i="11"/>
  <c r="AW138" i="4"/>
  <c r="AR72" i="11"/>
  <c r="AY138" i="4"/>
  <c r="AG73" i="11"/>
  <c r="AN139" i="4"/>
  <c r="AI73" i="11"/>
  <c r="AP139" i="4"/>
  <c r="AK73" i="11"/>
  <c r="AR139" i="4"/>
  <c r="AM73" i="11"/>
  <c r="AT139" i="4"/>
  <c r="AO73" i="11"/>
  <c r="AV139" i="4"/>
  <c r="AQ73" i="11"/>
  <c r="AX139" i="4"/>
  <c r="AS73" i="11"/>
  <c r="AZ139" i="4"/>
  <c r="AH74" i="11"/>
  <c r="AO140" i="4"/>
  <c r="AJ74" i="11"/>
  <c r="AQ140" i="4"/>
  <c r="AL74" i="11"/>
  <c r="AS140" i="4"/>
  <c r="AN74" i="11"/>
  <c r="AU140" i="4"/>
  <c r="AP74" i="11"/>
  <c r="AW140" i="4"/>
  <c r="AR74" i="11"/>
  <c r="AY140" i="4"/>
  <c r="AG75" i="11"/>
  <c r="AN141" i="4"/>
  <c r="AI75" i="11"/>
  <c r="AP141" i="4"/>
  <c r="AK75" i="11"/>
  <c r="AR141" i="4"/>
  <c r="AM75" i="11"/>
  <c r="AT141" i="4"/>
  <c r="AO75" i="11"/>
  <c r="AV141" i="4"/>
  <c r="AQ75" i="11"/>
  <c r="AX141" i="4"/>
  <c r="AS75" i="11"/>
  <c r="AZ141" i="4"/>
  <c r="AG78" i="11"/>
  <c r="AN143" i="4"/>
  <c r="AI78" i="11"/>
  <c r="AP143" i="4"/>
  <c r="AK78" i="11"/>
  <c r="AR143" i="4"/>
  <c r="AM78" i="11"/>
  <c r="AT143" i="4"/>
  <c r="AO78" i="11"/>
  <c r="AV143" i="4"/>
  <c r="AQ78" i="11"/>
  <c r="AX143" i="4"/>
  <c r="AS78" i="11"/>
  <c r="AZ143" i="4"/>
  <c r="AG80" i="11"/>
  <c r="B36" i="9"/>
  <c r="B102" i="9"/>
  <c r="AN145" i="4"/>
  <c r="AI80" i="11"/>
  <c r="D36" i="9"/>
  <c r="D102" i="9"/>
  <c r="AP145" i="4"/>
  <c r="AK80" i="11"/>
  <c r="F36" i="9"/>
  <c r="F102" i="9"/>
  <c r="AR145" i="4"/>
  <c r="AM80" i="11"/>
  <c r="H36" i="9"/>
  <c r="H102" i="9"/>
  <c r="AT145" i="4"/>
  <c r="AO80" i="11"/>
  <c r="J102" i="9"/>
  <c r="J36" i="9" s="1"/>
  <c r="AV145" i="4"/>
  <c r="AQ80" i="11"/>
  <c r="L102" i="9"/>
  <c r="L36" i="9" s="1"/>
  <c r="AX145" i="4"/>
  <c r="AS80" i="11"/>
  <c r="AZ145" i="4"/>
  <c r="AF116" i="11"/>
  <c r="AF82" i="11"/>
  <c r="AM446" i="4"/>
  <c r="AM443" i="4"/>
  <c r="AM441" i="4"/>
  <c r="AM438" i="4"/>
  <c r="AM436" i="4"/>
  <c r="AM433" i="4"/>
  <c r="AM431" i="4"/>
  <c r="AM429" i="4"/>
  <c r="AM427" i="4"/>
  <c r="AM425" i="4"/>
  <c r="AM423" i="4"/>
  <c r="AM421" i="4"/>
  <c r="AM419" i="4"/>
  <c r="AM444" i="4"/>
  <c r="AM442" i="4"/>
  <c r="AM439" i="4"/>
  <c r="AM437" i="4"/>
  <c r="AM435" i="4"/>
  <c r="AM432" i="4"/>
  <c r="AM430" i="4"/>
  <c r="AM426" i="4"/>
  <c r="AM424" i="4"/>
  <c r="AM420" i="4"/>
  <c r="AM418" i="4"/>
  <c r="AM147" i="4"/>
  <c r="AM117" i="4"/>
  <c r="AZ355" i="4"/>
  <c r="AN356" i="4"/>
  <c r="AP356" i="4"/>
  <c r="AR356" i="4"/>
  <c r="AT356" i="4"/>
  <c r="AV356" i="4"/>
  <c r="AX356" i="4"/>
  <c r="AZ356" i="4"/>
  <c r="AN357" i="4"/>
  <c r="AP357" i="4"/>
  <c r="AR357" i="4"/>
  <c r="AT357" i="4"/>
  <c r="AV357" i="4"/>
  <c r="AX357" i="4"/>
  <c r="AZ357" i="4"/>
  <c r="AN358" i="4"/>
  <c r="AP358" i="4"/>
  <c r="AR358" i="4"/>
  <c r="AT358" i="4"/>
  <c r="AV358" i="4"/>
  <c r="AX358" i="4"/>
  <c r="AZ358" i="4"/>
  <c r="AN360" i="4"/>
  <c r="AP360" i="4"/>
  <c r="AR360" i="4"/>
  <c r="AT360" i="4"/>
  <c r="AV360" i="4"/>
  <c r="AX360" i="4"/>
  <c r="AZ360" i="4"/>
  <c r="AN361" i="4"/>
  <c r="AP361" i="4"/>
  <c r="AR361" i="4"/>
  <c r="AT361" i="4"/>
  <c r="AV361" i="4"/>
  <c r="AX361" i="4"/>
  <c r="AZ361" i="4"/>
  <c r="AN362" i="4"/>
  <c r="AP362" i="4"/>
  <c r="AR362" i="4"/>
  <c r="AT362" i="4"/>
  <c r="AV362" i="4"/>
  <c r="AX362" i="4"/>
  <c r="AZ362" i="4"/>
  <c r="AN363" i="4"/>
  <c r="AP363" i="4"/>
  <c r="AR363" i="4"/>
  <c r="AT363" i="4"/>
  <c r="AV363" i="4"/>
  <c r="AX363" i="4"/>
  <c r="AZ363" i="4"/>
  <c r="AN364" i="4"/>
  <c r="AP364" i="4"/>
  <c r="AR364" i="4"/>
  <c r="AT364" i="4"/>
  <c r="AV364" i="4"/>
  <c r="AX364" i="4"/>
  <c r="AZ364" i="4"/>
  <c r="AN366" i="4"/>
  <c r="AP366" i="4"/>
  <c r="AR366" i="4"/>
  <c r="AT366" i="4"/>
  <c r="AV366" i="4"/>
  <c r="AX366" i="4"/>
  <c r="AZ366" i="4"/>
  <c r="AN367" i="4"/>
  <c r="AP367" i="4"/>
  <c r="AR367" i="4"/>
  <c r="AT367" i="4"/>
  <c r="AV367" i="4"/>
  <c r="AX367" i="4"/>
  <c r="AZ367" i="4"/>
  <c r="AN368" i="4"/>
  <c r="AP368" i="4"/>
  <c r="AR368" i="4"/>
  <c r="AT368" i="4"/>
  <c r="AV368" i="4"/>
  <c r="AX368" i="4"/>
  <c r="AZ368" i="4"/>
  <c r="AN369" i="4"/>
  <c r="AP369" i="4"/>
  <c r="AR369" i="4"/>
  <c r="AT369" i="4"/>
  <c r="AV369" i="4"/>
  <c r="AX369" i="4"/>
  <c r="AZ369" i="4"/>
  <c r="AO370" i="4"/>
  <c r="AQ370" i="4"/>
  <c r="AS370" i="4"/>
  <c r="AU370" i="4"/>
  <c r="AW370" i="4"/>
  <c r="AY370" i="4"/>
  <c r="AO373" i="4"/>
  <c r="AQ373" i="4"/>
  <c r="AS373" i="4"/>
  <c r="AU373" i="4"/>
  <c r="AW373" i="4"/>
  <c r="AY373" i="4"/>
  <c r="AF148" i="11"/>
  <c r="AM375" i="4"/>
  <c r="AO375" i="4"/>
  <c r="AQ375" i="4"/>
  <c r="AS375" i="4"/>
  <c r="AU375" i="4"/>
  <c r="AW375" i="4"/>
  <c r="AY375" i="4"/>
  <c r="AL182" i="4"/>
  <c r="AL87" i="7" s="1"/>
  <c r="AL180" i="4"/>
  <c r="AL179" i="4"/>
  <c r="AL178" i="4"/>
  <c r="AL177" i="4"/>
  <c r="AL176" i="4"/>
  <c r="AL175" i="4"/>
  <c r="AL174" i="4"/>
  <c r="AL173" i="4"/>
  <c r="AL172" i="4"/>
  <c r="AL171" i="4"/>
  <c r="AL170" i="4"/>
  <c r="AL169" i="4"/>
  <c r="AL168" i="4"/>
  <c r="AL167" i="4"/>
  <c r="AL166" i="4"/>
  <c r="AL165" i="4"/>
  <c r="AL164" i="4"/>
  <c r="AL163" i="4"/>
  <c r="AL162" i="4"/>
  <c r="AL161" i="4"/>
  <c r="AL160" i="4"/>
  <c r="AL159" i="4"/>
  <c r="AL158" i="4"/>
  <c r="AL157" i="4"/>
  <c r="AL156" i="4"/>
  <c r="AL155" i="4"/>
  <c r="AH54" i="11"/>
  <c r="AJ54" i="11"/>
  <c r="AL54" i="11"/>
  <c r="AN54" i="11"/>
  <c r="AP54" i="11"/>
  <c r="AR54" i="11"/>
  <c r="AG55" i="11"/>
  <c r="AI55" i="11"/>
  <c r="AK55" i="11"/>
  <c r="AM55" i="11"/>
  <c r="AO55" i="11"/>
  <c r="AQ55" i="11"/>
  <c r="AS55" i="11"/>
  <c r="AH56" i="11"/>
  <c r="AJ56" i="11"/>
  <c r="AL56" i="11"/>
  <c r="AN56" i="11"/>
  <c r="AP56" i="11"/>
  <c r="AR56" i="11"/>
  <c r="AG57" i="11"/>
  <c r="AI57" i="11"/>
  <c r="AK57" i="11"/>
  <c r="AM57" i="11"/>
  <c r="AO57" i="11"/>
  <c r="AQ57" i="11"/>
  <c r="AS57" i="11"/>
  <c r="AF92" i="11"/>
  <c r="AF58" i="11"/>
  <c r="AM422" i="4"/>
  <c r="AG59" i="11"/>
  <c r="AI59" i="11"/>
  <c r="AK59" i="11"/>
  <c r="AM59" i="11"/>
  <c r="AO59" i="11"/>
  <c r="AQ59" i="11"/>
  <c r="AS59" i="11"/>
  <c r="AH60" i="11"/>
  <c r="AJ60" i="11"/>
  <c r="AL60" i="11"/>
  <c r="AN60" i="11"/>
  <c r="AP60" i="11"/>
  <c r="AR60" i="11"/>
  <c r="AG61" i="11"/>
  <c r="AI61" i="11"/>
  <c r="AK61" i="11"/>
  <c r="AM61" i="11"/>
  <c r="AO61" i="11"/>
  <c r="AQ61" i="11"/>
  <c r="AS61" i="11"/>
  <c r="AH62" i="11"/>
  <c r="AJ62" i="11"/>
  <c r="AL62" i="11"/>
  <c r="AP62" i="11"/>
  <c r="AR62" i="11"/>
  <c r="AG63" i="11"/>
  <c r="AI63" i="11"/>
  <c r="AK63" i="11"/>
  <c r="AM63" i="11"/>
  <c r="AO63" i="11"/>
  <c r="AQ63" i="11"/>
  <c r="AS63" i="11"/>
  <c r="AF98" i="11"/>
  <c r="AF64" i="11"/>
  <c r="AM428" i="4"/>
  <c r="AG65" i="11"/>
  <c r="AI65" i="11"/>
  <c r="AK65" i="11"/>
  <c r="AM65" i="11"/>
  <c r="AO65" i="11"/>
  <c r="AQ65" i="11"/>
  <c r="AS65" i="11"/>
  <c r="AH66" i="11"/>
  <c r="AJ66" i="11"/>
  <c r="AL66" i="11"/>
  <c r="AN66" i="11"/>
  <c r="AP66" i="11"/>
  <c r="AR66" i="11"/>
  <c r="AG67" i="11"/>
  <c r="AI67" i="11"/>
  <c r="AK67" i="11"/>
  <c r="AM67" i="11"/>
  <c r="AO67" i="11"/>
  <c r="AQ67" i="11"/>
  <c r="AS67" i="11"/>
  <c r="AH68" i="11"/>
  <c r="AJ68" i="11"/>
  <c r="AL68" i="11"/>
  <c r="AN68" i="11"/>
  <c r="AP68" i="11"/>
  <c r="AR68" i="11"/>
  <c r="AG69" i="11"/>
  <c r="AI69" i="11"/>
  <c r="AK69" i="11"/>
  <c r="AM69" i="11"/>
  <c r="AO69" i="11"/>
  <c r="AQ69" i="11"/>
  <c r="AS69" i="11"/>
  <c r="AH71" i="11"/>
  <c r="AJ71" i="11"/>
  <c r="AL71" i="11"/>
  <c r="AN71" i="11"/>
  <c r="AP71" i="11"/>
  <c r="AR71" i="11"/>
  <c r="AG72" i="11"/>
  <c r="AI72" i="11"/>
  <c r="AK72" i="11"/>
  <c r="AM72" i="11"/>
  <c r="AO72" i="11"/>
  <c r="AQ72" i="11"/>
  <c r="AS72" i="11"/>
  <c r="AH73" i="11"/>
  <c r="AJ73" i="11"/>
  <c r="AL73" i="11"/>
  <c r="AN73" i="11"/>
  <c r="AP73" i="11"/>
  <c r="AR73" i="11"/>
  <c r="AG74" i="11"/>
  <c r="AN140" i="4"/>
  <c r="AI74" i="11"/>
  <c r="AP140" i="4"/>
  <c r="AK74" i="11"/>
  <c r="AR140" i="4"/>
  <c r="AM74" i="11"/>
  <c r="AT140" i="4"/>
  <c r="AO74" i="11"/>
  <c r="AV140" i="4"/>
  <c r="AQ74" i="11"/>
  <c r="AX140" i="4"/>
  <c r="AS74" i="11"/>
  <c r="AZ140" i="4"/>
  <c r="AH75" i="11"/>
  <c r="AO141" i="4"/>
  <c r="AJ75" i="11"/>
  <c r="AQ141" i="4"/>
  <c r="AL75" i="11"/>
  <c r="AS141" i="4"/>
  <c r="AN75" i="11"/>
  <c r="AU141" i="4"/>
  <c r="AP75" i="11"/>
  <c r="AW141" i="4"/>
  <c r="AR75" i="11"/>
  <c r="AY141" i="4"/>
  <c r="AH78" i="11"/>
  <c r="AO143" i="4"/>
  <c r="AJ78" i="11"/>
  <c r="AQ143" i="4"/>
  <c r="AL78" i="11"/>
  <c r="AS143" i="4"/>
  <c r="AN78" i="11"/>
  <c r="AU143" i="4"/>
  <c r="AP78" i="11"/>
  <c r="AW143" i="4"/>
  <c r="AR78" i="11"/>
  <c r="AY143" i="4"/>
  <c r="AH80" i="11"/>
  <c r="C102" i="9"/>
  <c r="C36" i="9"/>
  <c r="AO145" i="4"/>
  <c r="AJ80" i="11"/>
  <c r="E102" i="9"/>
  <c r="E36" i="9"/>
  <c r="AQ145" i="4"/>
  <c r="AL80" i="11"/>
  <c r="G102" i="9"/>
  <c r="G36" i="9"/>
  <c r="AS145" i="4"/>
  <c r="AN80" i="11"/>
  <c r="I102" i="9"/>
  <c r="AU145" i="4"/>
  <c r="AP80" i="11"/>
  <c r="K102" i="9"/>
  <c r="K36" i="9" s="1"/>
  <c r="AW145" i="4"/>
  <c r="AR80" i="11"/>
  <c r="M102" i="9"/>
  <c r="M36" i="9" s="1"/>
  <c r="AY145" i="4"/>
  <c r="AL444" i="4"/>
  <c r="AL442" i="4"/>
  <c r="AL439" i="4"/>
  <c r="AL437" i="4"/>
  <c r="AL435" i="4"/>
  <c r="AL432" i="4"/>
  <c r="AL430" i="4"/>
  <c r="AL426" i="4"/>
  <c r="AL424" i="4"/>
  <c r="AL420" i="4"/>
  <c r="AL418" i="4"/>
  <c r="AL446" i="4"/>
  <c r="AL443" i="4"/>
  <c r="AL441" i="4"/>
  <c r="AL438" i="4"/>
  <c r="AL436" i="4"/>
  <c r="AL433" i="4"/>
  <c r="AL431" i="4"/>
  <c r="AL429" i="4"/>
  <c r="AL427" i="4"/>
  <c r="AL425" i="4"/>
  <c r="AL423" i="4"/>
  <c r="AL421" i="4"/>
  <c r="AL419" i="4"/>
  <c r="L93" i="4"/>
  <c r="N93" i="4"/>
  <c r="P93" i="4"/>
  <c r="R93" i="4"/>
  <c r="T93" i="4"/>
  <c r="V93" i="4"/>
  <c r="AO94" i="4"/>
  <c r="AQ94" i="4"/>
  <c r="AS94" i="4"/>
  <c r="AW94" i="4"/>
  <c r="AY94" i="4"/>
  <c r="L95" i="4"/>
  <c r="N95" i="4"/>
  <c r="P95" i="4"/>
  <c r="R95" i="4"/>
  <c r="T95" i="4"/>
  <c r="V95" i="4"/>
  <c r="K96" i="4"/>
  <c r="M96" i="4"/>
  <c r="O96" i="4"/>
  <c r="Q96" i="4"/>
  <c r="S96" i="4"/>
  <c r="U96" i="4"/>
  <c r="W96" i="4"/>
  <c r="L97" i="4"/>
  <c r="N97" i="4"/>
  <c r="P97" i="4"/>
  <c r="R97" i="4"/>
  <c r="T97" i="4"/>
  <c r="V97" i="4"/>
  <c r="K98" i="4"/>
  <c r="M98" i="4"/>
  <c r="O98" i="4"/>
  <c r="Q98" i="4"/>
  <c r="U98" i="4"/>
  <c r="W98" i="4"/>
  <c r="L99" i="4"/>
  <c r="N99" i="4"/>
  <c r="P99" i="4"/>
  <c r="R99" i="4"/>
  <c r="T99" i="4"/>
  <c r="V99" i="4"/>
  <c r="AO100" i="4"/>
  <c r="AQ100" i="4"/>
  <c r="AS100" i="4"/>
  <c r="AU100" i="4"/>
  <c r="AW100" i="4"/>
  <c r="AY100" i="4"/>
  <c r="L101" i="4"/>
  <c r="N101" i="4"/>
  <c r="P101" i="4"/>
  <c r="R101" i="4"/>
  <c r="T101" i="4"/>
  <c r="V101" i="4"/>
  <c r="K102" i="4"/>
  <c r="M102" i="4"/>
  <c r="O102" i="4"/>
  <c r="Q102" i="4"/>
  <c r="S102" i="4"/>
  <c r="U102" i="4"/>
  <c r="W102" i="4"/>
  <c r="L103" i="4"/>
  <c r="N103" i="4"/>
  <c r="P103" i="4"/>
  <c r="R103" i="4"/>
  <c r="T103" i="4"/>
  <c r="V103" i="4"/>
  <c r="K104" i="4"/>
  <c r="M104" i="4"/>
  <c r="O104" i="4"/>
  <c r="Q104" i="4"/>
  <c r="S104" i="4"/>
  <c r="U104" i="4"/>
  <c r="W104" i="4"/>
  <c r="L105" i="4"/>
  <c r="N105" i="4"/>
  <c r="P105" i="4"/>
  <c r="R105" i="4"/>
  <c r="T105" i="4"/>
  <c r="V105" i="4"/>
  <c r="K106" i="4"/>
  <c r="M106" i="4"/>
  <c r="O106" i="4"/>
  <c r="Q106" i="4"/>
  <c r="S106" i="4"/>
  <c r="U106" i="4"/>
  <c r="W106" i="4"/>
  <c r="L107" i="4"/>
  <c r="N107" i="4"/>
  <c r="P107" i="4"/>
  <c r="R107" i="4"/>
  <c r="T107" i="4"/>
  <c r="V107" i="4"/>
  <c r="K108" i="4"/>
  <c r="M108" i="4"/>
  <c r="O108" i="4"/>
  <c r="Q108" i="4"/>
  <c r="S108" i="4"/>
  <c r="U108" i="4"/>
  <c r="W108" i="4"/>
  <c r="L109" i="4"/>
  <c r="N109" i="4"/>
  <c r="P109" i="4"/>
  <c r="R109" i="4"/>
  <c r="T109" i="4"/>
  <c r="V109" i="4"/>
  <c r="K110" i="4"/>
  <c r="M110" i="4"/>
  <c r="O110" i="4"/>
  <c r="Q110" i="4"/>
  <c r="S110" i="4"/>
  <c r="U110" i="4"/>
  <c r="W110" i="4"/>
  <c r="K112" i="4"/>
  <c r="M112" i="4"/>
  <c r="O112" i="4"/>
  <c r="Q112" i="4"/>
  <c r="S112" i="4"/>
  <c r="U112" i="4"/>
  <c r="W112" i="4"/>
  <c r="K114" i="4"/>
  <c r="M114" i="4"/>
  <c r="O114" i="4"/>
  <c r="Q114" i="4"/>
  <c r="S114" i="4"/>
  <c r="U114" i="4"/>
  <c r="W114" i="4"/>
  <c r="J116" i="4"/>
  <c r="J446" i="4" s="1"/>
  <c r="AO124" i="4"/>
  <c r="AQ124" i="4"/>
  <c r="AS124" i="4"/>
  <c r="AU124" i="4"/>
  <c r="AW124" i="4"/>
  <c r="AZ124" i="4"/>
  <c r="AN126" i="4"/>
  <c r="AR126" i="4"/>
  <c r="AV126" i="4"/>
  <c r="AZ126" i="4"/>
  <c r="AO127" i="4"/>
  <c r="AS127" i="4"/>
  <c r="AW127" i="4"/>
  <c r="AN128" i="4"/>
  <c r="AR128" i="4"/>
  <c r="AV128" i="4"/>
  <c r="AZ128" i="4"/>
  <c r="AO129" i="4"/>
  <c r="AS129" i="4"/>
  <c r="AW129" i="4"/>
  <c r="AN130" i="4"/>
  <c r="AR130" i="4"/>
  <c r="AV130" i="4"/>
  <c r="AZ130" i="4"/>
  <c r="AN132" i="4"/>
  <c r="AR132" i="4"/>
  <c r="AV132" i="4"/>
  <c r="AZ132" i="4"/>
  <c r="AO133" i="4"/>
  <c r="AS133" i="4"/>
  <c r="AW133" i="4"/>
  <c r="AN134" i="4"/>
  <c r="AR134" i="4"/>
  <c r="AV134" i="4"/>
  <c r="AZ134" i="4"/>
  <c r="AO135" i="4"/>
  <c r="AS135" i="4"/>
  <c r="AW135" i="4"/>
  <c r="AN136" i="4"/>
  <c r="AR136" i="4"/>
  <c r="AV136" i="4"/>
  <c r="AZ136" i="4"/>
  <c r="AO137" i="4"/>
  <c r="AS137" i="4"/>
  <c r="AW137" i="4"/>
  <c r="AN138" i="4"/>
  <c r="AR138" i="4"/>
  <c r="AV138" i="4"/>
  <c r="AZ138" i="4"/>
  <c r="AO139" i="4"/>
  <c r="AS139" i="4"/>
  <c r="AW139" i="4"/>
  <c r="B38" i="9"/>
  <c r="B104" i="9"/>
  <c r="AM197" i="4"/>
  <c r="AS236" i="4"/>
  <c r="AU236" i="4"/>
  <c r="AW236" i="4"/>
  <c r="AY236" i="4"/>
  <c r="J20" i="9"/>
  <c r="L20" i="9"/>
  <c r="N20" i="9"/>
  <c r="C38" i="9"/>
  <c r="E38" i="9"/>
  <c r="AM287" i="4"/>
  <c r="AO287" i="4"/>
  <c r="AQ287" i="4"/>
  <c r="IT6" i="7"/>
  <c r="IT8" i="7" s="1"/>
  <c r="IU6" i="7"/>
  <c r="IV12" i="7" l="1"/>
  <c r="Q24" i="9"/>
  <c r="S93" i="9"/>
  <c r="T93" i="9" s="1"/>
  <c r="U93" i="9" s="1"/>
  <c r="V93" i="9" s="1"/>
  <c r="R87" i="9"/>
  <c r="S87" i="9" s="1"/>
  <c r="T87" i="9" s="1"/>
  <c r="AS77" i="4"/>
  <c r="BG21" i="7"/>
  <c r="U57" i="9" s="1"/>
  <c r="T77" i="9"/>
  <c r="T95" i="9"/>
  <c r="R84" i="9"/>
  <c r="S84" i="9" s="1"/>
  <c r="T84" i="9" s="1"/>
  <c r="S99" i="9"/>
  <c r="S88" i="9"/>
  <c r="BG19" i="7"/>
  <c r="AE19" i="7" s="1"/>
  <c r="BE87" i="4"/>
  <c r="R19" i="9"/>
  <c r="U19" i="9"/>
  <c r="S185" i="9"/>
  <c r="R180" i="9"/>
  <c r="R182" i="9"/>
  <c r="R79" i="9"/>
  <c r="S77" i="9"/>
  <c r="V77" i="9" s="1"/>
  <c r="BF21" i="7"/>
  <c r="AD13" i="7"/>
  <c r="AS111" i="4"/>
  <c r="T97" i="9"/>
  <c r="U97" i="9" s="1"/>
  <c r="V97" i="9" s="1"/>
  <c r="T89" i="9"/>
  <c r="U89" i="9" s="1"/>
  <c r="V89" i="9" s="1"/>
  <c r="T83" i="9"/>
  <c r="S82" i="9"/>
  <c r="T82" i="9" s="1"/>
  <c r="R101" i="9"/>
  <c r="S96" i="9"/>
  <c r="T88" i="9"/>
  <c r="S81" i="9"/>
  <c r="AD11" i="7"/>
  <c r="T81" i="9"/>
  <c r="T188" i="9"/>
  <c r="R191" i="9"/>
  <c r="S186" i="9"/>
  <c r="R78" i="9"/>
  <c r="U77" i="9"/>
  <c r="K69" i="11"/>
  <c r="AO77" i="4"/>
  <c r="R25" i="9"/>
  <c r="AY111" i="4"/>
  <c r="AM177" i="4"/>
  <c r="AW77" i="4"/>
  <c r="AR77" i="4"/>
  <c r="AN111" i="4"/>
  <c r="O272" i="4"/>
  <c r="M272" i="4"/>
  <c r="AM180" i="4"/>
  <c r="AV77" i="4"/>
  <c r="AO111" i="4"/>
  <c r="AM161" i="4"/>
  <c r="AX111" i="4"/>
  <c r="CG13" i="7"/>
  <c r="AM169" i="4"/>
  <c r="AT111" i="4"/>
  <c r="AZ77" i="4"/>
  <c r="AX77" i="4"/>
  <c r="AM377" i="4"/>
  <c r="AM162" i="4"/>
  <c r="AM170" i="4"/>
  <c r="AM178" i="4"/>
  <c r="AZ111" i="4"/>
  <c r="AT77" i="4"/>
  <c r="AY77" i="4"/>
  <c r="AY79" i="4" s="1"/>
  <c r="AM159" i="4"/>
  <c r="AM167" i="4"/>
  <c r="AM175" i="4"/>
  <c r="AV111" i="4"/>
  <c r="AP77" i="4"/>
  <c r="AP111" i="4"/>
  <c r="AW111" i="4"/>
  <c r="AU77" i="4"/>
  <c r="AU79" i="4" s="1"/>
  <c r="AU82" i="4" s="1"/>
  <c r="AM160" i="4"/>
  <c r="AM168" i="4"/>
  <c r="AM176" i="4"/>
  <c r="AQ111" i="4"/>
  <c r="AR111" i="4"/>
  <c r="AQ77" i="4"/>
  <c r="AQ79" i="4" s="1"/>
  <c r="AJ132" i="11" s="1"/>
  <c r="AN77" i="4"/>
  <c r="S19" i="9"/>
  <c r="AV13" i="7"/>
  <c r="J128" i="9" s="1"/>
  <c r="BA102" i="9"/>
  <c r="G75" i="9"/>
  <c r="M132" i="4"/>
  <c r="JH6" i="7"/>
  <c r="U130" i="4"/>
  <c r="P133" i="4"/>
  <c r="S98" i="4"/>
  <c r="T129" i="4" s="1"/>
  <c r="AZ83" i="4"/>
  <c r="AZ236" i="4"/>
  <c r="AO348" i="4"/>
  <c r="AM155" i="4"/>
  <c r="AM163" i="4"/>
  <c r="AM171" i="4"/>
  <c r="AM179" i="4"/>
  <c r="C52" i="9"/>
  <c r="AM156" i="4"/>
  <c r="AM164" i="4"/>
  <c r="AM172" i="4"/>
  <c r="AM182" i="4"/>
  <c r="AM87" i="7" s="1"/>
  <c r="AM88" i="7" s="1"/>
  <c r="D103" i="12"/>
  <c r="E64" i="12"/>
  <c r="AM157" i="4"/>
  <c r="AM165" i="4"/>
  <c r="AM173" i="4"/>
  <c r="AF150" i="11"/>
  <c r="V54" i="11"/>
  <c r="AM158" i="4"/>
  <c r="AM166" i="4"/>
  <c r="AM174" i="4"/>
  <c r="T272" i="4"/>
  <c r="G64" i="12"/>
  <c r="M128" i="4"/>
  <c r="D104" i="12"/>
  <c r="AW348" i="4"/>
  <c r="M134" i="4"/>
  <c r="Q272" i="4"/>
  <c r="AY353" i="4"/>
  <c r="G83" i="12"/>
  <c r="G103" i="12" s="1"/>
  <c r="CI13" i="7"/>
  <c r="T123" i="4"/>
  <c r="CE13" i="7"/>
  <c r="K272" i="4"/>
  <c r="AQ353" i="4"/>
  <c r="D64" i="12"/>
  <c r="F64" i="12"/>
  <c r="BZ13" i="7"/>
  <c r="CC13" i="7"/>
  <c r="N73" i="11"/>
  <c r="Q132" i="4"/>
  <c r="AT353" i="4"/>
  <c r="M54" i="9"/>
  <c r="K128" i="4"/>
  <c r="P54" i="11"/>
  <c r="K103" i="12"/>
  <c r="K98" i="12"/>
  <c r="K118" i="12" s="1"/>
  <c r="U126" i="4"/>
  <c r="AS359" i="4"/>
  <c r="L54" i="9"/>
  <c r="O55" i="9"/>
  <c r="O121" i="9" s="1"/>
  <c r="K63" i="11"/>
  <c r="K55" i="11"/>
  <c r="U272" i="4"/>
  <c r="N272" i="4"/>
  <c r="U222" i="4"/>
  <c r="U197" i="4" s="1"/>
  <c r="E117" i="9"/>
  <c r="M222" i="4"/>
  <c r="M197" i="4" s="1"/>
  <c r="K104" i="12"/>
  <c r="E118" i="9"/>
  <c r="T54" i="11"/>
  <c r="JB6" i="7"/>
  <c r="IP2" i="7"/>
  <c r="AF218" i="11"/>
  <c r="AF221" i="11" s="1"/>
  <c r="T25" i="9"/>
  <c r="I118" i="9"/>
  <c r="P56" i="11"/>
  <c r="BE19" i="7"/>
  <c r="W132" i="4"/>
  <c r="E52" i="9"/>
  <c r="AY348" i="4"/>
  <c r="AQ348" i="4"/>
  <c r="Z6" i="7"/>
  <c r="Z7" i="7" s="1"/>
  <c r="CF13" i="7"/>
  <c r="DF13" i="7"/>
  <c r="CJ13" i="7"/>
  <c r="V13" i="7"/>
  <c r="BF19" i="7"/>
  <c r="X13" i="7"/>
  <c r="W13" i="7"/>
  <c r="AU11" i="7"/>
  <c r="N54" i="9"/>
  <c r="CZ13" i="7"/>
  <c r="AY9" i="7"/>
  <c r="L7" i="7"/>
  <c r="IF9" i="7"/>
  <c r="DE13" i="7"/>
  <c r="AP12" i="7"/>
  <c r="Q11" i="7"/>
  <c r="DD13" i="7"/>
  <c r="IH9" i="7"/>
  <c r="CY13" i="7"/>
  <c r="S11" i="7"/>
  <c r="Q13" i="7"/>
  <c r="AO12" i="7"/>
  <c r="N12" i="7"/>
  <c r="AB13" i="7"/>
  <c r="DB13" i="7"/>
  <c r="X11" i="7"/>
  <c r="V9" i="7"/>
  <c r="Y7" i="7"/>
  <c r="AR13" i="7"/>
  <c r="AM6" i="7"/>
  <c r="S13" i="7"/>
  <c r="JB10" i="7"/>
  <c r="JN10" i="7" s="1"/>
  <c r="Z10" i="7"/>
  <c r="II9" i="7"/>
  <c r="K62" i="9"/>
  <c r="IE9" i="7"/>
  <c r="AV11" i="7"/>
  <c r="M62" i="9"/>
  <c r="BD21" i="7"/>
  <c r="M7" i="7"/>
  <c r="DA13" i="7"/>
  <c r="AO7" i="7"/>
  <c r="T13" i="7"/>
  <c r="T11" i="7"/>
  <c r="BY13" i="7"/>
  <c r="AN12" i="7"/>
  <c r="M12" i="7"/>
  <c r="M13" i="7" s="1"/>
  <c r="CH13" i="7"/>
  <c r="IG9" i="7"/>
  <c r="CD13" i="7"/>
  <c r="CB13" i="7"/>
  <c r="CA13" i="7"/>
  <c r="J163" i="4"/>
  <c r="J170" i="4"/>
  <c r="J174" i="4"/>
  <c r="J166" i="4"/>
  <c r="S67" i="11"/>
  <c r="L104" i="12"/>
  <c r="Q140" i="4"/>
  <c r="U136" i="4"/>
  <c r="T133" i="4"/>
  <c r="L123" i="4"/>
  <c r="AC13" i="7"/>
  <c r="J83" i="12"/>
  <c r="J103" i="12" s="1"/>
  <c r="M130" i="4"/>
  <c r="L127" i="4"/>
  <c r="G52" i="9"/>
  <c r="P139" i="4"/>
  <c r="U138" i="4"/>
  <c r="M138" i="4"/>
  <c r="U267" i="4"/>
  <c r="U269" i="4" s="1"/>
  <c r="U244" i="4" s="1"/>
  <c r="P225" i="4"/>
  <c r="P220" i="4"/>
  <c r="O222" i="4"/>
  <c r="O197" i="4" s="1"/>
  <c r="M60" i="4"/>
  <c r="BC6" i="7"/>
  <c r="IJ9" i="7"/>
  <c r="BA93" i="4"/>
  <c r="AM21" i="7"/>
  <c r="Z12" i="7"/>
  <c r="AB11" i="7"/>
  <c r="BB110" i="4"/>
  <c r="X253" i="4"/>
  <c r="IP9" i="7"/>
  <c r="J120" i="9"/>
  <c r="R11" i="7"/>
  <c r="R220" i="4"/>
  <c r="H64" i="12"/>
  <c r="S272" i="4"/>
  <c r="AV283" i="4"/>
  <c r="AU13" i="7"/>
  <c r="P13" i="7"/>
  <c r="L225" i="4"/>
  <c r="AP353" i="4"/>
  <c r="V73" i="11"/>
  <c r="T225" i="4"/>
  <c r="P272" i="4"/>
  <c r="BA110" i="4"/>
  <c r="T267" i="4"/>
  <c r="T269" i="4" s="1"/>
  <c r="T244" i="4" s="1"/>
  <c r="L267" i="4"/>
  <c r="L269" i="4" s="1"/>
  <c r="L244" i="4" s="1"/>
  <c r="R287" i="4"/>
  <c r="L129" i="4"/>
  <c r="X266" i="4"/>
  <c r="K126" i="4"/>
  <c r="S267" i="4"/>
  <c r="S269" i="4" s="1"/>
  <c r="S244" i="4" s="1"/>
  <c r="S283" i="4" s="1"/>
  <c r="Q128" i="4"/>
  <c r="K124" i="4"/>
  <c r="T127" i="4"/>
  <c r="W272" i="4"/>
  <c r="L220" i="4"/>
  <c r="S222" i="4"/>
  <c r="S197" i="4" s="1"/>
  <c r="AR353" i="4"/>
  <c r="V272" i="4"/>
  <c r="AR283" i="4"/>
  <c r="I225" i="4"/>
  <c r="I236" i="4" s="1"/>
  <c r="L272" i="4"/>
  <c r="Q225" i="4"/>
  <c r="J220" i="4"/>
  <c r="AS120" i="4"/>
  <c r="T137" i="4"/>
  <c r="M140" i="4"/>
  <c r="R73" i="11"/>
  <c r="L137" i="4"/>
  <c r="K140" i="4"/>
  <c r="AN131" i="4"/>
  <c r="T220" i="4"/>
  <c r="K222" i="4"/>
  <c r="K197" i="4" s="1"/>
  <c r="P78" i="11"/>
  <c r="L135" i="4"/>
  <c r="K138" i="4"/>
  <c r="K67" i="11"/>
  <c r="AG64" i="11"/>
  <c r="C117" i="9"/>
  <c r="R56" i="11"/>
  <c r="L287" i="4"/>
  <c r="AZ283" i="4"/>
  <c r="P127" i="4"/>
  <c r="M126" i="4"/>
  <c r="C118" i="9"/>
  <c r="T287" i="4"/>
  <c r="V225" i="4"/>
  <c r="V236" i="4" s="1"/>
  <c r="N225" i="4"/>
  <c r="L222" i="4"/>
  <c r="L197" i="4" s="1"/>
  <c r="AN283" i="4"/>
  <c r="R225" i="4"/>
  <c r="J225" i="4"/>
  <c r="N220" i="4"/>
  <c r="Q136" i="4"/>
  <c r="T56" i="11"/>
  <c r="AX353" i="4"/>
  <c r="AV353" i="4"/>
  <c r="P135" i="4"/>
  <c r="X275" i="4"/>
  <c r="X276" i="4"/>
  <c r="Y277" i="4"/>
  <c r="S57" i="9"/>
  <c r="X254" i="4"/>
  <c r="U287" i="4"/>
  <c r="K75" i="9"/>
  <c r="C75" i="9"/>
  <c r="L54" i="11"/>
  <c r="V287" i="4"/>
  <c r="X249" i="4"/>
  <c r="R98" i="4"/>
  <c r="X274" i="4"/>
  <c r="AN62" i="11"/>
  <c r="AN125" i="4"/>
  <c r="G9" i="9"/>
  <c r="N54" i="11"/>
  <c r="AU129" i="4"/>
  <c r="S60" i="4"/>
  <c r="O67" i="11"/>
  <c r="AU94" i="4"/>
  <c r="K94" i="4"/>
  <c r="K58" i="11" s="1"/>
  <c r="AW353" i="4"/>
  <c r="Q287" i="4"/>
  <c r="M267" i="4"/>
  <c r="M269" i="4" s="1"/>
  <c r="M244" i="4" s="1"/>
  <c r="T60" i="4"/>
  <c r="O225" i="4"/>
  <c r="S220" i="4"/>
  <c r="X261" i="4"/>
  <c r="L78" i="11"/>
  <c r="J222" i="4"/>
  <c r="J197" i="4" s="1"/>
  <c r="AV129" i="4"/>
  <c r="M287" i="4"/>
  <c r="AS283" i="4"/>
  <c r="T222" i="4"/>
  <c r="T197" i="4" s="1"/>
  <c r="AW359" i="4"/>
  <c r="U134" i="4"/>
  <c r="T121" i="4"/>
  <c r="Q138" i="4"/>
  <c r="P129" i="4"/>
  <c r="Q126" i="4"/>
  <c r="AL53" i="11"/>
  <c r="AO359" i="4"/>
  <c r="AX283" i="4"/>
  <c r="S225" i="4"/>
  <c r="V220" i="4"/>
  <c r="U140" i="4"/>
  <c r="L56" i="11"/>
  <c r="AU353" i="4"/>
  <c r="R13" i="7"/>
  <c r="U132" i="4"/>
  <c r="U128" i="4"/>
  <c r="Q134" i="4"/>
  <c r="Q222" i="4"/>
  <c r="Q197" i="4" s="1"/>
  <c r="T139" i="4"/>
  <c r="L139" i="4"/>
  <c r="L133" i="4"/>
  <c r="Q130" i="4"/>
  <c r="AP53" i="11"/>
  <c r="AH53" i="11"/>
  <c r="L121" i="4"/>
  <c r="M136" i="4"/>
  <c r="T135" i="4"/>
  <c r="AZ353" i="4"/>
  <c r="L98" i="12"/>
  <c r="L118" i="12" s="1"/>
  <c r="L103" i="12"/>
  <c r="F104" i="12"/>
  <c r="F83" i="12"/>
  <c r="AM283" i="4"/>
  <c r="P137" i="4"/>
  <c r="AU348" i="4"/>
  <c r="AP7" i="7"/>
  <c r="R42" i="9"/>
  <c r="S42" i="9"/>
  <c r="AU283" i="4"/>
  <c r="X257" i="4"/>
  <c r="BA101" i="4"/>
  <c r="IS9" i="7"/>
  <c r="JE6" i="7"/>
  <c r="JQ6" i="7" s="1"/>
  <c r="H83" i="12"/>
  <c r="H104" i="12"/>
  <c r="IR12" i="7"/>
  <c r="JD6" i="7"/>
  <c r="JP6" i="7" s="1"/>
  <c r="T78" i="11"/>
  <c r="W140" i="4"/>
  <c r="Q72" i="11"/>
  <c r="P68" i="11"/>
  <c r="P62" i="11"/>
  <c r="J179" i="4"/>
  <c r="J173" i="4"/>
  <c r="J169" i="4"/>
  <c r="J165" i="4"/>
  <c r="K132" i="4"/>
  <c r="AW79" i="4"/>
  <c r="P121" i="4"/>
  <c r="AW120" i="4"/>
  <c r="AO120" i="4"/>
  <c r="G118" i="9"/>
  <c r="AO353" i="4"/>
  <c r="P287" i="4"/>
  <c r="R267" i="4"/>
  <c r="R269" i="4" s="1"/>
  <c r="R244" i="4" s="1"/>
  <c r="K267" i="4"/>
  <c r="K269" i="4" s="1"/>
  <c r="K244" i="4" s="1"/>
  <c r="K283" i="4" s="1"/>
  <c r="AT283" i="4"/>
  <c r="X247" i="4"/>
  <c r="BA91" i="4"/>
  <c r="Y8" i="7"/>
  <c r="I104" i="12"/>
  <c r="I83" i="12"/>
  <c r="IV8" i="7"/>
  <c r="IV9" i="7" s="1"/>
  <c r="BC9" i="7" s="1"/>
  <c r="Q45" i="9"/>
  <c r="J177" i="4"/>
  <c r="J172" i="4"/>
  <c r="J168" i="4"/>
  <c r="J164" i="4"/>
  <c r="AS79" i="4"/>
  <c r="P123" i="4"/>
  <c r="K9" i="9"/>
  <c r="C9" i="9"/>
  <c r="G51" i="9"/>
  <c r="P267" i="4"/>
  <c r="P269" i="4" s="1"/>
  <c r="P244" i="4" s="1"/>
  <c r="Q267" i="4"/>
  <c r="Q269" i="4" s="1"/>
  <c r="Q244" i="4" s="1"/>
  <c r="AY283" i="4"/>
  <c r="AQ283" i="4"/>
  <c r="U60" i="4"/>
  <c r="N287" i="4"/>
  <c r="P60" i="4"/>
  <c r="W225" i="4"/>
  <c r="W236" i="4" s="1"/>
  <c r="BC19" i="7"/>
  <c r="BC21" i="7"/>
  <c r="AA13" i="7"/>
  <c r="AA11" i="7"/>
  <c r="U72" i="11"/>
  <c r="M72" i="11"/>
  <c r="T68" i="11"/>
  <c r="L68" i="11"/>
  <c r="L62" i="11"/>
  <c r="W124" i="4"/>
  <c r="J175" i="4"/>
  <c r="J171" i="4"/>
  <c r="J167" i="4"/>
  <c r="AO79" i="4"/>
  <c r="AH145" i="11" s="1"/>
  <c r="S122" i="4"/>
  <c r="AN353" i="4"/>
  <c r="AS348" i="4"/>
  <c r="Q89" i="4"/>
  <c r="AS353" i="4"/>
  <c r="V267" i="4"/>
  <c r="V269" i="4" s="1"/>
  <c r="V244" i="4" s="1"/>
  <c r="N267" i="4"/>
  <c r="N269" i="4" s="1"/>
  <c r="N244" i="4" s="1"/>
  <c r="W267" i="4"/>
  <c r="W269" i="4" s="1"/>
  <c r="W244" i="4" s="1"/>
  <c r="O267" i="4"/>
  <c r="O269" i="4" s="1"/>
  <c r="O244" i="4" s="1"/>
  <c r="AW283" i="4"/>
  <c r="P222" i="4"/>
  <c r="P197" i="4" s="1"/>
  <c r="Q60" i="4"/>
  <c r="R272" i="4"/>
  <c r="AP283" i="4"/>
  <c r="L60" i="4"/>
  <c r="J287" i="4"/>
  <c r="I220" i="4"/>
  <c r="AX12" i="7"/>
  <c r="AS13" i="7"/>
  <c r="AT13" i="7"/>
  <c r="E104" i="12"/>
  <c r="E83" i="12"/>
  <c r="I64" i="12"/>
  <c r="N7" i="7"/>
  <c r="X252" i="4"/>
  <c r="BA96" i="4"/>
  <c r="U225" i="4"/>
  <c r="K225" i="4"/>
  <c r="W220" i="4"/>
  <c r="O220" i="4"/>
  <c r="K220" i="4"/>
  <c r="M225" i="4"/>
  <c r="U220" i="4"/>
  <c r="Q220" i="4"/>
  <c r="M220" i="4"/>
  <c r="J443" i="4"/>
  <c r="J441" i="4"/>
  <c r="S287" i="4"/>
  <c r="K287" i="4"/>
  <c r="N60" i="4"/>
  <c r="AR236" i="4"/>
  <c r="AR83" i="4"/>
  <c r="O287" i="4"/>
  <c r="V60" i="4"/>
  <c r="Q29" i="9"/>
  <c r="BA114" i="4"/>
  <c r="X270" i="4"/>
  <c r="X265" i="4"/>
  <c r="BA109" i="4"/>
  <c r="X263" i="4"/>
  <c r="BA107" i="4"/>
  <c r="X258" i="4"/>
  <c r="BA102" i="4"/>
  <c r="X248" i="4"/>
  <c r="BA92" i="4"/>
  <c r="AV83" i="4"/>
  <c r="AX83" i="4"/>
  <c r="AT83" i="4"/>
  <c r="AP236" i="4"/>
  <c r="AP83" i="4"/>
  <c r="AL236" i="4"/>
  <c r="AL83" i="4"/>
  <c r="R60" i="4"/>
  <c r="X262" i="4"/>
  <c r="BA103" i="4"/>
  <c r="X259" i="4"/>
  <c r="X246" i="4"/>
  <c r="BA90" i="4"/>
  <c r="AN236" i="4"/>
  <c r="AN83" i="4"/>
  <c r="W60" i="4"/>
  <c r="O60" i="4"/>
  <c r="R222" i="4"/>
  <c r="R197" i="4" s="1"/>
  <c r="N222" i="4"/>
  <c r="N197" i="4" s="1"/>
  <c r="AY83" i="4"/>
  <c r="AU83" i="4"/>
  <c r="AQ236" i="4"/>
  <c r="AQ83" i="4"/>
  <c r="AM236" i="4"/>
  <c r="AM83" i="4"/>
  <c r="BA108" i="4"/>
  <c r="X260" i="4"/>
  <c r="BA104" i="4"/>
  <c r="U80" i="11"/>
  <c r="U145" i="4"/>
  <c r="Q80" i="11"/>
  <c r="Q145" i="4"/>
  <c r="M80" i="11"/>
  <c r="M145" i="4"/>
  <c r="U78" i="11"/>
  <c r="U143" i="4"/>
  <c r="Q78" i="11"/>
  <c r="Q143" i="4"/>
  <c r="M78" i="11"/>
  <c r="M143" i="4"/>
  <c r="U75" i="11"/>
  <c r="U141" i="4"/>
  <c r="Q75" i="11"/>
  <c r="Q141" i="4"/>
  <c r="M75" i="11"/>
  <c r="M141" i="4"/>
  <c r="T74" i="11"/>
  <c r="T140" i="4"/>
  <c r="P74" i="11"/>
  <c r="P140" i="4"/>
  <c r="L74" i="11"/>
  <c r="L140" i="4"/>
  <c r="W139" i="4"/>
  <c r="S73" i="11"/>
  <c r="S139" i="4"/>
  <c r="O73" i="11"/>
  <c r="O139" i="4"/>
  <c r="K73" i="11"/>
  <c r="K139" i="4"/>
  <c r="V72" i="11"/>
  <c r="V138" i="4"/>
  <c r="R72" i="11"/>
  <c r="R138" i="4"/>
  <c r="N72" i="11"/>
  <c r="N138" i="4"/>
  <c r="U71" i="11"/>
  <c r="U137" i="4"/>
  <c r="Q71" i="11"/>
  <c r="Q137" i="4"/>
  <c r="M71" i="11"/>
  <c r="M137" i="4"/>
  <c r="V69" i="11"/>
  <c r="V136" i="4"/>
  <c r="R69" i="11"/>
  <c r="R136" i="4"/>
  <c r="N69" i="11"/>
  <c r="N136" i="4"/>
  <c r="U68" i="11"/>
  <c r="U135" i="4"/>
  <c r="Q68" i="11"/>
  <c r="Q135" i="4"/>
  <c r="M68" i="11"/>
  <c r="M135" i="4"/>
  <c r="T67" i="11"/>
  <c r="T134" i="4"/>
  <c r="P67" i="11"/>
  <c r="P134" i="4"/>
  <c r="L67" i="11"/>
  <c r="L134" i="4"/>
  <c r="U66" i="11"/>
  <c r="U133" i="4"/>
  <c r="Q66" i="11"/>
  <c r="Q133" i="4"/>
  <c r="M66" i="11"/>
  <c r="M133" i="4"/>
  <c r="T65" i="11"/>
  <c r="T132" i="4"/>
  <c r="P65" i="11"/>
  <c r="P132" i="4"/>
  <c r="L65" i="11"/>
  <c r="L132" i="4"/>
  <c r="AP64" i="11"/>
  <c r="AW131" i="4"/>
  <c r="U100" i="4"/>
  <c r="T100" i="4"/>
  <c r="AL64" i="11"/>
  <c r="AS131" i="4"/>
  <c r="Q100" i="4"/>
  <c r="P100" i="4"/>
  <c r="AH64" i="11"/>
  <c r="AO131" i="4"/>
  <c r="M100" i="4"/>
  <c r="L100" i="4"/>
  <c r="V63" i="11"/>
  <c r="V130" i="4"/>
  <c r="R63" i="11"/>
  <c r="R130" i="4"/>
  <c r="N63" i="11"/>
  <c r="N130" i="4"/>
  <c r="U62" i="11"/>
  <c r="U129" i="4"/>
  <c r="Q62" i="11"/>
  <c r="Q129" i="4"/>
  <c r="M62" i="11"/>
  <c r="M129" i="4"/>
  <c r="V61" i="11"/>
  <c r="V128" i="4"/>
  <c r="R61" i="11"/>
  <c r="R128" i="4"/>
  <c r="N61" i="11"/>
  <c r="N128" i="4"/>
  <c r="U60" i="11"/>
  <c r="U127" i="4"/>
  <c r="Q60" i="11"/>
  <c r="Q127" i="4"/>
  <c r="M60" i="11"/>
  <c r="M127" i="4"/>
  <c r="V59" i="11"/>
  <c r="V126" i="4"/>
  <c r="R59" i="11"/>
  <c r="R126" i="4"/>
  <c r="N59" i="11"/>
  <c r="N126" i="4"/>
  <c r="AP58" i="11"/>
  <c r="AW125" i="4"/>
  <c r="U94" i="4"/>
  <c r="T94" i="4"/>
  <c r="AL58" i="11"/>
  <c r="AS125" i="4"/>
  <c r="Q94" i="4"/>
  <c r="P94" i="4"/>
  <c r="AH58" i="11"/>
  <c r="AO125" i="4"/>
  <c r="M94" i="4"/>
  <c r="L94" i="4"/>
  <c r="T57" i="11"/>
  <c r="T124" i="4"/>
  <c r="P57" i="11"/>
  <c r="P124" i="4"/>
  <c r="L57" i="11"/>
  <c r="L124" i="4"/>
  <c r="J182" i="4"/>
  <c r="J7" i="4"/>
  <c r="J20" i="7"/>
  <c r="V55" i="11"/>
  <c r="V122" i="4"/>
  <c r="T55" i="11"/>
  <c r="T122" i="4"/>
  <c r="P55" i="11"/>
  <c r="P122" i="4"/>
  <c r="N55" i="11"/>
  <c r="N122" i="4"/>
  <c r="L55" i="11"/>
  <c r="L122" i="4"/>
  <c r="AX348" i="4"/>
  <c r="U55" i="4"/>
  <c r="V55" i="4"/>
  <c r="H117" i="9"/>
  <c r="H51" i="9"/>
  <c r="H118" i="9"/>
  <c r="H52" i="9"/>
  <c r="AT348" i="4"/>
  <c r="Q55" i="4"/>
  <c r="R55" i="4"/>
  <c r="D117" i="9"/>
  <c r="D51" i="9"/>
  <c r="D118" i="9"/>
  <c r="D52" i="9"/>
  <c r="AP348" i="4"/>
  <c r="M55" i="4"/>
  <c r="N55" i="4"/>
  <c r="W123" i="4"/>
  <c r="U56" i="11"/>
  <c r="U123" i="4"/>
  <c r="S56" i="11"/>
  <c r="S123" i="4"/>
  <c r="O56" i="11"/>
  <c r="O123" i="4"/>
  <c r="M56" i="11"/>
  <c r="M123" i="4"/>
  <c r="W121" i="4"/>
  <c r="AQ53" i="11"/>
  <c r="L9" i="9"/>
  <c r="L75" i="9"/>
  <c r="V89" i="4"/>
  <c r="AX120" i="4"/>
  <c r="S54" i="11"/>
  <c r="S121" i="4"/>
  <c r="Q54" i="11"/>
  <c r="Q121" i="4"/>
  <c r="O54" i="11"/>
  <c r="O121" i="4"/>
  <c r="AI53" i="11"/>
  <c r="D9" i="9"/>
  <c r="D75" i="9"/>
  <c r="N89" i="4"/>
  <c r="AP120" i="4"/>
  <c r="AG53" i="11"/>
  <c r="B9" i="9"/>
  <c r="B75" i="9"/>
  <c r="L89" i="4"/>
  <c r="AN120" i="4"/>
  <c r="K89" i="4"/>
  <c r="AX359" i="4"/>
  <c r="V66" i="4"/>
  <c r="U66" i="4"/>
  <c r="AT359" i="4"/>
  <c r="R66" i="4"/>
  <c r="Q66" i="4"/>
  <c r="AP359" i="4"/>
  <c r="N66" i="4"/>
  <c r="M66" i="4"/>
  <c r="J436" i="4"/>
  <c r="J433" i="4"/>
  <c r="J427" i="4"/>
  <c r="J425" i="4"/>
  <c r="J423" i="4"/>
  <c r="J419" i="4"/>
  <c r="O140" i="4"/>
  <c r="V139" i="4"/>
  <c r="N139" i="4"/>
  <c r="S138" i="4"/>
  <c r="R137" i="4"/>
  <c r="W136" i="4"/>
  <c r="O136" i="4"/>
  <c r="V135" i="4"/>
  <c r="N135" i="4"/>
  <c r="S134" i="4"/>
  <c r="R133" i="4"/>
  <c r="O132" i="4"/>
  <c r="W130" i="4"/>
  <c r="O130" i="4"/>
  <c r="V129" i="4"/>
  <c r="N129" i="4"/>
  <c r="S128" i="4"/>
  <c r="R127" i="4"/>
  <c r="W126" i="4"/>
  <c r="O126" i="4"/>
  <c r="S124" i="4"/>
  <c r="J444" i="4"/>
  <c r="J439" i="4"/>
  <c r="J435" i="4"/>
  <c r="J432" i="4"/>
  <c r="J430" i="4"/>
  <c r="J428" i="4"/>
  <c r="J426" i="4"/>
  <c r="V143" i="4"/>
  <c r="V78" i="11"/>
  <c r="T143" i="4"/>
  <c r="R143" i="4"/>
  <c r="R78" i="11"/>
  <c r="P143" i="4"/>
  <c r="N143" i="4"/>
  <c r="N78" i="11"/>
  <c r="L143" i="4"/>
  <c r="U74" i="11"/>
  <c r="Q74" i="11"/>
  <c r="M74" i="11"/>
  <c r="V71" i="11"/>
  <c r="R71" i="11"/>
  <c r="N71" i="11"/>
  <c r="S69" i="11"/>
  <c r="O69" i="11"/>
  <c r="V66" i="11"/>
  <c r="R66" i="11"/>
  <c r="N66" i="11"/>
  <c r="U65" i="11"/>
  <c r="Q65" i="11"/>
  <c r="M65" i="11"/>
  <c r="AZ131" i="4"/>
  <c r="AS64" i="11"/>
  <c r="AR131" i="4"/>
  <c r="AK64" i="11"/>
  <c r="S63" i="11"/>
  <c r="O63" i="11"/>
  <c r="S61" i="11"/>
  <c r="O61" i="11"/>
  <c r="V60" i="11"/>
  <c r="R60" i="11"/>
  <c r="N60" i="11"/>
  <c r="U59" i="11"/>
  <c r="Q59" i="11"/>
  <c r="M59" i="11"/>
  <c r="AX125" i="4"/>
  <c r="AQ58" i="11"/>
  <c r="AT125" i="4"/>
  <c r="AM58" i="11"/>
  <c r="AP125" i="4"/>
  <c r="AI58" i="11"/>
  <c r="S57" i="11"/>
  <c r="J176" i="4"/>
  <c r="J161" i="4"/>
  <c r="J158" i="4"/>
  <c r="Q124" i="4"/>
  <c r="M124" i="4"/>
  <c r="U55" i="11"/>
  <c r="Q55" i="11"/>
  <c r="M55" i="11"/>
  <c r="J418" i="4"/>
  <c r="J157" i="4"/>
  <c r="J155" i="4"/>
  <c r="O57" i="11"/>
  <c r="V123" i="4"/>
  <c r="V56" i="11"/>
  <c r="R123" i="4"/>
  <c r="N123" i="4"/>
  <c r="N56" i="11"/>
  <c r="V121" i="4"/>
  <c r="R121" i="4"/>
  <c r="R54" i="11"/>
  <c r="N121" i="4"/>
  <c r="M9" i="9"/>
  <c r="AN53" i="11"/>
  <c r="I75" i="9"/>
  <c r="AQ120" i="4"/>
  <c r="AJ53" i="11"/>
  <c r="E75" i="9"/>
  <c r="AY359" i="4"/>
  <c r="AU359" i="4"/>
  <c r="AQ359" i="4"/>
  <c r="W122" i="4"/>
  <c r="O122" i="4"/>
  <c r="AW83" i="4"/>
  <c r="AS83" i="4"/>
  <c r="AO83" i="4"/>
  <c r="X255" i="4"/>
  <c r="BA97" i="4"/>
  <c r="X282" i="4"/>
  <c r="X281" i="4" s="1"/>
  <c r="BA106" i="4"/>
  <c r="X279" i="4"/>
  <c r="BA98" i="4"/>
  <c r="W145" i="4"/>
  <c r="S80" i="11"/>
  <c r="S145" i="4"/>
  <c r="O80" i="11"/>
  <c r="O145" i="4"/>
  <c r="K80" i="11"/>
  <c r="K145" i="4"/>
  <c r="W143" i="4"/>
  <c r="S78" i="11"/>
  <c r="S143" i="4"/>
  <c r="O78" i="11"/>
  <c r="O143" i="4"/>
  <c r="K78" i="11"/>
  <c r="K143" i="4"/>
  <c r="W141" i="4"/>
  <c r="S75" i="11"/>
  <c r="S141" i="4"/>
  <c r="O75" i="11"/>
  <c r="O141" i="4"/>
  <c r="K75" i="11"/>
  <c r="K141" i="4"/>
  <c r="V74" i="11"/>
  <c r="V140" i="4"/>
  <c r="R74" i="11"/>
  <c r="R140" i="4"/>
  <c r="N74" i="11"/>
  <c r="N140" i="4"/>
  <c r="U73" i="11"/>
  <c r="U139" i="4"/>
  <c r="Q73" i="11"/>
  <c r="Q139" i="4"/>
  <c r="M73" i="11"/>
  <c r="M139" i="4"/>
  <c r="T72" i="11"/>
  <c r="T138" i="4"/>
  <c r="P72" i="11"/>
  <c r="P138" i="4"/>
  <c r="L72" i="11"/>
  <c r="L138" i="4"/>
  <c r="W137" i="4"/>
  <c r="S71" i="11"/>
  <c r="S137" i="4"/>
  <c r="O71" i="11"/>
  <c r="O137" i="4"/>
  <c r="K71" i="11"/>
  <c r="K137" i="4"/>
  <c r="T69" i="11"/>
  <c r="T136" i="4"/>
  <c r="P69" i="11"/>
  <c r="P136" i="4"/>
  <c r="L69" i="11"/>
  <c r="L136" i="4"/>
  <c r="W135" i="4"/>
  <c r="S68" i="11"/>
  <c r="S135" i="4"/>
  <c r="O68" i="11"/>
  <c r="O135" i="4"/>
  <c r="K68" i="11"/>
  <c r="K135" i="4"/>
  <c r="V67" i="11"/>
  <c r="V134" i="4"/>
  <c r="R67" i="11"/>
  <c r="R134" i="4"/>
  <c r="N67" i="11"/>
  <c r="N134" i="4"/>
  <c r="W133" i="4"/>
  <c r="S66" i="11"/>
  <c r="S133" i="4"/>
  <c r="O66" i="11"/>
  <c r="O133" i="4"/>
  <c r="K66" i="11"/>
  <c r="K133" i="4"/>
  <c r="V65" i="11"/>
  <c r="V132" i="4"/>
  <c r="R65" i="11"/>
  <c r="R132" i="4"/>
  <c r="N65" i="11"/>
  <c r="N132" i="4"/>
  <c r="AR64" i="11"/>
  <c r="W100" i="4"/>
  <c r="AY131" i="4"/>
  <c r="V100" i="4"/>
  <c r="AN64" i="11"/>
  <c r="S100" i="4"/>
  <c r="AU131" i="4"/>
  <c r="R100" i="4"/>
  <c r="AJ64" i="11"/>
  <c r="O100" i="4"/>
  <c r="AQ131" i="4"/>
  <c r="N100" i="4"/>
  <c r="K64" i="11"/>
  <c r="K131" i="4"/>
  <c r="T63" i="11"/>
  <c r="T130" i="4"/>
  <c r="P63" i="11"/>
  <c r="P130" i="4"/>
  <c r="L63" i="11"/>
  <c r="L130" i="4"/>
  <c r="W129" i="4"/>
  <c r="O62" i="11"/>
  <c r="O129" i="4"/>
  <c r="K62" i="11"/>
  <c r="K129" i="4"/>
  <c r="T61" i="11"/>
  <c r="T128" i="4"/>
  <c r="P61" i="11"/>
  <c r="P128" i="4"/>
  <c r="L61" i="11"/>
  <c r="L128" i="4"/>
  <c r="W127" i="4"/>
  <c r="S60" i="11"/>
  <c r="S127" i="4"/>
  <c r="O60" i="11"/>
  <c r="O127" i="4"/>
  <c r="K60" i="11"/>
  <c r="K127" i="4"/>
  <c r="T59" i="11"/>
  <c r="T126" i="4"/>
  <c r="P59" i="11"/>
  <c r="P126" i="4"/>
  <c r="L59" i="11"/>
  <c r="L126" i="4"/>
  <c r="AR58" i="11"/>
  <c r="W94" i="4"/>
  <c r="AY125" i="4"/>
  <c r="V94" i="4"/>
  <c r="AJ58" i="11"/>
  <c r="O94" i="4"/>
  <c r="AQ125" i="4"/>
  <c r="N94" i="4"/>
  <c r="V57" i="11"/>
  <c r="V124" i="4"/>
  <c r="R57" i="11"/>
  <c r="R124" i="4"/>
  <c r="N57" i="11"/>
  <c r="N124" i="4"/>
  <c r="R55" i="11"/>
  <c r="R122" i="4"/>
  <c r="AZ348" i="4"/>
  <c r="W55" i="4"/>
  <c r="AV348" i="4"/>
  <c r="S55" i="4"/>
  <c r="T55" i="4"/>
  <c r="F117" i="9"/>
  <c r="F51" i="9"/>
  <c r="F118" i="9"/>
  <c r="F52" i="9"/>
  <c r="AR348" i="4"/>
  <c r="O55" i="4"/>
  <c r="P55" i="4"/>
  <c r="B117" i="9"/>
  <c r="B51" i="9"/>
  <c r="B118" i="9"/>
  <c r="B52" i="9"/>
  <c r="AN348" i="4"/>
  <c r="K55" i="4"/>
  <c r="L55" i="4"/>
  <c r="Q56" i="11"/>
  <c r="Q123" i="4"/>
  <c r="K56" i="11"/>
  <c r="K123" i="4"/>
  <c r="AS53" i="11"/>
  <c r="N9" i="9"/>
  <c r="N75" i="9"/>
  <c r="AZ120" i="4"/>
  <c r="W89" i="4"/>
  <c r="U54" i="11"/>
  <c r="U121" i="4"/>
  <c r="AO53" i="11"/>
  <c r="J9" i="9"/>
  <c r="J75" i="9"/>
  <c r="T89" i="4"/>
  <c r="AV120" i="4"/>
  <c r="S89" i="4"/>
  <c r="AM53" i="11"/>
  <c r="H9" i="9"/>
  <c r="H75" i="9"/>
  <c r="R89" i="4"/>
  <c r="AT120" i="4"/>
  <c r="AK53" i="11"/>
  <c r="F9" i="9"/>
  <c r="F75" i="9"/>
  <c r="P89" i="4"/>
  <c r="AR120" i="4"/>
  <c r="O89" i="4"/>
  <c r="M54" i="11"/>
  <c r="M121" i="4"/>
  <c r="K54" i="11"/>
  <c r="K121" i="4"/>
  <c r="AZ359" i="4"/>
  <c r="AV359" i="4"/>
  <c r="T66" i="4"/>
  <c r="D66" i="4"/>
  <c r="AR359" i="4"/>
  <c r="P66" i="4"/>
  <c r="AN359" i="4"/>
  <c r="L66" i="4"/>
  <c r="K66" i="4"/>
  <c r="J438" i="4"/>
  <c r="J431" i="4"/>
  <c r="J429" i="4"/>
  <c r="J421" i="4"/>
  <c r="S140" i="4"/>
  <c r="R139" i="4"/>
  <c r="W138" i="4"/>
  <c r="O138" i="4"/>
  <c r="V137" i="4"/>
  <c r="N137" i="4"/>
  <c r="S136" i="4"/>
  <c r="R135" i="4"/>
  <c r="W134" i="4"/>
  <c r="O134" i="4"/>
  <c r="V133" i="4"/>
  <c r="N133" i="4"/>
  <c r="S132" i="4"/>
  <c r="S130" i="4"/>
  <c r="W128" i="4"/>
  <c r="O128" i="4"/>
  <c r="V127" i="4"/>
  <c r="N127" i="4"/>
  <c r="S126" i="4"/>
  <c r="U124" i="4"/>
  <c r="J442" i="4"/>
  <c r="J437" i="4"/>
  <c r="J424" i="4"/>
  <c r="J422" i="4"/>
  <c r="V145" i="4"/>
  <c r="V80" i="11"/>
  <c r="T145" i="4"/>
  <c r="T80" i="11"/>
  <c r="R145" i="4"/>
  <c r="R80" i="11"/>
  <c r="P145" i="4"/>
  <c r="P80" i="11"/>
  <c r="N145" i="4"/>
  <c r="N80" i="11"/>
  <c r="L145" i="4"/>
  <c r="L80" i="11"/>
  <c r="V141" i="4"/>
  <c r="V75" i="11"/>
  <c r="T141" i="4"/>
  <c r="T75" i="11"/>
  <c r="R141" i="4"/>
  <c r="R75" i="11"/>
  <c r="P141" i="4"/>
  <c r="P75" i="11"/>
  <c r="N141" i="4"/>
  <c r="N75" i="11"/>
  <c r="L141" i="4"/>
  <c r="L75" i="11"/>
  <c r="S74" i="11"/>
  <c r="O74" i="11"/>
  <c r="T73" i="11"/>
  <c r="P73" i="11"/>
  <c r="L73" i="11"/>
  <c r="S72" i="11"/>
  <c r="O72" i="11"/>
  <c r="T71" i="11"/>
  <c r="P71" i="11"/>
  <c r="L71" i="11"/>
  <c r="U69" i="11"/>
  <c r="Q69" i="11"/>
  <c r="M69" i="11"/>
  <c r="V68" i="11"/>
  <c r="R68" i="11"/>
  <c r="N68" i="11"/>
  <c r="U67" i="11"/>
  <c r="Q67" i="11"/>
  <c r="M67" i="11"/>
  <c r="T66" i="11"/>
  <c r="P66" i="11"/>
  <c r="L66" i="11"/>
  <c r="S65" i="11"/>
  <c r="O65" i="11"/>
  <c r="AX131" i="4"/>
  <c r="AQ64" i="11"/>
  <c r="AV131" i="4"/>
  <c r="AO64" i="11"/>
  <c r="AT131" i="4"/>
  <c r="AM64" i="11"/>
  <c r="AP131" i="4"/>
  <c r="AI64" i="11"/>
  <c r="U63" i="11"/>
  <c r="Q63" i="11"/>
  <c r="M63" i="11"/>
  <c r="V62" i="11"/>
  <c r="N62" i="11"/>
  <c r="U61" i="11"/>
  <c r="Q61" i="11"/>
  <c r="M61" i="11"/>
  <c r="T60" i="11"/>
  <c r="P60" i="11"/>
  <c r="L60" i="11"/>
  <c r="S59" i="11"/>
  <c r="O59" i="11"/>
  <c r="AZ125" i="4"/>
  <c r="AS58" i="11"/>
  <c r="AR125" i="4"/>
  <c r="AK58" i="11"/>
  <c r="U57" i="11"/>
  <c r="J180" i="4"/>
  <c r="J178" i="4"/>
  <c r="J162" i="4"/>
  <c r="J160" i="4"/>
  <c r="J156" i="4"/>
  <c r="Q57" i="11"/>
  <c r="M57" i="11"/>
  <c r="U122" i="4"/>
  <c r="Q122" i="4"/>
  <c r="M122" i="4"/>
  <c r="J420" i="4"/>
  <c r="J159" i="4"/>
  <c r="O124" i="4"/>
  <c r="AY120" i="4"/>
  <c r="AR53" i="11"/>
  <c r="M75" i="9"/>
  <c r="AU120" i="4"/>
  <c r="I9" i="9"/>
  <c r="E9" i="9"/>
  <c r="J417" i="4"/>
  <c r="U89" i="4"/>
  <c r="M89" i="4"/>
  <c r="W66" i="4"/>
  <c r="S66" i="4"/>
  <c r="O66" i="4"/>
  <c r="S55" i="11"/>
  <c r="O55" i="11"/>
  <c r="IU8" i="7"/>
  <c r="IU9" i="7" s="1"/>
  <c r="IU12" i="7"/>
  <c r="JG6" i="7"/>
  <c r="JS6" i="7" s="1"/>
  <c r="IT12" i="7"/>
  <c r="IT9" i="7"/>
  <c r="JF6" i="7"/>
  <c r="JR6" i="7" s="1"/>
  <c r="IK2" i="7"/>
  <c r="JT6" i="7" l="1"/>
  <c r="JT8" i="7" s="1"/>
  <c r="U88" i="9"/>
  <c r="T99" i="9"/>
  <c r="U82" i="9"/>
  <c r="V82" i="9" s="1"/>
  <c r="S182" i="9"/>
  <c r="U99" i="9"/>
  <c r="AD19" i="7"/>
  <c r="T57" i="9"/>
  <c r="AB19" i="7"/>
  <c r="BD87" i="4"/>
  <c r="BF87" i="4"/>
  <c r="U87" i="9"/>
  <c r="V87" i="9" s="1"/>
  <c r="U83" i="9"/>
  <c r="V83" i="9" s="1"/>
  <c r="JH8" i="7"/>
  <c r="JH9" i="7" s="1"/>
  <c r="BD9" i="7" s="1"/>
  <c r="T181" i="9"/>
  <c r="T186" i="9"/>
  <c r="S191" i="9"/>
  <c r="T183" i="9"/>
  <c r="S180" i="9"/>
  <c r="S79" i="9"/>
  <c r="T79" i="9" s="1"/>
  <c r="U81" i="9"/>
  <c r="U84" i="9"/>
  <c r="V84" i="9" s="1"/>
  <c r="V88" i="9"/>
  <c r="T185" i="9"/>
  <c r="R193" i="9"/>
  <c r="J62" i="9"/>
  <c r="AC11" i="7"/>
  <c r="S78" i="9"/>
  <c r="T78" i="9" s="1"/>
  <c r="V81" i="9"/>
  <c r="S101" i="9"/>
  <c r="T96" i="9"/>
  <c r="U96" i="9" s="1"/>
  <c r="S94" i="9"/>
  <c r="AA6" i="7"/>
  <c r="J98" i="12"/>
  <c r="J118" i="12" s="1"/>
  <c r="M283" i="4"/>
  <c r="O283" i="4"/>
  <c r="U23" i="9"/>
  <c r="V23" i="9"/>
  <c r="T19" i="9"/>
  <c r="V19" i="9"/>
  <c r="R57" i="9"/>
  <c r="JH12" i="7"/>
  <c r="BA89" i="4"/>
  <c r="AU111" i="4"/>
  <c r="AU113" i="4" s="1"/>
  <c r="U283" i="4"/>
  <c r="JR8" i="7"/>
  <c r="JR12" i="7"/>
  <c r="JS12" i="7"/>
  <c r="JS8" i="7"/>
  <c r="JB12" i="7"/>
  <c r="JN6" i="7"/>
  <c r="JP12" i="7"/>
  <c r="JQ12" i="7"/>
  <c r="JQ8" i="7"/>
  <c r="JT12" i="7"/>
  <c r="BA75" i="9"/>
  <c r="S129" i="4"/>
  <c r="Y252" i="4"/>
  <c r="Q33" i="9"/>
  <c r="T62" i="11"/>
  <c r="R62" i="11"/>
  <c r="Y266" i="4"/>
  <c r="T283" i="4"/>
  <c r="T236" i="4"/>
  <c r="K125" i="4"/>
  <c r="L236" i="4"/>
  <c r="Q283" i="4"/>
  <c r="G98" i="12"/>
  <c r="G118" i="12" s="1"/>
  <c r="P283" i="4"/>
  <c r="Y282" i="4"/>
  <c r="Y281" i="4" s="1"/>
  <c r="U236" i="4"/>
  <c r="JB8" i="7"/>
  <c r="JB9" i="7" s="1"/>
  <c r="AH9" i="7"/>
  <c r="BA22" i="7"/>
  <c r="AT57" i="11"/>
  <c r="AY113" i="4"/>
  <c r="AY116" i="4" s="1"/>
  <c r="AJ145" i="11"/>
  <c r="Z8" i="7"/>
  <c r="Y257" i="4"/>
  <c r="L283" i="4"/>
  <c r="M236" i="4"/>
  <c r="N283" i="4"/>
  <c r="Y254" i="4"/>
  <c r="Z13" i="7"/>
  <c r="Y255" i="4"/>
  <c r="S62" i="11"/>
  <c r="P236" i="4"/>
  <c r="AC19" i="7"/>
  <c r="R129" i="4"/>
  <c r="AJ147" i="11"/>
  <c r="AJ129" i="11"/>
  <c r="O236" i="4"/>
  <c r="AA12" i="7"/>
  <c r="AM12" i="7"/>
  <c r="AQ13" i="7"/>
  <c r="AA10" i="7"/>
  <c r="AL6" i="7"/>
  <c r="AP13" i="7"/>
  <c r="O13" i="7"/>
  <c r="AO13" i="7"/>
  <c r="Y13" i="7"/>
  <c r="Y9" i="7"/>
  <c r="N13" i="7"/>
  <c r="Y247" i="4"/>
  <c r="X93" i="4"/>
  <c r="X124" i="4" s="1"/>
  <c r="BA124" i="4"/>
  <c r="J284" i="11" s="1"/>
  <c r="BA105" i="4"/>
  <c r="BA100" i="4" s="1"/>
  <c r="AN58" i="11"/>
  <c r="K236" i="4"/>
  <c r="S236" i="4"/>
  <c r="J236" i="4"/>
  <c r="BC8" i="7"/>
  <c r="BD6" i="7"/>
  <c r="X264" i="4"/>
  <c r="X256" i="4" s="1"/>
  <c r="Z277" i="4"/>
  <c r="AT75" i="11"/>
  <c r="AQ12" i="4"/>
  <c r="AJ134" i="11"/>
  <c r="AJ133" i="11"/>
  <c r="AJ128" i="11"/>
  <c r="Q236" i="4"/>
  <c r="AQ82" i="4"/>
  <c r="AQ166" i="4" s="1"/>
  <c r="AN147" i="11"/>
  <c r="R236" i="4"/>
  <c r="AJ139" i="11"/>
  <c r="AJ137" i="11"/>
  <c r="AJ125" i="11"/>
  <c r="AJ146" i="11"/>
  <c r="AJ126" i="11"/>
  <c r="AJ143" i="11"/>
  <c r="AJ131" i="11"/>
  <c r="AJ142" i="11"/>
  <c r="AJ124" i="11"/>
  <c r="J118" i="9"/>
  <c r="X110" i="4"/>
  <c r="X141" i="4" s="1"/>
  <c r="BA141" i="4"/>
  <c r="J298" i="11" s="1"/>
  <c r="X273" i="4"/>
  <c r="R94" i="4"/>
  <c r="R58" i="11" s="1"/>
  <c r="AO58" i="11"/>
  <c r="W283" i="4"/>
  <c r="AU125" i="4"/>
  <c r="AV125" i="4"/>
  <c r="N236" i="4"/>
  <c r="S94" i="4"/>
  <c r="T125" i="4" s="1"/>
  <c r="V283" i="4"/>
  <c r="AJ141" i="11"/>
  <c r="AJ123" i="11"/>
  <c r="AJ148" i="11"/>
  <c r="AJ135" i="11"/>
  <c r="AJ122" i="11"/>
  <c r="AJ136" i="11"/>
  <c r="AJ121" i="11"/>
  <c r="AJ127" i="11"/>
  <c r="AJ140" i="11"/>
  <c r="AJ130" i="11"/>
  <c r="AU12" i="4"/>
  <c r="BA112" i="4"/>
  <c r="AA19" i="7"/>
  <c r="X280" i="4"/>
  <c r="X278" i="4" s="1"/>
  <c r="Y274" i="4"/>
  <c r="BB91" i="4"/>
  <c r="Y261" i="4"/>
  <c r="Q17" i="9"/>
  <c r="BC253" i="4" s="1"/>
  <c r="BC97" i="4" s="1"/>
  <c r="Y275" i="4"/>
  <c r="BA95" i="4"/>
  <c r="M51" i="9"/>
  <c r="Q15" i="9"/>
  <c r="X245" i="4"/>
  <c r="AR147" i="11"/>
  <c r="AY12" i="4"/>
  <c r="AY82" i="4"/>
  <c r="X251" i="4"/>
  <c r="X250" i="4" s="1"/>
  <c r="AR145" i="11"/>
  <c r="F103" i="12"/>
  <c r="F98" i="12"/>
  <c r="F118" i="12" s="1"/>
  <c r="Q77" i="4"/>
  <c r="H103" i="12"/>
  <c r="H98" i="12"/>
  <c r="H118" i="12" s="1"/>
  <c r="X96" i="4"/>
  <c r="X127" i="4" s="1"/>
  <c r="BA127" i="4"/>
  <c r="J286" i="11" s="1"/>
  <c r="AT60" i="11"/>
  <c r="JE12" i="7"/>
  <c r="JE8" i="7"/>
  <c r="JE9" i="7" s="1"/>
  <c r="AN145" i="11"/>
  <c r="BA9" i="9"/>
  <c r="BA99" i="4"/>
  <c r="X268" i="4"/>
  <c r="T42" i="9"/>
  <c r="R283" i="4"/>
  <c r="JD12" i="7"/>
  <c r="Q57" i="9"/>
  <c r="BC87" i="4"/>
  <c r="E98" i="12"/>
  <c r="E118" i="12" s="1"/>
  <c r="E103" i="12"/>
  <c r="Z11" i="7"/>
  <c r="Y11" i="7"/>
  <c r="I98" i="12"/>
  <c r="I118" i="12" s="1"/>
  <c r="I103" i="12"/>
  <c r="BA122" i="4"/>
  <c r="X91" i="4"/>
  <c r="X122" i="4" s="1"/>
  <c r="AT55" i="11"/>
  <c r="AT65" i="11"/>
  <c r="BA132" i="4"/>
  <c r="J289" i="11" s="1"/>
  <c r="X101" i="4"/>
  <c r="X132" i="4" s="1"/>
  <c r="AN127" i="11"/>
  <c r="AN128" i="11"/>
  <c r="AN129" i="11"/>
  <c r="AN131" i="11"/>
  <c r="AN121" i="11"/>
  <c r="AN123" i="11"/>
  <c r="AN125" i="11"/>
  <c r="AN134" i="11"/>
  <c r="AN136" i="11"/>
  <c r="AN139" i="11"/>
  <c r="AN141" i="11"/>
  <c r="AN143" i="11"/>
  <c r="AN132" i="11"/>
  <c r="AN122" i="11"/>
  <c r="AN124" i="11"/>
  <c r="AN126" i="11"/>
  <c r="AN130" i="11"/>
  <c r="AN133" i="11"/>
  <c r="AN135" i="11"/>
  <c r="AN137" i="11"/>
  <c r="AN140" i="11"/>
  <c r="AN142" i="11"/>
  <c r="AN146" i="11"/>
  <c r="AN148" i="11"/>
  <c r="BA123" i="4"/>
  <c r="X92" i="4"/>
  <c r="X123" i="4" s="1"/>
  <c r="AT56" i="11"/>
  <c r="AT72" i="11"/>
  <c r="X107" i="4"/>
  <c r="X138" i="4" s="1"/>
  <c r="BA138" i="4"/>
  <c r="J295" i="11" s="1"/>
  <c r="BA140" i="4"/>
  <c r="J296" i="11" s="1"/>
  <c r="X109" i="4"/>
  <c r="X140" i="4" s="1"/>
  <c r="AT74" i="11"/>
  <c r="AR132" i="11"/>
  <c r="AR122" i="11"/>
  <c r="AR124" i="11"/>
  <c r="AR126" i="11"/>
  <c r="AR130" i="11"/>
  <c r="AR133" i="11"/>
  <c r="AR135" i="11"/>
  <c r="AR137" i="11"/>
  <c r="AR140" i="11"/>
  <c r="AR142" i="11"/>
  <c r="AR146" i="11"/>
  <c r="AR148" i="11"/>
  <c r="AR127" i="11"/>
  <c r="AR128" i="11"/>
  <c r="AR129" i="11"/>
  <c r="AR131" i="11"/>
  <c r="AR121" i="11"/>
  <c r="AR123" i="11"/>
  <c r="AR125" i="11"/>
  <c r="AR134" i="11"/>
  <c r="AR136" i="11"/>
  <c r="AR139" i="11"/>
  <c r="AR141" i="11"/>
  <c r="AR143" i="11"/>
  <c r="K117" i="9"/>
  <c r="P35" i="9"/>
  <c r="BA121" i="4"/>
  <c r="X90" i="4"/>
  <c r="X121" i="4" s="1"/>
  <c r="AT54" i="11"/>
  <c r="AT67" i="11"/>
  <c r="BA134" i="4"/>
  <c r="J291" i="11" s="1"/>
  <c r="X103" i="4"/>
  <c r="X134" i="4" s="1"/>
  <c r="AT66" i="11"/>
  <c r="X102" i="4"/>
  <c r="X133" i="4" s="1"/>
  <c r="BA133" i="4"/>
  <c r="J290" i="11" s="1"/>
  <c r="BA145" i="4"/>
  <c r="X114" i="4"/>
  <c r="X145" i="4" s="1"/>
  <c r="AT80" i="11"/>
  <c r="M53" i="11"/>
  <c r="M120" i="4"/>
  <c r="Q44" i="9"/>
  <c r="O53" i="11"/>
  <c r="O120" i="4"/>
  <c r="P53" i="11"/>
  <c r="P120" i="4"/>
  <c r="AM77" i="11"/>
  <c r="AT142" i="4"/>
  <c r="AT113" i="4"/>
  <c r="S53" i="11"/>
  <c r="S120" i="4"/>
  <c r="T53" i="11"/>
  <c r="T120" i="4"/>
  <c r="AS77" i="11"/>
  <c r="AZ142" i="4"/>
  <c r="AZ113" i="4"/>
  <c r="AN372" i="4"/>
  <c r="AN79" i="4"/>
  <c r="AG145" i="11" s="1"/>
  <c r="L77" i="4"/>
  <c r="K77" i="4"/>
  <c r="AR372" i="4"/>
  <c r="AR79" i="4"/>
  <c r="AK145" i="11" s="1"/>
  <c r="P77" i="4"/>
  <c r="O77" i="4"/>
  <c r="AV372" i="4"/>
  <c r="AV79" i="4"/>
  <c r="AO145" i="11" s="1"/>
  <c r="T77" i="4"/>
  <c r="S77" i="4"/>
  <c r="AL147" i="11"/>
  <c r="AS82" i="4"/>
  <c r="AS12" i="4"/>
  <c r="AL122" i="11"/>
  <c r="AL126" i="11"/>
  <c r="AL127" i="11"/>
  <c r="AL128" i="11"/>
  <c r="AL129" i="11"/>
  <c r="AL130" i="11"/>
  <c r="AL131" i="11"/>
  <c r="AL121" i="11"/>
  <c r="AL125" i="11"/>
  <c r="AL143" i="11"/>
  <c r="AL146" i="11"/>
  <c r="AL124" i="11"/>
  <c r="AL123" i="11"/>
  <c r="AL132" i="11"/>
  <c r="AL133" i="11"/>
  <c r="AL134" i="11"/>
  <c r="AL135" i="11"/>
  <c r="AL136" i="11"/>
  <c r="AL137" i="11"/>
  <c r="AL139" i="11"/>
  <c r="AL140" i="11"/>
  <c r="AL141" i="11"/>
  <c r="AL142" i="11"/>
  <c r="AL148" i="11"/>
  <c r="V58" i="11"/>
  <c r="V125" i="4"/>
  <c r="W125" i="4"/>
  <c r="N64" i="11"/>
  <c r="N131" i="4"/>
  <c r="O64" i="11"/>
  <c r="O131" i="4"/>
  <c r="AT62" i="11"/>
  <c r="BA129" i="4"/>
  <c r="X98" i="4"/>
  <c r="BB97" i="4"/>
  <c r="M83" i="4"/>
  <c r="L83" i="4"/>
  <c r="Q83" i="4"/>
  <c r="P83" i="4"/>
  <c r="U83" i="4"/>
  <c r="T83" i="4"/>
  <c r="AH77" i="11"/>
  <c r="AO142" i="4"/>
  <c r="AO113" i="4"/>
  <c r="AO18" i="7" s="1"/>
  <c r="M111" i="4"/>
  <c r="K53" i="11"/>
  <c r="K120" i="4"/>
  <c r="L53" i="11"/>
  <c r="L120" i="4"/>
  <c r="N53" i="11"/>
  <c r="N120" i="4"/>
  <c r="V53" i="11"/>
  <c r="V120" i="4"/>
  <c r="AP372" i="4"/>
  <c r="AP79" i="4"/>
  <c r="AI145" i="11" s="1"/>
  <c r="N77" i="4"/>
  <c r="AQ372" i="4"/>
  <c r="AT372" i="4"/>
  <c r="AT79" i="4"/>
  <c r="AM145" i="11" s="1"/>
  <c r="R77" i="4"/>
  <c r="AU372" i="4"/>
  <c r="AX372" i="4"/>
  <c r="AX79" i="4"/>
  <c r="AQ145" i="11" s="1"/>
  <c r="V77" i="4"/>
  <c r="AY372" i="4"/>
  <c r="AP147" i="11"/>
  <c r="AW82" i="4"/>
  <c r="AW12" i="4"/>
  <c r="AP122" i="11"/>
  <c r="AP126" i="11"/>
  <c r="AP127" i="11"/>
  <c r="AP128" i="11"/>
  <c r="AP129" i="11"/>
  <c r="AP130" i="11"/>
  <c r="AP131" i="11"/>
  <c r="AP121" i="11"/>
  <c r="AP125" i="11"/>
  <c r="AP132" i="11"/>
  <c r="AP143" i="11"/>
  <c r="AP146" i="11"/>
  <c r="AP124" i="11"/>
  <c r="AP123" i="11"/>
  <c r="AP133" i="11"/>
  <c r="AP134" i="11"/>
  <c r="AP135" i="11"/>
  <c r="AP136" i="11"/>
  <c r="AP137" i="11"/>
  <c r="AP139" i="11"/>
  <c r="AP140" i="11"/>
  <c r="AP141" i="11"/>
  <c r="AP142" i="11"/>
  <c r="AP148" i="11"/>
  <c r="M58" i="11"/>
  <c r="M125" i="4"/>
  <c r="Q58" i="11"/>
  <c r="Q125" i="4"/>
  <c r="L64" i="11"/>
  <c r="L131" i="4"/>
  <c r="P64" i="11"/>
  <c r="P131" i="4"/>
  <c r="U64" i="11"/>
  <c r="U131" i="4"/>
  <c r="AT68" i="11"/>
  <c r="BA135" i="4"/>
  <c r="J292" i="11" s="1"/>
  <c r="X104" i="4"/>
  <c r="BC260" i="4"/>
  <c r="BB104" i="4"/>
  <c r="AQ237" i="4"/>
  <c r="M77" i="4"/>
  <c r="AO372" i="4"/>
  <c r="R44" i="9"/>
  <c r="Q53" i="11"/>
  <c r="AJ77" i="11"/>
  <c r="AQ142" i="4"/>
  <c r="AQ113" i="4"/>
  <c r="O111" i="4"/>
  <c r="U53" i="11"/>
  <c r="U120" i="4"/>
  <c r="AP77" i="11"/>
  <c r="AW142" i="4"/>
  <c r="AW113" i="4"/>
  <c r="U111" i="4"/>
  <c r="AK77" i="11"/>
  <c r="AR142" i="4"/>
  <c r="AR113" i="4"/>
  <c r="P111" i="4"/>
  <c r="R53" i="11"/>
  <c r="R120" i="4"/>
  <c r="AO77" i="11"/>
  <c r="AV113" i="4"/>
  <c r="T111" i="4"/>
  <c r="W120" i="4"/>
  <c r="J117" i="9"/>
  <c r="J51" i="9"/>
  <c r="AZ372" i="4"/>
  <c r="AZ79" i="4"/>
  <c r="AS145" i="11" s="1"/>
  <c r="W77" i="4"/>
  <c r="N58" i="11"/>
  <c r="N125" i="4"/>
  <c r="O58" i="11"/>
  <c r="O125" i="4"/>
  <c r="R64" i="11"/>
  <c r="R131" i="4"/>
  <c r="S64" i="11"/>
  <c r="S131" i="4"/>
  <c r="V64" i="11"/>
  <c r="V131" i="4"/>
  <c r="W131" i="4"/>
  <c r="AT71" i="11"/>
  <c r="BA137" i="4"/>
  <c r="J294" i="11" s="1"/>
  <c r="X106" i="4"/>
  <c r="AT61" i="11"/>
  <c r="BA128" i="4"/>
  <c r="J287" i="11" s="1"/>
  <c r="X97" i="4"/>
  <c r="AP237" i="4"/>
  <c r="AL77" i="11"/>
  <c r="AS142" i="4"/>
  <c r="AS113" i="4"/>
  <c r="AS18" i="7" s="1"/>
  <c r="Q111" i="4"/>
  <c r="Q47" i="9"/>
  <c r="AN150" i="11"/>
  <c r="AU182" i="4"/>
  <c r="AU84" i="4"/>
  <c r="AU166" i="4"/>
  <c r="AU156" i="4"/>
  <c r="AU160" i="4"/>
  <c r="AU161" i="4"/>
  <c r="AU162" i="4"/>
  <c r="AU155" i="4"/>
  <c r="AU159" i="4"/>
  <c r="AU167" i="4"/>
  <c r="AU168" i="4"/>
  <c r="AU169" i="4"/>
  <c r="AU170" i="4"/>
  <c r="AU171" i="4"/>
  <c r="AU172" i="4"/>
  <c r="AU173" i="4"/>
  <c r="AU174" i="4"/>
  <c r="AU175" i="4"/>
  <c r="AU176" i="4"/>
  <c r="AU178" i="4"/>
  <c r="AU177" i="4"/>
  <c r="AU158" i="4"/>
  <c r="AU163" i="4"/>
  <c r="AU164" i="4"/>
  <c r="AU165" i="4"/>
  <c r="AU157" i="4"/>
  <c r="AU180" i="4"/>
  <c r="AG77" i="11"/>
  <c r="AN142" i="4"/>
  <c r="AN113" i="4"/>
  <c r="L111" i="4"/>
  <c r="K111" i="4"/>
  <c r="AI77" i="11"/>
  <c r="AP142" i="4"/>
  <c r="AP113" i="4"/>
  <c r="N111" i="4"/>
  <c r="AQ77" i="11"/>
  <c r="AX142" i="4"/>
  <c r="AX113" i="4"/>
  <c r="V111" i="4"/>
  <c r="L117" i="9"/>
  <c r="L51" i="9"/>
  <c r="AH147" i="11"/>
  <c r="AO82" i="4"/>
  <c r="AO12" i="4"/>
  <c r="AH122" i="11"/>
  <c r="AH126" i="11"/>
  <c r="AH127" i="11"/>
  <c r="AH128" i="11"/>
  <c r="AH129" i="11"/>
  <c r="AH130" i="11"/>
  <c r="AH131" i="11"/>
  <c r="AH121" i="11"/>
  <c r="AH125" i="11"/>
  <c r="AH132" i="11"/>
  <c r="AH143" i="11"/>
  <c r="AH146" i="11"/>
  <c r="AH124" i="11"/>
  <c r="AH123" i="11"/>
  <c r="AH133" i="11"/>
  <c r="AH134" i="11"/>
  <c r="AH135" i="11"/>
  <c r="AH136" i="11"/>
  <c r="AH137" i="11"/>
  <c r="AH139" i="11"/>
  <c r="AH140" i="11"/>
  <c r="AH141" i="11"/>
  <c r="AH142" i="11"/>
  <c r="AH148" i="11"/>
  <c r="J48" i="11"/>
  <c r="J45" i="11"/>
  <c r="J44" i="11"/>
  <c r="J36" i="11"/>
  <c r="J7" i="11"/>
  <c r="J32" i="11"/>
  <c r="J20" i="11"/>
  <c r="J23" i="11"/>
  <c r="L58" i="11"/>
  <c r="L125" i="4"/>
  <c r="P58" i="11"/>
  <c r="P125" i="4"/>
  <c r="U58" i="11"/>
  <c r="U125" i="4"/>
  <c r="M64" i="11"/>
  <c r="M131" i="4"/>
  <c r="Q64" i="11"/>
  <c r="Q131" i="4"/>
  <c r="T64" i="11"/>
  <c r="T131" i="4"/>
  <c r="Q19" i="9"/>
  <c r="BC261" i="4"/>
  <c r="BB105" i="4"/>
  <c r="AT73" i="11"/>
  <c r="BA139" i="4"/>
  <c r="J297" i="11" s="1"/>
  <c r="X108" i="4"/>
  <c r="K83" i="4"/>
  <c r="J83" i="4"/>
  <c r="O83" i="4"/>
  <c r="N83" i="4"/>
  <c r="S83" i="4"/>
  <c r="R83" i="4"/>
  <c r="W83" i="4"/>
  <c r="V83" i="4"/>
  <c r="AU75" i="11"/>
  <c r="BB141" i="4"/>
  <c r="Y110" i="4"/>
  <c r="J52" i="9"/>
  <c r="K51" i="9"/>
  <c r="AS372" i="4"/>
  <c r="AL145" i="11"/>
  <c r="Y253" i="4"/>
  <c r="AU179" i="4"/>
  <c r="M117" i="9"/>
  <c r="U77" i="4"/>
  <c r="AW372" i="4"/>
  <c r="AP145" i="11"/>
  <c r="Y260" i="4"/>
  <c r="Q120" i="4"/>
  <c r="W111" i="4"/>
  <c r="AY142" i="4"/>
  <c r="AR77" i="11"/>
  <c r="IL2" i="7"/>
  <c r="IK9" i="7"/>
  <c r="IW6" i="7"/>
  <c r="JG8" i="7"/>
  <c r="JG9" i="7" s="1"/>
  <c r="JG12" i="7"/>
  <c r="JF12" i="7"/>
  <c r="JF8" i="7"/>
  <c r="JF9" i="7" s="1"/>
  <c r="AA9" i="7" l="1"/>
  <c r="AA8" i="7" s="1"/>
  <c r="KF6" i="7"/>
  <c r="V99" i="9"/>
  <c r="V96" i="9"/>
  <c r="AB12" i="7"/>
  <c r="AB6" i="7"/>
  <c r="JT9" i="7"/>
  <c r="BE9" i="7" s="1"/>
  <c r="T191" i="9"/>
  <c r="U186" i="9"/>
  <c r="U181" i="9"/>
  <c r="U183" i="9"/>
  <c r="U188" i="9"/>
  <c r="U185" i="9"/>
  <c r="S193" i="9"/>
  <c r="V185" i="9"/>
  <c r="T180" i="9"/>
  <c r="T182" i="9"/>
  <c r="T94" i="9"/>
  <c r="U94" i="9" s="1"/>
  <c r="K52" i="9"/>
  <c r="I117" i="9"/>
  <c r="R117" i="9"/>
  <c r="T101" i="9"/>
  <c r="U101" i="9" s="1"/>
  <c r="V101" i="9" s="1"/>
  <c r="U78" i="9"/>
  <c r="V78" i="9" s="1"/>
  <c r="U95" i="9"/>
  <c r="V95" i="9" s="1"/>
  <c r="AY84" i="4"/>
  <c r="S111" i="4"/>
  <c r="S142" i="4" s="1"/>
  <c r="R111" i="4"/>
  <c r="Q31" i="9"/>
  <c r="BC266" i="4" s="1"/>
  <c r="BC110" i="4" s="1"/>
  <c r="AU142" i="4"/>
  <c r="AV142" i="4"/>
  <c r="AN77" i="11"/>
  <c r="AU116" i="4"/>
  <c r="AU443" i="4" s="1"/>
  <c r="AU18" i="7"/>
  <c r="Z9" i="7"/>
  <c r="S113" i="4"/>
  <c r="AU144" i="4"/>
  <c r="BB272" i="4"/>
  <c r="AN111" i="11"/>
  <c r="JS9" i="7"/>
  <c r="JQ9" i="7"/>
  <c r="JN8" i="7"/>
  <c r="JN9" i="7" s="1"/>
  <c r="JN12" i="7"/>
  <c r="JR9" i="7"/>
  <c r="BB96" i="4"/>
  <c r="R31" i="9"/>
  <c r="BB122" i="4"/>
  <c r="R45" i="9"/>
  <c r="Y276" i="4"/>
  <c r="Y273" i="4" s="1"/>
  <c r="AU55" i="11"/>
  <c r="Z276" i="4"/>
  <c r="BC12" i="7"/>
  <c r="BD12" i="7" s="1"/>
  <c r="BC255" i="4"/>
  <c r="AQ169" i="4"/>
  <c r="Z282" i="4"/>
  <c r="Z281" i="4" s="1"/>
  <c r="AN217" i="11"/>
  <c r="BB101" i="4"/>
  <c r="BB132" i="4" s="1"/>
  <c r="AY446" i="4"/>
  <c r="AY418" i="4"/>
  <c r="AY433" i="4"/>
  <c r="AY439" i="4"/>
  <c r="AY425" i="4"/>
  <c r="AY432" i="4"/>
  <c r="AY436" i="4"/>
  <c r="AY419" i="4"/>
  <c r="AY424" i="4"/>
  <c r="AY438" i="4"/>
  <c r="AY442" i="4"/>
  <c r="AY426" i="4"/>
  <c r="AY427" i="4"/>
  <c r="AY421" i="4"/>
  <c r="AY430" i="4"/>
  <c r="AY437" i="4"/>
  <c r="AY429" i="4"/>
  <c r="AY423" i="4"/>
  <c r="AY435" i="4"/>
  <c r="AY420" i="4"/>
  <c r="AY431" i="4"/>
  <c r="AY444" i="4"/>
  <c r="AY417" i="4"/>
  <c r="AY428" i="4"/>
  <c r="AY422" i="4"/>
  <c r="AY441" i="4"/>
  <c r="AQ178" i="4"/>
  <c r="AQ156" i="4"/>
  <c r="AT69" i="11"/>
  <c r="AY443" i="4"/>
  <c r="AQ157" i="4"/>
  <c r="AQ159" i="4"/>
  <c r="W113" i="4"/>
  <c r="AY18" i="7"/>
  <c r="AQ158" i="4"/>
  <c r="AO374" i="4"/>
  <c r="AQ174" i="4"/>
  <c r="AQ182" i="4"/>
  <c r="AQ87" i="7" s="1"/>
  <c r="R125" i="4"/>
  <c r="BA143" i="4"/>
  <c r="AQ155" i="4"/>
  <c r="AQ160" i="4"/>
  <c r="AQ173" i="4"/>
  <c r="AJ150" i="11"/>
  <c r="AQ165" i="4"/>
  <c r="AQ170" i="4"/>
  <c r="AR150" i="11"/>
  <c r="AN215" i="11"/>
  <c r="AH215" i="11"/>
  <c r="AH217" i="11"/>
  <c r="AP215" i="11"/>
  <c r="AL214" i="11"/>
  <c r="AL215" i="11"/>
  <c r="AR215" i="11"/>
  <c r="AN214" i="11"/>
  <c r="AJ215" i="11"/>
  <c r="AR214" i="11"/>
  <c r="AR216" i="11"/>
  <c r="AJ217" i="11"/>
  <c r="AJ216" i="11"/>
  <c r="AJ214" i="11"/>
  <c r="AP217" i="11"/>
  <c r="AL216" i="11"/>
  <c r="AP214" i="11"/>
  <c r="AR217" i="11"/>
  <c r="AP216" i="11"/>
  <c r="AN216" i="11"/>
  <c r="AH216" i="11"/>
  <c r="AL217" i="11"/>
  <c r="AH214" i="11"/>
  <c r="Q21" i="9"/>
  <c r="BC257" i="4" s="1"/>
  <c r="Z257" i="4" s="1"/>
  <c r="AK6" i="7"/>
  <c r="AC6" i="7"/>
  <c r="AB10" i="7"/>
  <c r="AL12" i="7"/>
  <c r="AC12" i="7"/>
  <c r="AT78" i="11"/>
  <c r="X272" i="4"/>
  <c r="Y279" i="4"/>
  <c r="Y280" i="4"/>
  <c r="X105" i="4"/>
  <c r="X136" i="4" s="1"/>
  <c r="BB95" i="4"/>
  <c r="BA126" i="4"/>
  <c r="J285" i="11" s="1"/>
  <c r="X267" i="4"/>
  <c r="X269" i="4" s="1"/>
  <c r="X244" i="4" s="1"/>
  <c r="BA136" i="4"/>
  <c r="J293" i="11" s="1"/>
  <c r="BB98" i="4"/>
  <c r="AQ179" i="4"/>
  <c r="AQ180" i="4"/>
  <c r="AQ163" i="4"/>
  <c r="AQ175" i="4"/>
  <c r="AQ171" i="4"/>
  <c r="AQ167" i="4"/>
  <c r="AQ161" i="4"/>
  <c r="AQ177" i="4"/>
  <c r="T58" i="11"/>
  <c r="Z279" i="4"/>
  <c r="AQ164" i="4"/>
  <c r="AQ176" i="4"/>
  <c r="AQ172" i="4"/>
  <c r="AQ168" i="4"/>
  <c r="AQ162" i="4"/>
  <c r="BC10" i="7"/>
  <c r="BD8" i="7"/>
  <c r="BE6" i="7"/>
  <c r="BC268" i="4"/>
  <c r="BC112" i="4" s="1"/>
  <c r="AA277" i="4"/>
  <c r="Y264" i="4"/>
  <c r="X112" i="4"/>
  <c r="X143" i="4" s="1"/>
  <c r="BB112" i="4"/>
  <c r="BB143" i="4" s="1"/>
  <c r="AB277" i="4"/>
  <c r="BB108" i="4"/>
  <c r="BC264" i="4"/>
  <c r="Y268" i="4"/>
  <c r="AY170" i="4"/>
  <c r="M79" i="4"/>
  <c r="M126" i="11" s="1"/>
  <c r="AT59" i="11"/>
  <c r="S125" i="4"/>
  <c r="Y91" i="4"/>
  <c r="Y122" i="4" s="1"/>
  <c r="BC251" i="4"/>
  <c r="S58" i="11"/>
  <c r="Y251" i="4"/>
  <c r="Y250" i="4" s="1"/>
  <c r="X95" i="4"/>
  <c r="X126" i="4" s="1"/>
  <c r="BA94" i="4"/>
  <c r="BA111" i="4" s="1"/>
  <c r="AY157" i="4"/>
  <c r="AY159" i="4"/>
  <c r="AY174" i="4"/>
  <c r="X99" i="4"/>
  <c r="X130" i="4" s="1"/>
  <c r="R40" i="9"/>
  <c r="R39" i="9"/>
  <c r="Z260" i="4"/>
  <c r="Y97" i="4"/>
  <c r="Y128" i="4" s="1"/>
  <c r="AT63" i="11"/>
  <c r="Y105" i="4"/>
  <c r="Z253" i="4"/>
  <c r="BB106" i="4"/>
  <c r="AY158" i="4"/>
  <c r="AY160" i="4"/>
  <c r="Y104" i="4"/>
  <c r="Y135" i="4" s="1"/>
  <c r="BB99" i="4"/>
  <c r="AU63" i="11" s="1"/>
  <c r="Q18" i="9"/>
  <c r="BC254" i="4" s="1"/>
  <c r="S45" i="9"/>
  <c r="R33" i="9"/>
  <c r="AN113" i="11"/>
  <c r="AY180" i="4"/>
  <c r="AY163" i="4"/>
  <c r="AY175" i="4"/>
  <c r="AY171" i="4"/>
  <c r="AY167" i="4"/>
  <c r="AY161" i="4"/>
  <c r="AY177" i="4"/>
  <c r="AY179" i="4"/>
  <c r="AN108" i="11"/>
  <c r="AY165" i="4"/>
  <c r="AY178" i="4"/>
  <c r="AY173" i="4"/>
  <c r="AY169" i="4"/>
  <c r="AY155" i="4"/>
  <c r="AY156" i="4"/>
  <c r="AY182" i="4"/>
  <c r="AY164" i="4"/>
  <c r="AY176" i="4"/>
  <c r="AY172" i="4"/>
  <c r="AY168" i="4"/>
  <c r="AY162" i="4"/>
  <c r="AY166" i="4"/>
  <c r="BA130" i="4"/>
  <c r="J288" i="11" s="1"/>
  <c r="U79" i="4"/>
  <c r="U122" i="11" s="1"/>
  <c r="AO111" i="11"/>
  <c r="AN109" i="11"/>
  <c r="AN93" i="11"/>
  <c r="AN90" i="11"/>
  <c r="AN105" i="11"/>
  <c r="AW374" i="4"/>
  <c r="AP111" i="11"/>
  <c r="AN102" i="11"/>
  <c r="AN101" i="11"/>
  <c r="AN89" i="11"/>
  <c r="AN96" i="11"/>
  <c r="AN99" i="11"/>
  <c r="AT53" i="11"/>
  <c r="BA120" i="4"/>
  <c r="J283" i="11" s="1"/>
  <c r="O75" i="9"/>
  <c r="O9" i="9"/>
  <c r="X89" i="4"/>
  <c r="X120" i="4" s="1"/>
  <c r="Q35" i="9"/>
  <c r="BC270" i="4" s="1"/>
  <c r="Y262" i="4"/>
  <c r="BB109" i="4"/>
  <c r="Y265" i="4"/>
  <c r="BB103" i="4"/>
  <c r="Y259" i="4"/>
  <c r="I51" i="9"/>
  <c r="AW18" i="7"/>
  <c r="BB102" i="4"/>
  <c r="Y258" i="4"/>
  <c r="BB114" i="4"/>
  <c r="Y270" i="4"/>
  <c r="BB107" i="4"/>
  <c r="Y263" i="4"/>
  <c r="Y248" i="4"/>
  <c r="BB92" i="4"/>
  <c r="Q27" i="9"/>
  <c r="BC262" i="4" s="1"/>
  <c r="Q30" i="9"/>
  <c r="BC265" i="4" s="1"/>
  <c r="Q23" i="9"/>
  <c r="BC259" i="4" s="1"/>
  <c r="AM111" i="11"/>
  <c r="W142" i="4"/>
  <c r="BD261" i="4"/>
  <c r="BC105" i="4"/>
  <c r="R47" i="9"/>
  <c r="S47" i="9"/>
  <c r="X139" i="4"/>
  <c r="AQ113" i="11"/>
  <c r="AQ79" i="11"/>
  <c r="AX144" i="4"/>
  <c r="AX116" i="4"/>
  <c r="AR178" i="11" s="1"/>
  <c r="V113" i="4"/>
  <c r="AQ88" i="11"/>
  <c r="AQ96" i="11"/>
  <c r="AQ102" i="11"/>
  <c r="AQ112" i="11"/>
  <c r="AQ114" i="11"/>
  <c r="AQ89" i="11"/>
  <c r="AQ93" i="11"/>
  <c r="AQ99" i="11"/>
  <c r="AQ106" i="11"/>
  <c r="AQ108" i="11"/>
  <c r="AQ90" i="11"/>
  <c r="AQ94" i="11"/>
  <c r="AQ100" i="11"/>
  <c r="AQ105" i="11"/>
  <c r="AQ107" i="11"/>
  <c r="AQ109" i="11"/>
  <c r="AQ91" i="11"/>
  <c r="AQ95" i="11"/>
  <c r="AQ97" i="11"/>
  <c r="AQ101" i="11"/>
  <c r="AQ103" i="11"/>
  <c r="AQ98" i="11"/>
  <c r="AR87" i="11"/>
  <c r="AR92" i="11"/>
  <c r="AQ92" i="11"/>
  <c r="AQ87" i="11"/>
  <c r="AR98" i="11"/>
  <c r="N77" i="11"/>
  <c r="N142" i="4"/>
  <c r="K77" i="11"/>
  <c r="K142" i="4"/>
  <c r="AG113" i="11"/>
  <c r="AG79" i="11"/>
  <c r="AN144" i="4"/>
  <c r="AN116" i="4"/>
  <c r="L113" i="4"/>
  <c r="K113" i="4"/>
  <c r="AG88" i="11"/>
  <c r="AG90" i="11"/>
  <c r="AG92" i="11"/>
  <c r="AG96" i="11"/>
  <c r="AG102" i="11"/>
  <c r="AG112" i="11"/>
  <c r="AG91" i="11"/>
  <c r="AG95" i="11"/>
  <c r="AG97" i="11"/>
  <c r="AG101" i="11"/>
  <c r="AG103" i="11"/>
  <c r="AG108" i="11"/>
  <c r="AG94" i="11"/>
  <c r="AG98" i="11"/>
  <c r="AG100" i="11"/>
  <c r="AG105" i="11"/>
  <c r="AG107" i="11"/>
  <c r="AG109" i="11"/>
  <c r="AG114" i="11"/>
  <c r="AG89" i="11"/>
  <c r="AG93" i="11"/>
  <c r="AG99" i="11"/>
  <c r="AG106" i="11"/>
  <c r="AG87" i="11"/>
  <c r="Q77" i="11"/>
  <c r="Q142" i="4"/>
  <c r="AO113" i="11"/>
  <c r="AO79" i="11"/>
  <c r="AV144" i="4"/>
  <c r="AV116" i="4"/>
  <c r="T113" i="4"/>
  <c r="T111" i="11" s="1"/>
  <c r="AO88" i="11"/>
  <c r="AO90" i="11"/>
  <c r="AO96" i="11"/>
  <c r="AO102" i="11"/>
  <c r="AO112" i="11"/>
  <c r="AO91" i="11"/>
  <c r="AO95" i="11"/>
  <c r="AO97" i="11"/>
  <c r="AO101" i="11"/>
  <c r="AO103" i="11"/>
  <c r="AO108" i="11"/>
  <c r="AO94" i="11"/>
  <c r="AO100" i="11"/>
  <c r="AO105" i="11"/>
  <c r="AO107" i="11"/>
  <c r="AO109" i="11"/>
  <c r="AO114" i="11"/>
  <c r="AO89" i="11"/>
  <c r="AO93" i="11"/>
  <c r="AO99" i="11"/>
  <c r="AO106" i="11"/>
  <c r="AO98" i="11"/>
  <c r="AO87" i="11"/>
  <c r="AO92" i="11"/>
  <c r="AK113" i="11"/>
  <c r="AK79" i="11"/>
  <c r="AR144" i="4"/>
  <c r="AR116" i="4"/>
  <c r="P113" i="4"/>
  <c r="AK94" i="11"/>
  <c r="AK100" i="11"/>
  <c r="AK105" i="11"/>
  <c r="AK107" i="11"/>
  <c r="AK109" i="11"/>
  <c r="AK114" i="11"/>
  <c r="AK89" i="11"/>
  <c r="AK93" i="11"/>
  <c r="AK99" i="11"/>
  <c r="AK106" i="11"/>
  <c r="AK88" i="11"/>
  <c r="AK90" i="11"/>
  <c r="AK96" i="11"/>
  <c r="AK102" i="11"/>
  <c r="AK112" i="11"/>
  <c r="AK91" i="11"/>
  <c r="AK95" i="11"/>
  <c r="AK97" i="11"/>
  <c r="AK101" i="11"/>
  <c r="AK103" i="11"/>
  <c r="AK108" i="11"/>
  <c r="AK92" i="11"/>
  <c r="AK98" i="11"/>
  <c r="AK87" i="11"/>
  <c r="AP113" i="11"/>
  <c r="AP79" i="11"/>
  <c r="AW144" i="4"/>
  <c r="AW116" i="4"/>
  <c r="U113" i="4"/>
  <c r="AP89" i="11"/>
  <c r="AP91" i="11"/>
  <c r="AP95" i="11"/>
  <c r="AP99" i="11"/>
  <c r="AP106" i="11"/>
  <c r="AP108" i="11"/>
  <c r="AP90" i="11"/>
  <c r="AP94" i="11"/>
  <c r="AP102" i="11"/>
  <c r="AP107" i="11"/>
  <c r="AP87" i="11"/>
  <c r="AP93" i="11"/>
  <c r="AP97" i="11"/>
  <c r="AP101" i="11"/>
  <c r="AP103" i="11"/>
  <c r="AP88" i="11"/>
  <c r="AP96" i="11"/>
  <c r="AP100" i="11"/>
  <c r="AP105" i="11"/>
  <c r="AP109" i="11"/>
  <c r="AP112" i="11"/>
  <c r="AP114" i="11"/>
  <c r="AP98" i="11"/>
  <c r="AP92" i="11"/>
  <c r="AJ113" i="11"/>
  <c r="AJ79" i="11"/>
  <c r="AQ144" i="4"/>
  <c r="AQ116" i="4"/>
  <c r="O113" i="4"/>
  <c r="AJ95" i="11"/>
  <c r="AJ99" i="11"/>
  <c r="AJ106" i="11"/>
  <c r="AJ108" i="11"/>
  <c r="AJ88" i="11"/>
  <c r="AJ96" i="11"/>
  <c r="AJ100" i="11"/>
  <c r="AJ105" i="11"/>
  <c r="AJ114" i="11"/>
  <c r="AJ89" i="11"/>
  <c r="AJ91" i="11"/>
  <c r="AJ93" i="11"/>
  <c r="AJ97" i="11"/>
  <c r="AJ101" i="11"/>
  <c r="AJ103" i="11"/>
  <c r="AJ90" i="11"/>
  <c r="AJ94" i="11"/>
  <c r="AJ102" i="11"/>
  <c r="AJ107" i="11"/>
  <c r="AJ109" i="11"/>
  <c r="AJ112" i="11"/>
  <c r="AJ98" i="11"/>
  <c r="AJ92" i="11"/>
  <c r="AQ18" i="7"/>
  <c r="AJ87" i="11"/>
  <c r="AU446" i="4"/>
  <c r="AU423" i="4"/>
  <c r="AU418" i="4"/>
  <c r="AU439" i="4"/>
  <c r="AU427" i="4"/>
  <c r="AU424" i="4"/>
  <c r="AU428" i="4"/>
  <c r="AU68" i="11"/>
  <c r="BB135" i="4"/>
  <c r="BD260" i="4"/>
  <c r="BC104" i="4"/>
  <c r="X135" i="4"/>
  <c r="AP150" i="11"/>
  <c r="AW182" i="4"/>
  <c r="AW84" i="4"/>
  <c r="AW158" i="4"/>
  <c r="AW157" i="4"/>
  <c r="AW167" i="4"/>
  <c r="AW168" i="4"/>
  <c r="AW169" i="4"/>
  <c r="AW170" i="4"/>
  <c r="AW171" i="4"/>
  <c r="AW172" i="4"/>
  <c r="AW173" i="4"/>
  <c r="AW174" i="4"/>
  <c r="AW175" i="4"/>
  <c r="AW180" i="4"/>
  <c r="AW156" i="4"/>
  <c r="AW160" i="4"/>
  <c r="AW161" i="4"/>
  <c r="AW162" i="4"/>
  <c r="AW163" i="4"/>
  <c r="AW164" i="4"/>
  <c r="AW165" i="4"/>
  <c r="AW155" i="4"/>
  <c r="AW159" i="4"/>
  <c r="AW166" i="4"/>
  <c r="AW176" i="4"/>
  <c r="AW178" i="4"/>
  <c r="AW177" i="4"/>
  <c r="AQ147" i="11"/>
  <c r="AX374" i="4"/>
  <c r="AX82" i="4"/>
  <c r="V79" i="4"/>
  <c r="V145" i="11" s="1"/>
  <c r="AX12" i="4"/>
  <c r="AX18" i="7"/>
  <c r="AQ125" i="11"/>
  <c r="AQ148" i="11"/>
  <c r="AQ124" i="11"/>
  <c r="AQ127" i="11"/>
  <c r="AQ130" i="11"/>
  <c r="AQ133" i="11"/>
  <c r="AQ135" i="11"/>
  <c r="AQ137" i="11"/>
  <c r="AQ140" i="11"/>
  <c r="AQ142" i="11"/>
  <c r="AQ123" i="11"/>
  <c r="AQ143" i="11"/>
  <c r="AQ146" i="11"/>
  <c r="AQ122" i="11"/>
  <c r="AQ126" i="11"/>
  <c r="AQ128" i="11"/>
  <c r="AQ129" i="11"/>
  <c r="AQ131" i="11"/>
  <c r="AQ134" i="11"/>
  <c r="AQ136" i="11"/>
  <c r="AQ139" i="11"/>
  <c r="AQ141" i="11"/>
  <c r="AQ121" i="11"/>
  <c r="AQ132" i="11"/>
  <c r="AY374" i="4"/>
  <c r="AM147" i="11"/>
  <c r="AT374" i="4"/>
  <c r="AT82" i="4"/>
  <c r="R79" i="4"/>
  <c r="R145" i="11" s="1"/>
  <c r="AT12" i="4"/>
  <c r="AT18" i="7"/>
  <c r="AM125" i="11"/>
  <c r="AM124" i="11"/>
  <c r="AM127" i="11"/>
  <c r="AM130" i="11"/>
  <c r="AM133" i="11"/>
  <c r="AM135" i="11"/>
  <c r="AM137" i="11"/>
  <c r="AM140" i="11"/>
  <c r="AM142" i="11"/>
  <c r="AM123" i="11"/>
  <c r="AM143" i="11"/>
  <c r="AM146" i="11"/>
  <c r="AM148" i="11"/>
  <c r="AM122" i="11"/>
  <c r="AM126" i="11"/>
  <c r="AM128" i="11"/>
  <c r="AM129" i="11"/>
  <c r="AM131" i="11"/>
  <c r="AM134" i="11"/>
  <c r="AM136" i="11"/>
  <c r="AM139" i="11"/>
  <c r="AM141" i="11"/>
  <c r="AM121" i="11"/>
  <c r="AM132" i="11"/>
  <c r="AU374" i="4"/>
  <c r="AI147" i="11"/>
  <c r="AP374" i="4"/>
  <c r="AP82" i="4"/>
  <c r="N79" i="4"/>
  <c r="N145" i="11" s="1"/>
  <c r="AP12" i="4"/>
  <c r="AP18" i="7"/>
  <c r="AI125" i="11"/>
  <c r="AI124" i="11"/>
  <c r="AI127" i="11"/>
  <c r="AI130" i="11"/>
  <c r="AI133" i="11"/>
  <c r="AI135" i="11"/>
  <c r="AI137" i="11"/>
  <c r="AI140" i="11"/>
  <c r="AI142" i="11"/>
  <c r="AI123" i="11"/>
  <c r="AI143" i="11"/>
  <c r="AI146" i="11"/>
  <c r="AI148" i="11"/>
  <c r="AI122" i="11"/>
  <c r="AI126" i="11"/>
  <c r="AI128" i="11"/>
  <c r="AI129" i="11"/>
  <c r="AI131" i="11"/>
  <c r="AI134" i="11"/>
  <c r="AI136" i="11"/>
  <c r="AI139" i="11"/>
  <c r="AI141" i="11"/>
  <c r="AI121" i="11"/>
  <c r="AI132" i="11"/>
  <c r="AQ374" i="4"/>
  <c r="AH113" i="11"/>
  <c r="AH79" i="11"/>
  <c r="AO144" i="4"/>
  <c r="AO116" i="4"/>
  <c r="AO20" i="7" s="1"/>
  <c r="M113" i="4"/>
  <c r="AH93" i="11"/>
  <c r="AH97" i="11"/>
  <c r="AH101" i="11"/>
  <c r="AH103" i="11"/>
  <c r="AH88" i="11"/>
  <c r="AH96" i="11"/>
  <c r="AH100" i="11"/>
  <c r="AH105" i="11"/>
  <c r="AH109" i="11"/>
  <c r="AH112" i="11"/>
  <c r="AH87" i="11"/>
  <c r="AH89" i="11"/>
  <c r="AH91" i="11"/>
  <c r="AH95" i="11"/>
  <c r="AH99" i="11"/>
  <c r="AH106" i="11"/>
  <c r="AH108" i="11"/>
  <c r="AH90" i="11"/>
  <c r="AH94" i="11"/>
  <c r="AH102" i="11"/>
  <c r="AH107" i="11"/>
  <c r="AH114" i="11"/>
  <c r="AH98" i="11"/>
  <c r="AH92" i="11"/>
  <c r="AS113" i="11"/>
  <c r="AS79" i="11"/>
  <c r="AZ144" i="4"/>
  <c r="AZ116" i="4"/>
  <c r="AS94" i="11"/>
  <c r="AS100" i="11"/>
  <c r="AS105" i="11"/>
  <c r="AS107" i="11"/>
  <c r="AS109" i="11"/>
  <c r="AS114" i="11"/>
  <c r="AS89" i="11"/>
  <c r="AS93" i="11"/>
  <c r="AS99" i="11"/>
  <c r="AS106" i="11"/>
  <c r="AS88" i="11"/>
  <c r="AS90" i="11"/>
  <c r="AS96" i="11"/>
  <c r="AS102" i="11"/>
  <c r="AS112" i="11"/>
  <c r="AS91" i="11"/>
  <c r="AS95" i="11"/>
  <c r="AS97" i="11"/>
  <c r="AS101" i="11"/>
  <c r="AS103" i="11"/>
  <c r="AS108" i="11"/>
  <c r="AS92" i="11"/>
  <c r="AS87" i="11"/>
  <c r="AS98" i="11"/>
  <c r="R142" i="4"/>
  <c r="Z275" i="4"/>
  <c r="Z261" i="4"/>
  <c r="K118" i="9"/>
  <c r="AQ111" i="11"/>
  <c r="AG111" i="11"/>
  <c r="AK111" i="11"/>
  <c r="AJ111" i="11"/>
  <c r="S44" i="9"/>
  <c r="AR112" i="11"/>
  <c r="AR107" i="11"/>
  <c r="AR94" i="11"/>
  <c r="AR103" i="11"/>
  <c r="AR97" i="11"/>
  <c r="AR91" i="11"/>
  <c r="AR114" i="11"/>
  <c r="AR100" i="11"/>
  <c r="AR88" i="11"/>
  <c r="AR106" i="11"/>
  <c r="AR95" i="11"/>
  <c r="AR113" i="11"/>
  <c r="AN112" i="11"/>
  <c r="AN107" i="11"/>
  <c r="AN94" i="11"/>
  <c r="AN103" i="11"/>
  <c r="AN97" i="11"/>
  <c r="AN91" i="11"/>
  <c r="AN114" i="11"/>
  <c r="AN100" i="11"/>
  <c r="AN88" i="11"/>
  <c r="AN106" i="11"/>
  <c r="AN95" i="11"/>
  <c r="AN79" i="11"/>
  <c r="AW179" i="4"/>
  <c r="AH111" i="11"/>
  <c r="Q79" i="4"/>
  <c r="AS374" i="4"/>
  <c r="AS111" i="11"/>
  <c r="Y141" i="4"/>
  <c r="AU69" i="11"/>
  <c r="BB136" i="4"/>
  <c r="AH150" i="11"/>
  <c r="AO182" i="4"/>
  <c r="AO87" i="7" s="1"/>
  <c r="AO158" i="4"/>
  <c r="AO157" i="4"/>
  <c r="AO167" i="4"/>
  <c r="AO168" i="4"/>
  <c r="AO169" i="4"/>
  <c r="AO170" i="4"/>
  <c r="AO171" i="4"/>
  <c r="AO172" i="4"/>
  <c r="AO173" i="4"/>
  <c r="AO174" i="4"/>
  <c r="AO175" i="4"/>
  <c r="AO180" i="4"/>
  <c r="AO156" i="4"/>
  <c r="AO160" i="4"/>
  <c r="AO161" i="4"/>
  <c r="AO162" i="4"/>
  <c r="AO163" i="4"/>
  <c r="AO164" i="4"/>
  <c r="AO165" i="4"/>
  <c r="AO155" i="4"/>
  <c r="AO159" i="4"/>
  <c r="AO166" i="4"/>
  <c r="AO176" i="4"/>
  <c r="AO178" i="4"/>
  <c r="AO177" i="4"/>
  <c r="V77" i="11"/>
  <c r="V142" i="4"/>
  <c r="AI113" i="11"/>
  <c r="AI79" i="11"/>
  <c r="AP144" i="4"/>
  <c r="AP116" i="4"/>
  <c r="N113" i="4"/>
  <c r="AI88" i="11"/>
  <c r="AI96" i="11"/>
  <c r="AI102" i="11"/>
  <c r="AI112" i="11"/>
  <c r="AI89" i="11"/>
  <c r="AI93" i="11"/>
  <c r="AI99" i="11"/>
  <c r="AI106" i="11"/>
  <c r="AI108" i="11"/>
  <c r="AI90" i="11"/>
  <c r="AI94" i="11"/>
  <c r="AI100" i="11"/>
  <c r="AI105" i="11"/>
  <c r="AI107" i="11"/>
  <c r="AI109" i="11"/>
  <c r="AI114" i="11"/>
  <c r="AI91" i="11"/>
  <c r="AI95" i="11"/>
  <c r="AI97" i="11"/>
  <c r="AI101" i="11"/>
  <c r="AI103" i="11"/>
  <c r="AI98" i="11"/>
  <c r="AI92" i="11"/>
  <c r="AI87" i="11"/>
  <c r="L77" i="11"/>
  <c r="L142" i="4"/>
  <c r="R21" i="9"/>
  <c r="AL113" i="11"/>
  <c r="AL79" i="11"/>
  <c r="AS144" i="4"/>
  <c r="AS116" i="4"/>
  <c r="Q113" i="4"/>
  <c r="AL93" i="11"/>
  <c r="AL97" i="11"/>
  <c r="AL101" i="11"/>
  <c r="AL103" i="11"/>
  <c r="AL88" i="11"/>
  <c r="AL96" i="11"/>
  <c r="AL100" i="11"/>
  <c r="AL105" i="11"/>
  <c r="AL109" i="11"/>
  <c r="AL112" i="11"/>
  <c r="AL87" i="11"/>
  <c r="AL89" i="11"/>
  <c r="AL91" i="11"/>
  <c r="AL95" i="11"/>
  <c r="AL99" i="11"/>
  <c r="AL106" i="11"/>
  <c r="AL108" i="11"/>
  <c r="AL90" i="11"/>
  <c r="AL94" i="11"/>
  <c r="AL102" i="11"/>
  <c r="AL107" i="11"/>
  <c r="AL114" i="11"/>
  <c r="AL98" i="11"/>
  <c r="AL92" i="11"/>
  <c r="X128" i="4"/>
  <c r="X137" i="4"/>
  <c r="AS147" i="11"/>
  <c r="AZ374" i="4"/>
  <c r="AZ82" i="4"/>
  <c r="AZ12" i="4"/>
  <c r="AZ18" i="7"/>
  <c r="AS123" i="11"/>
  <c r="AS143" i="11"/>
  <c r="AS122" i="11"/>
  <c r="AS126" i="11"/>
  <c r="AS129" i="11"/>
  <c r="AS131" i="11"/>
  <c r="AS134" i="11"/>
  <c r="AS136" i="11"/>
  <c r="AS139" i="11"/>
  <c r="AS141" i="11"/>
  <c r="AS125" i="11"/>
  <c r="AS146" i="11"/>
  <c r="AS148" i="11"/>
  <c r="AS124" i="11"/>
  <c r="AS127" i="11"/>
  <c r="AS128" i="11"/>
  <c r="AS130" i="11"/>
  <c r="AS133" i="11"/>
  <c r="AS135" i="11"/>
  <c r="AS137" i="11"/>
  <c r="AS140" i="11"/>
  <c r="AS142" i="11"/>
  <c r="W79" i="4"/>
  <c r="AS121" i="11"/>
  <c r="AS132" i="11"/>
  <c r="R51" i="9"/>
  <c r="T77" i="11"/>
  <c r="T142" i="4"/>
  <c r="P77" i="11"/>
  <c r="P142" i="4"/>
  <c r="U77" i="11"/>
  <c r="U142" i="4"/>
  <c r="O77" i="11"/>
  <c r="O142" i="4"/>
  <c r="AT64" i="11"/>
  <c r="BA131" i="4"/>
  <c r="X100" i="4"/>
  <c r="M77" i="11"/>
  <c r="M142" i="4"/>
  <c r="AU61" i="11"/>
  <c r="BB128" i="4"/>
  <c r="X129" i="4"/>
  <c r="AL150" i="11"/>
  <c r="AS182" i="4"/>
  <c r="AS158" i="4"/>
  <c r="AS157" i="4"/>
  <c r="AS166" i="4"/>
  <c r="AS167" i="4"/>
  <c r="AS168" i="4"/>
  <c r="AS169" i="4"/>
  <c r="AS170" i="4"/>
  <c r="AS171" i="4"/>
  <c r="AS172" i="4"/>
  <c r="AS173" i="4"/>
  <c r="AS174" i="4"/>
  <c r="AS175" i="4"/>
  <c r="AS180" i="4"/>
  <c r="AS156" i="4"/>
  <c r="AS160" i="4"/>
  <c r="AS161" i="4"/>
  <c r="AS162" i="4"/>
  <c r="AS163" i="4"/>
  <c r="AS164" i="4"/>
  <c r="AS165" i="4"/>
  <c r="AS155" i="4"/>
  <c r="AS159" i="4"/>
  <c r="AS176" i="4"/>
  <c r="AS178" i="4"/>
  <c r="AS177" i="4"/>
  <c r="AO147" i="11"/>
  <c r="AV374" i="4"/>
  <c r="AV82" i="4"/>
  <c r="AW86" i="4" s="1"/>
  <c r="T79" i="4"/>
  <c r="AV12" i="4"/>
  <c r="AV18" i="7"/>
  <c r="AO123" i="11"/>
  <c r="AO143" i="11"/>
  <c r="AO122" i="11"/>
  <c r="AO126" i="11"/>
  <c r="AO128" i="11"/>
  <c r="AO129" i="11"/>
  <c r="AO131" i="11"/>
  <c r="AO134" i="11"/>
  <c r="AO136" i="11"/>
  <c r="AO139" i="11"/>
  <c r="AO141" i="11"/>
  <c r="AO125" i="11"/>
  <c r="AO146" i="11"/>
  <c r="AO148" i="11"/>
  <c r="AO124" i="11"/>
  <c r="AO127" i="11"/>
  <c r="AO130" i="11"/>
  <c r="AO133" i="11"/>
  <c r="AO135" i="11"/>
  <c r="AO137" i="11"/>
  <c r="AO140" i="11"/>
  <c r="AO142" i="11"/>
  <c r="AO121" i="11"/>
  <c r="AO132" i="11"/>
  <c r="S79" i="4"/>
  <c r="S145" i="11" s="1"/>
  <c r="AK147" i="11"/>
  <c r="AR374" i="4"/>
  <c r="AR82" i="4"/>
  <c r="AR179" i="4" s="1"/>
  <c r="P79" i="4"/>
  <c r="AR12" i="4"/>
  <c r="AR18" i="7"/>
  <c r="AK123" i="11"/>
  <c r="AK143" i="11"/>
  <c r="AK122" i="11"/>
  <c r="AK126" i="11"/>
  <c r="AK128" i="11"/>
  <c r="AK129" i="11"/>
  <c r="AK131" i="11"/>
  <c r="AK134" i="11"/>
  <c r="AK136" i="11"/>
  <c r="AK139" i="11"/>
  <c r="AK141" i="11"/>
  <c r="AK125" i="11"/>
  <c r="AK146" i="11"/>
  <c r="AK148" i="11"/>
  <c r="AK124" i="11"/>
  <c r="AK127" i="11"/>
  <c r="AK130" i="11"/>
  <c r="AK133" i="11"/>
  <c r="AK135" i="11"/>
  <c r="AK137" i="11"/>
  <c r="AK140" i="11"/>
  <c r="AK142" i="11"/>
  <c r="AK121" i="11"/>
  <c r="AK132" i="11"/>
  <c r="O79" i="4"/>
  <c r="O145" i="11" s="1"/>
  <c r="AG147" i="11"/>
  <c r="AN374" i="4"/>
  <c r="AN82" i="4"/>
  <c r="AN179" i="4" s="1"/>
  <c r="L79" i="4"/>
  <c r="K79" i="4"/>
  <c r="K145" i="11" s="1"/>
  <c r="AN12" i="4"/>
  <c r="AN18" i="7"/>
  <c r="AG123" i="11"/>
  <c r="AG143" i="11"/>
  <c r="AG122" i="11"/>
  <c r="AG126" i="11"/>
  <c r="AG128" i="11"/>
  <c r="AG129" i="11"/>
  <c r="AG131" i="11"/>
  <c r="AG134" i="11"/>
  <c r="AG136" i="11"/>
  <c r="AG139" i="11"/>
  <c r="AG141" i="11"/>
  <c r="AG125" i="11"/>
  <c r="AG146" i="11"/>
  <c r="AG148" i="11"/>
  <c r="AG124" i="11"/>
  <c r="AG127" i="11"/>
  <c r="AG130" i="11"/>
  <c r="AG133" i="11"/>
  <c r="AG135" i="11"/>
  <c r="AG137" i="11"/>
  <c r="AG140" i="11"/>
  <c r="AG142" i="11"/>
  <c r="AG121" i="11"/>
  <c r="AG132" i="11"/>
  <c r="AM113" i="11"/>
  <c r="AM79" i="11"/>
  <c r="AT144" i="4"/>
  <c r="AT116" i="4"/>
  <c r="AN185" i="11" s="1"/>
  <c r="R113" i="4"/>
  <c r="AM88" i="11"/>
  <c r="AM96" i="11"/>
  <c r="AM102" i="11"/>
  <c r="AM112" i="11"/>
  <c r="AM89" i="11"/>
  <c r="AM93" i="11"/>
  <c r="AM99" i="11"/>
  <c r="AM106" i="11"/>
  <c r="AM108" i="11"/>
  <c r="AM90" i="11"/>
  <c r="AM94" i="11"/>
  <c r="AM100" i="11"/>
  <c r="AM105" i="11"/>
  <c r="AM107" i="11"/>
  <c r="AM109" i="11"/>
  <c r="AM114" i="11"/>
  <c r="AM91" i="11"/>
  <c r="AM95" i="11"/>
  <c r="AM97" i="11"/>
  <c r="AM101" i="11"/>
  <c r="AM103" i="11"/>
  <c r="AN98" i="11"/>
  <c r="AN87" i="11"/>
  <c r="AM92" i="11"/>
  <c r="AM98" i="11"/>
  <c r="AN92" i="11"/>
  <c r="AM87" i="11"/>
  <c r="AO179" i="4"/>
  <c r="AI111" i="11"/>
  <c r="AL111" i="11"/>
  <c r="AR109" i="11"/>
  <c r="AR102" i="11"/>
  <c r="AR90" i="11"/>
  <c r="AR101" i="11"/>
  <c r="AR93" i="11"/>
  <c r="AR89" i="11"/>
  <c r="AR105" i="11"/>
  <c r="AR96" i="11"/>
  <c r="AR108" i="11"/>
  <c r="AR99" i="11"/>
  <c r="AY144" i="4"/>
  <c r="AR79" i="11"/>
  <c r="AS179" i="4"/>
  <c r="AY20" i="7"/>
  <c r="AR111" i="11"/>
  <c r="L52" i="9"/>
  <c r="IM2" i="7"/>
  <c r="IW12" i="7"/>
  <c r="JI6" i="7"/>
  <c r="JU6" i="7" s="1"/>
  <c r="IB13" i="7"/>
  <c r="BB13" i="7" s="1"/>
  <c r="IX6" i="7"/>
  <c r="JJ6" i="7" s="1"/>
  <c r="AB9" i="7" l="1"/>
  <c r="AB8" i="7" s="1"/>
  <c r="KR6" i="7"/>
  <c r="KF12" i="7"/>
  <c r="KF8" i="7"/>
  <c r="KF9" i="7" s="1"/>
  <c r="BF9" i="7" s="1"/>
  <c r="V94" i="9"/>
  <c r="AD12" i="7"/>
  <c r="AD6" i="7"/>
  <c r="T193" i="9"/>
  <c r="V181" i="9"/>
  <c r="V183" i="9"/>
  <c r="V188" i="9"/>
  <c r="U182" i="9"/>
  <c r="U79" i="9"/>
  <c r="U191" i="9"/>
  <c r="U180" i="9"/>
  <c r="V186" i="9"/>
  <c r="S77" i="11"/>
  <c r="N117" i="9"/>
  <c r="Q117" i="9"/>
  <c r="R77" i="11"/>
  <c r="L118" i="9"/>
  <c r="AZ86" i="4"/>
  <c r="Z266" i="4"/>
  <c r="AX86" i="4"/>
  <c r="AY86" i="4"/>
  <c r="BD266" i="4"/>
  <c r="AA266" i="4" s="1"/>
  <c r="U18" i="9"/>
  <c r="U33" i="9"/>
  <c r="AU437" i="4"/>
  <c r="AU433" i="4"/>
  <c r="AU432" i="4"/>
  <c r="AU419" i="4"/>
  <c r="AU420" i="4"/>
  <c r="AU421" i="4"/>
  <c r="S116" i="4"/>
  <c r="S443" i="4" s="1"/>
  <c r="AU20" i="7"/>
  <c r="S92" i="11"/>
  <c r="AU422" i="4"/>
  <c r="AU431" i="4"/>
  <c r="AU426" i="4"/>
  <c r="AU417" i="4"/>
  <c r="AU441" i="4"/>
  <c r="AU438" i="4"/>
  <c r="AU435" i="4"/>
  <c r="AU444" i="4"/>
  <c r="AU436" i="4"/>
  <c r="BB21" i="7"/>
  <c r="BB19" i="7"/>
  <c r="Z19" i="7" s="1"/>
  <c r="AU425" i="4"/>
  <c r="AU430" i="4"/>
  <c r="AU442" i="4"/>
  <c r="AU429" i="4"/>
  <c r="BB383" i="4"/>
  <c r="BB389" i="4"/>
  <c r="BB388" i="4"/>
  <c r="BB393" i="4"/>
  <c r="BB398" i="4"/>
  <c r="BB402" i="4"/>
  <c r="BB390" i="4"/>
  <c r="BB394" i="4"/>
  <c r="BB399" i="4"/>
  <c r="BB405" i="4"/>
  <c r="BB395" i="4"/>
  <c r="BB400" i="4"/>
  <c r="BB407" i="4"/>
  <c r="BB386" i="4"/>
  <c r="BB392" i="4"/>
  <c r="BB396" i="4"/>
  <c r="BB401" i="4"/>
  <c r="BB408" i="4"/>
  <c r="BB382" i="4"/>
  <c r="Y96" i="4"/>
  <c r="Y127" i="4" s="1"/>
  <c r="BB387" i="4"/>
  <c r="JJ8" i="7"/>
  <c r="JJ12" i="7"/>
  <c r="BC95" i="4"/>
  <c r="BB127" i="4"/>
  <c r="AU60" i="11"/>
  <c r="JU12" i="7"/>
  <c r="Z255" i="4"/>
  <c r="BD255" i="4"/>
  <c r="AS217" i="11"/>
  <c r="X283" i="4"/>
  <c r="U130" i="11"/>
  <c r="BA405" i="4"/>
  <c r="Y101" i="4"/>
  <c r="Y132" i="4" s="1"/>
  <c r="AU65" i="11"/>
  <c r="O51" i="9"/>
  <c r="BD281" i="4"/>
  <c r="U129" i="11"/>
  <c r="U126" i="11"/>
  <c r="W144" i="4"/>
  <c r="AL182" i="11"/>
  <c r="N111" i="11"/>
  <c r="AQ215" i="11"/>
  <c r="AM226" i="11" s="1"/>
  <c r="M148" i="11"/>
  <c r="AX443" i="4"/>
  <c r="AY406" i="4"/>
  <c r="AR168" i="11"/>
  <c r="M131" i="11"/>
  <c r="BA380" i="4"/>
  <c r="M134" i="11"/>
  <c r="BA125" i="4"/>
  <c r="BA385" i="4"/>
  <c r="AG216" i="11"/>
  <c r="AL227" i="11" s="1"/>
  <c r="AK216" i="11"/>
  <c r="BD257" i="4"/>
  <c r="BD101" i="4" s="1"/>
  <c r="AC277" i="4"/>
  <c r="AR185" i="11"/>
  <c r="AX446" i="4"/>
  <c r="AX426" i="4"/>
  <c r="AX437" i="4"/>
  <c r="AX423" i="4"/>
  <c r="AX431" i="4"/>
  <c r="AX436" i="4"/>
  <c r="AX418" i="4"/>
  <c r="AX427" i="4"/>
  <c r="AX432" i="4"/>
  <c r="AX433" i="4"/>
  <c r="AX419" i="4"/>
  <c r="AX442" i="4"/>
  <c r="AX435" i="4"/>
  <c r="AX420" i="4"/>
  <c r="AX444" i="4"/>
  <c r="AX429" i="4"/>
  <c r="AX438" i="4"/>
  <c r="AX425" i="4"/>
  <c r="AX421" i="4"/>
  <c r="AX430" i="4"/>
  <c r="AX439" i="4"/>
  <c r="AX424" i="4"/>
  <c r="AX428" i="4"/>
  <c r="AX417" i="4"/>
  <c r="AX422" i="4"/>
  <c r="AX441" i="4"/>
  <c r="BA391" i="4"/>
  <c r="AX406" i="4"/>
  <c r="R18" i="9"/>
  <c r="BD254" i="4" s="1"/>
  <c r="AZ446" i="4"/>
  <c r="AZ427" i="4"/>
  <c r="AZ430" i="4"/>
  <c r="AZ439" i="4"/>
  <c r="AZ424" i="4"/>
  <c r="AZ436" i="4"/>
  <c r="AZ423" i="4"/>
  <c r="AZ429" i="4"/>
  <c r="AZ426" i="4"/>
  <c r="AZ431" i="4"/>
  <c r="AZ425" i="4"/>
  <c r="AZ418" i="4"/>
  <c r="AZ433" i="4"/>
  <c r="AZ442" i="4"/>
  <c r="AZ437" i="4"/>
  <c r="AZ435" i="4"/>
  <c r="AZ420" i="4"/>
  <c r="AZ444" i="4"/>
  <c r="AZ419" i="4"/>
  <c r="AZ438" i="4"/>
  <c r="AZ421" i="4"/>
  <c r="AZ432" i="4"/>
  <c r="AZ428" i="4"/>
  <c r="AZ417" i="4"/>
  <c r="AZ422" i="4"/>
  <c r="AZ441" i="4"/>
  <c r="BA390" i="4"/>
  <c r="BA396" i="4"/>
  <c r="AO217" i="11"/>
  <c r="AJ218" i="11"/>
  <c r="AJ221" i="11" s="1"/>
  <c r="AZ406" i="4"/>
  <c r="AV179" i="4"/>
  <c r="BC101" i="4"/>
  <c r="BC132" i="4" s="1"/>
  <c r="AM215" i="11"/>
  <c r="U111" i="11"/>
  <c r="BA386" i="4"/>
  <c r="AZ443" i="4"/>
  <c r="Y99" i="4"/>
  <c r="Y130" i="4" s="1"/>
  <c r="BB130" i="4"/>
  <c r="AX408" i="4"/>
  <c r="BA408" i="4"/>
  <c r="AY408" i="4"/>
  <c r="AZ408" i="4"/>
  <c r="AX386" i="4"/>
  <c r="AX394" i="4"/>
  <c r="AY394" i="4"/>
  <c r="AZ389" i="4"/>
  <c r="AX393" i="4"/>
  <c r="AX402" i="4"/>
  <c r="AX399" i="4"/>
  <c r="AX387" i="4"/>
  <c r="AX390" i="4"/>
  <c r="AZ383" i="4"/>
  <c r="AZ381" i="4"/>
  <c r="AX381" i="4"/>
  <c r="AY400" i="4"/>
  <c r="AY390" i="4"/>
  <c r="AX383" i="4"/>
  <c r="AX388" i="4"/>
  <c r="AY398" i="4"/>
  <c r="AZ390" i="4"/>
  <c r="AY387" i="4"/>
  <c r="AX396" i="4"/>
  <c r="AY396" i="4"/>
  <c r="AX382" i="4"/>
  <c r="AY405" i="4"/>
  <c r="AX389" i="4"/>
  <c r="AZ405" i="4"/>
  <c r="AY389" i="4"/>
  <c r="AY401" i="4"/>
  <c r="AZ407" i="4"/>
  <c r="AZ396" i="4"/>
  <c r="AY393" i="4"/>
  <c r="AY382" i="4"/>
  <c r="AY395" i="4"/>
  <c r="AX401" i="4"/>
  <c r="AZ386" i="4"/>
  <c r="AZ387" i="4"/>
  <c r="AZ392" i="4"/>
  <c r="AY399" i="4"/>
  <c r="AZ400" i="4"/>
  <c r="AZ394" i="4"/>
  <c r="AZ388" i="4"/>
  <c r="AX395" i="4"/>
  <c r="AZ398" i="4"/>
  <c r="AX405" i="4"/>
  <c r="AX398" i="4"/>
  <c r="AX392" i="4"/>
  <c r="AX407" i="4"/>
  <c r="AX384" i="4"/>
  <c r="AY383" i="4"/>
  <c r="AY407" i="4"/>
  <c r="AY388" i="4"/>
  <c r="AZ399" i="4"/>
  <c r="AZ395" i="4"/>
  <c r="AZ382" i="4"/>
  <c r="AZ401" i="4"/>
  <c r="AY381" i="4"/>
  <c r="AZ393" i="4"/>
  <c r="AZ402" i="4"/>
  <c r="AY392" i="4"/>
  <c r="AZ384" i="4"/>
  <c r="AY386" i="4"/>
  <c r="AY402" i="4"/>
  <c r="AX400" i="4"/>
  <c r="AY384" i="4"/>
  <c r="AZ385" i="4"/>
  <c r="AY385" i="4"/>
  <c r="AX391" i="4"/>
  <c r="AZ380" i="4"/>
  <c r="AY391" i="4"/>
  <c r="AX385" i="4"/>
  <c r="AZ391" i="4"/>
  <c r="AX380" i="4"/>
  <c r="AY380" i="4"/>
  <c r="BA400" i="4"/>
  <c r="BA383" i="4"/>
  <c r="BA402" i="4"/>
  <c r="AY404" i="4"/>
  <c r="BA399" i="4"/>
  <c r="BA393" i="4"/>
  <c r="BA407" i="4"/>
  <c r="BA384" i="4"/>
  <c r="BA381" i="4"/>
  <c r="BA382" i="4"/>
  <c r="BA398" i="4"/>
  <c r="BA387" i="4"/>
  <c r="AZ404" i="4"/>
  <c r="BA392" i="4"/>
  <c r="BA395" i="4"/>
  <c r="BA401" i="4"/>
  <c r="BA389" i="4"/>
  <c r="AX404" i="4"/>
  <c r="BA388" i="4"/>
  <c r="BA394" i="4"/>
  <c r="R23" i="9"/>
  <c r="BD259" i="4" s="1"/>
  <c r="AN218" i="11"/>
  <c r="AN221" i="11" s="1"/>
  <c r="AS215" i="11"/>
  <c r="AO215" i="11"/>
  <c r="AG215" i="11"/>
  <c r="AL226" i="11" s="1"/>
  <c r="AK215" i="11"/>
  <c r="AI215" i="11"/>
  <c r="AP218" i="11"/>
  <c r="AP221" i="11" s="1"/>
  <c r="AL218" i="11"/>
  <c r="AL221" i="11" s="1"/>
  <c r="AM214" i="11"/>
  <c r="AQ216" i="11"/>
  <c r="AM227" i="11" s="1"/>
  <c r="AH218" i="11"/>
  <c r="AH221" i="11" s="1"/>
  <c r="AI214" i="11"/>
  <c r="AI217" i="11"/>
  <c r="AG217" i="11"/>
  <c r="AL228" i="11" s="1"/>
  <c r="AK217" i="11"/>
  <c r="AM216" i="11"/>
  <c r="AO216" i="11"/>
  <c r="AI216" i="11"/>
  <c r="AO214" i="11"/>
  <c r="AS216" i="11"/>
  <c r="AQ217" i="11"/>
  <c r="AG214" i="11"/>
  <c r="AK214" i="11"/>
  <c r="AQ214" i="11"/>
  <c r="AM225" i="11" s="1"/>
  <c r="AS214" i="11"/>
  <c r="AM217" i="11"/>
  <c r="AR218" i="11"/>
  <c r="AZ179" i="4"/>
  <c r="AZ84" i="4"/>
  <c r="U128" i="11"/>
  <c r="M137" i="11"/>
  <c r="M82" i="4"/>
  <c r="M177" i="4" s="1"/>
  <c r="BD268" i="4"/>
  <c r="Y112" i="4"/>
  <c r="Y143" i="4" s="1"/>
  <c r="U133" i="11"/>
  <c r="M128" i="11"/>
  <c r="R41" i="9"/>
  <c r="AA276" i="4" s="1"/>
  <c r="AK12" i="7"/>
  <c r="AC10" i="7"/>
  <c r="AJ6" i="7"/>
  <c r="Y278" i="4"/>
  <c r="Y272" i="4" s="1"/>
  <c r="Y108" i="4"/>
  <c r="Y139" i="4" s="1"/>
  <c r="BB126" i="4"/>
  <c r="AU71" i="11"/>
  <c r="AU73" i="11"/>
  <c r="BB94" i="4"/>
  <c r="BC98" i="4"/>
  <c r="Z98" i="4" s="1"/>
  <c r="Z268" i="4"/>
  <c r="AU78" i="11"/>
  <c r="BB129" i="4"/>
  <c r="Y95" i="4"/>
  <c r="Y126" i="4" s="1"/>
  <c r="AU59" i="11"/>
  <c r="Y136" i="4"/>
  <c r="M135" i="11"/>
  <c r="M141" i="11"/>
  <c r="M147" i="11"/>
  <c r="M145" i="11"/>
  <c r="M132" i="11"/>
  <c r="M146" i="11"/>
  <c r="M140" i="11"/>
  <c r="M124" i="11"/>
  <c r="M125" i="11"/>
  <c r="M136" i="11"/>
  <c r="M122" i="11"/>
  <c r="AU62" i="11"/>
  <c r="Z251" i="4"/>
  <c r="M123" i="11"/>
  <c r="M130" i="11"/>
  <c r="M127" i="11"/>
  <c r="Y98" i="4"/>
  <c r="Y129" i="4" s="1"/>
  <c r="M121" i="11"/>
  <c r="M111" i="11"/>
  <c r="V111" i="11"/>
  <c r="M143" i="11"/>
  <c r="M142" i="11"/>
  <c r="M133" i="11"/>
  <c r="M129" i="11"/>
  <c r="M139" i="11"/>
  <c r="BD10" i="7"/>
  <c r="BE8" i="7"/>
  <c r="BF6" i="7"/>
  <c r="BE12" i="7"/>
  <c r="Z254" i="4"/>
  <c r="Z264" i="4"/>
  <c r="BB139" i="4"/>
  <c r="BB137" i="4"/>
  <c r="X94" i="4"/>
  <c r="X125" i="4" s="1"/>
  <c r="AT58" i="11"/>
  <c r="T47" i="9"/>
  <c r="BC108" i="4"/>
  <c r="AV73" i="11" s="1"/>
  <c r="S39" i="9"/>
  <c r="S40" i="9"/>
  <c r="Z105" i="4"/>
  <c r="Z136" i="4" s="1"/>
  <c r="BC99" i="4"/>
  <c r="AN19" i="7"/>
  <c r="AR19" i="7"/>
  <c r="Z112" i="4"/>
  <c r="BC109" i="4"/>
  <c r="AZ19" i="7"/>
  <c r="BC114" i="4"/>
  <c r="Z259" i="4"/>
  <c r="BC106" i="4"/>
  <c r="AV19" i="7"/>
  <c r="AP19" i="7"/>
  <c r="Z280" i="4"/>
  <c r="Z278" i="4" s="1"/>
  <c r="Y106" i="4"/>
  <c r="Y137" i="4" s="1"/>
  <c r="T45" i="9"/>
  <c r="S33" i="9"/>
  <c r="BE268" i="4" s="1"/>
  <c r="T33" i="9"/>
  <c r="U146" i="11"/>
  <c r="U142" i="11"/>
  <c r="U141" i="11"/>
  <c r="U140" i="11"/>
  <c r="U134" i="11"/>
  <c r="U147" i="11"/>
  <c r="L111" i="11"/>
  <c r="BB100" i="4"/>
  <c r="BB131" i="4" s="1"/>
  <c r="U131" i="11"/>
  <c r="U137" i="11"/>
  <c r="U136" i="11"/>
  <c r="U135" i="11"/>
  <c r="U127" i="11"/>
  <c r="Z270" i="4"/>
  <c r="U145" i="11"/>
  <c r="U143" i="11"/>
  <c r="U123" i="11"/>
  <c r="U124" i="11"/>
  <c r="U125" i="11"/>
  <c r="U139" i="11"/>
  <c r="AR161" i="11"/>
  <c r="AR177" i="11"/>
  <c r="AR165" i="11"/>
  <c r="P111" i="11"/>
  <c r="U132" i="11"/>
  <c r="U121" i="11"/>
  <c r="AR163" i="11"/>
  <c r="AR170" i="11"/>
  <c r="AR166" i="11"/>
  <c r="AY147" i="4"/>
  <c r="M104" i="9"/>
  <c r="AW19" i="7"/>
  <c r="AR162" i="11"/>
  <c r="AR160" i="11"/>
  <c r="AR158" i="11"/>
  <c r="AR116" i="11"/>
  <c r="T44" i="9"/>
  <c r="AR182" i="11"/>
  <c r="N51" i="9"/>
  <c r="P51" i="9"/>
  <c r="AS20" i="7"/>
  <c r="U18" i="7"/>
  <c r="O111" i="11"/>
  <c r="Q111" i="11"/>
  <c r="O117" i="9"/>
  <c r="Q51" i="9"/>
  <c r="P117" i="9"/>
  <c r="AR156" i="11"/>
  <c r="AR167" i="11"/>
  <c r="AR183" i="11"/>
  <c r="AR174" i="11"/>
  <c r="AR169" i="11"/>
  <c r="AR157" i="11"/>
  <c r="AR175" i="11"/>
  <c r="AR164" i="11"/>
  <c r="AR181" i="11"/>
  <c r="AR176" i="11"/>
  <c r="AR171" i="11"/>
  <c r="AR159" i="11"/>
  <c r="AR172" i="11"/>
  <c r="AY117" i="4"/>
  <c r="AR82" i="11"/>
  <c r="AQ182" i="11"/>
  <c r="S87" i="11"/>
  <c r="AW20" i="7"/>
  <c r="Y256" i="4"/>
  <c r="BB145" i="4"/>
  <c r="AU80" i="11"/>
  <c r="Y114" i="4"/>
  <c r="Y145" i="4" s="1"/>
  <c r="BB133" i="4"/>
  <c r="AU66" i="11"/>
  <c r="Y102" i="4"/>
  <c r="Y133" i="4" s="1"/>
  <c r="AU74" i="11"/>
  <c r="BB140" i="4"/>
  <c r="Y109" i="4"/>
  <c r="Y140" i="4" s="1"/>
  <c r="AW443" i="4"/>
  <c r="BC103" i="4"/>
  <c r="AU56" i="11"/>
  <c r="Y92" i="4"/>
  <c r="Y123" i="4" s="1"/>
  <c r="BB123" i="4"/>
  <c r="BB138" i="4"/>
  <c r="AU72" i="11"/>
  <c r="Y107" i="4"/>
  <c r="Y138" i="4" s="1"/>
  <c r="BB134" i="4"/>
  <c r="AU67" i="11"/>
  <c r="Y103" i="4"/>
  <c r="Y134" i="4" s="1"/>
  <c r="R35" i="9"/>
  <c r="BD270" i="4" s="1"/>
  <c r="Z265" i="4"/>
  <c r="Z262" i="4"/>
  <c r="AA282" i="4"/>
  <c r="AA281" i="4" s="1"/>
  <c r="S31" i="9"/>
  <c r="BE266" i="4" s="1"/>
  <c r="T31" i="9"/>
  <c r="R113" i="11"/>
  <c r="R79" i="11"/>
  <c r="R144" i="4"/>
  <c r="R95" i="11"/>
  <c r="R93" i="11"/>
  <c r="R96" i="11"/>
  <c r="R101" i="11"/>
  <c r="R91" i="11"/>
  <c r="R105" i="11"/>
  <c r="R94" i="11"/>
  <c r="R88" i="11"/>
  <c r="R100" i="11"/>
  <c r="R90" i="11"/>
  <c r="R106" i="11"/>
  <c r="R103" i="11"/>
  <c r="R97" i="11"/>
  <c r="R114" i="11"/>
  <c r="R109" i="11"/>
  <c r="R102" i="11"/>
  <c r="R108" i="11"/>
  <c r="R99" i="11"/>
  <c r="R89" i="11"/>
  <c r="R112" i="11"/>
  <c r="R107" i="11"/>
  <c r="R92" i="11"/>
  <c r="R98" i="11"/>
  <c r="S98" i="11"/>
  <c r="R87" i="11"/>
  <c r="K147" i="11"/>
  <c r="K82" i="4"/>
  <c r="K179" i="4" s="1"/>
  <c r="K18" i="7"/>
  <c r="K122" i="11"/>
  <c r="K126" i="11"/>
  <c r="K127" i="11"/>
  <c r="K129" i="11"/>
  <c r="K130" i="11"/>
  <c r="K131" i="11"/>
  <c r="K125" i="11"/>
  <c r="K124" i="11"/>
  <c r="K128" i="11"/>
  <c r="K123" i="11"/>
  <c r="K133" i="11"/>
  <c r="K134" i="11"/>
  <c r="K135" i="11"/>
  <c r="K136" i="11"/>
  <c r="K137" i="11"/>
  <c r="K139" i="11"/>
  <c r="K140" i="11"/>
  <c r="K141" i="11"/>
  <c r="K142" i="11"/>
  <c r="K143" i="11"/>
  <c r="K148" i="11"/>
  <c r="K146" i="11"/>
  <c r="K132" i="11"/>
  <c r="K121" i="11"/>
  <c r="AG150" i="11"/>
  <c r="AN377" i="4"/>
  <c r="AN182" i="4"/>
  <c r="AN87" i="7" s="1"/>
  <c r="AN88" i="7" s="1"/>
  <c r="AN20" i="7"/>
  <c r="AN157" i="4"/>
  <c r="AN176" i="4"/>
  <c r="AN156" i="4"/>
  <c r="AN160" i="4"/>
  <c r="AN162" i="4"/>
  <c r="AN163" i="4"/>
  <c r="AN165" i="4"/>
  <c r="AN168" i="4"/>
  <c r="AN170" i="4"/>
  <c r="AN172" i="4"/>
  <c r="AN174" i="4"/>
  <c r="AN159" i="4"/>
  <c r="AN178" i="4"/>
  <c r="AN180" i="4"/>
  <c r="AN158" i="4"/>
  <c r="AN161" i="4"/>
  <c r="AN164" i="4"/>
  <c r="AN167" i="4"/>
  <c r="AN169" i="4"/>
  <c r="AN171" i="4"/>
  <c r="AN173" i="4"/>
  <c r="AN175" i="4"/>
  <c r="AN155" i="4"/>
  <c r="AN166" i="4"/>
  <c r="AN177" i="4"/>
  <c r="O147" i="11"/>
  <c r="O82" i="4"/>
  <c r="O179" i="4" s="1"/>
  <c r="O18" i="7"/>
  <c r="O122" i="11"/>
  <c r="O126" i="11"/>
  <c r="O127" i="11"/>
  <c r="O129" i="11"/>
  <c r="O130" i="11"/>
  <c r="O131" i="11"/>
  <c r="O125" i="11"/>
  <c r="O124" i="11"/>
  <c r="O128" i="11"/>
  <c r="O123" i="11"/>
  <c r="O133" i="11"/>
  <c r="O134" i="11"/>
  <c r="O135" i="11"/>
  <c r="O136" i="11"/>
  <c r="O137" i="11"/>
  <c r="O139" i="11"/>
  <c r="O140" i="11"/>
  <c r="O141" i="11"/>
  <c r="O142" i="11"/>
  <c r="O143" i="11"/>
  <c r="O148" i="11"/>
  <c r="O146" i="11"/>
  <c r="O132" i="11"/>
  <c r="O121" i="11"/>
  <c r="AK150" i="11"/>
  <c r="AR377" i="4"/>
  <c r="AR182" i="4"/>
  <c r="AR87" i="7" s="1"/>
  <c r="AR20" i="7"/>
  <c r="AR157" i="4"/>
  <c r="AR176" i="4"/>
  <c r="AR156" i="4"/>
  <c r="AR160" i="4"/>
  <c r="AR162" i="4"/>
  <c r="AR163" i="4"/>
  <c r="AR165" i="4"/>
  <c r="AR168" i="4"/>
  <c r="AR170" i="4"/>
  <c r="AR172" i="4"/>
  <c r="AR174" i="4"/>
  <c r="AR159" i="4"/>
  <c r="AR178" i="4"/>
  <c r="AR180" i="4"/>
  <c r="AR158" i="4"/>
  <c r="AR161" i="4"/>
  <c r="AR164" i="4"/>
  <c r="AR167" i="4"/>
  <c r="AR169" i="4"/>
  <c r="AR171" i="4"/>
  <c r="AR173" i="4"/>
  <c r="AR175" i="4"/>
  <c r="AR155" i="4"/>
  <c r="AR166" i="4"/>
  <c r="AR177" i="4"/>
  <c r="S147" i="11"/>
  <c r="S82" i="4"/>
  <c r="S18" i="7"/>
  <c r="S122" i="11"/>
  <c r="S126" i="11"/>
  <c r="S127" i="11"/>
  <c r="S129" i="11"/>
  <c r="S130" i="11"/>
  <c r="S131" i="11"/>
  <c r="S125" i="11"/>
  <c r="S124" i="11"/>
  <c r="S128" i="11"/>
  <c r="S123" i="11"/>
  <c r="S133" i="11"/>
  <c r="S134" i="11"/>
  <c r="S135" i="11"/>
  <c r="S136" i="11"/>
  <c r="S137" i="11"/>
  <c r="S139" i="11"/>
  <c r="S140" i="11"/>
  <c r="S141" i="11"/>
  <c r="S142" i="11"/>
  <c r="S148" i="11"/>
  <c r="S143" i="11"/>
  <c r="S146" i="11"/>
  <c r="S132" i="11"/>
  <c r="S121" i="11"/>
  <c r="AO150" i="11"/>
  <c r="AV377" i="4"/>
  <c r="AV182" i="4"/>
  <c r="AV20" i="7"/>
  <c r="AV84" i="4"/>
  <c r="AV157" i="4"/>
  <c r="AV176" i="4"/>
  <c r="AV156" i="4"/>
  <c r="AV160" i="4"/>
  <c r="AV162" i="4"/>
  <c r="AV193" i="4"/>
  <c r="AV163" i="4"/>
  <c r="AV165" i="4"/>
  <c r="AV168" i="4"/>
  <c r="AV170" i="4"/>
  <c r="AV172" i="4"/>
  <c r="AV174" i="4"/>
  <c r="AV159" i="4"/>
  <c r="AV178" i="4"/>
  <c r="AV180" i="4"/>
  <c r="AV158" i="4"/>
  <c r="AV161" i="4"/>
  <c r="AV164" i="4"/>
  <c r="AV167" i="4"/>
  <c r="AV169" i="4"/>
  <c r="AV171" i="4"/>
  <c r="AV173" i="4"/>
  <c r="AV175" i="4"/>
  <c r="AV155" i="4"/>
  <c r="AV166" i="4"/>
  <c r="AV177" i="4"/>
  <c r="AV78" i="11"/>
  <c r="BC143" i="4"/>
  <c r="X131" i="4"/>
  <c r="W82" i="4"/>
  <c r="AL185" i="11"/>
  <c r="AL116" i="11"/>
  <c r="AL82" i="11"/>
  <c r="G104" i="9"/>
  <c r="AS446" i="4"/>
  <c r="AS147" i="4"/>
  <c r="AS117" i="4"/>
  <c r="Q116" i="4"/>
  <c r="Q443" i="4" s="1"/>
  <c r="AL156" i="11"/>
  <c r="AL158" i="11"/>
  <c r="AS419" i="4"/>
  <c r="AL160" i="11"/>
  <c r="AS421" i="4"/>
  <c r="AL164" i="11"/>
  <c r="AS425" i="4"/>
  <c r="AS427" i="4"/>
  <c r="AL168" i="11"/>
  <c r="AS431" i="4"/>
  <c r="AS433" i="4"/>
  <c r="AL175" i="11"/>
  <c r="AL177" i="11"/>
  <c r="AS418" i="4"/>
  <c r="AL159" i="11"/>
  <c r="AL163" i="11"/>
  <c r="AS426" i="4"/>
  <c r="AS430" i="4"/>
  <c r="AL171" i="11"/>
  <c r="AS435" i="4"/>
  <c r="AL176" i="11"/>
  <c r="AS439" i="4"/>
  <c r="AS442" i="4"/>
  <c r="AL183" i="11"/>
  <c r="AS417" i="4"/>
  <c r="AL162" i="11"/>
  <c r="AS423" i="4"/>
  <c r="AL166" i="11"/>
  <c r="AS429" i="4"/>
  <c r="AL170" i="11"/>
  <c r="AL172" i="11"/>
  <c r="AS436" i="4"/>
  <c r="AS438" i="4"/>
  <c r="AL157" i="11"/>
  <c r="AS420" i="4"/>
  <c r="AS424" i="4"/>
  <c r="AL165" i="11"/>
  <c r="AL169" i="11"/>
  <c r="AS432" i="4"/>
  <c r="AL174" i="11"/>
  <c r="AS437" i="4"/>
  <c r="AL178" i="11"/>
  <c r="AL181" i="11"/>
  <c r="AS444" i="4"/>
  <c r="AS428" i="4"/>
  <c r="AL161" i="11"/>
  <c r="AL167" i="11"/>
  <c r="AS422" i="4"/>
  <c r="AS441" i="4"/>
  <c r="AL180" i="11"/>
  <c r="AI116" i="11"/>
  <c r="AI82" i="11"/>
  <c r="D104" i="9"/>
  <c r="AP446" i="4"/>
  <c r="AP147" i="4"/>
  <c r="AP117" i="4"/>
  <c r="N116" i="4"/>
  <c r="N443" i="4" s="1"/>
  <c r="AP418" i="4"/>
  <c r="AP422" i="4"/>
  <c r="AP426" i="4"/>
  <c r="AP432" i="4"/>
  <c r="AP442" i="4"/>
  <c r="AP444" i="4"/>
  <c r="AP419" i="4"/>
  <c r="AP423" i="4"/>
  <c r="AP427" i="4"/>
  <c r="AP431" i="4"/>
  <c r="AP436" i="4"/>
  <c r="AP438" i="4"/>
  <c r="AP420" i="4"/>
  <c r="AP424" i="4"/>
  <c r="AP428" i="4"/>
  <c r="AP430" i="4"/>
  <c r="AP435" i="4"/>
  <c r="AP437" i="4"/>
  <c r="AP439" i="4"/>
  <c r="AP421" i="4"/>
  <c r="AP425" i="4"/>
  <c r="AP429" i="4"/>
  <c r="AP433" i="4"/>
  <c r="AP417" i="4"/>
  <c r="AP441" i="4"/>
  <c r="AS185" i="11"/>
  <c r="AS116" i="11"/>
  <c r="AS82" i="11"/>
  <c r="N104" i="9"/>
  <c r="AZ147" i="4"/>
  <c r="M219" i="11" s="1"/>
  <c r="AZ117" i="4"/>
  <c r="AS157" i="11"/>
  <c r="AS159" i="11"/>
  <c r="AS165" i="11"/>
  <c r="AS171" i="11"/>
  <c r="AS181" i="11"/>
  <c r="AS160" i="11"/>
  <c r="AS164" i="11"/>
  <c r="AS168" i="11"/>
  <c r="AS172" i="11"/>
  <c r="AS177" i="11"/>
  <c r="AS163" i="11"/>
  <c r="AS169" i="11"/>
  <c r="AS174" i="11"/>
  <c r="AS176" i="11"/>
  <c r="AS178" i="11"/>
  <c r="AS183" i="11"/>
  <c r="AS158" i="11"/>
  <c r="AS162" i="11"/>
  <c r="AS166" i="11"/>
  <c r="AS170" i="11"/>
  <c r="AS175" i="11"/>
  <c r="AS161" i="11"/>
  <c r="AS167" i="11"/>
  <c r="AS156" i="11"/>
  <c r="AS180" i="11"/>
  <c r="M113" i="11"/>
  <c r="M79" i="11"/>
  <c r="M144" i="4"/>
  <c r="M97" i="11"/>
  <c r="M93" i="11"/>
  <c r="M114" i="11"/>
  <c r="M112" i="11"/>
  <c r="M109" i="11"/>
  <c r="M96" i="11"/>
  <c r="M94" i="11"/>
  <c r="M90" i="11"/>
  <c r="M88" i="11"/>
  <c r="M108" i="11"/>
  <c r="M91" i="11"/>
  <c r="M99" i="11"/>
  <c r="M103" i="11"/>
  <c r="M105" i="11"/>
  <c r="M102" i="11"/>
  <c r="M100" i="11"/>
  <c r="M101" i="11"/>
  <c r="M89" i="11"/>
  <c r="M107" i="11"/>
  <c r="M106" i="11"/>
  <c r="M95" i="11"/>
  <c r="M87" i="11"/>
  <c r="M92" i="11"/>
  <c r="M98" i="11"/>
  <c r="AI150" i="11"/>
  <c r="AP377" i="4"/>
  <c r="AP182" i="4"/>
  <c r="AP87" i="7" s="1"/>
  <c r="AP88" i="7" s="1"/>
  <c r="AP20" i="7"/>
  <c r="AP159" i="4"/>
  <c r="AP158" i="4"/>
  <c r="AP161" i="4"/>
  <c r="AP164" i="4"/>
  <c r="AP167" i="4"/>
  <c r="AP169" i="4"/>
  <c r="AP171" i="4"/>
  <c r="AP173" i="4"/>
  <c r="AP175" i="4"/>
  <c r="AP157" i="4"/>
  <c r="AP176" i="4"/>
  <c r="AP178" i="4"/>
  <c r="AP180" i="4"/>
  <c r="AP156" i="4"/>
  <c r="AP160" i="4"/>
  <c r="AP162" i="4"/>
  <c r="AP163" i="4"/>
  <c r="AP165" i="4"/>
  <c r="AP168" i="4"/>
  <c r="AP170" i="4"/>
  <c r="AP172" i="4"/>
  <c r="AP174" i="4"/>
  <c r="AP155" i="4"/>
  <c r="AP166" i="4"/>
  <c r="AP177" i="4"/>
  <c r="AQ377" i="4"/>
  <c r="AM150" i="11"/>
  <c r="AT377" i="4"/>
  <c r="AT182" i="4"/>
  <c r="AT20" i="7"/>
  <c r="AT159" i="4"/>
  <c r="AT158" i="4"/>
  <c r="AT161" i="4"/>
  <c r="AT164" i="4"/>
  <c r="AT167" i="4"/>
  <c r="AT169" i="4"/>
  <c r="AT171" i="4"/>
  <c r="AT173" i="4"/>
  <c r="AT175" i="4"/>
  <c r="AT157" i="4"/>
  <c r="AT176" i="4"/>
  <c r="AT178" i="4"/>
  <c r="AT180" i="4"/>
  <c r="AT156" i="4"/>
  <c r="AT160" i="4"/>
  <c r="AT162" i="4"/>
  <c r="AT163" i="4"/>
  <c r="AT165" i="4"/>
  <c r="AT168" i="4"/>
  <c r="AT170" i="4"/>
  <c r="AT172" i="4"/>
  <c r="AT174" i="4"/>
  <c r="AT155" i="4"/>
  <c r="AT166" i="4"/>
  <c r="AT177" i="4"/>
  <c r="AU377" i="4"/>
  <c r="AQ150" i="11"/>
  <c r="AX377" i="4"/>
  <c r="AX182" i="4"/>
  <c r="AX84" i="4"/>
  <c r="V84" i="4" s="1"/>
  <c r="AX20" i="7"/>
  <c r="AX159" i="4"/>
  <c r="AX180" i="4"/>
  <c r="AX158" i="4"/>
  <c r="AX161" i="4"/>
  <c r="AX164" i="4"/>
  <c r="AX167" i="4"/>
  <c r="AX169" i="4"/>
  <c r="AX171" i="4"/>
  <c r="AX173" i="4"/>
  <c r="AX175" i="4"/>
  <c r="AX157" i="4"/>
  <c r="AX176" i="4"/>
  <c r="AX178" i="4"/>
  <c r="AX156" i="4"/>
  <c r="AX160" i="4"/>
  <c r="AX162" i="4"/>
  <c r="AX163" i="4"/>
  <c r="AX165" i="4"/>
  <c r="AX168" i="4"/>
  <c r="AX170" i="4"/>
  <c r="AX172" i="4"/>
  <c r="AX174" i="4"/>
  <c r="AX155" i="4"/>
  <c r="AX166" i="4"/>
  <c r="AX177" i="4"/>
  <c r="AY377" i="4"/>
  <c r="AV68" i="11"/>
  <c r="BC135" i="4"/>
  <c r="BE260" i="4"/>
  <c r="BD104" i="4"/>
  <c r="S446" i="4"/>
  <c r="S431" i="4"/>
  <c r="S433" i="4"/>
  <c r="S423" i="4"/>
  <c r="S429" i="4"/>
  <c r="S420" i="4"/>
  <c r="S444" i="4"/>
  <c r="S432" i="4"/>
  <c r="S424" i="4"/>
  <c r="S430" i="4"/>
  <c r="S426" i="4"/>
  <c r="S428" i="4"/>
  <c r="S417" i="4"/>
  <c r="AJ185" i="11"/>
  <c r="AJ116" i="11"/>
  <c r="AJ82" i="11"/>
  <c r="E104" i="9"/>
  <c r="AQ446" i="4"/>
  <c r="AQ147" i="4"/>
  <c r="AQ117" i="4"/>
  <c r="O116" i="4"/>
  <c r="O443" i="4" s="1"/>
  <c r="AQ417" i="4"/>
  <c r="AJ158" i="11"/>
  <c r="AQ419" i="4"/>
  <c r="AJ160" i="11"/>
  <c r="AQ421" i="4"/>
  <c r="AJ162" i="11"/>
  <c r="AQ423" i="4"/>
  <c r="AJ166" i="11"/>
  <c r="AQ429" i="4"/>
  <c r="AJ170" i="11"/>
  <c r="AJ172" i="11"/>
  <c r="AQ436" i="4"/>
  <c r="AQ438" i="4"/>
  <c r="AQ418" i="4"/>
  <c r="AJ159" i="11"/>
  <c r="AJ163" i="11"/>
  <c r="AQ426" i="4"/>
  <c r="AQ430" i="4"/>
  <c r="AJ171" i="11"/>
  <c r="AQ435" i="4"/>
  <c r="AJ176" i="11"/>
  <c r="AJ178" i="11"/>
  <c r="AJ181" i="11"/>
  <c r="AQ444" i="4"/>
  <c r="AJ164" i="11"/>
  <c r="AQ425" i="4"/>
  <c r="AQ427" i="4"/>
  <c r="AJ168" i="11"/>
  <c r="AQ431" i="4"/>
  <c r="AQ433" i="4"/>
  <c r="AJ175" i="11"/>
  <c r="AJ177" i="11"/>
  <c r="AJ157" i="11"/>
  <c r="AQ420" i="4"/>
  <c r="AQ424" i="4"/>
  <c r="AJ165" i="11"/>
  <c r="AJ169" i="11"/>
  <c r="AQ432" i="4"/>
  <c r="AJ174" i="11"/>
  <c r="AQ437" i="4"/>
  <c r="AQ439" i="4"/>
  <c r="AQ442" i="4"/>
  <c r="AJ183" i="11"/>
  <c r="AJ156" i="11"/>
  <c r="AQ428" i="4"/>
  <c r="AJ161" i="11"/>
  <c r="AJ167" i="11"/>
  <c r="AQ422" i="4"/>
  <c r="AJ180" i="11"/>
  <c r="AQ20" i="7"/>
  <c r="AQ441" i="4"/>
  <c r="U113" i="11"/>
  <c r="U79" i="11"/>
  <c r="U144" i="4"/>
  <c r="U97" i="11"/>
  <c r="U93" i="11"/>
  <c r="U114" i="11"/>
  <c r="U112" i="11"/>
  <c r="U109" i="11"/>
  <c r="U96" i="11"/>
  <c r="U94" i="11"/>
  <c r="U90" i="11"/>
  <c r="U108" i="11"/>
  <c r="U99" i="11"/>
  <c r="U103" i="11"/>
  <c r="U105" i="11"/>
  <c r="U102" i="11"/>
  <c r="U100" i="11"/>
  <c r="U101" i="11"/>
  <c r="U89" i="11"/>
  <c r="U107" i="11"/>
  <c r="U88" i="11"/>
  <c r="U106" i="11"/>
  <c r="U95" i="11"/>
  <c r="U91" i="11"/>
  <c r="U98" i="11"/>
  <c r="U87" i="11"/>
  <c r="U92" i="11"/>
  <c r="P113" i="11"/>
  <c r="P79" i="11"/>
  <c r="P144" i="4"/>
  <c r="P90" i="11"/>
  <c r="P88" i="11"/>
  <c r="P109" i="11"/>
  <c r="P94" i="11"/>
  <c r="P108" i="11"/>
  <c r="P101" i="11"/>
  <c r="P99" i="11"/>
  <c r="P89" i="11"/>
  <c r="P103" i="11"/>
  <c r="P97" i="11"/>
  <c r="P95" i="11"/>
  <c r="P112" i="11"/>
  <c r="P102" i="11"/>
  <c r="P114" i="11"/>
  <c r="P105" i="11"/>
  <c r="P100" i="11"/>
  <c r="P91" i="11"/>
  <c r="P107" i="11"/>
  <c r="P106" i="11"/>
  <c r="P93" i="11"/>
  <c r="P96" i="11"/>
  <c r="P87" i="11"/>
  <c r="P98" i="11"/>
  <c r="P92" i="11"/>
  <c r="AO185" i="11"/>
  <c r="AO116" i="11"/>
  <c r="AO82" i="11"/>
  <c r="J104" i="9"/>
  <c r="AV446" i="4"/>
  <c r="AV408" i="4"/>
  <c r="AV147" i="4"/>
  <c r="AV117" i="4"/>
  <c r="T116" i="4"/>
  <c r="T443" i="4" s="1"/>
  <c r="AV418" i="4"/>
  <c r="AV420" i="4"/>
  <c r="AV422" i="4"/>
  <c r="AO163" i="11"/>
  <c r="AV426" i="4"/>
  <c r="AV389" i="4"/>
  <c r="AO169" i="11"/>
  <c r="AV393" i="4"/>
  <c r="AV432" i="4"/>
  <c r="AO174" i="11"/>
  <c r="AV398" i="4"/>
  <c r="AO176" i="11"/>
  <c r="AV400" i="4"/>
  <c r="AO178" i="11"/>
  <c r="AV402" i="4"/>
  <c r="AV442" i="4"/>
  <c r="AO183" i="11"/>
  <c r="AO158" i="11"/>
  <c r="AV382" i="4"/>
  <c r="AV421" i="4"/>
  <c r="AO162" i="11"/>
  <c r="AV386" i="4"/>
  <c r="AV425" i="4"/>
  <c r="AO166" i="11"/>
  <c r="AV390" i="4"/>
  <c r="AV429" i="4"/>
  <c r="AO170" i="11"/>
  <c r="AV394" i="4"/>
  <c r="AV433" i="4"/>
  <c r="AO175" i="11"/>
  <c r="AV399" i="4"/>
  <c r="AV438" i="4"/>
  <c r="AO157" i="11"/>
  <c r="AV381" i="4"/>
  <c r="AO159" i="11"/>
  <c r="AV383" i="4"/>
  <c r="AV424" i="4"/>
  <c r="AV387" i="4"/>
  <c r="AO165" i="11"/>
  <c r="AV428" i="4"/>
  <c r="AV430" i="4"/>
  <c r="AO171" i="11"/>
  <c r="AV395" i="4"/>
  <c r="AV435" i="4"/>
  <c r="AV437" i="4"/>
  <c r="AV439" i="4"/>
  <c r="AO181" i="11"/>
  <c r="AV405" i="4"/>
  <c r="AV444" i="4"/>
  <c r="AV407" i="4"/>
  <c r="AV419" i="4"/>
  <c r="AO160" i="11"/>
  <c r="AV384" i="4"/>
  <c r="AV423" i="4"/>
  <c r="AO164" i="11"/>
  <c r="AV388" i="4"/>
  <c r="AV427" i="4"/>
  <c r="AO168" i="11"/>
  <c r="AV392" i="4"/>
  <c r="AV431" i="4"/>
  <c r="AO172" i="11"/>
  <c r="AV396" i="4"/>
  <c r="AV436" i="4"/>
  <c r="AO177" i="11"/>
  <c r="AV401" i="4"/>
  <c r="AO161" i="11"/>
  <c r="AV417" i="4"/>
  <c r="AO167" i="11"/>
  <c r="AV385" i="4"/>
  <c r="AV391" i="4"/>
  <c r="AO156" i="11"/>
  <c r="AV380" i="4"/>
  <c r="AV441" i="4"/>
  <c r="AO180" i="11"/>
  <c r="AV404" i="4"/>
  <c r="L113" i="11"/>
  <c r="L79" i="11"/>
  <c r="L144" i="4"/>
  <c r="L90" i="11"/>
  <c r="L88" i="11"/>
  <c r="L114" i="11"/>
  <c r="L105" i="11"/>
  <c r="L100" i="11"/>
  <c r="L108" i="11"/>
  <c r="L101" i="11"/>
  <c r="L99" i="11"/>
  <c r="L89" i="11"/>
  <c r="L107" i="11"/>
  <c r="L103" i="11"/>
  <c r="L97" i="11"/>
  <c r="L95" i="11"/>
  <c r="L112" i="11"/>
  <c r="L102" i="11"/>
  <c r="L96" i="11"/>
  <c r="L109" i="11"/>
  <c r="L94" i="11"/>
  <c r="L91" i="11"/>
  <c r="L106" i="11"/>
  <c r="L93" i="11"/>
  <c r="L87" i="11"/>
  <c r="L98" i="11"/>
  <c r="L92" i="11"/>
  <c r="V113" i="11"/>
  <c r="V79" i="11"/>
  <c r="V144" i="4"/>
  <c r="V95" i="11"/>
  <c r="V93" i="11"/>
  <c r="V89" i="11"/>
  <c r="V114" i="11"/>
  <c r="V109" i="11"/>
  <c r="V102" i="11"/>
  <c r="V101" i="11"/>
  <c r="V91" i="11"/>
  <c r="V105" i="11"/>
  <c r="V94" i="11"/>
  <c r="V90" i="11"/>
  <c r="V106" i="11"/>
  <c r="V103" i="11"/>
  <c r="V97" i="11"/>
  <c r="V96" i="11"/>
  <c r="V108" i="11"/>
  <c r="V99" i="11"/>
  <c r="V112" i="11"/>
  <c r="V107" i="11"/>
  <c r="V100" i="11"/>
  <c r="V88" i="11"/>
  <c r="V92" i="11"/>
  <c r="V87" i="11"/>
  <c r="V98" i="11"/>
  <c r="AV69" i="11"/>
  <c r="BC136" i="4"/>
  <c r="BE261" i="4"/>
  <c r="BD105" i="4"/>
  <c r="M52" i="9"/>
  <c r="AT443" i="4"/>
  <c r="AS377" i="4"/>
  <c r="S93" i="11"/>
  <c r="S96" i="11"/>
  <c r="S105" i="11"/>
  <c r="S95" i="11"/>
  <c r="S88" i="11"/>
  <c r="S99" i="11"/>
  <c r="S97" i="11"/>
  <c r="S94" i="11"/>
  <c r="S109" i="11"/>
  <c r="S90" i="11"/>
  <c r="S108" i="11"/>
  <c r="S113" i="11"/>
  <c r="AS443" i="4"/>
  <c r="AP443" i="4"/>
  <c r="AO377" i="4"/>
  <c r="AN182" i="11"/>
  <c r="AU406" i="4"/>
  <c r="R111" i="11"/>
  <c r="AU391" i="4"/>
  <c r="AU380" i="4"/>
  <c r="AN161" i="11"/>
  <c r="AN156" i="11"/>
  <c r="AU407" i="4"/>
  <c r="AU405" i="4"/>
  <c r="AU400" i="4"/>
  <c r="AN174" i="11"/>
  <c r="AU389" i="4"/>
  <c r="AU381" i="4"/>
  <c r="AU401" i="4"/>
  <c r="AU399" i="4"/>
  <c r="AU392" i="4"/>
  <c r="AN181" i="11"/>
  <c r="AN178" i="11"/>
  <c r="AN176" i="11"/>
  <c r="AU393" i="4"/>
  <c r="AU387" i="4"/>
  <c r="AU383" i="4"/>
  <c r="AN172" i="11"/>
  <c r="AN170" i="11"/>
  <c r="AU390" i="4"/>
  <c r="AU386" i="4"/>
  <c r="AN162" i="11"/>
  <c r="AU382" i="4"/>
  <c r="AN158" i="11"/>
  <c r="AU147" i="4"/>
  <c r="AN82" i="11"/>
  <c r="W116" i="4"/>
  <c r="AQ443" i="4"/>
  <c r="AK182" i="11"/>
  <c r="AV406" i="4"/>
  <c r="AO182" i="11"/>
  <c r="AX33" i="4"/>
  <c r="AM185" i="11"/>
  <c r="AM116" i="11"/>
  <c r="AM82" i="11"/>
  <c r="H104" i="9"/>
  <c r="AT446" i="4"/>
  <c r="AT408" i="4"/>
  <c r="AT147" i="4"/>
  <c r="AT117" i="4"/>
  <c r="R116" i="4"/>
  <c r="S116" i="11" s="1"/>
  <c r="AT418" i="4"/>
  <c r="AM159" i="11"/>
  <c r="AT383" i="4"/>
  <c r="AT422" i="4"/>
  <c r="AM163" i="11"/>
  <c r="AT426" i="4"/>
  <c r="AT389" i="4"/>
  <c r="AM169" i="11"/>
  <c r="AT393" i="4"/>
  <c r="AT432" i="4"/>
  <c r="AM174" i="11"/>
  <c r="AT398" i="4"/>
  <c r="AM176" i="11"/>
  <c r="AT400" i="4"/>
  <c r="AM178" i="11"/>
  <c r="AT402" i="4"/>
  <c r="AT442" i="4"/>
  <c r="AM183" i="11"/>
  <c r="AT444" i="4"/>
  <c r="AT407" i="4"/>
  <c r="AT419" i="4"/>
  <c r="AM160" i="11"/>
  <c r="AT384" i="4"/>
  <c r="AT423" i="4"/>
  <c r="AM164" i="11"/>
  <c r="AT388" i="4"/>
  <c r="AT427" i="4"/>
  <c r="AM168" i="11"/>
  <c r="AT392" i="4"/>
  <c r="AT431" i="4"/>
  <c r="AM172" i="11"/>
  <c r="AT396" i="4"/>
  <c r="AT436" i="4"/>
  <c r="AT438" i="4"/>
  <c r="AM157" i="11"/>
  <c r="AT381" i="4"/>
  <c r="AT420" i="4"/>
  <c r="AT424" i="4"/>
  <c r="AT387" i="4"/>
  <c r="AM165" i="11"/>
  <c r="AT428" i="4"/>
  <c r="AT430" i="4"/>
  <c r="AM171" i="11"/>
  <c r="AT395" i="4"/>
  <c r="AT435" i="4"/>
  <c r="AT437" i="4"/>
  <c r="AT439" i="4"/>
  <c r="AM181" i="11"/>
  <c r="AT405" i="4"/>
  <c r="AM158" i="11"/>
  <c r="AT382" i="4"/>
  <c r="AT421" i="4"/>
  <c r="AM162" i="11"/>
  <c r="AT386" i="4"/>
  <c r="AT425" i="4"/>
  <c r="AM166" i="11"/>
  <c r="AT390" i="4"/>
  <c r="AT429" i="4"/>
  <c r="AM170" i="11"/>
  <c r="AT394" i="4"/>
  <c r="AT433" i="4"/>
  <c r="AM175" i="11"/>
  <c r="AT399" i="4"/>
  <c r="AM177" i="11"/>
  <c r="AT401" i="4"/>
  <c r="AT391" i="4"/>
  <c r="AM156" i="11"/>
  <c r="AT380" i="4"/>
  <c r="AT385" i="4"/>
  <c r="AM161" i="11"/>
  <c r="AT417" i="4"/>
  <c r="AM167" i="11"/>
  <c r="AM180" i="11"/>
  <c r="AT404" i="4"/>
  <c r="AT441" i="4"/>
  <c r="AU404" i="4"/>
  <c r="AN180" i="11"/>
  <c r="L147" i="11"/>
  <c r="L82" i="4"/>
  <c r="L179" i="4" s="1"/>
  <c r="L18" i="7"/>
  <c r="L123" i="11"/>
  <c r="L143" i="11"/>
  <c r="L122" i="11"/>
  <c r="L126" i="11"/>
  <c r="L125" i="11"/>
  <c r="L146" i="11"/>
  <c r="L148" i="11"/>
  <c r="L124" i="11"/>
  <c r="L127" i="11"/>
  <c r="L128" i="11"/>
  <c r="L131" i="11"/>
  <c r="L130" i="11"/>
  <c r="L129" i="11"/>
  <c r="L142" i="11"/>
  <c r="L141" i="11"/>
  <c r="L140" i="11"/>
  <c r="L139" i="11"/>
  <c r="L137" i="11"/>
  <c r="L136" i="11"/>
  <c r="L135" i="11"/>
  <c r="L134" i="11"/>
  <c r="L133" i="11"/>
  <c r="L132" i="11"/>
  <c r="L121" i="11"/>
  <c r="P147" i="11"/>
  <c r="P82" i="4"/>
  <c r="P18" i="7"/>
  <c r="P123" i="11"/>
  <c r="P143" i="11"/>
  <c r="P122" i="11"/>
  <c r="P126" i="11"/>
  <c r="P125" i="11"/>
  <c r="P146" i="11"/>
  <c r="P148" i="11"/>
  <c r="P124" i="11"/>
  <c r="P127" i="11"/>
  <c r="P128" i="11"/>
  <c r="P131" i="11"/>
  <c r="P130" i="11"/>
  <c r="P129" i="11"/>
  <c r="P142" i="11"/>
  <c r="P141" i="11"/>
  <c r="P140" i="11"/>
  <c r="P139" i="11"/>
  <c r="P137" i="11"/>
  <c r="P136" i="11"/>
  <c r="P135" i="11"/>
  <c r="P134" i="11"/>
  <c r="P133" i="11"/>
  <c r="P132" i="11"/>
  <c r="P121" i="11"/>
  <c r="T147" i="11"/>
  <c r="T18" i="7"/>
  <c r="T123" i="11"/>
  <c r="T143" i="11"/>
  <c r="T124" i="11"/>
  <c r="T127" i="11"/>
  <c r="T125" i="11"/>
  <c r="T146" i="11"/>
  <c r="T128" i="11"/>
  <c r="T122" i="11"/>
  <c r="T126" i="11"/>
  <c r="T142" i="11"/>
  <c r="T141" i="11"/>
  <c r="T140" i="11"/>
  <c r="T139" i="11"/>
  <c r="T137" i="11"/>
  <c r="T136" i="11"/>
  <c r="T135" i="11"/>
  <c r="T134" i="11"/>
  <c r="T133" i="11"/>
  <c r="T131" i="11"/>
  <c r="T130" i="11"/>
  <c r="T129" i="11"/>
  <c r="T121" i="11"/>
  <c r="T132" i="11"/>
  <c r="AV61" i="11"/>
  <c r="BC128" i="4"/>
  <c r="AS150" i="11"/>
  <c r="AZ377" i="4"/>
  <c r="AZ182" i="4"/>
  <c r="AZ20" i="7"/>
  <c r="AZ157" i="4"/>
  <c r="AZ176" i="4"/>
  <c r="AZ156" i="4"/>
  <c r="AZ160" i="4"/>
  <c r="AZ163" i="4"/>
  <c r="AZ165" i="4"/>
  <c r="AZ168" i="4"/>
  <c r="AZ170" i="4"/>
  <c r="AZ172" i="4"/>
  <c r="AZ174" i="4"/>
  <c r="AZ159" i="4"/>
  <c r="AZ178" i="4"/>
  <c r="AZ180" i="4"/>
  <c r="AZ158" i="4"/>
  <c r="AZ161" i="4"/>
  <c r="AZ162" i="4"/>
  <c r="AZ164" i="4"/>
  <c r="AZ167" i="4"/>
  <c r="AZ169" i="4"/>
  <c r="AZ171" i="4"/>
  <c r="AZ173" i="4"/>
  <c r="AZ175" i="4"/>
  <c r="AZ155" i="4"/>
  <c r="AZ166" i="4"/>
  <c r="AZ177" i="4"/>
  <c r="Q113" i="11"/>
  <c r="Q79" i="11"/>
  <c r="Q144" i="4"/>
  <c r="Q103" i="11"/>
  <c r="Q114" i="11"/>
  <c r="Q112" i="11"/>
  <c r="Q109" i="11"/>
  <c r="Q96" i="11"/>
  <c r="Q94" i="11"/>
  <c r="Q101" i="11"/>
  <c r="Q90" i="11"/>
  <c r="Q108" i="11"/>
  <c r="Q91" i="11"/>
  <c r="Q95" i="11"/>
  <c r="Q97" i="11"/>
  <c r="Q93" i="11"/>
  <c r="Q105" i="11"/>
  <c r="Q102" i="11"/>
  <c r="Q100" i="11"/>
  <c r="Q88" i="11"/>
  <c r="Q89" i="11"/>
  <c r="Q107" i="11"/>
  <c r="Q106" i="11"/>
  <c r="Q99" i="11"/>
  <c r="Q87" i="11"/>
  <c r="Q92" i="11"/>
  <c r="Q98" i="11"/>
  <c r="N113" i="11"/>
  <c r="N79" i="11"/>
  <c r="N144" i="4"/>
  <c r="N95" i="11"/>
  <c r="N93" i="11"/>
  <c r="N89" i="11"/>
  <c r="N114" i="11"/>
  <c r="N109" i="11"/>
  <c r="N102" i="11"/>
  <c r="N101" i="11"/>
  <c r="N91" i="11"/>
  <c r="N105" i="11"/>
  <c r="N94" i="11"/>
  <c r="N90" i="11"/>
  <c r="N107" i="11"/>
  <c r="N88" i="11"/>
  <c r="N106" i="11"/>
  <c r="N103" i="11"/>
  <c r="N97" i="11"/>
  <c r="N96" i="11"/>
  <c r="N108" i="11"/>
  <c r="N99" i="11"/>
  <c r="N112" i="11"/>
  <c r="N100" i="11"/>
  <c r="N98" i="11"/>
  <c r="N87" i="11"/>
  <c r="N92" i="11"/>
  <c r="V24" i="4"/>
  <c r="U24" i="4"/>
  <c r="Q147" i="11"/>
  <c r="Q82" i="4"/>
  <c r="Q18" i="7"/>
  <c r="Q122" i="11"/>
  <c r="Q126" i="11"/>
  <c r="Q127" i="11"/>
  <c r="Q134" i="11"/>
  <c r="Q136" i="11"/>
  <c r="Q139" i="11"/>
  <c r="Q141" i="11"/>
  <c r="Q128" i="11"/>
  <c r="Q125" i="11"/>
  <c r="Q129" i="11"/>
  <c r="Q130" i="11"/>
  <c r="Q131" i="11"/>
  <c r="Q124" i="11"/>
  <c r="Q133" i="11"/>
  <c r="Q135" i="11"/>
  <c r="Q137" i="11"/>
  <c r="Q140" i="11"/>
  <c r="Q142" i="11"/>
  <c r="Q123" i="11"/>
  <c r="Q148" i="11"/>
  <c r="Q146" i="11"/>
  <c r="Q143" i="11"/>
  <c r="Q145" i="11"/>
  <c r="Q132" i="11"/>
  <c r="Q121" i="11"/>
  <c r="AH116" i="11"/>
  <c r="AH82" i="11"/>
  <c r="AO446" i="4"/>
  <c r="AO147" i="4"/>
  <c r="AO117" i="4"/>
  <c r="M116" i="4"/>
  <c r="AO419" i="4"/>
  <c r="AO421" i="4"/>
  <c r="AO425" i="4"/>
  <c r="AO427" i="4"/>
  <c r="AO431" i="4"/>
  <c r="AO433" i="4"/>
  <c r="AO418" i="4"/>
  <c r="AO426" i="4"/>
  <c r="AO430" i="4"/>
  <c r="AO435" i="4"/>
  <c r="AO439" i="4"/>
  <c r="AO442" i="4"/>
  <c r="AO417" i="4"/>
  <c r="AO423" i="4"/>
  <c r="AO429" i="4"/>
  <c r="AO436" i="4"/>
  <c r="AO438" i="4"/>
  <c r="AO420" i="4"/>
  <c r="AO424" i="4"/>
  <c r="AO432" i="4"/>
  <c r="AO437" i="4"/>
  <c r="AO444" i="4"/>
  <c r="AO428" i="4"/>
  <c r="AO422" i="4"/>
  <c r="AO441" i="4"/>
  <c r="N147" i="11"/>
  <c r="N82" i="4"/>
  <c r="N179" i="4" s="1"/>
  <c r="N18" i="7"/>
  <c r="N123" i="11"/>
  <c r="N122" i="11"/>
  <c r="N126" i="11"/>
  <c r="N128" i="11"/>
  <c r="N125" i="11"/>
  <c r="N124" i="11"/>
  <c r="N127" i="11"/>
  <c r="N143" i="11"/>
  <c r="N146" i="11"/>
  <c r="N148" i="11"/>
  <c r="N131" i="11"/>
  <c r="N130" i="11"/>
  <c r="N129" i="11"/>
  <c r="N142" i="11"/>
  <c r="N141" i="11"/>
  <c r="N140" i="11"/>
  <c r="N139" i="11"/>
  <c r="N137" i="11"/>
  <c r="N136" i="11"/>
  <c r="N135" i="11"/>
  <c r="N134" i="11"/>
  <c r="N133" i="11"/>
  <c r="N121" i="11"/>
  <c r="N132" i="11"/>
  <c r="AT19" i="7"/>
  <c r="AU19" i="7"/>
  <c r="R147" i="11"/>
  <c r="R82" i="4"/>
  <c r="R18" i="7"/>
  <c r="R123" i="11"/>
  <c r="R122" i="11"/>
  <c r="R126" i="11"/>
  <c r="R128" i="11"/>
  <c r="R125" i="11"/>
  <c r="R124" i="11"/>
  <c r="R127" i="11"/>
  <c r="R143" i="11"/>
  <c r="R146" i="11"/>
  <c r="R148" i="11"/>
  <c r="R131" i="11"/>
  <c r="R130" i="11"/>
  <c r="R129" i="11"/>
  <c r="R142" i="11"/>
  <c r="R141" i="11"/>
  <c r="R140" i="11"/>
  <c r="R139" i="11"/>
  <c r="R137" i="11"/>
  <c r="R136" i="11"/>
  <c r="R135" i="11"/>
  <c r="R134" i="11"/>
  <c r="R133" i="11"/>
  <c r="R121" i="11"/>
  <c r="R132" i="11"/>
  <c r="AX19" i="7"/>
  <c r="AY19" i="7"/>
  <c r="V147" i="11"/>
  <c r="V125" i="11"/>
  <c r="V122" i="11"/>
  <c r="V126" i="11"/>
  <c r="V143" i="11"/>
  <c r="V123" i="11"/>
  <c r="V128" i="11"/>
  <c r="V124" i="11"/>
  <c r="V127" i="11"/>
  <c r="V146" i="11"/>
  <c r="V131" i="11"/>
  <c r="V130" i="11"/>
  <c r="V129" i="11"/>
  <c r="V142" i="11"/>
  <c r="V140" i="11"/>
  <c r="V137" i="11"/>
  <c r="V136" i="11"/>
  <c r="V134" i="11"/>
  <c r="V141" i="11"/>
  <c r="V139" i="11"/>
  <c r="V135" i="11"/>
  <c r="V133" i="11"/>
  <c r="V132" i="11"/>
  <c r="V121" i="11"/>
  <c r="O113" i="11"/>
  <c r="O79" i="11"/>
  <c r="O144" i="4"/>
  <c r="O99" i="11"/>
  <c r="O91" i="11"/>
  <c r="O107" i="11"/>
  <c r="O90" i="11"/>
  <c r="O106" i="11"/>
  <c r="O114" i="11"/>
  <c r="O109" i="11"/>
  <c r="O102" i="11"/>
  <c r="O94" i="11"/>
  <c r="O101" i="11"/>
  <c r="O97" i="11"/>
  <c r="O89" i="11"/>
  <c r="O103" i="11"/>
  <c r="O93" i="11"/>
  <c r="O108" i="11"/>
  <c r="O88" i="11"/>
  <c r="O95" i="11"/>
  <c r="O112" i="11"/>
  <c r="O105" i="11"/>
  <c r="O100" i="11"/>
  <c r="O96" i="11"/>
  <c r="O87" i="11"/>
  <c r="O98" i="11"/>
  <c r="O92" i="11"/>
  <c r="AP185" i="11"/>
  <c r="AP116" i="11"/>
  <c r="AP82" i="11"/>
  <c r="K104" i="9"/>
  <c r="AW446" i="4"/>
  <c r="AW408" i="4"/>
  <c r="AW147" i="4"/>
  <c r="J219" i="11" s="1"/>
  <c r="AW117" i="4"/>
  <c r="U116" i="4"/>
  <c r="U443" i="4" s="1"/>
  <c r="AP156" i="11"/>
  <c r="AW380" i="4"/>
  <c r="AP162" i="11"/>
  <c r="AW423" i="4"/>
  <c r="AW386" i="4"/>
  <c r="AP166" i="11"/>
  <c r="AW390" i="4"/>
  <c r="AW429" i="4"/>
  <c r="AP170" i="11"/>
  <c r="AW394" i="4"/>
  <c r="AP172" i="11"/>
  <c r="AW396" i="4"/>
  <c r="AW436" i="4"/>
  <c r="AW438" i="4"/>
  <c r="AP157" i="11"/>
  <c r="AW381" i="4"/>
  <c r="AW420" i="4"/>
  <c r="AW424" i="4"/>
  <c r="AP165" i="11"/>
  <c r="AW389" i="4"/>
  <c r="AP169" i="11"/>
  <c r="AW430" i="4"/>
  <c r="AW395" i="4"/>
  <c r="AP174" i="11"/>
  <c r="AW435" i="4"/>
  <c r="AW400" i="4"/>
  <c r="AP178" i="11"/>
  <c r="AW439" i="4"/>
  <c r="AP181" i="11"/>
  <c r="AW442" i="4"/>
  <c r="AP183" i="11"/>
  <c r="AW407" i="4"/>
  <c r="AW417" i="4"/>
  <c r="AP158" i="11"/>
  <c r="AW419" i="4"/>
  <c r="AW382" i="4"/>
  <c r="AP160" i="11"/>
  <c r="AW421" i="4"/>
  <c r="AW384" i="4"/>
  <c r="AP164" i="11"/>
  <c r="AW425" i="4"/>
  <c r="AW388" i="4"/>
  <c r="AW427" i="4"/>
  <c r="AP168" i="11"/>
  <c r="AW392" i="4"/>
  <c r="AW431" i="4"/>
  <c r="AW433" i="4"/>
  <c r="AP175" i="11"/>
  <c r="AW399" i="4"/>
  <c r="AP177" i="11"/>
  <c r="AW401" i="4"/>
  <c r="AW418" i="4"/>
  <c r="AP159" i="11"/>
  <c r="AW383" i="4"/>
  <c r="AP163" i="11"/>
  <c r="AW387" i="4"/>
  <c r="AW426" i="4"/>
  <c r="AW393" i="4"/>
  <c r="AP171" i="11"/>
  <c r="AW432" i="4"/>
  <c r="AW398" i="4"/>
  <c r="AP176" i="11"/>
  <c r="AW437" i="4"/>
  <c r="AW402" i="4"/>
  <c r="AW405" i="4"/>
  <c r="AW444" i="4"/>
  <c r="AW428" i="4"/>
  <c r="AP161" i="11"/>
  <c r="AW385" i="4"/>
  <c r="AP167" i="11"/>
  <c r="AW391" i="4"/>
  <c r="AW422" i="4"/>
  <c r="AW441" i="4"/>
  <c r="AP180" i="11"/>
  <c r="AW404" i="4"/>
  <c r="AV75" i="11"/>
  <c r="BC141" i="4"/>
  <c r="Z110" i="4"/>
  <c r="BD110" i="4"/>
  <c r="AK185" i="11"/>
  <c r="AK116" i="11"/>
  <c r="AK82" i="11"/>
  <c r="F104" i="9"/>
  <c r="AR446" i="4"/>
  <c r="AR147" i="4"/>
  <c r="AR117" i="4"/>
  <c r="P116" i="4"/>
  <c r="AK157" i="11"/>
  <c r="AK159" i="11"/>
  <c r="AR424" i="4"/>
  <c r="AK165" i="11"/>
  <c r="AR428" i="4"/>
  <c r="AR430" i="4"/>
  <c r="AK171" i="11"/>
  <c r="AR435" i="4"/>
  <c r="AR437" i="4"/>
  <c r="AR439" i="4"/>
  <c r="AK181" i="11"/>
  <c r="AR419" i="4"/>
  <c r="AK160" i="11"/>
  <c r="AR423" i="4"/>
  <c r="AK164" i="11"/>
  <c r="AR427" i="4"/>
  <c r="AK168" i="11"/>
  <c r="AR431" i="4"/>
  <c r="AK172" i="11"/>
  <c r="AR436" i="4"/>
  <c r="AK177" i="11"/>
  <c r="AR418" i="4"/>
  <c r="AR420" i="4"/>
  <c r="AR422" i="4"/>
  <c r="AK163" i="11"/>
  <c r="AR426" i="4"/>
  <c r="AK169" i="11"/>
  <c r="AR432" i="4"/>
  <c r="AK174" i="11"/>
  <c r="AK176" i="11"/>
  <c r="AK178" i="11"/>
  <c r="AR442" i="4"/>
  <c r="AK183" i="11"/>
  <c r="AR444" i="4"/>
  <c r="AK158" i="11"/>
  <c r="AR421" i="4"/>
  <c r="AK162" i="11"/>
  <c r="AR425" i="4"/>
  <c r="AK166" i="11"/>
  <c r="AR429" i="4"/>
  <c r="AK170" i="11"/>
  <c r="AR433" i="4"/>
  <c r="AK175" i="11"/>
  <c r="AR438" i="4"/>
  <c r="AK156" i="11"/>
  <c r="AK161" i="11"/>
  <c r="AK167" i="11"/>
  <c r="AR417" i="4"/>
  <c r="AK180" i="11"/>
  <c r="AR441" i="4"/>
  <c r="T113" i="11"/>
  <c r="T79" i="11"/>
  <c r="T144" i="4"/>
  <c r="T90" i="11"/>
  <c r="T88" i="11"/>
  <c r="T114" i="11"/>
  <c r="T105" i="11"/>
  <c r="T100" i="11"/>
  <c r="T108" i="11"/>
  <c r="T101" i="11"/>
  <c r="T99" i="11"/>
  <c r="T89" i="11"/>
  <c r="T107" i="11"/>
  <c r="T103" i="11"/>
  <c r="T97" i="11"/>
  <c r="T95" i="11"/>
  <c r="T112" i="11"/>
  <c r="T102" i="11"/>
  <c r="T96" i="11"/>
  <c r="T109" i="11"/>
  <c r="T94" i="11"/>
  <c r="T91" i="11"/>
  <c r="T106" i="11"/>
  <c r="T93" i="11"/>
  <c r="T87" i="11"/>
  <c r="T92" i="11"/>
  <c r="T98" i="11"/>
  <c r="K79" i="11"/>
  <c r="K144" i="4"/>
  <c r="AG116" i="11"/>
  <c r="AG82" i="11"/>
  <c r="AN446" i="4"/>
  <c r="AN147" i="4"/>
  <c r="AN117" i="4"/>
  <c r="L116" i="4"/>
  <c r="L443" i="4" s="1"/>
  <c r="K116" i="4"/>
  <c r="AN418" i="4"/>
  <c r="AN420" i="4"/>
  <c r="AN422" i="4"/>
  <c r="AN426" i="4"/>
  <c r="AN432" i="4"/>
  <c r="AN442" i="4"/>
  <c r="AN444" i="4"/>
  <c r="AN421" i="4"/>
  <c r="AN425" i="4"/>
  <c r="AN429" i="4"/>
  <c r="AN433" i="4"/>
  <c r="AN438" i="4"/>
  <c r="AN424" i="4"/>
  <c r="AN428" i="4"/>
  <c r="AN430" i="4"/>
  <c r="AN435" i="4"/>
  <c r="AN437" i="4"/>
  <c r="AN439" i="4"/>
  <c r="AN419" i="4"/>
  <c r="AN423" i="4"/>
  <c r="AN427" i="4"/>
  <c r="AN431" i="4"/>
  <c r="AN436" i="4"/>
  <c r="AN417" i="4"/>
  <c r="AN441" i="4"/>
  <c r="AQ185" i="11"/>
  <c r="AQ116" i="11"/>
  <c r="AQ82" i="11"/>
  <c r="L104" i="9"/>
  <c r="AX147" i="4"/>
  <c r="K219" i="11" s="1"/>
  <c r="AX117" i="4"/>
  <c r="V116" i="4"/>
  <c r="V443" i="4" s="1"/>
  <c r="AQ159" i="11"/>
  <c r="AQ163" i="11"/>
  <c r="AQ169" i="11"/>
  <c r="AQ174" i="11"/>
  <c r="AQ176" i="11"/>
  <c r="AQ178" i="11"/>
  <c r="AQ160" i="11"/>
  <c r="AQ164" i="11"/>
  <c r="AQ168" i="11"/>
  <c r="AQ172" i="11"/>
  <c r="AQ157" i="11"/>
  <c r="AQ165" i="11"/>
  <c r="AQ171" i="11"/>
  <c r="AQ181" i="11"/>
  <c r="AQ183" i="11"/>
  <c r="AQ158" i="11"/>
  <c r="AQ162" i="11"/>
  <c r="AQ166" i="11"/>
  <c r="AQ170" i="11"/>
  <c r="AQ175" i="11"/>
  <c r="AQ177" i="11"/>
  <c r="AQ156" i="11"/>
  <c r="AQ167" i="11"/>
  <c r="AQ161" i="11"/>
  <c r="AQ180" i="11"/>
  <c r="AR180" i="11"/>
  <c r="AT406" i="4"/>
  <c r="AM182" i="11"/>
  <c r="Z97" i="4"/>
  <c r="S103" i="11"/>
  <c r="S100" i="11"/>
  <c r="S112" i="11"/>
  <c r="S106" i="11"/>
  <c r="S91" i="11"/>
  <c r="S89" i="11"/>
  <c r="S101" i="11"/>
  <c r="S102" i="11"/>
  <c r="S114" i="11"/>
  <c r="S107" i="11"/>
  <c r="S144" i="4"/>
  <c r="S79" i="11"/>
  <c r="T145" i="11"/>
  <c r="M118" i="9"/>
  <c r="AO19" i="7"/>
  <c r="AA275" i="4"/>
  <c r="AS182" i="11"/>
  <c r="L145" i="11"/>
  <c r="P145" i="11"/>
  <c r="AO443" i="4"/>
  <c r="AP179" i="4"/>
  <c r="AT179" i="4"/>
  <c r="AX179" i="4"/>
  <c r="AW377" i="4"/>
  <c r="AA260" i="4"/>
  <c r="Z104" i="4"/>
  <c r="AN167" i="11"/>
  <c r="AU385" i="4"/>
  <c r="AN183" i="11"/>
  <c r="AU402" i="4"/>
  <c r="AU395" i="4"/>
  <c r="AN169" i="11"/>
  <c r="AN165" i="11"/>
  <c r="AN157" i="11"/>
  <c r="AN177" i="11"/>
  <c r="AN175" i="11"/>
  <c r="AN168" i="11"/>
  <c r="AU388" i="4"/>
  <c r="AN164" i="11"/>
  <c r="AU398" i="4"/>
  <c r="AN171" i="11"/>
  <c r="AN163" i="11"/>
  <c r="AN159" i="11"/>
  <c r="AU396" i="4"/>
  <c r="AU394" i="4"/>
  <c r="AN166" i="11"/>
  <c r="AU384" i="4"/>
  <c r="AN160" i="11"/>
  <c r="AU117" i="4"/>
  <c r="AU408" i="4"/>
  <c r="I104" i="9"/>
  <c r="AN116" i="11"/>
  <c r="AQ19" i="7"/>
  <c r="AJ182" i="11"/>
  <c r="AW406" i="4"/>
  <c r="AP182" i="11"/>
  <c r="AR443" i="4"/>
  <c r="AV443" i="4"/>
  <c r="AN443" i="4"/>
  <c r="M18" i="7"/>
  <c r="S441" i="4"/>
  <c r="S111" i="11"/>
  <c r="AA261" i="4"/>
  <c r="AS19" i="7"/>
  <c r="IN2" i="7"/>
  <c r="IX8" i="7"/>
  <c r="IX9" i="7" s="1"/>
  <c r="IX12" i="7"/>
  <c r="JI12" i="7"/>
  <c r="IY6" i="7"/>
  <c r="JK6" i="7" s="1"/>
  <c r="KR12" i="7" l="1"/>
  <c r="LD6" i="7"/>
  <c r="KR8" i="7"/>
  <c r="KR9" i="7" s="1"/>
  <c r="BG9" i="7" s="1"/>
  <c r="AD9" i="7" s="1"/>
  <c r="AC9" i="7"/>
  <c r="AC8" i="7" s="1"/>
  <c r="BG6" i="7"/>
  <c r="AD10" i="7"/>
  <c r="AE6" i="7"/>
  <c r="AE12" i="7"/>
  <c r="V191" i="9"/>
  <c r="V79" i="9"/>
  <c r="V182" i="9"/>
  <c r="U193" i="9"/>
  <c r="V193" i="9"/>
  <c r="V180" i="9"/>
  <c r="N52" i="9"/>
  <c r="W179" i="4"/>
  <c r="M220" i="11"/>
  <c r="M73" i="9"/>
  <c r="M2" i="9" s="1"/>
  <c r="L219" i="11"/>
  <c r="V117" i="9"/>
  <c r="U117" i="9"/>
  <c r="T117" i="9"/>
  <c r="S117" i="9"/>
  <c r="P179" i="4"/>
  <c r="P86" i="4"/>
  <c r="S179" i="4"/>
  <c r="S86" i="4"/>
  <c r="R179" i="4"/>
  <c r="R86" i="4"/>
  <c r="Q179" i="4"/>
  <c r="Q86" i="4"/>
  <c r="V35" i="9"/>
  <c r="U35" i="9"/>
  <c r="V33" i="9"/>
  <c r="U31" i="9"/>
  <c r="V51" i="9"/>
  <c r="U51" i="9"/>
  <c r="V18" i="9"/>
  <c r="AV59" i="11"/>
  <c r="S35" i="9"/>
  <c r="BE270" i="4" s="1"/>
  <c r="S422" i="4"/>
  <c r="S439" i="4"/>
  <c r="S419" i="4"/>
  <c r="S435" i="4"/>
  <c r="S437" i="4"/>
  <c r="S427" i="4"/>
  <c r="BB87" i="4"/>
  <c r="P57" i="9"/>
  <c r="S442" i="4"/>
  <c r="S438" i="4"/>
  <c r="S425" i="4"/>
  <c r="S418" i="4"/>
  <c r="S436" i="4"/>
  <c r="S421" i="4"/>
  <c r="Z95" i="4"/>
  <c r="Z126" i="4" s="1"/>
  <c r="BC126" i="4"/>
  <c r="AZ21" i="7"/>
  <c r="BB391" i="4"/>
  <c r="Y94" i="4"/>
  <c r="Y125" i="4" s="1"/>
  <c r="BB385" i="4"/>
  <c r="JK12" i="7"/>
  <c r="JK8" i="7"/>
  <c r="JJ9" i="7"/>
  <c r="T35" i="9"/>
  <c r="AA255" i="4"/>
  <c r="BA104" i="9"/>
  <c r="BA38" i="9"/>
  <c r="M155" i="4"/>
  <c r="M156" i="4"/>
  <c r="AA268" i="4"/>
  <c r="BE255" i="4"/>
  <c r="Z101" i="4"/>
  <c r="Z132" i="4" s="1"/>
  <c r="AV65" i="11"/>
  <c r="BD112" i="4"/>
  <c r="AQ88" i="7"/>
  <c r="AR88" i="7"/>
  <c r="AS88" i="7"/>
  <c r="AO88" i="7"/>
  <c r="Z129" i="4"/>
  <c r="M170" i="4"/>
  <c r="S23" i="9"/>
  <c r="BE259" i="4" s="1"/>
  <c r="M161" i="4"/>
  <c r="BD99" i="4"/>
  <c r="Z143" i="4"/>
  <c r="AA257" i="4"/>
  <c r="X111" i="4"/>
  <c r="X142" i="4" s="1"/>
  <c r="BA404" i="4"/>
  <c r="M164" i="4"/>
  <c r="M167" i="4"/>
  <c r="M171" i="4"/>
  <c r="M159" i="4"/>
  <c r="M7" i="4"/>
  <c r="M48" i="11" s="1"/>
  <c r="M7" i="9"/>
  <c r="M176" i="4"/>
  <c r="M175" i="4"/>
  <c r="M180" i="4"/>
  <c r="M179" i="4"/>
  <c r="M174" i="4"/>
  <c r="M150" i="11"/>
  <c r="AO218" i="11"/>
  <c r="AO221" i="11" s="1"/>
  <c r="AQ218" i="11"/>
  <c r="AM229" i="11" s="1"/>
  <c r="AM228" i="11"/>
  <c r="AG218" i="11"/>
  <c r="AL229" i="11" s="1"/>
  <c r="AL225" i="11"/>
  <c r="AK218" i="11"/>
  <c r="AK221" i="11" s="1"/>
  <c r="AI218" i="11"/>
  <c r="AI221" i="11" s="1"/>
  <c r="AS218" i="11"/>
  <c r="AM218" i="11"/>
  <c r="AR221" i="11"/>
  <c r="M166" i="4"/>
  <c r="M165" i="4"/>
  <c r="M162" i="4"/>
  <c r="M168" i="4"/>
  <c r="M157" i="4"/>
  <c r="M169" i="4"/>
  <c r="M182" i="4"/>
  <c r="AU2" i="9"/>
  <c r="T41" i="9"/>
  <c r="S41" i="9"/>
  <c r="BE273" i="4" s="1"/>
  <c r="BD273" i="4"/>
  <c r="BD272" i="4" s="1"/>
  <c r="M178" i="4"/>
  <c r="M163" i="4"/>
  <c r="M172" i="4"/>
  <c r="M160" i="4"/>
  <c r="M173" i="4"/>
  <c r="M158" i="4"/>
  <c r="AS21" i="7"/>
  <c r="AS87" i="4" s="1"/>
  <c r="AJ12" i="7"/>
  <c r="AI6" i="7"/>
  <c r="BB125" i="4"/>
  <c r="AV71" i="11"/>
  <c r="AU58" i="11"/>
  <c r="BC129" i="4"/>
  <c r="AT77" i="11"/>
  <c r="BA113" i="4"/>
  <c r="AT100" i="11" s="1"/>
  <c r="AA279" i="4"/>
  <c r="AV62" i="11"/>
  <c r="BA142" i="4"/>
  <c r="BD98" i="4"/>
  <c r="AA254" i="4"/>
  <c r="BE10" i="7"/>
  <c r="BF8" i="7"/>
  <c r="IB9" i="7"/>
  <c r="BF12" i="7"/>
  <c r="BC140" i="4"/>
  <c r="BC130" i="4"/>
  <c r="Z114" i="4"/>
  <c r="Z145" i="4" s="1"/>
  <c r="T40" i="9"/>
  <c r="AA280" i="4"/>
  <c r="BC137" i="4"/>
  <c r="BC139" i="4"/>
  <c r="AV74" i="11"/>
  <c r="Z109" i="4"/>
  <c r="Z140" i="4" s="1"/>
  <c r="T39" i="9"/>
  <c r="Z108" i="4"/>
  <c r="Z139" i="4" s="1"/>
  <c r="W19" i="7"/>
  <c r="AV63" i="11"/>
  <c r="AU64" i="11"/>
  <c r="T51" i="9"/>
  <c r="U84" i="4"/>
  <c r="BC145" i="4"/>
  <c r="Z99" i="4"/>
  <c r="Z130" i="4" s="1"/>
  <c r="AV80" i="11"/>
  <c r="AB280" i="4"/>
  <c r="AB261" i="4"/>
  <c r="AP21" i="7"/>
  <c r="AP87" i="4" s="1"/>
  <c r="Z103" i="4"/>
  <c r="Z134" i="4" s="1"/>
  <c r="AB274" i="4"/>
  <c r="L19" i="7"/>
  <c r="AA101" i="4"/>
  <c r="AV21" i="7"/>
  <c r="AV87" i="4" s="1"/>
  <c r="AN21" i="7"/>
  <c r="K19" i="7"/>
  <c r="AB266" i="4"/>
  <c r="W24" i="4"/>
  <c r="Z106" i="4"/>
  <c r="Z137" i="4" s="1"/>
  <c r="AB260" i="4"/>
  <c r="AB268" i="4"/>
  <c r="AA105" i="4"/>
  <c r="AA136" i="4" s="1"/>
  <c r="AB275" i="4"/>
  <c r="BD103" i="4"/>
  <c r="BD134" i="4" s="1"/>
  <c r="AA259" i="4"/>
  <c r="AQ21" i="7"/>
  <c r="AQ87" i="4" s="1"/>
  <c r="AW21" i="7"/>
  <c r="AW87" i="4" s="1"/>
  <c r="AX21" i="7"/>
  <c r="AX87" i="4" s="1"/>
  <c r="T19" i="7"/>
  <c r="Y100" i="4"/>
  <c r="Y131" i="4" s="1"/>
  <c r="P19" i="7"/>
  <c r="T23" i="9"/>
  <c r="AO21" i="7"/>
  <c r="AY21" i="7"/>
  <c r="AY87" i="4" s="1"/>
  <c r="N118" i="9"/>
  <c r="M19" i="7"/>
  <c r="S51" i="9"/>
  <c r="Q19" i="7"/>
  <c r="R19" i="7"/>
  <c r="AA270" i="4"/>
  <c r="BD114" i="4"/>
  <c r="V19" i="7"/>
  <c r="V18" i="7" s="1"/>
  <c r="AV67" i="11"/>
  <c r="BC134" i="4"/>
  <c r="AZ33" i="4"/>
  <c r="O52" i="9"/>
  <c r="O118" i="9"/>
  <c r="Z135" i="4"/>
  <c r="Z128" i="4"/>
  <c r="K82" i="11"/>
  <c r="K446" i="4"/>
  <c r="K147" i="4"/>
  <c r="K421" i="4"/>
  <c r="K425" i="4"/>
  <c r="K427" i="4"/>
  <c r="K431" i="4"/>
  <c r="K433" i="4"/>
  <c r="K419" i="4"/>
  <c r="K423" i="4"/>
  <c r="K429" i="4"/>
  <c r="K436" i="4"/>
  <c r="K438" i="4"/>
  <c r="K442" i="4"/>
  <c r="K435" i="4"/>
  <c r="K430" i="4"/>
  <c r="K426" i="4"/>
  <c r="K422" i="4"/>
  <c r="K437" i="4"/>
  <c r="K444" i="4"/>
  <c r="K439" i="4"/>
  <c r="K432" i="4"/>
  <c r="K428" i="4"/>
  <c r="K424" i="4"/>
  <c r="K420" i="4"/>
  <c r="K418" i="4"/>
  <c r="K417" i="4"/>
  <c r="K441" i="4"/>
  <c r="P116" i="11"/>
  <c r="P82" i="11"/>
  <c r="P446" i="4"/>
  <c r="P147" i="4"/>
  <c r="P420" i="4"/>
  <c r="P426" i="4"/>
  <c r="P432" i="4"/>
  <c r="P442" i="4"/>
  <c r="P418" i="4"/>
  <c r="P424" i="4"/>
  <c r="P430" i="4"/>
  <c r="P435" i="4"/>
  <c r="P437" i="4"/>
  <c r="P439" i="4"/>
  <c r="P444" i="4"/>
  <c r="P438" i="4"/>
  <c r="P419" i="4"/>
  <c r="P433" i="4"/>
  <c r="P425" i="4"/>
  <c r="P431" i="4"/>
  <c r="P429" i="4"/>
  <c r="P421" i="4"/>
  <c r="P436" i="4"/>
  <c r="P427" i="4"/>
  <c r="P423" i="4"/>
  <c r="P417" i="4"/>
  <c r="P428" i="4"/>
  <c r="P422" i="4"/>
  <c r="P441" i="4"/>
  <c r="F73" i="9"/>
  <c r="F1" i="9"/>
  <c r="F7" i="9"/>
  <c r="AW75" i="11"/>
  <c r="BD141" i="4"/>
  <c r="BF266" i="4"/>
  <c r="BE110" i="4"/>
  <c r="M116" i="11"/>
  <c r="M82" i="11"/>
  <c r="M446" i="4"/>
  <c r="M147" i="4"/>
  <c r="M419" i="4"/>
  <c r="M423" i="4"/>
  <c r="M429" i="4"/>
  <c r="M436" i="4"/>
  <c r="M438" i="4"/>
  <c r="M421" i="4"/>
  <c r="M425" i="4"/>
  <c r="M427" i="4"/>
  <c r="M431" i="4"/>
  <c r="M433" i="4"/>
  <c r="M444" i="4"/>
  <c r="M442" i="4"/>
  <c r="M439" i="4"/>
  <c r="M426" i="4"/>
  <c r="M424" i="4"/>
  <c r="M420" i="4"/>
  <c r="M418" i="4"/>
  <c r="M435" i="4"/>
  <c r="M432" i="4"/>
  <c r="M430" i="4"/>
  <c r="M437" i="4"/>
  <c r="M417" i="4"/>
  <c r="M422" i="4"/>
  <c r="M428" i="4"/>
  <c r="M441" i="4"/>
  <c r="C7" i="9"/>
  <c r="C73" i="9"/>
  <c r="C1" i="9"/>
  <c r="U33" i="4"/>
  <c r="W446" i="4"/>
  <c r="W147" i="4"/>
  <c r="W419" i="4"/>
  <c r="W425" i="4"/>
  <c r="W427" i="4"/>
  <c r="W429" i="4"/>
  <c r="W433" i="4"/>
  <c r="W436" i="4"/>
  <c r="W421" i="4"/>
  <c r="W423" i="4"/>
  <c r="W431" i="4"/>
  <c r="W438" i="4"/>
  <c r="W437" i="4"/>
  <c r="W420" i="4"/>
  <c r="W418" i="4"/>
  <c r="W444" i="4"/>
  <c r="W439" i="4"/>
  <c r="W432" i="4"/>
  <c r="W424" i="4"/>
  <c r="W442" i="4"/>
  <c r="W435" i="4"/>
  <c r="W430" i="4"/>
  <c r="W426" i="4"/>
  <c r="W422" i="4"/>
  <c r="W428" i="4"/>
  <c r="W417" i="4"/>
  <c r="W441" i="4"/>
  <c r="W443" i="4"/>
  <c r="AW69" i="11"/>
  <c r="BD136" i="4"/>
  <c r="BF261" i="4"/>
  <c r="BE105" i="4"/>
  <c r="T116" i="11"/>
  <c r="T82" i="11"/>
  <c r="T446" i="4"/>
  <c r="T147" i="4"/>
  <c r="T420" i="4"/>
  <c r="T426" i="4"/>
  <c r="T432" i="4"/>
  <c r="T442" i="4"/>
  <c r="T418" i="4"/>
  <c r="T424" i="4"/>
  <c r="T430" i="4"/>
  <c r="T435" i="4"/>
  <c r="T437" i="4"/>
  <c r="T439" i="4"/>
  <c r="T444" i="4"/>
  <c r="T438" i="4"/>
  <c r="T419" i="4"/>
  <c r="T433" i="4"/>
  <c r="T425" i="4"/>
  <c r="T431" i="4"/>
  <c r="T429" i="4"/>
  <c r="T421" i="4"/>
  <c r="T436" i="4"/>
  <c r="T427" i="4"/>
  <c r="T423" i="4"/>
  <c r="T417" i="4"/>
  <c r="T422" i="4"/>
  <c r="T428" i="4"/>
  <c r="T441" i="4"/>
  <c r="J73" i="9"/>
  <c r="J1" i="9"/>
  <c r="J7" i="9"/>
  <c r="AR2" i="9"/>
  <c r="O116" i="11"/>
  <c r="O82" i="11"/>
  <c r="O446" i="4"/>
  <c r="O147" i="4"/>
  <c r="O421" i="4"/>
  <c r="O425" i="4"/>
  <c r="O427" i="4"/>
  <c r="O431" i="4"/>
  <c r="O433" i="4"/>
  <c r="O419" i="4"/>
  <c r="O423" i="4"/>
  <c r="O429" i="4"/>
  <c r="O436" i="4"/>
  <c r="O438" i="4"/>
  <c r="O437" i="4"/>
  <c r="O420" i="4"/>
  <c r="O444" i="4"/>
  <c r="O439" i="4"/>
  <c r="O432" i="4"/>
  <c r="O424" i="4"/>
  <c r="O418" i="4"/>
  <c r="O442" i="4"/>
  <c r="O435" i="4"/>
  <c r="O430" i="4"/>
  <c r="O426" i="4"/>
  <c r="O428" i="4"/>
  <c r="O422" i="4"/>
  <c r="O417" i="4"/>
  <c r="O441" i="4"/>
  <c r="E7" i="9"/>
  <c r="E73" i="9"/>
  <c r="E1" i="9"/>
  <c r="N73" i="9"/>
  <c r="N7" i="9"/>
  <c r="AV2" i="9"/>
  <c r="N116" i="11"/>
  <c r="N82" i="11"/>
  <c r="N446" i="4"/>
  <c r="N147" i="4"/>
  <c r="N418" i="4"/>
  <c r="N420" i="4"/>
  <c r="N424" i="4"/>
  <c r="N430" i="4"/>
  <c r="N435" i="4"/>
  <c r="N437" i="4"/>
  <c r="N442" i="4"/>
  <c r="N426" i="4"/>
  <c r="N432" i="4"/>
  <c r="N439" i="4"/>
  <c r="N444" i="4"/>
  <c r="N427" i="4"/>
  <c r="N425" i="4"/>
  <c r="N423" i="4"/>
  <c r="N419" i="4"/>
  <c r="N429" i="4"/>
  <c r="N421" i="4"/>
  <c r="N436" i="4"/>
  <c r="N433" i="4"/>
  <c r="N438" i="4"/>
  <c r="N431" i="4"/>
  <c r="N428" i="4"/>
  <c r="N417" i="4"/>
  <c r="N422" i="4"/>
  <c r="N441" i="4"/>
  <c r="D73" i="9"/>
  <c r="D1" i="9"/>
  <c r="D7" i="9"/>
  <c r="T84" i="4"/>
  <c r="S84" i="4"/>
  <c r="S150" i="11"/>
  <c r="S182" i="4"/>
  <c r="S87" i="7" s="1"/>
  <c r="S20" i="7"/>
  <c r="S7" i="4"/>
  <c r="S158" i="4"/>
  <c r="S162" i="4"/>
  <c r="S157" i="4"/>
  <c r="S167" i="4"/>
  <c r="S168" i="4"/>
  <c r="S169" i="4"/>
  <c r="S170" i="4"/>
  <c r="S171" i="4"/>
  <c r="S172" i="4"/>
  <c r="S173" i="4"/>
  <c r="S174" i="4"/>
  <c r="S175" i="4"/>
  <c r="S156" i="4"/>
  <c r="S160" i="4"/>
  <c r="S161" i="4"/>
  <c r="S163" i="4"/>
  <c r="S164" i="4"/>
  <c r="S165" i="4"/>
  <c r="S159" i="4"/>
  <c r="S176" i="4"/>
  <c r="S178" i="4"/>
  <c r="S180" i="4"/>
  <c r="S155" i="4"/>
  <c r="S166" i="4"/>
  <c r="S177" i="4"/>
  <c r="K150" i="11"/>
  <c r="K182" i="4"/>
  <c r="K20" i="7"/>
  <c r="K7" i="4"/>
  <c r="K158" i="4"/>
  <c r="K162" i="4"/>
  <c r="K157" i="4"/>
  <c r="K167" i="4"/>
  <c r="K168" i="4"/>
  <c r="K169" i="4"/>
  <c r="K170" i="4"/>
  <c r="K171" i="4"/>
  <c r="K172" i="4"/>
  <c r="K173" i="4"/>
  <c r="K174" i="4"/>
  <c r="K175" i="4"/>
  <c r="K156" i="4"/>
  <c r="K160" i="4"/>
  <c r="K161" i="4"/>
  <c r="K163" i="4"/>
  <c r="K164" i="4"/>
  <c r="K165" i="4"/>
  <c r="K159" i="4"/>
  <c r="K176" i="4"/>
  <c r="K180" i="4"/>
  <c r="K178" i="4"/>
  <c r="K155" i="4"/>
  <c r="K166" i="4"/>
  <c r="K177" i="4"/>
  <c r="BE281" i="4"/>
  <c r="K443" i="4"/>
  <c r="AA110" i="4"/>
  <c r="N19" i="7"/>
  <c r="M20" i="7"/>
  <c r="P443" i="4"/>
  <c r="M443" i="4"/>
  <c r="U19" i="7"/>
  <c r="AR21" i="7"/>
  <c r="AR87" i="4" s="1"/>
  <c r="O19" i="7"/>
  <c r="V116" i="11"/>
  <c r="V82" i="11"/>
  <c r="V446" i="4"/>
  <c r="V147" i="4"/>
  <c r="V418" i="4"/>
  <c r="V420" i="4"/>
  <c r="V424" i="4"/>
  <c r="V430" i="4"/>
  <c r="V435" i="4"/>
  <c r="V437" i="4"/>
  <c r="V442" i="4"/>
  <c r="V426" i="4"/>
  <c r="V432" i="4"/>
  <c r="V439" i="4"/>
  <c r="V444" i="4"/>
  <c r="V427" i="4"/>
  <c r="V425" i="4"/>
  <c r="V423" i="4"/>
  <c r="V419" i="4"/>
  <c r="V429" i="4"/>
  <c r="V421" i="4"/>
  <c r="V436" i="4"/>
  <c r="V433" i="4"/>
  <c r="V438" i="4"/>
  <c r="V431" i="4"/>
  <c r="V422" i="4"/>
  <c r="V417" i="4"/>
  <c r="V428" i="4"/>
  <c r="V441" i="4"/>
  <c r="L73" i="9"/>
  <c r="L2" i="9" s="1"/>
  <c r="L7" i="9"/>
  <c r="AT2" i="9"/>
  <c r="L116" i="11"/>
  <c r="L82" i="11"/>
  <c r="L446" i="4"/>
  <c r="L147" i="4"/>
  <c r="L420" i="4"/>
  <c r="L426" i="4"/>
  <c r="L432" i="4"/>
  <c r="L442" i="4"/>
  <c r="L418" i="4"/>
  <c r="L424" i="4"/>
  <c r="L430" i="4"/>
  <c r="L435" i="4"/>
  <c r="L437" i="4"/>
  <c r="L439" i="4"/>
  <c r="L444" i="4"/>
  <c r="L438" i="4"/>
  <c r="L419" i="4"/>
  <c r="L433" i="4"/>
  <c r="L425" i="4"/>
  <c r="L431" i="4"/>
  <c r="L429" i="4"/>
  <c r="L421" i="4"/>
  <c r="L436" i="4"/>
  <c r="L427" i="4"/>
  <c r="L423" i="4"/>
  <c r="L417" i="4"/>
  <c r="L428" i="4"/>
  <c r="L422" i="4"/>
  <c r="L441" i="4"/>
  <c r="B73" i="9"/>
  <c r="B1" i="9"/>
  <c r="B7" i="9"/>
  <c r="Z141" i="4"/>
  <c r="U116" i="11"/>
  <c r="U82" i="11"/>
  <c r="U446" i="4"/>
  <c r="U147" i="4"/>
  <c r="U419" i="4"/>
  <c r="U423" i="4"/>
  <c r="U429" i="4"/>
  <c r="U436" i="4"/>
  <c r="U438" i="4"/>
  <c r="U421" i="4"/>
  <c r="U425" i="4"/>
  <c r="U427" i="4"/>
  <c r="U431" i="4"/>
  <c r="U433" i="4"/>
  <c r="U444" i="4"/>
  <c r="U442" i="4"/>
  <c r="U439" i="4"/>
  <c r="U426" i="4"/>
  <c r="U424" i="4"/>
  <c r="U420" i="4"/>
  <c r="U435" i="4"/>
  <c r="U432" i="4"/>
  <c r="U430" i="4"/>
  <c r="U437" i="4"/>
  <c r="U418" i="4"/>
  <c r="U417" i="4"/>
  <c r="U428" i="4"/>
  <c r="U422" i="4"/>
  <c r="U441" i="4"/>
  <c r="K7" i="9"/>
  <c r="AS2" i="9"/>
  <c r="K73" i="9"/>
  <c r="K1" i="9"/>
  <c r="R150" i="11"/>
  <c r="R182" i="4"/>
  <c r="R87" i="7" s="1"/>
  <c r="R88" i="7" s="1"/>
  <c r="R7" i="4"/>
  <c r="R20" i="7"/>
  <c r="R159" i="4"/>
  <c r="R158" i="4"/>
  <c r="R161" i="4"/>
  <c r="R176" i="4"/>
  <c r="R178" i="4"/>
  <c r="R180" i="4"/>
  <c r="R157" i="4"/>
  <c r="R156" i="4"/>
  <c r="R160" i="4"/>
  <c r="R162" i="4"/>
  <c r="R165" i="4"/>
  <c r="R164" i="4"/>
  <c r="R163" i="4"/>
  <c r="R175" i="4"/>
  <c r="R174" i="4"/>
  <c r="R173" i="4"/>
  <c r="R172" i="4"/>
  <c r="R171" i="4"/>
  <c r="R170" i="4"/>
  <c r="R169" i="4"/>
  <c r="R168" i="4"/>
  <c r="R167" i="4"/>
  <c r="R166" i="4"/>
  <c r="R155" i="4"/>
  <c r="R177" i="4"/>
  <c r="N150" i="11"/>
  <c r="N182" i="4"/>
  <c r="N7" i="4"/>
  <c r="N20" i="7"/>
  <c r="N159" i="4"/>
  <c r="N158" i="4"/>
  <c r="N161" i="4"/>
  <c r="N176" i="4"/>
  <c r="N178" i="4"/>
  <c r="N180" i="4"/>
  <c r="N157" i="4"/>
  <c r="N156" i="4"/>
  <c r="N160" i="4"/>
  <c r="N162" i="4"/>
  <c r="N165" i="4"/>
  <c r="N164" i="4"/>
  <c r="N163" i="4"/>
  <c r="N175" i="4"/>
  <c r="N174" i="4"/>
  <c r="N173" i="4"/>
  <c r="N172" i="4"/>
  <c r="N171" i="4"/>
  <c r="N170" i="4"/>
  <c r="N169" i="4"/>
  <c r="N168" i="4"/>
  <c r="N167" i="4"/>
  <c r="N166" i="4"/>
  <c r="N155" i="4"/>
  <c r="N177" i="4"/>
  <c r="Q150" i="11"/>
  <c r="Q182" i="4"/>
  <c r="Q20" i="7"/>
  <c r="Q7" i="4"/>
  <c r="Q158" i="4"/>
  <c r="Q167" i="4"/>
  <c r="Q169" i="4"/>
  <c r="Q171" i="4"/>
  <c r="Q173" i="4"/>
  <c r="Q175" i="4"/>
  <c r="Q157" i="4"/>
  <c r="Q156" i="4"/>
  <c r="Q160" i="4"/>
  <c r="Q161" i="4"/>
  <c r="Q168" i="4"/>
  <c r="Q170" i="4"/>
  <c r="Q172" i="4"/>
  <c r="Q174" i="4"/>
  <c r="Q162" i="4"/>
  <c r="Q159" i="4"/>
  <c r="Q163" i="4"/>
  <c r="Q164" i="4"/>
  <c r="Q165" i="4"/>
  <c r="Q180" i="4"/>
  <c r="Q178" i="4"/>
  <c r="Q176" i="4"/>
  <c r="Q166" i="4"/>
  <c r="Q155" i="4"/>
  <c r="Q177" i="4"/>
  <c r="P150" i="11"/>
  <c r="P182" i="4"/>
  <c r="P7" i="4"/>
  <c r="P20" i="7"/>
  <c r="P159" i="4"/>
  <c r="P178" i="4"/>
  <c r="P180" i="4"/>
  <c r="P158" i="4"/>
  <c r="P161" i="4"/>
  <c r="P162" i="4"/>
  <c r="P157" i="4"/>
  <c r="P176" i="4"/>
  <c r="P156" i="4"/>
  <c r="P160" i="4"/>
  <c r="P165" i="4"/>
  <c r="P164" i="4"/>
  <c r="P163" i="4"/>
  <c r="P175" i="4"/>
  <c r="P174" i="4"/>
  <c r="P173" i="4"/>
  <c r="P172" i="4"/>
  <c r="P171" i="4"/>
  <c r="P170" i="4"/>
  <c r="P169" i="4"/>
  <c r="P168" i="4"/>
  <c r="P167" i="4"/>
  <c r="P155" i="4"/>
  <c r="P166" i="4"/>
  <c r="P177" i="4"/>
  <c r="L150" i="11"/>
  <c r="L182" i="4"/>
  <c r="L7" i="4"/>
  <c r="L20" i="7"/>
  <c r="L159" i="4"/>
  <c r="L178" i="4"/>
  <c r="L180" i="4"/>
  <c r="L158" i="4"/>
  <c r="L161" i="4"/>
  <c r="L162" i="4"/>
  <c r="L157" i="4"/>
  <c r="L176" i="4"/>
  <c r="L156" i="4"/>
  <c r="L160" i="4"/>
  <c r="L165" i="4"/>
  <c r="L164" i="4"/>
  <c r="L163" i="4"/>
  <c r="L175" i="4"/>
  <c r="L174" i="4"/>
  <c r="L173" i="4"/>
  <c r="L172" i="4"/>
  <c r="L171" i="4"/>
  <c r="L170" i="4"/>
  <c r="L169" i="4"/>
  <c r="L168" i="4"/>
  <c r="L167" i="4"/>
  <c r="L155" i="4"/>
  <c r="L166" i="4"/>
  <c r="L177" i="4"/>
  <c r="R116" i="11"/>
  <c r="R82" i="11"/>
  <c r="R446" i="4"/>
  <c r="R147" i="4"/>
  <c r="R418" i="4"/>
  <c r="R420" i="4"/>
  <c r="R424" i="4"/>
  <c r="R430" i="4"/>
  <c r="R435" i="4"/>
  <c r="R437" i="4"/>
  <c r="R442" i="4"/>
  <c r="R426" i="4"/>
  <c r="R432" i="4"/>
  <c r="R439" i="4"/>
  <c r="R444" i="4"/>
  <c r="R427" i="4"/>
  <c r="R425" i="4"/>
  <c r="R423" i="4"/>
  <c r="R429" i="4"/>
  <c r="R421" i="4"/>
  <c r="R436" i="4"/>
  <c r="R433" i="4"/>
  <c r="R438" i="4"/>
  <c r="R431" i="4"/>
  <c r="R419" i="4"/>
  <c r="R422" i="4"/>
  <c r="R428" i="4"/>
  <c r="R417" i="4"/>
  <c r="R441" i="4"/>
  <c r="H73" i="9"/>
  <c r="H1" i="9"/>
  <c r="H7" i="9"/>
  <c r="I7" i="9"/>
  <c r="I73" i="9"/>
  <c r="I1" i="9"/>
  <c r="AY33" i="4"/>
  <c r="AW68" i="11"/>
  <c r="BD135" i="4"/>
  <c r="BF260" i="4"/>
  <c r="BE104" i="4"/>
  <c r="AT21" i="7"/>
  <c r="AT87" i="4" s="1"/>
  <c r="AU21" i="7"/>
  <c r="AU87" i="4" s="1"/>
  <c r="AW65" i="11"/>
  <c r="BD132" i="4"/>
  <c r="Q116" i="11"/>
  <c r="Q82" i="11"/>
  <c r="Q446" i="4"/>
  <c r="Q147" i="4"/>
  <c r="Q419" i="4"/>
  <c r="Q423" i="4"/>
  <c r="Q429" i="4"/>
  <c r="Q436" i="4"/>
  <c r="Q438" i="4"/>
  <c r="Q421" i="4"/>
  <c r="Q425" i="4"/>
  <c r="Q427" i="4"/>
  <c r="Q431" i="4"/>
  <c r="Q433" i="4"/>
  <c r="Q417" i="4"/>
  <c r="Q444" i="4"/>
  <c r="Q442" i="4"/>
  <c r="Q439" i="4"/>
  <c r="Q426" i="4"/>
  <c r="Q424" i="4"/>
  <c r="Q420" i="4"/>
  <c r="Q435" i="4"/>
  <c r="Q432" i="4"/>
  <c r="Q430" i="4"/>
  <c r="Q418" i="4"/>
  <c r="Q437" i="4"/>
  <c r="Q422" i="4"/>
  <c r="Q428" i="4"/>
  <c r="Q441" i="4"/>
  <c r="G7" i="9"/>
  <c r="G73" i="9"/>
  <c r="G1" i="9"/>
  <c r="W182" i="4"/>
  <c r="W7" i="4"/>
  <c r="W6" i="4" s="1"/>
  <c r="W20" i="7"/>
  <c r="W158" i="4"/>
  <c r="W164" i="4"/>
  <c r="W180" i="4"/>
  <c r="W157" i="4"/>
  <c r="W167" i="4"/>
  <c r="W169" i="4"/>
  <c r="W171" i="4"/>
  <c r="W173" i="4"/>
  <c r="W175" i="4"/>
  <c r="W156" i="4"/>
  <c r="W160" i="4"/>
  <c r="W161" i="4"/>
  <c r="W162" i="4"/>
  <c r="W163" i="4"/>
  <c r="W165" i="4"/>
  <c r="W159" i="4"/>
  <c r="W168" i="4"/>
  <c r="W170" i="4"/>
  <c r="W172" i="4"/>
  <c r="W174" i="4"/>
  <c r="W176" i="4"/>
  <c r="W178" i="4"/>
  <c r="W166" i="4"/>
  <c r="W155" i="4"/>
  <c r="W177" i="4"/>
  <c r="BF268" i="4"/>
  <c r="BE112" i="4"/>
  <c r="O150" i="11"/>
  <c r="O182" i="4"/>
  <c r="O20" i="7"/>
  <c r="O7" i="4"/>
  <c r="O158" i="4"/>
  <c r="O162" i="4"/>
  <c r="O157" i="4"/>
  <c r="O167" i="4"/>
  <c r="O168" i="4"/>
  <c r="O169" i="4"/>
  <c r="O170" i="4"/>
  <c r="O171" i="4"/>
  <c r="O172" i="4"/>
  <c r="O173" i="4"/>
  <c r="O174" i="4"/>
  <c r="O175" i="4"/>
  <c r="O156" i="4"/>
  <c r="O160" i="4"/>
  <c r="O161" i="4"/>
  <c r="O163" i="4"/>
  <c r="O164" i="4"/>
  <c r="O165" i="4"/>
  <c r="O159" i="4"/>
  <c r="O180" i="4"/>
  <c r="O178" i="4"/>
  <c r="O176" i="4"/>
  <c r="O166" i="4"/>
  <c r="O155" i="4"/>
  <c r="O177" i="4"/>
  <c r="S147" i="4"/>
  <c r="S82" i="11"/>
  <c r="AA104" i="4"/>
  <c r="S19" i="7"/>
  <c r="R443" i="4"/>
  <c r="AB282" i="4"/>
  <c r="AB281" i="4" s="1"/>
  <c r="IO2" i="7"/>
  <c r="IY8" i="7"/>
  <c r="IY9" i="7" s="1"/>
  <c r="IY12" i="7"/>
  <c r="IZ6" i="7"/>
  <c r="JL6" i="7" s="1"/>
  <c r="AD8" i="7" l="1"/>
  <c r="LD12" i="7"/>
  <c r="LD8" i="7"/>
  <c r="LD9" i="7" s="1"/>
  <c r="BH9" i="7" s="1"/>
  <c r="AE9" i="7" s="1"/>
  <c r="AE8" i="7" s="1"/>
  <c r="AE10" i="7"/>
  <c r="BH6" i="7"/>
  <c r="BG12" i="7"/>
  <c r="BG8" i="7"/>
  <c r="BG260" i="4"/>
  <c r="AD260" i="4" s="1"/>
  <c r="P118" i="9"/>
  <c r="BG268" i="4"/>
  <c r="BG261" i="4"/>
  <c r="BG266" i="4"/>
  <c r="V31" i="9"/>
  <c r="AA132" i="4"/>
  <c r="JK9" i="7"/>
  <c r="JL8" i="7"/>
  <c r="JL12" i="7"/>
  <c r="AW63" i="11"/>
  <c r="BE99" i="4"/>
  <c r="AB99" i="4" s="1"/>
  <c r="M36" i="11"/>
  <c r="M23" i="11"/>
  <c r="AB255" i="4"/>
  <c r="BD143" i="4"/>
  <c r="BF255" i="4"/>
  <c r="AW78" i="11"/>
  <c r="AA112" i="4"/>
  <c r="AA143" i="4" s="1"/>
  <c r="M20" i="11"/>
  <c r="M32" i="11"/>
  <c r="M7" i="11"/>
  <c r="M44" i="11"/>
  <c r="M6" i="4"/>
  <c r="M45" i="11"/>
  <c r="S88" i="7"/>
  <c r="AA99" i="4"/>
  <c r="AA130" i="4" s="1"/>
  <c r="BD130" i="4"/>
  <c r="AT79" i="11"/>
  <c r="BA406" i="4"/>
  <c r="AQ221" i="11"/>
  <c r="AG221" i="11"/>
  <c r="AM221" i="11"/>
  <c r="AS221" i="11"/>
  <c r="AC276" i="4"/>
  <c r="AB276" i="4"/>
  <c r="AB273" i="4" s="1"/>
  <c r="AT97" i="11"/>
  <c r="AH6" i="7"/>
  <c r="AI12" i="7"/>
  <c r="AT113" i="11"/>
  <c r="AA278" i="4"/>
  <c r="AB279" i="4"/>
  <c r="AB278" i="4" s="1"/>
  <c r="AT94" i="11"/>
  <c r="AW62" i="11"/>
  <c r="AT92" i="11"/>
  <c r="AT99" i="11"/>
  <c r="AT103" i="11"/>
  <c r="AT87" i="11"/>
  <c r="AA103" i="4"/>
  <c r="AA134" i="4" s="1"/>
  <c r="AW67" i="11"/>
  <c r="AT98" i="11"/>
  <c r="AT105" i="11"/>
  <c r="AT112" i="11"/>
  <c r="AT90" i="11"/>
  <c r="AT89" i="11"/>
  <c r="AT88" i="11"/>
  <c r="BA116" i="4"/>
  <c r="AT171" i="11" s="1"/>
  <c r="X113" i="4"/>
  <c r="X144" i="4" s="1"/>
  <c r="AT93" i="11"/>
  <c r="AT95" i="11"/>
  <c r="AT108" i="11"/>
  <c r="AT114" i="11"/>
  <c r="AT101" i="11"/>
  <c r="BA144" i="4"/>
  <c r="AT111" i="11"/>
  <c r="AT107" i="11"/>
  <c r="AT96" i="11"/>
  <c r="AT102" i="11"/>
  <c r="AT106" i="11"/>
  <c r="AT109" i="11"/>
  <c r="AT91" i="11"/>
  <c r="AA98" i="4"/>
  <c r="AA129" i="4" s="1"/>
  <c r="BD129" i="4"/>
  <c r="BE272" i="4"/>
  <c r="BF10" i="7"/>
  <c r="AB259" i="4"/>
  <c r="BE103" i="4"/>
  <c r="AZ87" i="4"/>
  <c r="AB104" i="4"/>
  <c r="AB135" i="4" s="1"/>
  <c r="AC280" i="4"/>
  <c r="AB105" i="4"/>
  <c r="AB136" i="4" s="1"/>
  <c r="BF259" i="4"/>
  <c r="BF104" i="4"/>
  <c r="AC274" i="4"/>
  <c r="BF105" i="4"/>
  <c r="AB110" i="4"/>
  <c r="AB141" i="4" s="1"/>
  <c r="AB112" i="4"/>
  <c r="K21" i="7"/>
  <c r="BF110" i="4"/>
  <c r="BF112" i="4"/>
  <c r="AC282" i="4"/>
  <c r="AC281" i="4" s="1"/>
  <c r="W18" i="7"/>
  <c r="W33" i="4"/>
  <c r="O21" i="7"/>
  <c r="L21" i="7"/>
  <c r="AW80" i="11"/>
  <c r="AA114" i="4"/>
  <c r="AA145" i="4" s="1"/>
  <c r="BD145" i="4"/>
  <c r="BF270" i="4"/>
  <c r="BE114" i="4"/>
  <c r="AB270" i="4"/>
  <c r="AC260" i="4"/>
  <c r="R21" i="7"/>
  <c r="AC266" i="4"/>
  <c r="AX68" i="11"/>
  <c r="BE135" i="4"/>
  <c r="P48" i="11"/>
  <c r="P45" i="11"/>
  <c r="P44" i="11"/>
  <c r="P36" i="11"/>
  <c r="P7" i="11"/>
  <c r="P6" i="4"/>
  <c r="P20" i="11"/>
  <c r="P23" i="11"/>
  <c r="P32" i="11"/>
  <c r="R48" i="11"/>
  <c r="R45" i="11"/>
  <c r="R44" i="11"/>
  <c r="R36" i="11"/>
  <c r="R7" i="11"/>
  <c r="R32" i="11"/>
  <c r="R20" i="11"/>
  <c r="R23" i="11"/>
  <c r="S48" i="11"/>
  <c r="S45" i="11"/>
  <c r="S44" i="11"/>
  <c r="S36" i="11"/>
  <c r="S7" i="11"/>
  <c r="S23" i="11"/>
  <c r="S20" i="11"/>
  <c r="S32" i="11"/>
  <c r="N2" i="9"/>
  <c r="AX75" i="11"/>
  <c r="BE141" i="4"/>
  <c r="AC268" i="4"/>
  <c r="AC279" i="4"/>
  <c r="Q21" i="7"/>
  <c r="N21" i="7"/>
  <c r="AC275" i="4"/>
  <c r="AC261" i="4"/>
  <c r="V33" i="4"/>
  <c r="P52" i="9"/>
  <c r="AA135" i="4"/>
  <c r="O48" i="11"/>
  <c r="O45" i="11"/>
  <c r="O44" i="11"/>
  <c r="O36" i="11"/>
  <c r="O7" i="11"/>
  <c r="O6" i="4"/>
  <c r="O23" i="11"/>
  <c r="O20" i="11"/>
  <c r="O32" i="11"/>
  <c r="AX78" i="11"/>
  <c r="BE143" i="4"/>
  <c r="L48" i="11"/>
  <c r="L45" i="11"/>
  <c r="L44" i="11"/>
  <c r="L36" i="11"/>
  <c r="L7" i="11"/>
  <c r="L6" i="4"/>
  <c r="L20" i="11"/>
  <c r="L23" i="11"/>
  <c r="L32" i="11"/>
  <c r="Q48" i="11"/>
  <c r="Q45" i="11"/>
  <c r="Q44" i="11"/>
  <c r="Q36" i="11"/>
  <c r="Q7" i="11"/>
  <c r="Q23" i="11"/>
  <c r="Q32" i="11"/>
  <c r="Q20" i="11"/>
  <c r="N48" i="11"/>
  <c r="N45" i="11"/>
  <c r="N44" i="11"/>
  <c r="N36" i="11"/>
  <c r="N7" i="11"/>
  <c r="N6" i="4"/>
  <c r="N32" i="11"/>
  <c r="N20" i="11"/>
  <c r="N23" i="11"/>
  <c r="AA141" i="4"/>
  <c r="BF281" i="4"/>
  <c r="K48" i="11"/>
  <c r="K45" i="11"/>
  <c r="K44" i="11"/>
  <c r="K36" i="11"/>
  <c r="K7" i="11"/>
  <c r="K6" i="4"/>
  <c r="K23" i="11"/>
  <c r="K20" i="11"/>
  <c r="K32" i="11"/>
  <c r="AX69" i="11"/>
  <c r="BE136" i="4"/>
  <c r="P21" i="7"/>
  <c r="M21" i="7"/>
  <c r="S21" i="7"/>
  <c r="JA6" i="7"/>
  <c r="JM6" i="7" s="1"/>
  <c r="IZ8" i="7"/>
  <c r="IZ9" i="7" s="1"/>
  <c r="IZ12" i="7"/>
  <c r="BG10" i="7" l="1"/>
  <c r="BH8" i="7"/>
  <c r="BH12" i="7"/>
  <c r="Q118" i="9"/>
  <c r="BE130" i="4"/>
  <c r="BG270" i="4"/>
  <c r="BG110" i="4"/>
  <c r="AD110" i="4" s="1"/>
  <c r="BH261" i="4"/>
  <c r="BH105" i="4" s="1"/>
  <c r="BG105" i="4"/>
  <c r="AD105" i="4" s="1"/>
  <c r="BG112" i="4"/>
  <c r="AD112" i="4" s="1"/>
  <c r="BH268" i="4"/>
  <c r="BH112" i="4" s="1"/>
  <c r="AD268" i="4"/>
  <c r="BG259" i="4"/>
  <c r="AD259" i="4" s="1"/>
  <c r="BG255" i="4"/>
  <c r="AD255" i="4" s="1"/>
  <c r="BH260" i="4"/>
  <c r="BH104" i="4" s="1"/>
  <c r="BG104" i="4"/>
  <c r="BH266" i="4"/>
  <c r="BH110" i="4" s="1"/>
  <c r="AD261" i="4"/>
  <c r="AD266" i="4"/>
  <c r="AX63" i="11"/>
  <c r="JM8" i="7"/>
  <c r="JM12" i="7"/>
  <c r="JL9" i="7"/>
  <c r="AY69" i="11"/>
  <c r="AB143" i="4"/>
  <c r="AC255" i="4"/>
  <c r="AB130" i="4"/>
  <c r="BF99" i="4"/>
  <c r="AT182" i="11"/>
  <c r="BA446" i="4"/>
  <c r="BA436" i="4"/>
  <c r="BA419" i="4"/>
  <c r="BA437" i="4"/>
  <c r="BA420" i="4"/>
  <c r="BA430" i="4"/>
  <c r="BA431" i="4"/>
  <c r="BA444" i="4"/>
  <c r="BA418" i="4"/>
  <c r="BA439" i="4"/>
  <c r="BA438" i="4"/>
  <c r="BA421" i="4"/>
  <c r="BA435" i="4"/>
  <c r="BA424" i="4"/>
  <c r="BA425" i="4"/>
  <c r="BA432" i="4"/>
  <c r="BA426" i="4"/>
  <c r="BA429" i="4"/>
  <c r="BA417" i="4"/>
  <c r="BA423" i="4"/>
  <c r="BA442" i="4"/>
  <c r="BA433" i="4"/>
  <c r="BA427" i="4"/>
  <c r="BA428" i="4"/>
  <c r="BA422" i="4"/>
  <c r="BA441" i="4"/>
  <c r="BA443" i="4"/>
  <c r="AT156" i="11"/>
  <c r="AT175" i="11"/>
  <c r="AC278" i="4"/>
  <c r="BF136" i="4"/>
  <c r="BF273" i="4"/>
  <c r="BF272" i="4" s="1"/>
  <c r="AH12" i="7"/>
  <c r="AT181" i="11"/>
  <c r="AT183" i="11"/>
  <c r="AT163" i="11"/>
  <c r="AT185" i="11"/>
  <c r="X116" i="4"/>
  <c r="X443" i="4" s="1"/>
  <c r="AT170" i="11"/>
  <c r="AT158" i="11"/>
  <c r="AT166" i="11"/>
  <c r="AT178" i="11"/>
  <c r="AT157" i="11"/>
  <c r="AT159" i="11"/>
  <c r="O104" i="9"/>
  <c r="AT161" i="11"/>
  <c r="AT176" i="11"/>
  <c r="AT164" i="11"/>
  <c r="AT162" i="11"/>
  <c r="AT169" i="11"/>
  <c r="AT168" i="11"/>
  <c r="BA117" i="4"/>
  <c r="AT82" i="11"/>
  <c r="AT180" i="11"/>
  <c r="AT167" i="11"/>
  <c r="AT172" i="11"/>
  <c r="AT174" i="11"/>
  <c r="AT165" i="11"/>
  <c r="AT160" i="11"/>
  <c r="AT177" i="11"/>
  <c r="BA147" i="4"/>
  <c r="AT116" i="11"/>
  <c r="AC259" i="4"/>
  <c r="BF103" i="4"/>
  <c r="AY78" i="11"/>
  <c r="AC105" i="4"/>
  <c r="AC136" i="4" s="1"/>
  <c r="AY75" i="11"/>
  <c r="BF135" i="4"/>
  <c r="AB272" i="4"/>
  <c r="BF141" i="4"/>
  <c r="AC110" i="4"/>
  <c r="AC141" i="4" s="1"/>
  <c r="BF143" i="4"/>
  <c r="AC273" i="4"/>
  <c r="AB103" i="4"/>
  <c r="AB134" i="4" s="1"/>
  <c r="AC112" i="4"/>
  <c r="AC143" i="4" s="1"/>
  <c r="AY68" i="11"/>
  <c r="BE134" i="4"/>
  <c r="AC104" i="4"/>
  <c r="AC135" i="4" s="1"/>
  <c r="AX67" i="11"/>
  <c r="X228" i="4"/>
  <c r="BF114" i="4"/>
  <c r="AX80" i="11"/>
  <c r="AB114" i="4"/>
  <c r="AB145" i="4" s="1"/>
  <c r="BE145" i="4"/>
  <c r="AC270" i="4"/>
  <c r="N3" i="9"/>
  <c r="W84" i="4"/>
  <c r="X204" i="4"/>
  <c r="X214" i="4"/>
  <c r="X227" i="4"/>
  <c r="X233" i="4"/>
  <c r="X202" i="4"/>
  <c r="X208" i="4"/>
  <c r="X218" i="4"/>
  <c r="X210" i="4"/>
  <c r="X217" i="4"/>
  <c r="X229" i="4"/>
  <c r="X235" i="4"/>
  <c r="X234" i="4" s="1"/>
  <c r="X205" i="4"/>
  <c r="X211" i="4"/>
  <c r="Q52" i="9"/>
  <c r="X212" i="4"/>
  <c r="X219" i="4"/>
  <c r="X230" i="4"/>
  <c r="X199" i="4"/>
  <c r="X206" i="4"/>
  <c r="O69" i="9"/>
  <c r="X215" i="4"/>
  <c r="X200" i="4"/>
  <c r="X213" i="4"/>
  <c r="X221" i="4"/>
  <c r="X232" i="4"/>
  <c r="X201" i="4"/>
  <c r="X207" i="4"/>
  <c r="X216" i="4"/>
  <c r="JA12" i="7"/>
  <c r="JA8" i="7"/>
  <c r="JA9" i="7" s="1"/>
  <c r="BH10" i="7" l="1"/>
  <c r="O73" i="9"/>
  <c r="N219" i="11"/>
  <c r="R118" i="9"/>
  <c r="BH141" i="4"/>
  <c r="AE261" i="4"/>
  <c r="BH143" i="4"/>
  <c r="BG143" i="4"/>
  <c r="W100" i="9" s="1"/>
  <c r="AE112" i="4"/>
  <c r="AE143" i="4" s="1"/>
  <c r="BG136" i="4"/>
  <c r="AE105" i="4"/>
  <c r="AE136" i="4" s="1"/>
  <c r="BG141" i="4"/>
  <c r="W97" i="9" s="1"/>
  <c r="AE110" i="4"/>
  <c r="AE141" i="4" s="1"/>
  <c r="BH270" i="4"/>
  <c r="BH114" i="4" s="1"/>
  <c r="BG114" i="4"/>
  <c r="AD136" i="4"/>
  <c r="AD143" i="4"/>
  <c r="AE260" i="4"/>
  <c r="BH136" i="4"/>
  <c r="BG135" i="4"/>
  <c r="AE104" i="4"/>
  <c r="BG99" i="4"/>
  <c r="BH255" i="4"/>
  <c r="BH99" i="4" s="1"/>
  <c r="BH259" i="4"/>
  <c r="BH103" i="4" s="1"/>
  <c r="BG103" i="4"/>
  <c r="AD103" i="4" s="1"/>
  <c r="AD141" i="4"/>
  <c r="BH135" i="4"/>
  <c r="AD104" i="4"/>
  <c r="AD135" i="4" s="1"/>
  <c r="AE268" i="4"/>
  <c r="AE266" i="4"/>
  <c r="AD270" i="4"/>
  <c r="BF134" i="4"/>
  <c r="AC272" i="4"/>
  <c r="X431" i="4"/>
  <c r="JM9" i="7"/>
  <c r="AY63" i="11"/>
  <c r="AC99" i="4"/>
  <c r="AC130" i="4" s="1"/>
  <c r="BF130" i="4"/>
  <c r="X427" i="4"/>
  <c r="X417" i="4"/>
  <c r="X444" i="4"/>
  <c r="X441" i="4"/>
  <c r="X435" i="4"/>
  <c r="O7" i="9"/>
  <c r="X420" i="4"/>
  <c r="AC103" i="4"/>
  <c r="AC134" i="4" s="1"/>
  <c r="AY67" i="11"/>
  <c r="X433" i="4"/>
  <c r="X421" i="4"/>
  <c r="X418" i="4"/>
  <c r="X422" i="4"/>
  <c r="X437" i="4"/>
  <c r="X438" i="4"/>
  <c r="X446" i="4"/>
  <c r="X428" i="4"/>
  <c r="X425" i="4"/>
  <c r="X442" i="4"/>
  <c r="X436" i="4"/>
  <c r="X419" i="4"/>
  <c r="X439" i="4"/>
  <c r="X147" i="4"/>
  <c r="X426" i="4"/>
  <c r="X423" i="4"/>
  <c r="X432" i="4"/>
  <c r="X429" i="4"/>
  <c r="X424" i="4"/>
  <c r="X430" i="4"/>
  <c r="AY80" i="11"/>
  <c r="AC114" i="4"/>
  <c r="AC145" i="4" s="1"/>
  <c r="BF145" i="4"/>
  <c r="X231" i="4"/>
  <c r="X222" i="4"/>
  <c r="X73" i="4"/>
  <c r="BA367" i="4"/>
  <c r="X56" i="4"/>
  <c r="BA349" i="4"/>
  <c r="BA370" i="4"/>
  <c r="X76" i="4"/>
  <c r="BA362" i="4"/>
  <c r="X69" i="4"/>
  <c r="O2" i="9"/>
  <c r="BA361" i="4"/>
  <c r="X68" i="4"/>
  <c r="BA368" i="4"/>
  <c r="X74" i="4"/>
  <c r="BA66" i="4"/>
  <c r="X67" i="4"/>
  <c r="BA360" i="4"/>
  <c r="BA369" i="4"/>
  <c r="X75" i="4"/>
  <c r="X65" i="4"/>
  <c r="BA358" i="4"/>
  <c r="X59" i="4"/>
  <c r="BA352" i="4"/>
  <c r="BA364" i="4"/>
  <c r="X71" i="4"/>
  <c r="R52" i="9"/>
  <c r="S118" i="9" s="1"/>
  <c r="X209" i="4"/>
  <c r="X226" i="4"/>
  <c r="X203" i="4"/>
  <c r="X64" i="4"/>
  <c r="BA357" i="4"/>
  <c r="X58" i="4"/>
  <c r="BA351" i="4"/>
  <c r="BA373" i="4"/>
  <c r="X78" i="4"/>
  <c r="BA363" i="4"/>
  <c r="X70" i="4"/>
  <c r="X57" i="4"/>
  <c r="BA350" i="4"/>
  <c r="X72" i="4"/>
  <c r="BA366" i="4"/>
  <c r="X63" i="4"/>
  <c r="BA356" i="4"/>
  <c r="X62" i="4"/>
  <c r="BA355" i="4"/>
  <c r="BA354" i="4"/>
  <c r="X61" i="4"/>
  <c r="BA60" i="4"/>
  <c r="X198" i="4"/>
  <c r="W91" i="9" l="1"/>
  <c r="BH134" i="4"/>
  <c r="BH130" i="4"/>
  <c r="W90" i="9"/>
  <c r="BG134" i="4"/>
  <c r="AE103" i="4"/>
  <c r="AE134" i="4" s="1"/>
  <c r="BG130" i="4"/>
  <c r="AE99" i="4"/>
  <c r="BG145" i="4"/>
  <c r="W102" i="9" s="1"/>
  <c r="AE114" i="4"/>
  <c r="AE259" i="4"/>
  <c r="AE135" i="4"/>
  <c r="AE270" i="4"/>
  <c r="AD114" i="4"/>
  <c r="AD145" i="4" s="1"/>
  <c r="BH145" i="4"/>
  <c r="AD134" i="4"/>
  <c r="AE255" i="4"/>
  <c r="AD99" i="4"/>
  <c r="AD130" i="4" s="1"/>
  <c r="BA77" i="4"/>
  <c r="X225" i="4"/>
  <c r="BA353" i="4"/>
  <c r="X60" i="4"/>
  <c r="X55" i="4"/>
  <c r="BA348" i="4"/>
  <c r="BA79" i="4"/>
  <c r="BA18" i="7" s="1"/>
  <c r="BA33" i="4"/>
  <c r="S52" i="9"/>
  <c r="T118" i="9" s="1"/>
  <c r="X66" i="4"/>
  <c r="BA359" i="4"/>
  <c r="X220" i="4"/>
  <c r="W89" i="9" l="1"/>
  <c r="W85" i="9"/>
  <c r="AE145" i="4"/>
  <c r="AE130" i="4"/>
  <c r="BA19" i="7"/>
  <c r="Y19" i="7" s="1"/>
  <c r="X24" i="4"/>
  <c r="AT145" i="11"/>
  <c r="BA372" i="4"/>
  <c r="X77" i="4"/>
  <c r="T52" i="9"/>
  <c r="U118" i="9" s="1"/>
  <c r="X33" i="4"/>
  <c r="U52" i="9" l="1"/>
  <c r="X19" i="7"/>
  <c r="X18" i="7" s="1"/>
  <c r="AT147" i="11"/>
  <c r="AT139" i="11"/>
  <c r="AT146" i="11"/>
  <c r="AT131" i="11"/>
  <c r="AT127" i="11"/>
  <c r="AT143" i="11"/>
  <c r="BA374" i="4"/>
  <c r="AT128" i="11"/>
  <c r="AT122" i="11"/>
  <c r="AT124" i="11"/>
  <c r="AT129" i="11"/>
  <c r="AT137" i="11"/>
  <c r="AT136" i="11"/>
  <c r="AT140" i="11"/>
  <c r="AT134" i="11"/>
  <c r="AT125" i="11"/>
  <c r="AT142" i="11"/>
  <c r="AT130" i="11"/>
  <c r="BA12" i="4"/>
  <c r="AT141" i="11"/>
  <c r="AT123" i="11"/>
  <c r="X79" i="4"/>
  <c r="AT135" i="11"/>
  <c r="AT133" i="11"/>
  <c r="AT126" i="11"/>
  <c r="AT121" i="11"/>
  <c r="AT132" i="11"/>
  <c r="V52" i="9" l="1"/>
  <c r="V118" i="9"/>
  <c r="Y18" i="7"/>
  <c r="AT217" i="11"/>
  <c r="AN228" i="11" s="1"/>
  <c r="AT216" i="11"/>
  <c r="AN227" i="11" s="1"/>
  <c r="AT215" i="11"/>
  <c r="AN226" i="11" s="1"/>
  <c r="AT214" i="11"/>
  <c r="AN225" i="11" s="1"/>
  <c r="Z18" i="7" l="1"/>
  <c r="AT218" i="11"/>
  <c r="AN229" i="11" s="1"/>
  <c r="AA18" i="7" l="1"/>
  <c r="AT221" i="11"/>
  <c r="AB18" i="7" l="1"/>
  <c r="U21" i="4"/>
  <c r="V21" i="4"/>
  <c r="AC18" i="7" l="1"/>
  <c r="W21" i="4"/>
  <c r="AD18" i="7" l="1"/>
  <c r="BA375" i="4"/>
  <c r="X80" i="4"/>
  <c r="BA82" i="4"/>
  <c r="AT148" i="11"/>
  <c r="AE18" i="7" l="1"/>
  <c r="BA86" i="4"/>
  <c r="BA180" i="4"/>
  <c r="BA20" i="7"/>
  <c r="BA84" i="4"/>
  <c r="X84" i="4" s="1"/>
  <c r="X82" i="4"/>
  <c r="N220" i="11" s="1"/>
  <c r="X223" i="4"/>
  <c r="X197" i="4" s="1"/>
  <c r="BA168" i="4"/>
  <c r="BA170" i="4"/>
  <c r="BA175" i="4"/>
  <c r="BA157" i="4"/>
  <c r="BA162" i="4"/>
  <c r="BA171" i="4"/>
  <c r="BA179" i="4"/>
  <c r="BA172" i="4"/>
  <c r="BA158" i="4"/>
  <c r="BA163" i="4"/>
  <c r="BA166" i="4"/>
  <c r="BA173" i="4"/>
  <c r="BA165" i="4"/>
  <c r="BA167" i="4"/>
  <c r="BA377" i="4"/>
  <c r="BA155" i="4"/>
  <c r="BA160" i="4"/>
  <c r="BA159" i="4"/>
  <c r="BA156" i="4"/>
  <c r="BA177" i="4"/>
  <c r="BA174" i="4"/>
  <c r="BA161" i="4"/>
  <c r="BA178" i="4"/>
  <c r="AT150" i="11"/>
  <c r="BA176" i="4"/>
  <c r="BA169" i="4"/>
  <c r="BA164" i="4"/>
  <c r="BA182" i="4"/>
  <c r="BB84" i="4"/>
  <c r="Y84" i="4" l="1"/>
  <c r="X180" i="4"/>
  <c r="X86" i="4"/>
  <c r="BA21" i="7"/>
  <c r="X236" i="4"/>
  <c r="X21" i="4"/>
  <c r="BA83" i="4"/>
  <c r="X162" i="4"/>
  <c r="X161" i="4"/>
  <c r="X156" i="4"/>
  <c r="X175" i="4"/>
  <c r="X173" i="4"/>
  <c r="X158" i="4"/>
  <c r="X170" i="4"/>
  <c r="X174" i="4"/>
  <c r="X179" i="4"/>
  <c r="X171" i="4"/>
  <c r="X182" i="4"/>
  <c r="X167" i="4"/>
  <c r="X168" i="4"/>
  <c r="X20" i="7"/>
  <c r="X160" i="4"/>
  <c r="X166" i="4"/>
  <c r="X164" i="4"/>
  <c r="X172" i="4"/>
  <c r="X176" i="4"/>
  <c r="X177" i="4"/>
  <c r="X178" i="4"/>
  <c r="X155" i="4"/>
  <c r="X163" i="4"/>
  <c r="X159" i="4"/>
  <c r="X165" i="4"/>
  <c r="X169" i="4"/>
  <c r="X7" i="4"/>
  <c r="X157" i="4"/>
  <c r="X21" i="7" l="1"/>
  <c r="X6" i="4"/>
  <c r="X83" i="4"/>
  <c r="O57" i="9" l="1"/>
  <c r="BA87" i="4"/>
  <c r="O58" i="9"/>
  <c r="BB20" i="7"/>
  <c r="BC20" i="7" l="1"/>
  <c r="BC235" i="4" l="1"/>
  <c r="BC234" i="4"/>
  <c r="BC233" i="4"/>
  <c r="BC228" i="4"/>
  <c r="BC229" i="4"/>
  <c r="BC230" i="4"/>
  <c r="BC232" i="4"/>
  <c r="BC227" i="4"/>
  <c r="Y204" i="4"/>
  <c r="BB203" i="4"/>
  <c r="BB61" i="4"/>
  <c r="Y213" i="4"/>
  <c r="BB70" i="4"/>
  <c r="Y211" i="4"/>
  <c r="BB68" i="4"/>
  <c r="Y215" i="4"/>
  <c r="BB72" i="4"/>
  <c r="Y232" i="4"/>
  <c r="Y230" i="4"/>
  <c r="Y200" i="4"/>
  <c r="BB57" i="4"/>
  <c r="Y217" i="4"/>
  <c r="BB74" i="4"/>
  <c r="Y208" i="4"/>
  <c r="BB65" i="4"/>
  <c r="Y214" i="4"/>
  <c r="BB71" i="4"/>
  <c r="Y227" i="4"/>
  <c r="BC219" i="4"/>
  <c r="BC215" i="4"/>
  <c r="BC218" i="4"/>
  <c r="BC210" i="4"/>
  <c r="BD20" i="7"/>
  <c r="BC207" i="4"/>
  <c r="BC217" i="4"/>
  <c r="BC206" i="4"/>
  <c r="BC213" i="4"/>
  <c r="BC221" i="4"/>
  <c r="BC212" i="4"/>
  <c r="BC208" i="4"/>
  <c r="BC214" i="4"/>
  <c r="BC204" i="4"/>
  <c r="BB209" i="4"/>
  <c r="Y210" i="4"/>
  <c r="BB67" i="4"/>
  <c r="Y207" i="4"/>
  <c r="BB64" i="4"/>
  <c r="Y221" i="4"/>
  <c r="BB78" i="4"/>
  <c r="Y201" i="4"/>
  <c r="BB58" i="4"/>
  <c r="P69" i="9"/>
  <c r="Y206" i="4"/>
  <c r="BB63" i="4"/>
  <c r="Y228" i="4"/>
  <c r="Y235" i="4"/>
  <c r="Y234" i="4" s="1"/>
  <c r="Y205" i="4"/>
  <c r="BB62" i="4"/>
  <c r="Y218" i="4"/>
  <c r="BB75" i="4"/>
  <c r="Y212" i="4"/>
  <c r="BB69" i="4"/>
  <c r="Y233" i="4"/>
  <c r="Y229" i="4"/>
  <c r="Y219" i="4"/>
  <c r="BB76" i="4"/>
  <c r="Y216" i="4"/>
  <c r="BB73" i="4"/>
  <c r="Q207" i="9" l="1"/>
  <c r="BD235" i="4"/>
  <c r="BD233" i="4"/>
  <c r="BD234" i="4"/>
  <c r="BD232" i="4"/>
  <c r="BC231" i="4"/>
  <c r="BD227" i="4"/>
  <c r="BD229" i="4"/>
  <c r="BD228" i="4"/>
  <c r="BD230" i="4"/>
  <c r="BB220" i="4"/>
  <c r="BB197" i="4"/>
  <c r="Z207" i="4"/>
  <c r="Z221" i="4"/>
  <c r="Z210" i="4"/>
  <c r="Z213" i="4"/>
  <c r="Z218" i="4"/>
  <c r="Z229" i="4"/>
  <c r="Z219" i="4"/>
  <c r="Z230" i="4"/>
  <c r="Z228" i="4"/>
  <c r="Z206" i="4"/>
  <c r="Z208" i="4"/>
  <c r="Z233" i="4"/>
  <c r="Z204" i="4"/>
  <c r="Z212" i="4"/>
  <c r="Z215" i="4"/>
  <c r="Y231" i="4"/>
  <c r="Y209" i="4"/>
  <c r="BC226" i="4"/>
  <c r="Q69" i="9"/>
  <c r="BC63" i="4"/>
  <c r="BB364" i="4"/>
  <c r="Y71" i="4"/>
  <c r="BB368" i="4"/>
  <c r="Y74" i="4"/>
  <c r="BB350" i="4"/>
  <c r="Y57" i="4"/>
  <c r="BB355" i="4"/>
  <c r="Y62" i="4"/>
  <c r="BB356" i="4"/>
  <c r="Y63" i="4"/>
  <c r="BC78" i="4"/>
  <c r="BC75" i="4"/>
  <c r="Y226" i="4"/>
  <c r="BB351" i="4"/>
  <c r="Y58" i="4"/>
  <c r="BB373" i="4"/>
  <c r="Y78" i="4"/>
  <c r="BB357" i="4"/>
  <c r="Y64" i="4"/>
  <c r="BB360" i="4"/>
  <c r="Y67" i="4"/>
  <c r="BB66" i="4"/>
  <c r="BC65" i="4"/>
  <c r="BC74" i="4"/>
  <c r="BD221" i="4"/>
  <c r="BD213" i="4"/>
  <c r="BD214" i="4"/>
  <c r="BE20" i="7"/>
  <c r="BD208" i="4"/>
  <c r="BD212" i="4"/>
  <c r="BD210" i="4"/>
  <c r="BD219" i="4"/>
  <c r="BD207" i="4"/>
  <c r="Z227" i="4"/>
  <c r="Z217" i="4"/>
  <c r="Z232" i="4"/>
  <c r="BC71" i="4"/>
  <c r="BC64" i="4"/>
  <c r="BC76" i="4"/>
  <c r="BB358" i="4"/>
  <c r="Y65" i="4"/>
  <c r="BB362" i="4"/>
  <c r="Y69" i="4"/>
  <c r="BB369" i="4"/>
  <c r="Y75" i="4"/>
  <c r="BB367" i="4"/>
  <c r="Y73" i="4"/>
  <c r="BB370" i="4"/>
  <c r="Y76" i="4"/>
  <c r="BC61" i="4"/>
  <c r="BC69" i="4"/>
  <c r="BC70" i="4"/>
  <c r="BC67" i="4"/>
  <c r="Z214" i="4"/>
  <c r="BB366" i="4"/>
  <c r="Y72" i="4"/>
  <c r="BB361" i="4"/>
  <c r="Y68" i="4"/>
  <c r="BB363" i="4"/>
  <c r="Y70" i="4"/>
  <c r="BB354" i="4"/>
  <c r="Y61" i="4"/>
  <c r="BB60" i="4"/>
  <c r="Y203" i="4"/>
  <c r="R207" i="9" l="1"/>
  <c r="BD231" i="4"/>
  <c r="V30" i="9"/>
  <c r="T30" i="9"/>
  <c r="R30" i="9"/>
  <c r="BD265" i="4" s="1"/>
  <c r="AA265" i="4" s="1"/>
  <c r="V29" i="9"/>
  <c r="T29" i="9"/>
  <c r="R29" i="9"/>
  <c r="BD264" i="4" s="1"/>
  <c r="T28" i="9"/>
  <c r="R28" i="9"/>
  <c r="V27" i="9"/>
  <c r="T27" i="9"/>
  <c r="R27" i="9"/>
  <c r="BD262" i="4" s="1"/>
  <c r="AA262" i="4" s="1"/>
  <c r="V22" i="9"/>
  <c r="T22" i="9"/>
  <c r="R22" i="9"/>
  <c r="V21" i="9"/>
  <c r="T21" i="9"/>
  <c r="V17" i="9"/>
  <c r="T17" i="9"/>
  <c r="R17" i="9"/>
  <c r="BD253" i="4" s="1"/>
  <c r="AA253" i="4" s="1"/>
  <c r="T16" i="9"/>
  <c r="R16" i="9"/>
  <c r="V15" i="9"/>
  <c r="T15" i="9"/>
  <c r="R15" i="9"/>
  <c r="BD251" i="4" s="1"/>
  <c r="AA251" i="4" s="1"/>
  <c r="V12" i="9"/>
  <c r="T12" i="9"/>
  <c r="R12" i="9"/>
  <c r="V11" i="9"/>
  <c r="T11" i="9"/>
  <c r="R11" i="9"/>
  <c r="V10" i="9"/>
  <c r="T10" i="9"/>
  <c r="U21" i="9"/>
  <c r="S21" i="9"/>
  <c r="BE257" i="4" s="1"/>
  <c r="AB257" i="4" s="1"/>
  <c r="U17" i="9"/>
  <c r="Q16" i="9"/>
  <c r="BC252" i="4" s="1"/>
  <c r="BC250" i="4" s="1"/>
  <c r="S12" i="9"/>
  <c r="U11" i="9"/>
  <c r="S11" i="9"/>
  <c r="Q11" i="9"/>
  <c r="BC247" i="4" s="1"/>
  <c r="U30" i="9"/>
  <c r="S30" i="9"/>
  <c r="U29" i="9"/>
  <c r="S29" i="9"/>
  <c r="U28" i="9"/>
  <c r="S28" i="9"/>
  <c r="Q28" i="9"/>
  <c r="BC263" i="4" s="1"/>
  <c r="U27" i="9"/>
  <c r="S27" i="9"/>
  <c r="BE262" i="4" s="1"/>
  <c r="BE215" i="4" s="1"/>
  <c r="U22" i="9"/>
  <c r="S22" i="9"/>
  <c r="Q22" i="9"/>
  <c r="BC258" i="4" s="1"/>
  <c r="S17" i="9"/>
  <c r="S16" i="9"/>
  <c r="U15" i="9"/>
  <c r="S15" i="9"/>
  <c r="U12" i="9"/>
  <c r="Q12" i="9"/>
  <c r="BC248" i="4" s="1"/>
  <c r="U10" i="9"/>
  <c r="S10" i="9"/>
  <c r="Q10" i="9"/>
  <c r="BE234" i="4"/>
  <c r="BE232" i="4"/>
  <c r="BE235" i="4"/>
  <c r="BE233" i="4"/>
  <c r="BE229" i="4"/>
  <c r="BE228" i="4"/>
  <c r="BE227" i="4"/>
  <c r="BE230" i="4"/>
  <c r="Z65" i="4"/>
  <c r="Z226" i="4"/>
  <c r="Z231" i="4"/>
  <c r="Y225" i="4"/>
  <c r="Z67" i="4"/>
  <c r="Z71" i="4"/>
  <c r="AA213" i="4"/>
  <c r="Z70" i="4"/>
  <c r="Z78" i="4"/>
  <c r="Z74" i="4"/>
  <c r="AA210" i="4"/>
  <c r="AA219" i="4"/>
  <c r="AA229" i="4"/>
  <c r="AA228" i="4"/>
  <c r="Z69" i="4"/>
  <c r="Z61" i="4"/>
  <c r="AA214" i="4"/>
  <c r="Z76" i="4"/>
  <c r="AA207" i="4"/>
  <c r="AA212" i="4"/>
  <c r="Z63" i="4"/>
  <c r="BE208" i="4"/>
  <c r="BE219" i="4"/>
  <c r="BE221" i="4"/>
  <c r="BE210" i="4"/>
  <c r="BF20" i="7"/>
  <c r="BE214" i="4"/>
  <c r="BE212" i="4"/>
  <c r="BE213" i="4"/>
  <c r="BD78" i="4"/>
  <c r="BD70" i="4"/>
  <c r="BD226" i="4"/>
  <c r="AA221" i="4"/>
  <c r="BB353" i="4"/>
  <c r="Y60" i="4"/>
  <c r="BD67" i="4"/>
  <c r="BD71" i="4"/>
  <c r="BB359" i="4"/>
  <c r="Y66" i="4"/>
  <c r="Z64" i="4"/>
  <c r="AA227" i="4"/>
  <c r="BD65" i="4"/>
  <c r="AA208" i="4"/>
  <c r="AA233" i="4"/>
  <c r="BD76" i="4"/>
  <c r="Z75" i="4"/>
  <c r="AA230" i="4"/>
  <c r="BD64" i="4"/>
  <c r="BD69" i="4"/>
  <c r="AA232" i="4"/>
  <c r="S207" i="9" l="1"/>
  <c r="BD225" i="4"/>
  <c r="BC256" i="4"/>
  <c r="Q20" i="9" s="1"/>
  <c r="Z258" i="4"/>
  <c r="BD258" i="4"/>
  <c r="BE258" i="4" s="1"/>
  <c r="BC102" i="4"/>
  <c r="BC211" i="4"/>
  <c r="BD247" i="4"/>
  <c r="AA247" i="4" s="1"/>
  <c r="Z247" i="4"/>
  <c r="BC91" i="4"/>
  <c r="BC200" i="4"/>
  <c r="Z252" i="4"/>
  <c r="Z250" i="4" s="1"/>
  <c r="BC96" i="4"/>
  <c r="BC94" i="4" s="1"/>
  <c r="BD252" i="4"/>
  <c r="AA252" i="4" s="1"/>
  <c r="AA250" i="4" s="1"/>
  <c r="BC205" i="4"/>
  <c r="BE101" i="4"/>
  <c r="AB101" i="4" s="1"/>
  <c r="AB132" i="4" s="1"/>
  <c r="BF257" i="4"/>
  <c r="AC257" i="4" s="1"/>
  <c r="BE251" i="4"/>
  <c r="AB251" i="4" s="1"/>
  <c r="BD95" i="4"/>
  <c r="AA95" i="4" s="1"/>
  <c r="AA126" i="4" s="1"/>
  <c r="BD204" i="4"/>
  <c r="AA264" i="4"/>
  <c r="BD108" i="4"/>
  <c r="AA108" i="4" s="1"/>
  <c r="AA139" i="4" s="1"/>
  <c r="BE264" i="4"/>
  <c r="AB264" i="4" s="1"/>
  <c r="BD217" i="4"/>
  <c r="BD263" i="4"/>
  <c r="AA263" i="4" s="1"/>
  <c r="Q236" i="9"/>
  <c r="Z248" i="4"/>
  <c r="BC92" i="4"/>
  <c r="BC201" i="4"/>
  <c r="BE106" i="4"/>
  <c r="BF262" i="4"/>
  <c r="AC262" i="4" s="1"/>
  <c r="BC107" i="4"/>
  <c r="Z263" i="4"/>
  <c r="BC216" i="4"/>
  <c r="BD97" i="4"/>
  <c r="AA97" i="4" s="1"/>
  <c r="AA128" i="4" s="1"/>
  <c r="BE253" i="4"/>
  <c r="AB253" i="4" s="1"/>
  <c r="BD206" i="4"/>
  <c r="BD106" i="4"/>
  <c r="AA106" i="4" s="1"/>
  <c r="AA137" i="4" s="1"/>
  <c r="AB262" i="4"/>
  <c r="BD215" i="4"/>
  <c r="BE265" i="4"/>
  <c r="BD109" i="4"/>
  <c r="AA109" i="4" s="1"/>
  <c r="AA140" i="4" s="1"/>
  <c r="AB265" i="4"/>
  <c r="BD218" i="4"/>
  <c r="BD248" i="4"/>
  <c r="AA248" i="4" s="1"/>
  <c r="BE231" i="4"/>
  <c r="BF235" i="4"/>
  <c r="BF233" i="4"/>
  <c r="BF234" i="4"/>
  <c r="BF232" i="4"/>
  <c r="BG20" i="7"/>
  <c r="BF229" i="4"/>
  <c r="BF228" i="4"/>
  <c r="BF227" i="4"/>
  <c r="BF230" i="4"/>
  <c r="AA226" i="4"/>
  <c r="AA76" i="4"/>
  <c r="AA71" i="4"/>
  <c r="AA78" i="4"/>
  <c r="AB232" i="4"/>
  <c r="AB210" i="4"/>
  <c r="AB229" i="4"/>
  <c r="AB235" i="4"/>
  <c r="AB234" i="4" s="1"/>
  <c r="AA67" i="4"/>
  <c r="AB214" i="4"/>
  <c r="AB208" i="4"/>
  <c r="AB233" i="4"/>
  <c r="AB212" i="4"/>
  <c r="AA69" i="4"/>
  <c r="AA231" i="4"/>
  <c r="BE70" i="4"/>
  <c r="BE72" i="4"/>
  <c r="BE76" i="4"/>
  <c r="AB230" i="4"/>
  <c r="AA65" i="4"/>
  <c r="BE69" i="4"/>
  <c r="BF214" i="4"/>
  <c r="BF213" i="4"/>
  <c r="BF212" i="4"/>
  <c r="BF219" i="4"/>
  <c r="BF208" i="4"/>
  <c r="BF221" i="4"/>
  <c r="BE65" i="4"/>
  <c r="AA64" i="4"/>
  <c r="AB213" i="4"/>
  <c r="BE226" i="4"/>
  <c r="BE78" i="4"/>
  <c r="AB228" i="4"/>
  <c r="AB219" i="4"/>
  <c r="AA70" i="4"/>
  <c r="AB227" i="4"/>
  <c r="AB221" i="4"/>
  <c r="BE71" i="4"/>
  <c r="BE67" i="4"/>
  <c r="AA258" i="4" l="1"/>
  <c r="T207" i="9"/>
  <c r="AB215" i="4"/>
  <c r="AA204" i="4"/>
  <c r="AA206" i="4"/>
  <c r="BF210" i="4"/>
  <c r="AC210" i="4" s="1"/>
  <c r="BD250" i="4"/>
  <c r="BF215" i="4"/>
  <c r="BE225" i="4"/>
  <c r="BD75" i="4"/>
  <c r="AA218" i="4"/>
  <c r="BD72" i="4"/>
  <c r="AA215" i="4"/>
  <c r="BD74" i="4"/>
  <c r="AA217" i="4"/>
  <c r="BC100" i="4"/>
  <c r="Z256" i="4"/>
  <c r="Z94" i="4"/>
  <c r="Z125" i="4" s="1"/>
  <c r="AV58" i="11"/>
  <c r="BC125" i="4"/>
  <c r="AA256" i="4"/>
  <c r="BD256" i="4"/>
  <c r="R20" i="9" s="1"/>
  <c r="R236" i="9"/>
  <c r="BD92" i="4"/>
  <c r="BD201" i="4"/>
  <c r="BE102" i="4"/>
  <c r="BF258" i="4"/>
  <c r="AC258" i="4" s="1"/>
  <c r="BE211" i="4"/>
  <c r="BF265" i="4"/>
  <c r="BE109" i="4"/>
  <c r="AC265" i="4"/>
  <c r="BE218" i="4"/>
  <c r="BD63" i="4"/>
  <c r="R69" i="9"/>
  <c r="BF253" i="4"/>
  <c r="AC253" i="4" s="1"/>
  <c r="BE97" i="4"/>
  <c r="BE206" i="4"/>
  <c r="Z216" i="4"/>
  <c r="BC73" i="4"/>
  <c r="AX71" i="11"/>
  <c r="BE137" i="4"/>
  <c r="BE263" i="4"/>
  <c r="BE256" i="4" s="1"/>
  <c r="BD107" i="4"/>
  <c r="BD216" i="4"/>
  <c r="BE108" i="4"/>
  <c r="BF264" i="4"/>
  <c r="AC264" i="4" s="1"/>
  <c r="BE217" i="4"/>
  <c r="BG257" i="4"/>
  <c r="BG210" i="4" s="1"/>
  <c r="BF101" i="4"/>
  <c r="AC101" i="4" s="1"/>
  <c r="AC132" i="4" s="1"/>
  <c r="BC203" i="4"/>
  <c r="Z205" i="4"/>
  <c r="Z203" i="4" s="1"/>
  <c r="BC62" i="4"/>
  <c r="BD96" i="4"/>
  <c r="AA96" i="4" s="1"/>
  <c r="BE252" i="4"/>
  <c r="AB252" i="4" s="1"/>
  <c r="BD205" i="4"/>
  <c r="Z211" i="4"/>
  <c r="BC68" i="4"/>
  <c r="BC209" i="4"/>
  <c r="AV66" i="11"/>
  <c r="BC133" i="4"/>
  <c r="Z102" i="4"/>
  <c r="Z133" i="4" s="1"/>
  <c r="AW74" i="11"/>
  <c r="BD140" i="4"/>
  <c r="AB109" i="4"/>
  <c r="AB140" i="4" s="1"/>
  <c r="BD137" i="4"/>
  <c r="AW71" i="11"/>
  <c r="AB106" i="4"/>
  <c r="AB137" i="4" s="1"/>
  <c r="AW61" i="11"/>
  <c r="BD128" i="4"/>
  <c r="AB97" i="4"/>
  <c r="AB128" i="4" s="1"/>
  <c r="AV72" i="11"/>
  <c r="Z107" i="4"/>
  <c r="Z138" i="4" s="1"/>
  <c r="BC138" i="4"/>
  <c r="AA107" i="4"/>
  <c r="AA138" i="4" s="1"/>
  <c r="BG262" i="4"/>
  <c r="BG215" i="4" s="1"/>
  <c r="BF106" i="4"/>
  <c r="AC106" i="4" s="1"/>
  <c r="Z201" i="4"/>
  <c r="BC58" i="4"/>
  <c r="Z92" i="4"/>
  <c r="Z123" i="4" s="1"/>
  <c r="AV56" i="11"/>
  <c r="BC123" i="4"/>
  <c r="AA92" i="4"/>
  <c r="BD139" i="4"/>
  <c r="AW73" i="11"/>
  <c r="AB108" i="4"/>
  <c r="AB139" i="4" s="1"/>
  <c r="BD61" i="4"/>
  <c r="BD126" i="4"/>
  <c r="AW59" i="11"/>
  <c r="BD94" i="4"/>
  <c r="BF251" i="4"/>
  <c r="AC251" i="4" s="1"/>
  <c r="BE95" i="4"/>
  <c r="AB95" i="4" s="1"/>
  <c r="AB126" i="4" s="1"/>
  <c r="BE204" i="4"/>
  <c r="BE132" i="4"/>
  <c r="AX65" i="11"/>
  <c r="BC127" i="4"/>
  <c r="AV60" i="11"/>
  <c r="Z96" i="4"/>
  <c r="Z127" i="4" s="1"/>
  <c r="Z200" i="4"/>
  <c r="BC57" i="4"/>
  <c r="BC122" i="4"/>
  <c r="AV55" i="11"/>
  <c r="Z91" i="4"/>
  <c r="Z122" i="4" s="1"/>
  <c r="BD91" i="4"/>
  <c r="AA91" i="4" s="1"/>
  <c r="BE247" i="4"/>
  <c r="AB247" i="4" s="1"/>
  <c r="BD200" i="4"/>
  <c r="BD102" i="4"/>
  <c r="AB258" i="4"/>
  <c r="BD211" i="4"/>
  <c r="BE248" i="4"/>
  <c r="AB248" i="4" s="1"/>
  <c r="BF231" i="4"/>
  <c r="BG234" i="4"/>
  <c r="BG232" i="4"/>
  <c r="BG235" i="4"/>
  <c r="BG233" i="4"/>
  <c r="BH20" i="7"/>
  <c r="BG229" i="4"/>
  <c r="BG230" i="4"/>
  <c r="BG219" i="4"/>
  <c r="BG213" i="4"/>
  <c r="BG208" i="4"/>
  <c r="BG228" i="4"/>
  <c r="BG221" i="4"/>
  <c r="BG214" i="4"/>
  <c r="BG212" i="4"/>
  <c r="BG227" i="4"/>
  <c r="AB231" i="4"/>
  <c r="AC230" i="4"/>
  <c r="AC235" i="4"/>
  <c r="AC234" i="4" s="1"/>
  <c r="AC208" i="4"/>
  <c r="AC229" i="4"/>
  <c r="AC232" i="4"/>
  <c r="AC221" i="4"/>
  <c r="AB70" i="4"/>
  <c r="AB76" i="4"/>
  <c r="AC227" i="4"/>
  <c r="AC214" i="4"/>
  <c r="AC213" i="4"/>
  <c r="AC233" i="4"/>
  <c r="AB69" i="4"/>
  <c r="AC228" i="4"/>
  <c r="AB67" i="4"/>
  <c r="BF78" i="4"/>
  <c r="BF76" i="4"/>
  <c r="BF69" i="4"/>
  <c r="BF226" i="4"/>
  <c r="AC212" i="4"/>
  <c r="AB226" i="4"/>
  <c r="BF65" i="4"/>
  <c r="AB65" i="4"/>
  <c r="AC219" i="4"/>
  <c r="AB71" i="4"/>
  <c r="BF71" i="4"/>
  <c r="AB78" i="4"/>
  <c r="BF70" i="4"/>
  <c r="BF67" i="4" l="1"/>
  <c r="AB263" i="4"/>
  <c r="AD210" i="4"/>
  <c r="AD214" i="4"/>
  <c r="AD228" i="4"/>
  <c r="AD213" i="4"/>
  <c r="AD230" i="4"/>
  <c r="AD235" i="4"/>
  <c r="AD234" i="4" s="1"/>
  <c r="AA200" i="4"/>
  <c r="BC60" i="4"/>
  <c r="Z60" i="4" s="1"/>
  <c r="AA216" i="4"/>
  <c r="AB206" i="4"/>
  <c r="AA74" i="4"/>
  <c r="AB72" i="4"/>
  <c r="AA75" i="4"/>
  <c r="BF72" i="4"/>
  <c r="AD212" i="4"/>
  <c r="U207" i="9"/>
  <c r="AD208" i="4"/>
  <c r="AD219" i="4"/>
  <c r="AD229" i="4"/>
  <c r="AD233" i="4"/>
  <c r="AD232" i="4"/>
  <c r="AA211" i="4"/>
  <c r="AA205" i="4"/>
  <c r="AA203" i="4" s="1"/>
  <c r="AA63" i="4"/>
  <c r="AA201" i="4"/>
  <c r="AC215" i="4"/>
  <c r="AD215" i="4"/>
  <c r="AD221" i="4"/>
  <c r="BD100" i="4"/>
  <c r="AW64" i="11" s="1"/>
  <c r="AB256" i="4"/>
  <c r="Z209" i="4"/>
  <c r="BD203" i="4"/>
  <c r="BE61" i="4"/>
  <c r="AB204" i="4"/>
  <c r="AA61" i="4"/>
  <c r="BE74" i="4"/>
  <c r="AB217" i="4"/>
  <c r="BE75" i="4"/>
  <c r="AB218" i="4"/>
  <c r="Z100" i="4"/>
  <c r="Z131" i="4" s="1"/>
  <c r="BC131" i="4"/>
  <c r="AV64" i="11"/>
  <c r="AA127" i="4"/>
  <c r="AA102" i="4"/>
  <c r="AA133" i="4" s="1"/>
  <c r="S236" i="9"/>
  <c r="BF248" i="4"/>
  <c r="BE92" i="4"/>
  <c r="AC248" i="4"/>
  <c r="BE201" i="4"/>
  <c r="BD57" i="4"/>
  <c r="AA57" i="4" s="1"/>
  <c r="BF247" i="4"/>
  <c r="AC247" i="4" s="1"/>
  <c r="BE91" i="4"/>
  <c r="AB91" i="4" s="1"/>
  <c r="AB122" i="4" s="1"/>
  <c r="BE200" i="4"/>
  <c r="BG251" i="4"/>
  <c r="BF95" i="4"/>
  <c r="AD251" i="4"/>
  <c r="BF204" i="4"/>
  <c r="AA94" i="4"/>
  <c r="AA125" i="4" s="1"/>
  <c r="BD125" i="4"/>
  <c r="AW58" i="11"/>
  <c r="AD262" i="4"/>
  <c r="BH262" i="4"/>
  <c r="BH215" i="4" s="1"/>
  <c r="BG106" i="4"/>
  <c r="BG137" i="4" s="1"/>
  <c r="Z68" i="4"/>
  <c r="BD62" i="4"/>
  <c r="BE96" i="4"/>
  <c r="AB96" i="4" s="1"/>
  <c r="AB127" i="4" s="1"/>
  <c r="BF252" i="4"/>
  <c r="AC252" i="4" s="1"/>
  <c r="BE205" i="4"/>
  <c r="AY65" i="11"/>
  <c r="BF132" i="4"/>
  <c r="AD257" i="4"/>
  <c r="BG101" i="4"/>
  <c r="AD101" i="4" s="1"/>
  <c r="AD132" i="4" s="1"/>
  <c r="BH257" i="4"/>
  <c r="AE257" i="4" s="1"/>
  <c r="AX73" i="11"/>
  <c r="BE139" i="4"/>
  <c r="BE107" i="4"/>
  <c r="BE100" i="4" s="1"/>
  <c r="BF263" i="4"/>
  <c r="BF256" i="4" s="1"/>
  <c r="BE216" i="4"/>
  <c r="BG253" i="4"/>
  <c r="BF97" i="4"/>
  <c r="AC97" i="4" s="1"/>
  <c r="AC128" i="4" s="1"/>
  <c r="BF206" i="4"/>
  <c r="BG265" i="4"/>
  <c r="AD265" i="4" s="1"/>
  <c r="BF109" i="4"/>
  <c r="AC109" i="4" s="1"/>
  <c r="AC140" i="4" s="1"/>
  <c r="BF218" i="4"/>
  <c r="BE133" i="4"/>
  <c r="AX66" i="11"/>
  <c r="AA122" i="4"/>
  <c r="AA123" i="4"/>
  <c r="BD68" i="4"/>
  <c r="BD209" i="4"/>
  <c r="AB211" i="4"/>
  <c r="AW66" i="11"/>
  <c r="BD133" i="4"/>
  <c r="AB102" i="4"/>
  <c r="BD122" i="4"/>
  <c r="AW55" i="11"/>
  <c r="Z57" i="4"/>
  <c r="BE126" i="4"/>
  <c r="AX59" i="11"/>
  <c r="AC95" i="4"/>
  <c r="AC126" i="4" s="1"/>
  <c r="Z58" i="4"/>
  <c r="BF137" i="4"/>
  <c r="AY71" i="11"/>
  <c r="AD106" i="4"/>
  <c r="AD137" i="4" s="1"/>
  <c r="AW60" i="11"/>
  <c r="BD127" i="4"/>
  <c r="Z62" i="4"/>
  <c r="AA62" i="4"/>
  <c r="BF108" i="4"/>
  <c r="AC108" i="4" s="1"/>
  <c r="AC139" i="4" s="1"/>
  <c r="BG264" i="4"/>
  <c r="BF217" i="4"/>
  <c r="BD73" i="4"/>
  <c r="BD138" i="4"/>
  <c r="AW72" i="11"/>
  <c r="Z73" i="4"/>
  <c r="BE63" i="4"/>
  <c r="S69" i="9"/>
  <c r="AX61" i="11"/>
  <c r="BE128" i="4"/>
  <c r="V28" i="9"/>
  <c r="R10" i="9"/>
  <c r="U16" i="9"/>
  <c r="AX74" i="11"/>
  <c r="BE140" i="4"/>
  <c r="BE68" i="4"/>
  <c r="BF102" i="4"/>
  <c r="BG258" i="4"/>
  <c r="BF211" i="4"/>
  <c r="BD58" i="4"/>
  <c r="BD123" i="4"/>
  <c r="AW56" i="11"/>
  <c r="AB92" i="4"/>
  <c r="AB123" i="4" s="1"/>
  <c r="AC137" i="4"/>
  <c r="BF225" i="4"/>
  <c r="BG72" i="4"/>
  <c r="BG226" i="4"/>
  <c r="BG65" i="4"/>
  <c r="BH235" i="4"/>
  <c r="BH233" i="4"/>
  <c r="BH234" i="4"/>
  <c r="BH232" i="4"/>
  <c r="BH214" i="4"/>
  <c r="BH213" i="4"/>
  <c r="BH230" i="4"/>
  <c r="BH219" i="4"/>
  <c r="BH221" i="4"/>
  <c r="BH212" i="4"/>
  <c r="BH227" i="4"/>
  <c r="BH228" i="4"/>
  <c r="BH229" i="4"/>
  <c r="BH208" i="4"/>
  <c r="BG67" i="4"/>
  <c r="BG69" i="4"/>
  <c r="BG71" i="4"/>
  <c r="BG78" i="4"/>
  <c r="BG70" i="4"/>
  <c r="BG76" i="4"/>
  <c r="BG231" i="4"/>
  <c r="AD227" i="4"/>
  <c r="AC69" i="4"/>
  <c r="AB225" i="4"/>
  <c r="AC231" i="4"/>
  <c r="AC70" i="4"/>
  <c r="AC76" i="4"/>
  <c r="AC226" i="4"/>
  <c r="AC67" i="4"/>
  <c r="AC78" i="4"/>
  <c r="AC65" i="4"/>
  <c r="AC71" i="4"/>
  <c r="AB133" i="4" l="1"/>
  <c r="AD231" i="4"/>
  <c r="AC72" i="4"/>
  <c r="AA209" i="4"/>
  <c r="AD226" i="4"/>
  <c r="AD70" i="4"/>
  <c r="AA73" i="4"/>
  <c r="AD71" i="4"/>
  <c r="V207" i="9"/>
  <c r="AE214" i="4"/>
  <c r="AC211" i="4"/>
  <c r="AB63" i="4"/>
  <c r="AC218" i="4"/>
  <c r="AB200" i="4"/>
  <c r="AB201" i="4"/>
  <c r="AB61" i="4"/>
  <c r="AD69" i="4"/>
  <c r="AE212" i="4"/>
  <c r="AE219" i="4"/>
  <c r="AE213" i="4"/>
  <c r="AD72" i="4"/>
  <c r="BE209" i="4"/>
  <c r="AB205" i="4"/>
  <c r="AE215" i="4"/>
  <c r="AB75" i="4"/>
  <c r="AB74" i="4"/>
  <c r="BH210" i="4"/>
  <c r="BD131" i="4"/>
  <c r="AB100" i="4"/>
  <c r="AA100" i="4"/>
  <c r="AA131" i="4" s="1"/>
  <c r="AB216" i="4"/>
  <c r="AB209" i="4" s="1"/>
  <c r="AX64" i="11"/>
  <c r="AB107" i="4"/>
  <c r="AB138" i="4" s="1"/>
  <c r="BE131" i="4"/>
  <c r="BF74" i="4"/>
  <c r="AC217" i="4"/>
  <c r="BF63" i="4"/>
  <c r="AC206" i="4"/>
  <c r="AC263" i="4"/>
  <c r="AC256" i="4" s="1"/>
  <c r="BD60" i="4"/>
  <c r="AA60" i="4" s="1"/>
  <c r="AB68" i="4"/>
  <c r="BD66" i="4"/>
  <c r="BF61" i="4"/>
  <c r="AC204" i="4"/>
  <c r="AA58" i="4"/>
  <c r="AC102" i="4"/>
  <c r="AC133" i="4" s="1"/>
  <c r="AA68" i="4"/>
  <c r="W93" i="9"/>
  <c r="BF68" i="4"/>
  <c r="BF133" i="4"/>
  <c r="AY66" i="11"/>
  <c r="T69" i="9"/>
  <c r="V16" i="9"/>
  <c r="AD264" i="4"/>
  <c r="BH264" i="4"/>
  <c r="BG108" i="4"/>
  <c r="AE264" i="4"/>
  <c r="BG217" i="4"/>
  <c r="BH265" i="4"/>
  <c r="BG109" i="4"/>
  <c r="BG218" i="4"/>
  <c r="BF128" i="4"/>
  <c r="AY61" i="11"/>
  <c r="BE73" i="4"/>
  <c r="BG263" i="4"/>
  <c r="BG256" i="4" s="1"/>
  <c r="BF107" i="4"/>
  <c r="BF100" i="4" s="1"/>
  <c r="BF216" i="4"/>
  <c r="BG132" i="4"/>
  <c r="BE62" i="4"/>
  <c r="BF96" i="4"/>
  <c r="AC96" i="4" s="1"/>
  <c r="AC127" i="4" s="1"/>
  <c r="BG252" i="4"/>
  <c r="BF205" i="4"/>
  <c r="AY59" i="11"/>
  <c r="BF126" i="4"/>
  <c r="BE57" i="4"/>
  <c r="BE58" i="4"/>
  <c r="BE123" i="4"/>
  <c r="AX56" i="11"/>
  <c r="AD258" i="4"/>
  <c r="BH258" i="4"/>
  <c r="BG102" i="4"/>
  <c r="AE258" i="4"/>
  <c r="BG211" i="4"/>
  <c r="BF139" i="4"/>
  <c r="AY73" i="11"/>
  <c r="BF75" i="4"/>
  <c r="AY74" i="11"/>
  <c r="BF140" i="4"/>
  <c r="AD253" i="4"/>
  <c r="BG97" i="4"/>
  <c r="AD97" i="4" s="1"/>
  <c r="AD128" i="4" s="1"/>
  <c r="BH253" i="4"/>
  <c r="AE253" i="4" s="1"/>
  <c r="BG206" i="4"/>
  <c r="BE138" i="4"/>
  <c r="AX72" i="11"/>
  <c r="BH101" i="4"/>
  <c r="AE101" i="4" s="1"/>
  <c r="AE132" i="4" s="1"/>
  <c r="BE127" i="4"/>
  <c r="AX60" i="11"/>
  <c r="AE262" i="4"/>
  <c r="BH106" i="4"/>
  <c r="BH251" i="4"/>
  <c r="BG95" i="4"/>
  <c r="AD95" i="4" s="1"/>
  <c r="AD126" i="4" s="1"/>
  <c r="BG204" i="4"/>
  <c r="AX55" i="11"/>
  <c r="BE122" i="4"/>
  <c r="BG247" i="4"/>
  <c r="BF91" i="4"/>
  <c r="AC91" i="4" s="1"/>
  <c r="AC122" i="4" s="1"/>
  <c r="AD247" i="4"/>
  <c r="BF200" i="4"/>
  <c r="T236" i="9"/>
  <c r="BF92" i="4"/>
  <c r="AC92" i="4" s="1"/>
  <c r="AC123" i="4" s="1"/>
  <c r="BG248" i="4"/>
  <c r="AD248" i="4" s="1"/>
  <c r="BF201" i="4"/>
  <c r="AE228" i="4"/>
  <c r="AE235" i="4"/>
  <c r="AE234" i="4" s="1"/>
  <c r="BG225" i="4"/>
  <c r="BH226" i="4"/>
  <c r="BH78" i="4"/>
  <c r="BH231" i="4"/>
  <c r="BH72" i="4"/>
  <c r="BH65" i="4"/>
  <c r="BH69" i="4"/>
  <c r="BH76" i="4"/>
  <c r="BH70" i="4"/>
  <c r="BH71" i="4"/>
  <c r="AD225" i="4"/>
  <c r="AD78" i="4"/>
  <c r="AD67" i="4"/>
  <c r="AD76" i="4"/>
  <c r="AD65" i="4"/>
  <c r="AE232" i="4"/>
  <c r="AE233" i="4"/>
  <c r="AE229" i="4"/>
  <c r="AE221" i="4"/>
  <c r="AE230" i="4"/>
  <c r="AE208" i="4"/>
  <c r="AE227" i="4"/>
  <c r="AC225" i="4"/>
  <c r="AD263" i="4" l="1"/>
  <c r="BF58" i="4"/>
  <c r="BF57" i="4"/>
  <c r="BF73" i="4"/>
  <c r="BF66" i="4" s="1"/>
  <c r="AD211" i="4"/>
  <c r="AC205" i="4"/>
  <c r="BG75" i="4"/>
  <c r="AC61" i="4"/>
  <c r="AC63" i="4"/>
  <c r="AC74" i="4"/>
  <c r="AE210" i="4"/>
  <c r="AC107" i="4"/>
  <c r="AC138" i="4" s="1"/>
  <c r="BH67" i="4"/>
  <c r="AD218" i="4"/>
  <c r="AB131" i="4"/>
  <c r="AD256" i="4"/>
  <c r="AC100" i="4"/>
  <c r="AC131" i="4" s="1"/>
  <c r="AY64" i="11"/>
  <c r="BF131" i="4"/>
  <c r="AC68" i="4"/>
  <c r="AB73" i="4"/>
  <c r="AB62" i="4"/>
  <c r="BE66" i="4"/>
  <c r="BG61" i="4"/>
  <c r="AD204" i="4"/>
  <c r="AC75" i="4"/>
  <c r="AC201" i="4"/>
  <c r="AC200" i="4"/>
  <c r="AC216" i="4"/>
  <c r="AC209" i="4" s="1"/>
  <c r="AB57" i="4"/>
  <c r="AB58" i="4"/>
  <c r="AY56" i="11"/>
  <c r="BF123" i="4"/>
  <c r="BF122" i="4"/>
  <c r="AY55" i="11"/>
  <c r="BG126" i="4"/>
  <c r="AE106" i="4"/>
  <c r="AE137" i="4" s="1"/>
  <c r="BH137" i="4"/>
  <c r="BH132" i="4"/>
  <c r="W87" i="9" s="1"/>
  <c r="AD206" i="4"/>
  <c r="BG63" i="4"/>
  <c r="BH97" i="4"/>
  <c r="BH128" i="4" s="1"/>
  <c r="BH206" i="4"/>
  <c r="BH102" i="4"/>
  <c r="BH133" i="4" s="1"/>
  <c r="BH211" i="4"/>
  <c r="AD252" i="4"/>
  <c r="BH252" i="4"/>
  <c r="AE252" i="4" s="1"/>
  <c r="BG96" i="4"/>
  <c r="AD96" i="4" s="1"/>
  <c r="AD127" i="4" s="1"/>
  <c r="BG205" i="4"/>
  <c r="AY72" i="11"/>
  <c r="BF138" i="4"/>
  <c r="AD109" i="4"/>
  <c r="AD140" i="4" s="1"/>
  <c r="BG140" i="4"/>
  <c r="W96" i="9" s="1"/>
  <c r="AD217" i="4"/>
  <c r="BG74" i="4"/>
  <c r="AD108" i="4"/>
  <c r="AD139" i="4" s="1"/>
  <c r="BG139" i="4"/>
  <c r="W95" i="9" s="1"/>
  <c r="BH248" i="4"/>
  <c r="AE248" i="4" s="1"/>
  <c r="U236" i="9"/>
  <c r="BG92" i="4"/>
  <c r="AD92" i="4" s="1"/>
  <c r="AD123" i="4" s="1"/>
  <c r="BG201" i="4"/>
  <c r="BH247" i="4"/>
  <c r="AE247" i="4" s="1"/>
  <c r="BG91" i="4"/>
  <c r="AD91" i="4" s="1"/>
  <c r="AD122" i="4" s="1"/>
  <c r="BG200" i="4"/>
  <c r="AE251" i="4"/>
  <c r="BH95" i="4"/>
  <c r="BH126" i="4" s="1"/>
  <c r="BH204" i="4"/>
  <c r="BG128" i="4"/>
  <c r="BG68" i="4"/>
  <c r="AD102" i="4"/>
  <c r="AD133" i="4" s="1"/>
  <c r="BG133" i="4"/>
  <c r="BF62" i="4"/>
  <c r="BF127" i="4"/>
  <c r="AY60" i="11"/>
  <c r="BG107" i="4"/>
  <c r="BG100" i="4" s="1"/>
  <c r="BH263" i="4"/>
  <c r="BH256" i="4" s="1"/>
  <c r="BG216" i="4"/>
  <c r="AE265" i="4"/>
  <c r="BH109" i="4"/>
  <c r="BH140" i="4" s="1"/>
  <c r="BH218" i="4"/>
  <c r="BH108" i="4"/>
  <c r="BH139" i="4" s="1"/>
  <c r="BH217" i="4"/>
  <c r="BF209" i="4"/>
  <c r="AE226" i="4"/>
  <c r="BH225" i="4"/>
  <c r="AE69" i="4"/>
  <c r="AE78" i="4"/>
  <c r="AE76" i="4"/>
  <c r="AE72" i="4"/>
  <c r="AE231" i="4"/>
  <c r="AE71" i="4"/>
  <c r="AE70" i="4"/>
  <c r="AE65" i="4"/>
  <c r="AC73" i="4" l="1"/>
  <c r="W81" i="9"/>
  <c r="AC57" i="4"/>
  <c r="AD75" i="4"/>
  <c r="AC58" i="4"/>
  <c r="BH74" i="4"/>
  <c r="AC62" i="4"/>
  <c r="AE211" i="4"/>
  <c r="AD63" i="4"/>
  <c r="AD61" i="4"/>
  <c r="AD74" i="4"/>
  <c r="AD205" i="4"/>
  <c r="AE67" i="4"/>
  <c r="W83" i="9"/>
  <c r="AE102" i="4"/>
  <c r="W88" i="9"/>
  <c r="AE97" i="4"/>
  <c r="AE128" i="4" s="1"/>
  <c r="AD107" i="4"/>
  <c r="AD138" i="4" s="1"/>
  <c r="BG131" i="4"/>
  <c r="AD100" i="4"/>
  <c r="AD131" i="4" s="1"/>
  <c r="BH75" i="4"/>
  <c r="AE218" i="4"/>
  <c r="AB66" i="4"/>
  <c r="AC66" i="4"/>
  <c r="AE217" i="4"/>
  <c r="AE95" i="4"/>
  <c r="AE126" i="4" s="1"/>
  <c r="AE108" i="4"/>
  <c r="AE139" i="4" s="1"/>
  <c r="AE109" i="4"/>
  <c r="AE140" i="4" s="1"/>
  <c r="AD68" i="4"/>
  <c r="AD216" i="4"/>
  <c r="AD209" i="4" s="1"/>
  <c r="BG73" i="4"/>
  <c r="BG138" i="4"/>
  <c r="W94" i="9" s="1"/>
  <c r="AD200" i="4"/>
  <c r="BG57" i="4"/>
  <c r="AD201" i="4"/>
  <c r="BG58" i="4"/>
  <c r="BG123" i="4"/>
  <c r="BH92" i="4"/>
  <c r="BH123" i="4" s="1"/>
  <c r="V236" i="9"/>
  <c r="BH201" i="4"/>
  <c r="BH96" i="4"/>
  <c r="BH127" i="4" s="1"/>
  <c r="BH205" i="4"/>
  <c r="BH68" i="4"/>
  <c r="AE206" i="4"/>
  <c r="BH63" i="4"/>
  <c r="AE263" i="4"/>
  <c r="AE256" i="4" s="1"/>
  <c r="BH107" i="4"/>
  <c r="BH216" i="4"/>
  <c r="AE204" i="4"/>
  <c r="BH61" i="4"/>
  <c r="BG122" i="4"/>
  <c r="BH91" i="4"/>
  <c r="BH122" i="4" s="1"/>
  <c r="BH200" i="4"/>
  <c r="BG62" i="4"/>
  <c r="BG127" i="4"/>
  <c r="W82" i="9" s="1"/>
  <c r="AE133" i="4"/>
  <c r="BG209" i="4"/>
  <c r="AE225" i="4"/>
  <c r="AE74" i="4" l="1"/>
  <c r="AE63" i="4"/>
  <c r="BG66" i="4"/>
  <c r="AD66" i="4" s="1"/>
  <c r="AE75" i="4"/>
  <c r="AE61" i="4"/>
  <c r="BH209" i="4"/>
  <c r="BH62" i="4"/>
  <c r="BH58" i="4"/>
  <c r="AD58" i="4"/>
  <c r="AE96" i="4"/>
  <c r="AE127" i="4" s="1"/>
  <c r="W78" i="9"/>
  <c r="BH138" i="4"/>
  <c r="BH100" i="4"/>
  <c r="AD57" i="4"/>
  <c r="AE68" i="4"/>
  <c r="AE91" i="4"/>
  <c r="AE122" i="4" s="1"/>
  <c r="AE107" i="4"/>
  <c r="AE138" i="4" s="1"/>
  <c r="AE205" i="4"/>
  <c r="W77" i="9"/>
  <c r="AE92" i="4"/>
  <c r="AE123" i="4" s="1"/>
  <c r="AE201" i="4"/>
  <c r="AD62" i="4"/>
  <c r="AD73" i="4"/>
  <c r="AE200" i="4"/>
  <c r="BH57" i="4"/>
  <c r="AE216" i="4"/>
  <c r="AE209" i="4" s="1"/>
  <c r="BH73" i="4"/>
  <c r="Q13" i="9"/>
  <c r="BC249" i="4" s="1"/>
  <c r="Z249" i="4" s="1"/>
  <c r="BB93" i="4"/>
  <c r="BB384" i="4" s="1"/>
  <c r="Y249" i="4"/>
  <c r="AE62" i="4" l="1"/>
  <c r="BH66" i="4"/>
  <c r="AE66" i="4" s="1"/>
  <c r="AE57" i="4"/>
  <c r="AE58" i="4"/>
  <c r="AE100" i="4"/>
  <c r="AE131" i="4" s="1"/>
  <c r="BH131" i="4"/>
  <c r="W86" i="9" s="1"/>
  <c r="AE73" i="4"/>
  <c r="R13" i="9"/>
  <c r="BD249" i="4" s="1"/>
  <c r="S13" i="9"/>
  <c r="Y202" i="4"/>
  <c r="BB59" i="4"/>
  <c r="BC93" i="4"/>
  <c r="BC202" i="4"/>
  <c r="AU57" i="11"/>
  <c r="Y93" i="4"/>
  <c r="BB124" i="4"/>
  <c r="Z202" i="4" l="1"/>
  <c r="U13" i="9"/>
  <c r="BB352" i="4"/>
  <c r="Y59" i="4"/>
  <c r="BD93" i="4"/>
  <c r="BD202" i="4"/>
  <c r="BE249" i="4"/>
  <c r="BC124" i="4"/>
  <c r="AV57" i="11"/>
  <c r="Y124" i="4"/>
  <c r="Z93" i="4"/>
  <c r="AA249" i="4"/>
  <c r="BC59" i="4"/>
  <c r="T13" i="9" l="1"/>
  <c r="BF249" i="4" s="1"/>
  <c r="BG249" i="4" s="1"/>
  <c r="V13" i="9"/>
  <c r="Z59" i="4"/>
  <c r="AA202" i="4"/>
  <c r="Z124" i="4"/>
  <c r="BD59" i="4"/>
  <c r="BE202" i="4"/>
  <c r="BE93" i="4"/>
  <c r="BD124" i="4"/>
  <c r="AW57" i="11"/>
  <c r="AA93" i="4"/>
  <c r="AB249" i="4"/>
  <c r="BG93" i="4" l="1"/>
  <c r="BG202" i="4"/>
  <c r="BH249" i="4"/>
  <c r="AE249" i="4" s="1"/>
  <c r="AD249" i="4"/>
  <c r="AB202" i="4"/>
  <c r="AB93" i="4"/>
  <c r="AB124" i="4" s="1"/>
  <c r="BF93" i="4"/>
  <c r="BF202" i="4"/>
  <c r="BE59" i="4"/>
  <c r="AC249" i="4"/>
  <c r="AA124" i="4"/>
  <c r="AA59" i="4"/>
  <c r="AX57" i="11"/>
  <c r="BE124" i="4"/>
  <c r="BH93" i="4" l="1"/>
  <c r="BG59" i="4"/>
  <c r="AD202" i="4"/>
  <c r="AD93" i="4"/>
  <c r="BH202" i="4"/>
  <c r="BG124" i="4"/>
  <c r="AE93" i="4"/>
  <c r="BH124" i="4"/>
  <c r="AB59" i="4"/>
  <c r="AY57" i="11"/>
  <c r="BF124" i="4"/>
  <c r="AC93" i="4"/>
  <c r="AC124" i="4" s="1"/>
  <c r="BF59" i="4"/>
  <c r="AC202" i="4"/>
  <c r="AD59" i="4" l="1"/>
  <c r="BH59" i="4"/>
  <c r="AE59" i="4" s="1"/>
  <c r="W79" i="9"/>
  <c r="AE124" i="4"/>
  <c r="AE202" i="4"/>
  <c r="AD124" i="4"/>
  <c r="AC59" i="4"/>
  <c r="S18" i="9" l="1"/>
  <c r="BE254" i="4" s="1"/>
  <c r="BE250" i="4" s="1"/>
  <c r="AB254" i="4" l="1"/>
  <c r="AB250" i="4" s="1"/>
  <c r="BE98" i="4"/>
  <c r="BE94" i="4" s="1"/>
  <c r="BE207" i="4"/>
  <c r="BE203" i="4" l="1"/>
  <c r="BE125" i="4"/>
  <c r="AB94" i="4"/>
  <c r="AB125" i="4" s="1"/>
  <c r="AX58" i="11"/>
  <c r="BE64" i="4"/>
  <c r="AB207" i="4"/>
  <c r="AB203" i="4" s="1"/>
  <c r="AB98" i="4"/>
  <c r="AB129" i="4" s="1"/>
  <c r="BE129" i="4"/>
  <c r="AX62" i="11"/>
  <c r="IW10" i="7"/>
  <c r="BE60" i="4" l="1"/>
  <c r="AB60" i="4" s="1"/>
  <c r="AB64" i="4"/>
  <c r="JI10" i="7"/>
  <c r="IW8" i="7"/>
  <c r="IW9" i="7" s="1"/>
  <c r="JI8" i="7" l="1"/>
  <c r="JI9" i="7" s="1"/>
  <c r="JU10" i="7"/>
  <c r="JU8" i="7" s="1"/>
  <c r="JU9" i="7" l="1"/>
  <c r="Y223" i="4" l="1"/>
  <c r="T18" i="9" l="1"/>
  <c r="BF254" i="4" s="1"/>
  <c r="BG254" i="4" l="1"/>
  <c r="AD254" i="4" s="1"/>
  <c r="AD250" i="4" s="1"/>
  <c r="BF250" i="4"/>
  <c r="BF207" i="4"/>
  <c r="BF98" i="4"/>
  <c r="AC254" i="4"/>
  <c r="AC250" i="4" s="1"/>
  <c r="BG98" i="4" l="1"/>
  <c r="BH254" i="4"/>
  <c r="BG250" i="4"/>
  <c r="BG207" i="4"/>
  <c r="BF203" i="4"/>
  <c r="BF94" i="4"/>
  <c r="AC98" i="4"/>
  <c r="AC129" i="4" s="1"/>
  <c r="BF129" i="4"/>
  <c r="AY62" i="11"/>
  <c r="BF64" i="4"/>
  <c r="AC207" i="4"/>
  <c r="AC203" i="4" s="1"/>
  <c r="AD207" i="4" l="1"/>
  <c r="AD203" i="4" s="1"/>
  <c r="BG129" i="4"/>
  <c r="BG94" i="4"/>
  <c r="AD98" i="4"/>
  <c r="AD129" i="4" s="1"/>
  <c r="BG64" i="4"/>
  <c r="BG203" i="4"/>
  <c r="BH98" i="4"/>
  <c r="BH250" i="4"/>
  <c r="BH207" i="4"/>
  <c r="AE254" i="4"/>
  <c r="AE250" i="4" s="1"/>
  <c r="BF60" i="4"/>
  <c r="AC64" i="4"/>
  <c r="BF125" i="4"/>
  <c r="AY58" i="11"/>
  <c r="AC94" i="4"/>
  <c r="AC125" i="4" s="1"/>
  <c r="BH64" i="4" l="1"/>
  <c r="BH203" i="4"/>
  <c r="BG125" i="4"/>
  <c r="BH129" i="4"/>
  <c r="W84" i="9" s="1"/>
  <c r="BH94" i="4"/>
  <c r="BH125" i="4" s="1"/>
  <c r="BG60" i="4"/>
  <c r="AD60" i="4" s="1"/>
  <c r="AE207" i="4"/>
  <c r="AE203" i="4" s="1"/>
  <c r="AD94" i="4"/>
  <c r="AD125" i="4" s="1"/>
  <c r="AD64" i="4"/>
  <c r="AE98" i="4"/>
  <c r="AE129" i="4" s="1"/>
  <c r="AC60" i="4"/>
  <c r="W80" i="9" l="1"/>
  <c r="BH60" i="4"/>
  <c r="AE60" i="4" s="1"/>
  <c r="AE64" i="4"/>
  <c r="AE94" i="4"/>
  <c r="AE125" i="4" s="1"/>
  <c r="BC246" i="4"/>
  <c r="BD246" i="4" l="1"/>
  <c r="BD199" i="4" s="1"/>
  <c r="BC245" i="4"/>
  <c r="BC199" i="4"/>
  <c r="BB222" i="4"/>
  <c r="BB236" i="4"/>
  <c r="BC267" i="4"/>
  <c r="BC269" i="4" s="1"/>
  <c r="BC244" i="4" s="1"/>
  <c r="AA246" i="4"/>
  <c r="AA245" i="4" s="1"/>
  <c r="AA267" i="4" s="1"/>
  <c r="AA269" i="4" s="1"/>
  <c r="AA244" i="4" s="1"/>
  <c r="Y199" i="4"/>
  <c r="Y198" i="4" s="1"/>
  <c r="Y220" i="4" s="1"/>
  <c r="BB56" i="4"/>
  <c r="BB55" i="4" s="1"/>
  <c r="BB77" i="4" s="1"/>
  <c r="BB269" i="4"/>
  <c r="BB244" i="4" s="1"/>
  <c r="BB283" i="4" s="1"/>
  <c r="Z246" i="4"/>
  <c r="Z245" i="4" s="1"/>
  <c r="Z267" i="4" s="1"/>
  <c r="Z269" i="4" s="1"/>
  <c r="Z244" i="4" s="1"/>
  <c r="BB90" i="4"/>
  <c r="BB89" i="4" s="1"/>
  <c r="Y246" i="4"/>
  <c r="Y245" i="4" s="1"/>
  <c r="Y267" i="4" s="1"/>
  <c r="Y269" i="4" s="1"/>
  <c r="Y244" i="4" s="1"/>
  <c r="Y283" i="4" s="1"/>
  <c r="BB111" i="4" l="1"/>
  <c r="P75" i="9"/>
  <c r="BD90" i="4"/>
  <c r="BD89" i="4" s="1"/>
  <c r="BD245" i="4"/>
  <c r="BD267" i="4" s="1"/>
  <c r="BD269" i="4" s="1"/>
  <c r="BD244" i="4" s="1"/>
  <c r="BD283" i="4" s="1"/>
  <c r="BE246" i="4"/>
  <c r="BC56" i="4"/>
  <c r="BC198" i="4"/>
  <c r="BC220" i="4" s="1"/>
  <c r="BD56" i="4"/>
  <c r="BD198" i="4"/>
  <c r="Z199" i="4"/>
  <c r="Z198" i="4" s="1"/>
  <c r="Z220" i="4" s="1"/>
  <c r="AA199" i="4"/>
  <c r="AA198" i="4" s="1"/>
  <c r="AA220" i="4" s="1"/>
  <c r="AU54" i="11"/>
  <c r="BB381" i="4"/>
  <c r="BB121" i="4"/>
  <c r="Y90" i="4"/>
  <c r="BB349" i="4"/>
  <c r="Y56" i="4"/>
  <c r="BB83" i="4"/>
  <c r="Y222" i="4"/>
  <c r="Y197" i="4" s="1"/>
  <c r="Y236" i="4" s="1"/>
  <c r="BD55" i="4" l="1"/>
  <c r="BD77" i="4" s="1"/>
  <c r="BD111" i="4"/>
  <c r="BD220" i="4"/>
  <c r="BD222" i="4" s="1"/>
  <c r="R148" i="9" s="1"/>
  <c r="Z56" i="4"/>
  <c r="BC55" i="4"/>
  <c r="BC222" i="4"/>
  <c r="AA56" i="4"/>
  <c r="BE199" i="4"/>
  <c r="BE245" i="4"/>
  <c r="BE267" i="4" s="1"/>
  <c r="BE269" i="4" s="1"/>
  <c r="BE244" i="4" s="1"/>
  <c r="BE283" i="4" s="1"/>
  <c r="BF246" i="4"/>
  <c r="BE90" i="4"/>
  <c r="AB246" i="4"/>
  <c r="AB245" i="4" s="1"/>
  <c r="AB267" i="4" s="1"/>
  <c r="AB269" i="4" s="1"/>
  <c r="AB244" i="4" s="1"/>
  <c r="AB283" i="4" s="1"/>
  <c r="Y83" i="4"/>
  <c r="BB348" i="4"/>
  <c r="BB33" i="4"/>
  <c r="BB24" i="4"/>
  <c r="Y55" i="4"/>
  <c r="P9" i="9"/>
  <c r="AU53" i="11"/>
  <c r="BB380" i="4"/>
  <c r="BB120" i="4"/>
  <c r="Y89" i="4"/>
  <c r="Y121" i="4"/>
  <c r="Z222" i="4" l="1"/>
  <c r="Q148" i="9"/>
  <c r="BG246" i="4"/>
  <c r="AD246" i="4" s="1"/>
  <c r="AD245" i="4" s="1"/>
  <c r="AD267" i="4" s="1"/>
  <c r="AD269" i="4" s="1"/>
  <c r="AD244" i="4" s="1"/>
  <c r="AD283" i="4" s="1"/>
  <c r="BE89" i="4"/>
  <c r="S75" i="9" s="1"/>
  <c r="AA222" i="4"/>
  <c r="BD24" i="4"/>
  <c r="AA55" i="4"/>
  <c r="Z55" i="4"/>
  <c r="BD33" i="4"/>
  <c r="BC24" i="4"/>
  <c r="BC33" i="4"/>
  <c r="AB90" i="4"/>
  <c r="AX54" i="11"/>
  <c r="BE121" i="4"/>
  <c r="AC246" i="4"/>
  <c r="AC245" i="4" s="1"/>
  <c r="AC267" i="4" s="1"/>
  <c r="AC269" i="4" s="1"/>
  <c r="AC244" i="4" s="1"/>
  <c r="AC283" i="4" s="1"/>
  <c r="BF199" i="4"/>
  <c r="BF90" i="4"/>
  <c r="BF245" i="4"/>
  <c r="BF267" i="4" s="1"/>
  <c r="BF269" i="4" s="1"/>
  <c r="BF244" i="4" s="1"/>
  <c r="BF283" i="4" s="1"/>
  <c r="BE198" i="4"/>
  <c r="BE56" i="4"/>
  <c r="AB199" i="4"/>
  <c r="AB198" i="4" s="1"/>
  <c r="AB220" i="4" s="1"/>
  <c r="AU77" i="11"/>
  <c r="BB404" i="4"/>
  <c r="Y111" i="4"/>
  <c r="BB142" i="4"/>
  <c r="BB113" i="4"/>
  <c r="Y24" i="4"/>
  <c r="BD79" i="4"/>
  <c r="AW145" i="11" s="1"/>
  <c r="BD113" i="4"/>
  <c r="Y33" i="4"/>
  <c r="Y120" i="4"/>
  <c r="BB372" i="4"/>
  <c r="Y77" i="4"/>
  <c r="BB79" i="4"/>
  <c r="BB82" i="4" s="1"/>
  <c r="BB86" i="4" s="1"/>
  <c r="BE111" i="4" l="1"/>
  <c r="BH246" i="4"/>
  <c r="AE246" i="4" s="1"/>
  <c r="AE245" i="4" s="1"/>
  <c r="AE267" i="4" s="1"/>
  <c r="AE269" i="4" s="1"/>
  <c r="AE244" i="4" s="1"/>
  <c r="AE283" i="4" s="1"/>
  <c r="BG245" i="4"/>
  <c r="BG267" i="4" s="1"/>
  <c r="BG269" i="4" s="1"/>
  <c r="BG244" i="4" s="1"/>
  <c r="BG283" i="4" s="1"/>
  <c r="BG90" i="4"/>
  <c r="AD90" i="4" s="1"/>
  <c r="BG199" i="4"/>
  <c r="BF89" i="4"/>
  <c r="T75" i="9" s="1"/>
  <c r="BE220" i="4"/>
  <c r="BE222" i="4" s="1"/>
  <c r="S148" i="9" s="1"/>
  <c r="BE55" i="4"/>
  <c r="BE77" i="4" s="1"/>
  <c r="Z33" i="4"/>
  <c r="AA33" i="4"/>
  <c r="Z24" i="4"/>
  <c r="AA24" i="4"/>
  <c r="AC90" i="4"/>
  <c r="AC121" i="4" s="1"/>
  <c r="AY54" i="11"/>
  <c r="BF121" i="4"/>
  <c r="AX53" i="11"/>
  <c r="BE120" i="4"/>
  <c r="S9" i="9"/>
  <c r="AB89" i="4"/>
  <c r="AB56" i="4"/>
  <c r="BF56" i="4"/>
  <c r="AC199" i="4"/>
  <c r="AC198" i="4" s="1"/>
  <c r="AC220" i="4" s="1"/>
  <c r="BF198" i="4"/>
  <c r="AW132" i="11"/>
  <c r="AW130" i="11"/>
  <c r="AW129" i="11"/>
  <c r="AW142" i="11"/>
  <c r="AW125" i="11"/>
  <c r="BD18" i="7"/>
  <c r="AW143" i="11"/>
  <c r="AW146" i="11"/>
  <c r="AW124" i="11"/>
  <c r="AW136" i="11"/>
  <c r="AW127" i="11"/>
  <c r="AW141" i="11"/>
  <c r="AW134" i="11"/>
  <c r="AW123" i="11"/>
  <c r="AW135" i="11"/>
  <c r="AW147" i="11"/>
  <c r="AW126" i="11"/>
  <c r="AW131" i="11"/>
  <c r="AW140" i="11"/>
  <c r="AW139" i="11"/>
  <c r="AW137" i="11"/>
  <c r="AW128" i="11"/>
  <c r="AW133" i="11"/>
  <c r="BD12" i="4"/>
  <c r="AW122" i="11"/>
  <c r="AW121" i="11"/>
  <c r="AU101" i="11"/>
  <c r="AU102" i="11"/>
  <c r="AU99" i="11"/>
  <c r="AU105" i="11"/>
  <c r="AU108" i="11"/>
  <c r="AU103" i="11"/>
  <c r="AU96" i="11"/>
  <c r="Y113" i="4"/>
  <c r="AU112" i="11"/>
  <c r="AU98" i="11"/>
  <c r="AU93" i="11"/>
  <c r="AU95" i="11"/>
  <c r="AU92" i="11"/>
  <c r="AU114" i="11"/>
  <c r="AU113" i="11"/>
  <c r="AU100" i="11"/>
  <c r="AU94" i="11"/>
  <c r="AU107" i="11"/>
  <c r="AU97" i="11"/>
  <c r="AU109" i="11"/>
  <c r="AU91" i="11"/>
  <c r="AU90" i="11"/>
  <c r="AU79" i="11"/>
  <c r="AU106" i="11"/>
  <c r="BB406" i="4"/>
  <c r="AU89" i="11"/>
  <c r="BB116" i="4"/>
  <c r="BB144" i="4"/>
  <c r="AU88" i="11"/>
  <c r="AU87" i="11"/>
  <c r="AU111" i="11"/>
  <c r="BD116" i="4"/>
  <c r="Y142" i="4"/>
  <c r="AU143" i="11"/>
  <c r="AU127" i="11"/>
  <c r="AU142" i="11"/>
  <c r="AU124" i="11"/>
  <c r="AU131" i="11"/>
  <c r="AU136" i="11"/>
  <c r="AU141" i="11"/>
  <c r="AU146" i="11"/>
  <c r="AU139" i="11"/>
  <c r="AU134" i="11"/>
  <c r="BB374" i="4"/>
  <c r="AU135" i="11"/>
  <c r="AU130" i="11"/>
  <c r="AU132" i="11"/>
  <c r="AU140" i="11"/>
  <c r="AU129" i="11"/>
  <c r="AU125" i="11"/>
  <c r="AU123" i="11"/>
  <c r="BB18" i="7"/>
  <c r="AU126" i="11"/>
  <c r="AU128" i="11"/>
  <c r="AU133" i="11"/>
  <c r="AU216" i="11" s="1"/>
  <c r="AU137" i="11"/>
  <c r="AU147" i="11"/>
  <c r="BB12" i="4"/>
  <c r="Y79" i="4"/>
  <c r="AU122" i="11"/>
  <c r="AU121" i="11"/>
  <c r="AU145" i="11"/>
  <c r="AD199" i="4" l="1"/>
  <c r="AD198" i="4" s="1"/>
  <c r="AD220" i="4" s="1"/>
  <c r="BF111" i="4"/>
  <c r="BG89" i="4"/>
  <c r="U75" i="9" s="1"/>
  <c r="BG121" i="4"/>
  <c r="AD121" i="4"/>
  <c r="BG56" i="4"/>
  <c r="BG198" i="4"/>
  <c r="BH90" i="4"/>
  <c r="BH199" i="4"/>
  <c r="BH245" i="4"/>
  <c r="BH267" i="4" s="1"/>
  <c r="BH269" i="4" s="1"/>
  <c r="BH244" i="4" s="1"/>
  <c r="BH283" i="4" s="1"/>
  <c r="AW215" i="11"/>
  <c r="BF220" i="4"/>
  <c r="BF222" i="4" s="1"/>
  <c r="T148" i="9" s="1"/>
  <c r="BF55" i="4"/>
  <c r="AW214" i="11"/>
  <c r="BE113" i="4"/>
  <c r="AB111" i="4"/>
  <c r="AX77" i="11"/>
  <c r="BE142" i="4"/>
  <c r="BE33" i="4"/>
  <c r="BE24" i="4"/>
  <c r="AB55" i="4"/>
  <c r="AC89" i="4"/>
  <c r="AC120" i="4" s="1"/>
  <c r="AY53" i="11"/>
  <c r="BF120" i="4"/>
  <c r="T9" i="9"/>
  <c r="AB222" i="4"/>
  <c r="AC56" i="4"/>
  <c r="AU217" i="11"/>
  <c r="AU214" i="11"/>
  <c r="AU215" i="11"/>
  <c r="BD428" i="4"/>
  <c r="BD439" i="4"/>
  <c r="BD423" i="4"/>
  <c r="BD432" i="4"/>
  <c r="BD444" i="4"/>
  <c r="BD422" i="4"/>
  <c r="BD421" i="4"/>
  <c r="BD438" i="4"/>
  <c r="BD424" i="4"/>
  <c r="BD429" i="4"/>
  <c r="BD425" i="4"/>
  <c r="BD435" i="4"/>
  <c r="BD427" i="4"/>
  <c r="BD426" i="4"/>
  <c r="BD420" i="4"/>
  <c r="BD419" i="4"/>
  <c r="BD433" i="4"/>
  <c r="BD436" i="4"/>
  <c r="BD442" i="4"/>
  <c r="BD430" i="4"/>
  <c r="BD446" i="4"/>
  <c r="BD431" i="4"/>
  <c r="BD437" i="4"/>
  <c r="BD418" i="4"/>
  <c r="BD417" i="4"/>
  <c r="BD441" i="4"/>
  <c r="BD443" i="4"/>
  <c r="AU182" i="11"/>
  <c r="AW217" i="11"/>
  <c r="AW216" i="11"/>
  <c r="Y144" i="4"/>
  <c r="BB428" i="4"/>
  <c r="AU82" i="11"/>
  <c r="BB446" i="4"/>
  <c r="AU172" i="11"/>
  <c r="AU162" i="11"/>
  <c r="BB423" i="4"/>
  <c r="AU176" i="11"/>
  <c r="AU181" i="11"/>
  <c r="AU183" i="11"/>
  <c r="AU185" i="11"/>
  <c r="AU168" i="11"/>
  <c r="AU165" i="11"/>
  <c r="AU164" i="11"/>
  <c r="AU159" i="11"/>
  <c r="BB432" i="4"/>
  <c r="BB438" i="4"/>
  <c r="AU160" i="11"/>
  <c r="BB117" i="4"/>
  <c r="AU163" i="11"/>
  <c r="AU175" i="11"/>
  <c r="BB427" i="4"/>
  <c r="AU166" i="11"/>
  <c r="BB426" i="4"/>
  <c r="AU177" i="11"/>
  <c r="BB419" i="4"/>
  <c r="BB436" i="4"/>
  <c r="BB442" i="4"/>
  <c r="AU171" i="11"/>
  <c r="BB430" i="4"/>
  <c r="AU178" i="11"/>
  <c r="AU116" i="11"/>
  <c r="BB429" i="4"/>
  <c r="BB437" i="4"/>
  <c r="AU169" i="11"/>
  <c r="BB425" i="4"/>
  <c r="AU170" i="11"/>
  <c r="BB420" i="4"/>
  <c r="BB424" i="4"/>
  <c r="AU174" i="11"/>
  <c r="BB422" i="4"/>
  <c r="BB421" i="4"/>
  <c r="AU167" i="11"/>
  <c r="AU161" i="11"/>
  <c r="BB435" i="4"/>
  <c r="BB433" i="4"/>
  <c r="BB439" i="4"/>
  <c r="BB444" i="4"/>
  <c r="AU158" i="11"/>
  <c r="BB431" i="4"/>
  <c r="P104" i="9"/>
  <c r="Y116" i="4"/>
  <c r="Y443" i="4" s="1"/>
  <c r="BB147" i="4"/>
  <c r="O219" i="11" s="1"/>
  <c r="AU157" i="11"/>
  <c r="BB418" i="4"/>
  <c r="AU156" i="11"/>
  <c r="BB417" i="4"/>
  <c r="BB441" i="4"/>
  <c r="AU180" i="11"/>
  <c r="BB443" i="4"/>
  <c r="AD89" i="4" l="1"/>
  <c r="AD120" i="4" s="1"/>
  <c r="BH121" i="4"/>
  <c r="W76" i="9" s="1"/>
  <c r="BH89" i="4"/>
  <c r="V75" i="9" s="1"/>
  <c r="BG220" i="4"/>
  <c r="BG222" i="4" s="1"/>
  <c r="U148" i="9" s="1"/>
  <c r="AE90" i="4"/>
  <c r="AE121" i="4" s="1"/>
  <c r="BH198" i="4"/>
  <c r="BH56" i="4"/>
  <c r="BG55" i="4"/>
  <c r="BG120" i="4"/>
  <c r="BG111" i="4"/>
  <c r="AE199" i="4"/>
  <c r="AE198" i="4" s="1"/>
  <c r="AE220" i="4" s="1"/>
  <c r="AD56" i="4"/>
  <c r="BF77" i="4"/>
  <c r="AC222" i="4"/>
  <c r="AB33" i="4"/>
  <c r="AB24" i="4"/>
  <c r="AB77" i="4"/>
  <c r="BE79" i="4"/>
  <c r="AX106" i="11"/>
  <c r="AX96" i="11"/>
  <c r="AX100" i="11"/>
  <c r="AX97" i="11"/>
  <c r="AX112" i="11"/>
  <c r="AX103" i="11"/>
  <c r="AX87" i="11"/>
  <c r="AX79" i="11"/>
  <c r="AX99" i="11"/>
  <c r="AX90" i="11"/>
  <c r="AX107" i="11"/>
  <c r="AX98" i="11"/>
  <c r="AX114" i="11"/>
  <c r="AX93" i="11"/>
  <c r="AX111" i="11"/>
  <c r="AX95" i="11"/>
  <c r="AX102" i="11"/>
  <c r="AX113" i="11"/>
  <c r="AX91" i="11"/>
  <c r="AX108" i="11"/>
  <c r="BE144" i="4"/>
  <c r="BE116" i="4"/>
  <c r="S104" i="9" s="1"/>
  <c r="AB113" i="4"/>
  <c r="AX92" i="11"/>
  <c r="AX109" i="11"/>
  <c r="AX101" i="11"/>
  <c r="AX94" i="11"/>
  <c r="AX89" i="11"/>
  <c r="AX105" i="11"/>
  <c r="AX88" i="11"/>
  <c r="AC111" i="4"/>
  <c r="AC142" i="4" s="1"/>
  <c r="AY77" i="11"/>
  <c r="BF142" i="4"/>
  <c r="BF113" i="4"/>
  <c r="AC55" i="4"/>
  <c r="BF33" i="4"/>
  <c r="BF24" i="4"/>
  <c r="AU218" i="11"/>
  <c r="AU221" i="11" s="1"/>
  <c r="P7" i="9"/>
  <c r="P73" i="9"/>
  <c r="P2" i="9" s="1"/>
  <c r="AW218" i="11"/>
  <c r="AW221" i="11" s="1"/>
  <c r="Y431" i="4"/>
  <c r="Y436" i="4"/>
  <c r="Y423" i="4"/>
  <c r="Y426" i="4"/>
  <c r="Y437" i="4"/>
  <c r="Y442" i="4"/>
  <c r="Y425" i="4"/>
  <c r="Y444" i="4"/>
  <c r="Y429" i="4"/>
  <c r="Y421" i="4"/>
  <c r="Y420" i="4"/>
  <c r="Y432" i="4"/>
  <c r="Y422" i="4"/>
  <c r="Y427" i="4"/>
  <c r="Y438" i="4"/>
  <c r="Y430" i="4"/>
  <c r="Y419" i="4"/>
  <c r="Y433" i="4"/>
  <c r="Y446" i="4"/>
  <c r="Y439" i="4"/>
  <c r="Y424" i="4"/>
  <c r="Y435" i="4"/>
  <c r="Y147" i="4"/>
  <c r="Y428" i="4"/>
  <c r="Y418" i="4"/>
  <c r="Y417" i="4"/>
  <c r="Y441" i="4"/>
  <c r="BH55" i="4" l="1"/>
  <c r="BH24" i="4" s="1"/>
  <c r="AE89" i="4"/>
  <c r="AE120" i="4" s="1"/>
  <c r="AD55" i="4"/>
  <c r="BG24" i="4"/>
  <c r="BG33" i="4"/>
  <c r="AD33" i="4" s="1"/>
  <c r="AD222" i="4"/>
  <c r="AE56" i="4"/>
  <c r="BG113" i="4"/>
  <c r="AD111" i="4"/>
  <c r="AD142" i="4" s="1"/>
  <c r="BG142" i="4"/>
  <c r="BH220" i="4"/>
  <c r="BH222" i="4" s="1"/>
  <c r="BH111" i="4"/>
  <c r="BH120" i="4"/>
  <c r="W75" i="9" s="1"/>
  <c r="BG77" i="4"/>
  <c r="AD77" i="4" s="1"/>
  <c r="AC33" i="4"/>
  <c r="AC24" i="4"/>
  <c r="AC113" i="4"/>
  <c r="AC144" i="4" s="1"/>
  <c r="AY90" i="11"/>
  <c r="AY108" i="11"/>
  <c r="AY103" i="11"/>
  <c r="AY94" i="11"/>
  <c r="AY79" i="11"/>
  <c r="AY95" i="11"/>
  <c r="AY88" i="11"/>
  <c r="AY113" i="11"/>
  <c r="AY101" i="11"/>
  <c r="AY96" i="11"/>
  <c r="AY99" i="11"/>
  <c r="AY112" i="11"/>
  <c r="AY98" i="11"/>
  <c r="AY87" i="11"/>
  <c r="AY111" i="11"/>
  <c r="AY114" i="11"/>
  <c r="AY102" i="11"/>
  <c r="AY89" i="11"/>
  <c r="BF116" i="4"/>
  <c r="T104" i="9" s="1"/>
  <c r="AY107" i="11"/>
  <c r="AY109" i="11"/>
  <c r="AY93" i="11"/>
  <c r="AY97" i="11"/>
  <c r="AY106" i="11"/>
  <c r="AY92" i="11"/>
  <c r="BF144" i="4"/>
  <c r="AY100" i="11"/>
  <c r="AY91" i="11"/>
  <c r="AY105" i="11"/>
  <c r="AX182" i="11"/>
  <c r="AX162" i="11"/>
  <c r="AX168" i="11"/>
  <c r="AX174" i="11"/>
  <c r="AX175" i="11"/>
  <c r="AX158" i="11"/>
  <c r="AX167" i="11"/>
  <c r="AX181" i="11"/>
  <c r="AX172" i="11"/>
  <c r="AX116" i="11"/>
  <c r="AX176" i="11"/>
  <c r="AX178" i="11"/>
  <c r="AX165" i="11"/>
  <c r="BE117" i="4"/>
  <c r="AX159" i="11"/>
  <c r="AX157" i="11"/>
  <c r="AB116" i="4"/>
  <c r="AX163" i="11"/>
  <c r="AX177" i="11"/>
  <c r="AX183" i="11"/>
  <c r="AX161" i="11"/>
  <c r="AX82" i="11"/>
  <c r="BE147" i="4"/>
  <c r="AX156" i="11"/>
  <c r="AX169" i="11"/>
  <c r="AX166" i="11"/>
  <c r="AX185" i="11"/>
  <c r="AX160" i="11"/>
  <c r="AX171" i="11"/>
  <c r="AX170" i="11"/>
  <c r="AX164" i="11"/>
  <c r="AX180" i="11"/>
  <c r="AX145" i="11"/>
  <c r="AX136" i="11"/>
  <c r="AX142" i="11"/>
  <c r="AX140" i="11"/>
  <c r="AX125" i="11"/>
  <c r="AX135" i="11"/>
  <c r="AX133" i="11"/>
  <c r="AX122" i="11"/>
  <c r="AX146" i="11"/>
  <c r="AX141" i="11"/>
  <c r="AX143" i="11"/>
  <c r="AB79" i="4"/>
  <c r="AX130" i="11"/>
  <c r="AX123" i="11"/>
  <c r="AX147" i="11"/>
  <c r="AX121" i="11"/>
  <c r="AX124" i="11"/>
  <c r="AX139" i="11"/>
  <c r="AX134" i="11"/>
  <c r="BE12" i="4"/>
  <c r="AX126" i="11"/>
  <c r="BE18" i="7"/>
  <c r="AX131" i="11"/>
  <c r="AX129" i="11"/>
  <c r="AX127" i="11"/>
  <c r="AX137" i="11"/>
  <c r="AX128" i="11"/>
  <c r="AX132" i="11"/>
  <c r="BF79" i="4"/>
  <c r="AC77" i="4"/>
  <c r="BH77" i="4" l="1"/>
  <c r="BH79" i="4" s="1"/>
  <c r="BH12" i="4" s="1"/>
  <c r="BH33" i="4"/>
  <c r="AE33" i="4" s="1"/>
  <c r="AE55" i="4"/>
  <c r="S73" i="9"/>
  <c r="S1" i="9" s="1"/>
  <c r="R219" i="11"/>
  <c r="S72" i="9"/>
  <c r="AE24" i="4"/>
  <c r="AD24" i="4"/>
  <c r="AE222" i="4"/>
  <c r="V148" i="9"/>
  <c r="BH113" i="4"/>
  <c r="AE113" i="4" s="1"/>
  <c r="BH142" i="4"/>
  <c r="BG116" i="4"/>
  <c r="U104" i="9" s="1"/>
  <c r="BG79" i="4"/>
  <c r="AD113" i="4"/>
  <c r="AD144" i="4" s="1"/>
  <c r="AE111" i="4"/>
  <c r="AE142" i="4" s="1"/>
  <c r="BG144" i="4"/>
  <c r="AX214" i="11"/>
  <c r="AX217" i="11"/>
  <c r="AX215" i="11"/>
  <c r="AY162" i="11"/>
  <c r="AY183" i="11"/>
  <c r="AY116" i="11"/>
  <c r="AY160" i="11"/>
  <c r="AY165" i="11"/>
  <c r="AY178" i="11"/>
  <c r="AY164" i="11"/>
  <c r="AY182" i="11"/>
  <c r="AY167" i="11"/>
  <c r="AY185" i="11"/>
  <c r="AY161" i="11"/>
  <c r="AY166" i="11"/>
  <c r="BF117" i="4"/>
  <c r="AY158" i="11"/>
  <c r="AY163" i="11"/>
  <c r="AY157" i="11"/>
  <c r="AY175" i="11"/>
  <c r="AY176" i="11"/>
  <c r="AY171" i="11"/>
  <c r="AY177" i="11"/>
  <c r="AY172" i="11"/>
  <c r="AY181" i="11"/>
  <c r="AY156" i="11"/>
  <c r="AC116" i="4"/>
  <c r="AC147" i="4" s="1"/>
  <c r="AY159" i="11"/>
  <c r="AY168" i="11"/>
  <c r="AY174" i="11"/>
  <c r="AY170" i="11"/>
  <c r="AY169" i="11"/>
  <c r="BF147" i="4"/>
  <c r="AY82" i="11"/>
  <c r="AY180" i="11"/>
  <c r="AY145" i="11"/>
  <c r="AY132" i="11"/>
  <c r="AY133" i="11"/>
  <c r="AY131" i="11"/>
  <c r="AY130" i="11"/>
  <c r="AY136" i="11"/>
  <c r="AY127" i="11"/>
  <c r="AY142" i="11"/>
  <c r="AC79" i="4"/>
  <c r="AY135" i="11"/>
  <c r="AY134" i="11"/>
  <c r="AY146" i="11"/>
  <c r="AY147" i="11"/>
  <c r="AY137" i="11"/>
  <c r="AY128" i="11"/>
  <c r="AY143" i="11"/>
  <c r="AY139" i="11"/>
  <c r="AY124" i="11"/>
  <c r="BF12" i="4"/>
  <c r="AY126" i="11"/>
  <c r="AY122" i="11"/>
  <c r="AY129" i="11"/>
  <c r="BF18" i="7"/>
  <c r="AY141" i="11"/>
  <c r="AY123" i="11"/>
  <c r="AY140" i="11"/>
  <c r="AY125" i="11"/>
  <c r="AY121" i="11"/>
  <c r="AX216" i="11"/>
  <c r="S7" i="9"/>
  <c r="AE77" i="4" l="1"/>
  <c r="T73" i="9"/>
  <c r="T1" i="9" s="1"/>
  <c r="S219" i="11"/>
  <c r="T72" i="9"/>
  <c r="AD116" i="4"/>
  <c r="AD147" i="4" s="1"/>
  <c r="AD79" i="4"/>
  <c r="BG12" i="4"/>
  <c r="BG147" i="4"/>
  <c r="BG18" i="7"/>
  <c r="AE79" i="4"/>
  <c r="BH116" i="4"/>
  <c r="V104" i="9" s="1"/>
  <c r="BH144" i="4"/>
  <c r="BH18" i="7"/>
  <c r="AE144" i="4"/>
  <c r="AX218" i="11"/>
  <c r="AX221" i="11" s="1"/>
  <c r="AY217" i="11"/>
  <c r="AY216" i="11"/>
  <c r="AY215" i="11"/>
  <c r="AY214" i="11"/>
  <c r="T7" i="9"/>
  <c r="U73" i="9" l="1"/>
  <c r="U1" i="9" s="1"/>
  <c r="T219" i="11"/>
  <c r="U72" i="9"/>
  <c r="AE116" i="4"/>
  <c r="AE147" i="4" s="1"/>
  <c r="BH147" i="4"/>
  <c r="AY218" i="11"/>
  <c r="AY221" i="11" s="1"/>
  <c r="V73" i="9" l="1"/>
  <c r="V1" i="9" s="1"/>
  <c r="U219" i="11"/>
  <c r="V72" i="9"/>
  <c r="Y80" i="4"/>
  <c r="BB22" i="7"/>
  <c r="BB375" i="4"/>
  <c r="AU148" i="11"/>
  <c r="BB180" i="4"/>
  <c r="BB175" i="4" l="1"/>
  <c r="BB169" i="4"/>
  <c r="BB168" i="4"/>
  <c r="BB159" i="4"/>
  <c r="BB178" i="4"/>
  <c r="BB156" i="4"/>
  <c r="BB179" i="4"/>
  <c r="AU150" i="11"/>
  <c r="BB176" i="4"/>
  <c r="BB170" i="4"/>
  <c r="BB182" i="4"/>
  <c r="BB157" i="4"/>
  <c r="BB166" i="4"/>
  <c r="BB158" i="4"/>
  <c r="BB162" i="4"/>
  <c r="BB155" i="4"/>
  <c r="BB171" i="4"/>
  <c r="BB377" i="4"/>
  <c r="BB174" i="4"/>
  <c r="BB160" i="4"/>
  <c r="BB167" i="4"/>
  <c r="BB165" i="4"/>
  <c r="BB177" i="4"/>
  <c r="BB172" i="4"/>
  <c r="BB173" i="4"/>
  <c r="BB164" i="4"/>
  <c r="BB163" i="4"/>
  <c r="BB161" i="4"/>
  <c r="Y82" i="4"/>
  <c r="O220" i="11" s="1"/>
  <c r="Y180" i="4" l="1"/>
  <c r="Y86" i="4"/>
  <c r="Y157" i="4"/>
  <c r="Y182" i="4"/>
  <c r="Y161" i="4"/>
  <c r="Y164" i="4"/>
  <c r="Y20" i="7"/>
  <c r="Y156" i="4"/>
  <c r="Y179" i="4"/>
  <c r="Y170" i="4"/>
  <c r="Y174" i="4"/>
  <c r="Y159" i="4"/>
  <c r="Y163" i="4"/>
  <c r="Y158" i="4"/>
  <c r="Y173" i="4"/>
  <c r="Y172" i="4"/>
  <c r="Y160" i="4"/>
  <c r="Y155" i="4"/>
  <c r="Y165" i="4"/>
  <c r="Y171" i="4"/>
  <c r="Y167" i="4"/>
  <c r="Y168" i="4"/>
  <c r="Y169" i="4"/>
  <c r="Y166" i="4"/>
  <c r="Y175" i="4"/>
  <c r="Y178" i="4"/>
  <c r="Y177" i="4"/>
  <c r="Y176" i="4"/>
  <c r="Y162" i="4"/>
  <c r="Y7" i="4"/>
  <c r="Y6" i="4" s="1"/>
  <c r="Y21" i="7" l="1"/>
  <c r="Q39" i="9" l="1"/>
  <c r="BC273" i="4"/>
  <c r="BC272" i="4" s="1"/>
  <c r="BC283" i="4" s="1"/>
  <c r="AA274" i="4"/>
  <c r="AA273" i="4" s="1"/>
  <c r="AA272" i="4" s="1"/>
  <c r="AA283" i="4" s="1"/>
  <c r="Z274" i="4"/>
  <c r="Z273" i="4" s="1"/>
  <c r="Z272" i="4" s="1"/>
  <c r="Z283" i="4" s="1"/>
  <c r="BC90" i="4"/>
  <c r="AW54" i="11" s="1"/>
  <c r="BC89" i="4" l="1"/>
  <c r="AA90" i="4"/>
  <c r="AV54" i="11"/>
  <c r="Z90" i="4"/>
  <c r="Z121" i="4" s="1"/>
  <c r="BD121" i="4"/>
  <c r="BC225" i="4"/>
  <c r="BC72" i="4"/>
  <c r="Z235" i="4"/>
  <c r="Z234" i="4" s="1"/>
  <c r="Z225" i="4" s="1"/>
  <c r="AA235" i="4"/>
  <c r="AA234" i="4" s="1"/>
  <c r="AA225" i="4" s="1"/>
  <c r="BC121" i="4"/>
  <c r="Q75" i="9" l="1"/>
  <c r="R75" i="9"/>
  <c r="R9" i="9"/>
  <c r="AA121" i="4"/>
  <c r="AB121" i="4"/>
  <c r="AA89" i="4"/>
  <c r="AB120" i="4" s="1"/>
  <c r="Q9" i="9"/>
  <c r="BD120" i="4"/>
  <c r="AW53" i="11"/>
  <c r="Z89" i="4"/>
  <c r="Z120" i="4" s="1"/>
  <c r="AV53" i="11"/>
  <c r="BC120" i="4"/>
  <c r="BC111" i="4"/>
  <c r="Z72" i="4"/>
  <c r="BC66" i="4"/>
  <c r="AA72" i="4"/>
  <c r="AA120" i="4" l="1"/>
  <c r="AV77" i="11"/>
  <c r="BC113" i="4"/>
  <c r="Z111" i="4"/>
  <c r="Z142" i="4" s="1"/>
  <c r="AA111" i="4"/>
  <c r="BD142" i="4"/>
  <c r="W99" i="9" s="1"/>
  <c r="BC142" i="4"/>
  <c r="AW77" i="11"/>
  <c r="Z66" i="4"/>
  <c r="AA66" i="4"/>
  <c r="BC77" i="4"/>
  <c r="AA142" i="4" l="1"/>
  <c r="AB142" i="4"/>
  <c r="AW111" i="11"/>
  <c r="AV87" i="11"/>
  <c r="AV113" i="11"/>
  <c r="AV103" i="11"/>
  <c r="AV93" i="11"/>
  <c r="AV90" i="11"/>
  <c r="AV101" i="11"/>
  <c r="AV109" i="11"/>
  <c r="AV97" i="11"/>
  <c r="AW97" i="11"/>
  <c r="AV112" i="11"/>
  <c r="AW113" i="11"/>
  <c r="AW101" i="11"/>
  <c r="AV102" i="11"/>
  <c r="AW91" i="11"/>
  <c r="AW107" i="11"/>
  <c r="AW106" i="11"/>
  <c r="AV98" i="11"/>
  <c r="AV91" i="11"/>
  <c r="AW112" i="11"/>
  <c r="AV105" i="11"/>
  <c r="AV106" i="11"/>
  <c r="BC116" i="4"/>
  <c r="AW103" i="11"/>
  <c r="AV92" i="11"/>
  <c r="AW114" i="11"/>
  <c r="AW79" i="11"/>
  <c r="AV95" i="11"/>
  <c r="AW95" i="11"/>
  <c r="AV99" i="11"/>
  <c r="AV111" i="11"/>
  <c r="AW99" i="11"/>
  <c r="AV100" i="11"/>
  <c r="AV107" i="11"/>
  <c r="AV96" i="11"/>
  <c r="BC144" i="4"/>
  <c r="AV94" i="11"/>
  <c r="AW93" i="11"/>
  <c r="AV114" i="11"/>
  <c r="AW98" i="11"/>
  <c r="AV79" i="11"/>
  <c r="AW89" i="11"/>
  <c r="AW88" i="11"/>
  <c r="BD144" i="4"/>
  <c r="W101" i="9" s="1"/>
  <c r="AV108" i="11"/>
  <c r="AW96" i="11"/>
  <c r="AW109" i="11"/>
  <c r="Z113" i="4"/>
  <c r="Z144" i="4" s="1"/>
  <c r="AW92" i="11"/>
  <c r="AW108" i="11"/>
  <c r="AA113" i="4"/>
  <c r="AW87" i="11"/>
  <c r="AW105" i="11"/>
  <c r="AW102" i="11"/>
  <c r="AV89" i="11"/>
  <c r="AW100" i="11"/>
  <c r="AW94" i="11"/>
  <c r="AW90" i="11"/>
  <c r="AV88" i="11"/>
  <c r="BC79" i="4"/>
  <c r="AA77" i="4"/>
  <c r="Z77" i="4"/>
  <c r="Q104" i="9" l="1"/>
  <c r="Q38" i="9" s="1"/>
  <c r="R104" i="9"/>
  <c r="AB144" i="4"/>
  <c r="AA144" i="4"/>
  <c r="AV182" i="11"/>
  <c r="BC443" i="4"/>
  <c r="AV185" i="11"/>
  <c r="AV168" i="11"/>
  <c r="BC430" i="4"/>
  <c r="BC424" i="4"/>
  <c r="AW166" i="11"/>
  <c r="Z116" i="4"/>
  <c r="BC439" i="4"/>
  <c r="AW170" i="11"/>
  <c r="AV159" i="11"/>
  <c r="AW158" i="11"/>
  <c r="AW177" i="11"/>
  <c r="BC442" i="4"/>
  <c r="AW178" i="11"/>
  <c r="BC427" i="4"/>
  <c r="AW171" i="11"/>
  <c r="BC117" i="4"/>
  <c r="AW167" i="11"/>
  <c r="BC419" i="4"/>
  <c r="AV171" i="11"/>
  <c r="BC425" i="4"/>
  <c r="AV116" i="11"/>
  <c r="AV177" i="11"/>
  <c r="BC433" i="4"/>
  <c r="BC432" i="4"/>
  <c r="BC431" i="4"/>
  <c r="BC435" i="4"/>
  <c r="BC428" i="4"/>
  <c r="BC420" i="4"/>
  <c r="BC426" i="4"/>
  <c r="AW169" i="11"/>
  <c r="AV183" i="11"/>
  <c r="AW164" i="11"/>
  <c r="AV164" i="11"/>
  <c r="AA116" i="4"/>
  <c r="BC437" i="4"/>
  <c r="AV180" i="11"/>
  <c r="BC429" i="4"/>
  <c r="AW160" i="11"/>
  <c r="AV181" i="11"/>
  <c r="AW157" i="11"/>
  <c r="BC438" i="4"/>
  <c r="BC423" i="4"/>
  <c r="AW161" i="11"/>
  <c r="BC446" i="4"/>
  <c r="AV167" i="11"/>
  <c r="BC418" i="4"/>
  <c r="AV172" i="11"/>
  <c r="AW185" i="11"/>
  <c r="AW168" i="11"/>
  <c r="AV174" i="11"/>
  <c r="AW181" i="11"/>
  <c r="AV82" i="11"/>
  <c r="AW174" i="11"/>
  <c r="AV160" i="11"/>
  <c r="AW176" i="11"/>
  <c r="AV158" i="11"/>
  <c r="AV178" i="11"/>
  <c r="AV166" i="11"/>
  <c r="AW165" i="11"/>
  <c r="BC417" i="4"/>
  <c r="AW162" i="11"/>
  <c r="AW159" i="11"/>
  <c r="BD147" i="4"/>
  <c r="AV176" i="11"/>
  <c r="BC421" i="4"/>
  <c r="BC422" i="4"/>
  <c r="AV165" i="11"/>
  <c r="AW116" i="11"/>
  <c r="AV170" i="11"/>
  <c r="AW82" i="11"/>
  <c r="BD117" i="4"/>
  <c r="AW163" i="11"/>
  <c r="BC436" i="4"/>
  <c r="AV163" i="11"/>
  <c r="AV161" i="11"/>
  <c r="BC444" i="4"/>
  <c r="AW172" i="11"/>
  <c r="AV175" i="11"/>
  <c r="AV162" i="11"/>
  <c r="AV169" i="11"/>
  <c r="AW156" i="11"/>
  <c r="BC147" i="4"/>
  <c r="AW180" i="11"/>
  <c r="BC441" i="4"/>
  <c r="AV156" i="11"/>
  <c r="AW175" i="11"/>
  <c r="AW183" i="11"/>
  <c r="AV157" i="11"/>
  <c r="AW182" i="11"/>
  <c r="AV145" i="11"/>
  <c r="AV125" i="11"/>
  <c r="BC12" i="4"/>
  <c r="AA79" i="4"/>
  <c r="Z79" i="4"/>
  <c r="AV142" i="11"/>
  <c r="AV121" i="11"/>
  <c r="AV133" i="11"/>
  <c r="AV127" i="11"/>
  <c r="AV128" i="11"/>
  <c r="AV143" i="11"/>
  <c r="AV122" i="11"/>
  <c r="AV126" i="11"/>
  <c r="AV131" i="11"/>
  <c r="AV136" i="11"/>
  <c r="AV124" i="11"/>
  <c r="AV123" i="11"/>
  <c r="AV137" i="11"/>
  <c r="AV135" i="11"/>
  <c r="AV147" i="11"/>
  <c r="AV134" i="11"/>
  <c r="AV130" i="11"/>
  <c r="AV141" i="11"/>
  <c r="AV129" i="11"/>
  <c r="AV146" i="11"/>
  <c r="AV140" i="11"/>
  <c r="BC18" i="7"/>
  <c r="AV139" i="11"/>
  <c r="AV132" i="11"/>
  <c r="Q73" i="9" l="1"/>
  <c r="P219" i="11"/>
  <c r="R73" i="9"/>
  <c r="Q219" i="11"/>
  <c r="R72" i="9"/>
  <c r="Q72" i="9"/>
  <c r="W104" i="9"/>
  <c r="Q7" i="9"/>
  <c r="Q2" i="9"/>
  <c r="R7" i="9"/>
  <c r="R2" i="9"/>
  <c r="AA443" i="4"/>
  <c r="AA424" i="4"/>
  <c r="AA444" i="4"/>
  <c r="AA431" i="4"/>
  <c r="AA422" i="4"/>
  <c r="AA426" i="4"/>
  <c r="AA425" i="4"/>
  <c r="AA442" i="4"/>
  <c r="AA428" i="4"/>
  <c r="AA423" i="4"/>
  <c r="AA147" i="4"/>
  <c r="AA427" i="4"/>
  <c r="AA418" i="4"/>
  <c r="AA437" i="4"/>
  <c r="AA438" i="4"/>
  <c r="AA430" i="4"/>
  <c r="AA421" i="4"/>
  <c r="AA419" i="4"/>
  <c r="AA433" i="4"/>
  <c r="AA439" i="4"/>
  <c r="AA432" i="4"/>
  <c r="AA420" i="4"/>
  <c r="AB147" i="4"/>
  <c r="AA429" i="4"/>
  <c r="AA435" i="4"/>
  <c r="AA436" i="4"/>
  <c r="AA441" i="4"/>
  <c r="AA446" i="4"/>
  <c r="AA417" i="4"/>
  <c r="Z443" i="4"/>
  <c r="Z438" i="4"/>
  <c r="Z419" i="4"/>
  <c r="Z423" i="4"/>
  <c r="Z420" i="4"/>
  <c r="Z435" i="4"/>
  <c r="Z426" i="4"/>
  <c r="Z421" i="4"/>
  <c r="Z427" i="4"/>
  <c r="Z430" i="4"/>
  <c r="Z433" i="4"/>
  <c r="Z436" i="4"/>
  <c r="Z422" i="4"/>
  <c r="Z442" i="4"/>
  <c r="Z446" i="4"/>
  <c r="Z417" i="4"/>
  <c r="Z437" i="4"/>
  <c r="Z441" i="4"/>
  <c r="Z429" i="4"/>
  <c r="Z147" i="4"/>
  <c r="Z432" i="4"/>
  <c r="Z431" i="4"/>
  <c r="Z425" i="4"/>
  <c r="Z424" i="4"/>
  <c r="Z428" i="4"/>
  <c r="Z439" i="4"/>
  <c r="Z444" i="4"/>
  <c r="Z418" i="4"/>
  <c r="AV215" i="11"/>
  <c r="AV217" i="11"/>
  <c r="AV216" i="11"/>
  <c r="AV214" i="11"/>
  <c r="AV218" i="11" l="1"/>
  <c r="AV221" i="11" s="1"/>
  <c r="IQ12" i="7" l="1"/>
  <c r="IQ13" i="7"/>
  <c r="JC6" i="7"/>
  <c r="JC12" i="7" s="1"/>
  <c r="JO6" i="7" l="1"/>
  <c r="JO12" i="7" l="1"/>
  <c r="BA35" i="4" l="1"/>
  <c r="BA34" i="4"/>
  <c r="BA40" i="4"/>
  <c r="BA39" i="4" l="1"/>
  <c r="BA25" i="4"/>
  <c r="BA26" i="4"/>
  <c r="BA48" i="4" l="1"/>
  <c r="AD8" i="4" l="1"/>
  <c r="AE8" i="4"/>
  <c r="BG8" i="4"/>
  <c r="BH8" i="4"/>
  <c r="BG13" i="4"/>
  <c r="BG14" i="4" s="1"/>
  <c r="BH13" i="4"/>
  <c r="BH14" i="4" s="1"/>
  <c r="BH18" i="4"/>
  <c r="BH19" i="4"/>
  <c r="BH36" i="4"/>
  <c r="BB13" i="4" l="1"/>
  <c r="BB14" i="4" s="1"/>
  <c r="BA13" i="4"/>
  <c r="BA14" i="4" s="1"/>
  <c r="AZ13" i="4"/>
  <c r="AZ14" i="4" s="1"/>
  <c r="AY13" i="4"/>
  <c r="AY14" i="4" s="1"/>
  <c r="AX13" i="4"/>
  <c r="AX14" i="4" s="1"/>
  <c r="AW13" i="4"/>
  <c r="AW14" i="4" s="1"/>
  <c r="AU13" i="4"/>
  <c r="AU14" i="4" s="1"/>
  <c r="AQ13" i="4"/>
  <c r="AQ14" i="4" s="1"/>
  <c r="Y13" i="4"/>
  <c r="X13" i="4"/>
  <c r="W13" i="4"/>
  <c r="V13" i="4"/>
  <c r="BF8" i="4"/>
  <c r="L13" i="4" l="1"/>
  <c r="L12" i="11" s="1"/>
  <c r="T13" i="4"/>
  <c r="M13" i="4"/>
  <c r="M12" i="11" s="1"/>
  <c r="U13" i="4"/>
  <c r="O13" i="4"/>
  <c r="O12" i="11" s="1"/>
  <c r="P13" i="4"/>
  <c r="P12" i="11" s="1"/>
  <c r="N13" i="4"/>
  <c r="N12" i="11" s="1"/>
  <c r="Q13" i="4"/>
  <c r="Q12" i="11" s="1"/>
  <c r="K13" i="4"/>
  <c r="K12" i="11" s="1"/>
  <c r="R13" i="4"/>
  <c r="R12" i="11" s="1"/>
  <c r="Y8" i="4"/>
  <c r="Y9" i="4" s="1"/>
  <c r="AS13" i="4"/>
  <c r="AS14" i="4" s="1"/>
  <c r="X8" i="4"/>
  <c r="X9" i="4" s="1"/>
  <c r="AN13" i="4"/>
  <c r="AN14" i="4" s="1"/>
  <c r="AV13" i="4"/>
  <c r="AV14" i="4" s="1"/>
  <c r="BC8" i="4"/>
  <c r="K8" i="4"/>
  <c r="BB8" i="4"/>
  <c r="O8" i="4"/>
  <c r="W8" i="4"/>
  <c r="W9" i="4" s="1"/>
  <c r="BA8" i="4"/>
  <c r="P8" i="4"/>
  <c r="AP13" i="4"/>
  <c r="AP14" i="4" s="1"/>
  <c r="Q8" i="4"/>
  <c r="AL13" i="4"/>
  <c r="AL14" i="4" s="1"/>
  <c r="AN8" i="4"/>
  <c r="AV8" i="4"/>
  <c r="N8" i="4"/>
  <c r="V8" i="4"/>
  <c r="AR8" i="4"/>
  <c r="AZ8" i="4"/>
  <c r="AO13" i="4"/>
  <c r="AO14" i="4" s="1"/>
  <c r="AQ8" i="4"/>
  <c r="L8" i="4"/>
  <c r="T8" i="4"/>
  <c r="AP8" i="4"/>
  <c r="AX8" i="4"/>
  <c r="J8" i="4"/>
  <c r="R8" i="4"/>
  <c r="AL8" i="4"/>
  <c r="AT8" i="4"/>
  <c r="AN36" i="4"/>
  <c r="AS8" i="4"/>
  <c r="AR13" i="4"/>
  <c r="AR14" i="4" s="1"/>
  <c r="AV36" i="4"/>
  <c r="S8" i="4"/>
  <c r="AM8" i="4"/>
  <c r="AU8" i="4"/>
  <c r="AT36" i="4"/>
  <c r="AY36" i="4"/>
  <c r="AQ36" i="4"/>
  <c r="AS36" i="4"/>
  <c r="BA36" i="4"/>
  <c r="AM36" i="4"/>
  <c r="AL36" i="4"/>
  <c r="BB36" i="4"/>
  <c r="AU36" i="4"/>
  <c r="AW8" i="4"/>
  <c r="AM13" i="4"/>
  <c r="AM14" i="4" s="1"/>
  <c r="U8" i="4"/>
  <c r="AR36" i="4"/>
  <c r="AZ36" i="4"/>
  <c r="AY8" i="4"/>
  <c r="AP36" i="4"/>
  <c r="AX36" i="4"/>
  <c r="M8" i="4"/>
  <c r="AO8" i="4"/>
  <c r="BC36" i="4"/>
  <c r="BC13" i="4"/>
  <c r="BC14" i="4" s="1"/>
  <c r="AO36" i="4"/>
  <c r="AW36" i="4"/>
  <c r="J13" i="4"/>
  <c r="J12" i="11" s="1"/>
  <c r="AT13" i="4"/>
  <c r="AT14" i="4" s="1"/>
  <c r="S13" i="4" l="1"/>
  <c r="S12" i="11" s="1"/>
  <c r="N8" i="11"/>
  <c r="N9" i="4"/>
  <c r="N9" i="11" s="1"/>
  <c r="L9" i="4"/>
  <c r="L9" i="11" s="1"/>
  <c r="L8" i="11"/>
  <c r="Q9" i="4"/>
  <c r="Q9" i="11" s="1"/>
  <c r="Q8" i="11"/>
  <c r="O9" i="4"/>
  <c r="O9" i="11" s="1"/>
  <c r="O8" i="11"/>
  <c r="S8" i="11"/>
  <c r="S9" i="4"/>
  <c r="S9" i="11" s="1"/>
  <c r="R9" i="4"/>
  <c r="R9" i="11" s="1"/>
  <c r="R8" i="11"/>
  <c r="M8" i="11"/>
  <c r="M9" i="4"/>
  <c r="M9" i="11" s="1"/>
  <c r="J9" i="4"/>
  <c r="J9" i="11" s="1"/>
  <c r="J8" i="11"/>
  <c r="P8" i="11"/>
  <c r="P9" i="4"/>
  <c r="P9" i="11" s="1"/>
  <c r="K9" i="4"/>
  <c r="K9" i="11" s="1"/>
  <c r="K8" i="11"/>
  <c r="AX18" i="4" l="1"/>
  <c r="AY19" i="4"/>
  <c r="BB19" i="4"/>
  <c r="Y18" i="4"/>
  <c r="BC18" i="4"/>
  <c r="J18" i="4" l="1"/>
  <c r="AX19" i="4"/>
  <c r="J19" i="4"/>
  <c r="J18" i="11" s="1"/>
  <c r="Y19" i="4"/>
  <c r="BC19" i="4"/>
  <c r="BA18" i="4"/>
  <c r="BA19" i="4"/>
  <c r="AM18" i="4"/>
  <c r="AM19" i="4"/>
  <c r="K19" i="4"/>
  <c r="K18" i="11" s="1"/>
  <c r="BB18" i="4"/>
  <c r="AY18" i="4"/>
  <c r="K18" i="4"/>
  <c r="L18" i="4"/>
  <c r="AT19" i="4"/>
  <c r="AT18" i="4"/>
  <c r="AL19" i="4"/>
  <c r="AL18" i="4"/>
  <c r="P18" i="4"/>
  <c r="P19" i="4"/>
  <c r="P18" i="11" s="1"/>
  <c r="V19" i="4"/>
  <c r="V18" i="4"/>
  <c r="U19" i="4"/>
  <c r="U18" i="4"/>
  <c r="AO19" i="4"/>
  <c r="AO18" i="4"/>
  <c r="AR19" i="4"/>
  <c r="AR18" i="4"/>
  <c r="N19" i="4"/>
  <c r="N18" i="11" s="1"/>
  <c r="N18" i="4"/>
  <c r="M19" i="4"/>
  <c r="M18" i="11" s="1"/>
  <c r="M18" i="4"/>
  <c r="AZ19" i="4"/>
  <c r="AZ18" i="4"/>
  <c r="X19" i="4"/>
  <c r="X18" i="4"/>
  <c r="W18" i="4"/>
  <c r="W19" i="4"/>
  <c r="O18" i="4"/>
  <c r="O19" i="4"/>
  <c r="O18" i="11" s="1"/>
  <c r="R19" i="4"/>
  <c r="R18" i="11" s="1"/>
  <c r="R18" i="4"/>
  <c r="AP19" i="4"/>
  <c r="AP18" i="4"/>
  <c r="AQ18" i="4"/>
  <c r="AQ19" i="4"/>
  <c r="P17" i="11" l="1"/>
  <c r="O17" i="11"/>
  <c r="N17" i="11"/>
  <c r="K17" i="11"/>
  <c r="L17" i="11"/>
  <c r="R17" i="11"/>
  <c r="M17" i="11"/>
  <c r="J17" i="11"/>
  <c r="AW18" i="4"/>
  <c r="AW19" i="4"/>
  <c r="L19" i="4"/>
  <c r="L18" i="11" s="1"/>
  <c r="S19" i="4"/>
  <c r="S18" i="11" s="1"/>
  <c r="S18" i="4"/>
  <c r="AV18" i="4"/>
  <c r="AV19" i="4"/>
  <c r="Q19" i="4"/>
  <c r="Q18" i="11" s="1"/>
  <c r="Q18" i="4"/>
  <c r="AS19" i="4"/>
  <c r="AS18" i="4"/>
  <c r="AN18" i="4"/>
  <c r="AN19" i="4"/>
  <c r="T19" i="4"/>
  <c r="T18" i="4"/>
  <c r="AU18" i="4"/>
  <c r="AU19" i="4"/>
  <c r="Q17" i="11" l="1"/>
  <c r="S17" i="11"/>
  <c r="AB8" i="4" l="1"/>
  <c r="AC8" i="4" l="1"/>
  <c r="BD8" i="4" l="1"/>
  <c r="BE8" i="4" l="1"/>
  <c r="AB13" i="4" l="1"/>
  <c r="AC13" i="4"/>
  <c r="AE13" i="4" l="1"/>
  <c r="AD13" i="4"/>
  <c r="BD13" i="4" l="1"/>
  <c r="BD14" i="4" l="1"/>
  <c r="BE13" i="4" l="1"/>
  <c r="BE14" i="4" l="1"/>
  <c r="BF13" i="4" l="1"/>
  <c r="BF14" i="4" l="1"/>
  <c r="IR9" i="7" l="1"/>
  <c r="JD10" i="7"/>
  <c r="JD8" i="7" s="1"/>
  <c r="JD9" i="7" l="1"/>
  <c r="JP10" i="7"/>
  <c r="JP8" i="7" s="1"/>
  <c r="JP9" i="7" s="1"/>
  <c r="IQ9" i="7"/>
  <c r="JC10" i="7" l="1"/>
  <c r="JO10" i="7" l="1"/>
  <c r="JO8" i="7" s="1"/>
  <c r="JC8" i="7"/>
  <c r="JC9" i="7" s="1"/>
  <c r="JO9" i="7" l="1"/>
  <c r="AA13" i="4" l="1"/>
  <c r="Z8" i="4" l="1"/>
  <c r="AA8" i="4"/>
  <c r="Z13" i="4"/>
  <c r="Z18" i="4" l="1"/>
  <c r="Z19" i="4"/>
  <c r="AA18" i="4"/>
  <c r="AA19" i="4"/>
  <c r="BC84" i="4" l="1"/>
  <c r="Z84" i="4" s="1"/>
  <c r="BG10" i="4" l="1"/>
  <c r="BH10" i="4"/>
  <c r="BH22" i="4"/>
  <c r="BG36" i="4"/>
  <c r="BH80" i="4" l="1"/>
  <c r="BH9" i="4"/>
  <c r="BH7" i="4" s="1"/>
  <c r="BG80" i="4"/>
  <c r="BG9" i="4"/>
  <c r="BG7" i="4" s="1"/>
  <c r="BG223" i="4" l="1"/>
  <c r="AE80" i="4"/>
  <c r="BG82" i="4"/>
  <c r="BG22" i="7"/>
  <c r="BH22" i="7"/>
  <c r="BH223" i="4"/>
  <c r="BH82" i="4"/>
  <c r="BH197" i="4" l="1"/>
  <c r="AE82" i="4"/>
  <c r="BH86" i="4"/>
  <c r="BH6" i="4"/>
  <c r="AE223" i="4"/>
  <c r="AE197" i="4" s="1"/>
  <c r="AE236" i="4" s="1"/>
  <c r="BG197" i="4"/>
  <c r="BH83" i="4"/>
  <c r="BH236" i="4"/>
  <c r="BG6" i="4"/>
  <c r="BH84" i="4"/>
  <c r="AE180" i="4" l="1"/>
  <c r="BG83" i="4"/>
  <c r="AE83" i="4" s="1"/>
  <c r="BG236" i="4"/>
  <c r="AE157" i="4"/>
  <c r="AE177" i="4"/>
  <c r="AE169" i="4"/>
  <c r="AE155" i="4"/>
  <c r="AE165" i="4"/>
  <c r="U220" i="11"/>
  <c r="AE175" i="4"/>
  <c r="AE173" i="4"/>
  <c r="AE20" i="7"/>
  <c r="AE182" i="4"/>
  <c r="AE167" i="4"/>
  <c r="AE156" i="4"/>
  <c r="AE166" i="4"/>
  <c r="AE163" i="4"/>
  <c r="AE172" i="4"/>
  <c r="AE159" i="4"/>
  <c r="AE178" i="4"/>
  <c r="AE174" i="4"/>
  <c r="AE170" i="4"/>
  <c r="AE7" i="4"/>
  <c r="AE9" i="4" s="1"/>
  <c r="AE168" i="4"/>
  <c r="AE161" i="4"/>
  <c r="AE171" i="4"/>
  <c r="AE160" i="4"/>
  <c r="AE164" i="4"/>
  <c r="AE179" i="4"/>
  <c r="AE158" i="4"/>
  <c r="AE176" i="4"/>
  <c r="AE162" i="4"/>
  <c r="AE6" i="4"/>
  <c r="BA22" i="4" l="1"/>
  <c r="O22" i="4"/>
  <c r="Y22" i="4"/>
  <c r="W22" i="4"/>
  <c r="AQ22" i="4"/>
  <c r="BA10" i="4"/>
  <c r="V22" i="4"/>
  <c r="U22" i="4"/>
  <c r="AY10" i="4"/>
  <c r="AZ10" i="4"/>
  <c r="AX22" i="4"/>
  <c r="BB10" i="4"/>
  <c r="BB9" i="4" s="1"/>
  <c r="AR22" i="4"/>
  <c r="AU22" i="4"/>
  <c r="BC22" i="4"/>
  <c r="K22" i="4"/>
  <c r="S22" i="4"/>
  <c r="AZ22" i="4"/>
  <c r="M22" i="4"/>
  <c r="AY22" i="4"/>
  <c r="AM22" i="4"/>
  <c r="L22" i="4"/>
  <c r="T22" i="4"/>
  <c r="AN22" i="4"/>
  <c r="AV22" i="4"/>
  <c r="AQ10" i="4"/>
  <c r="AQ9" i="4" s="1"/>
  <c r="P22" i="4"/>
  <c r="X22" i="4"/>
  <c r="X23" i="4" s="1"/>
  <c r="AW22" i="4"/>
  <c r="AA22" i="4"/>
  <c r="AO22" i="4"/>
  <c r="Q10" i="4"/>
  <c r="Y10" i="4"/>
  <c r="O10" i="4"/>
  <c r="N22" i="4"/>
  <c r="AP22" i="4"/>
  <c r="Q22" i="4"/>
  <c r="J10" i="4"/>
  <c r="Z10" i="4"/>
  <c r="Z36" i="4" s="1"/>
  <c r="K10" i="4"/>
  <c r="S10" i="4"/>
  <c r="AU10" i="4"/>
  <c r="BC10" i="4"/>
  <c r="R10" i="4"/>
  <c r="AT10" i="4"/>
  <c r="AA10" i="4"/>
  <c r="AA36" i="4" s="1"/>
  <c r="AM10" i="4"/>
  <c r="AS10" i="4"/>
  <c r="AP10" i="4"/>
  <c r="L10" i="4"/>
  <c r="T10" i="4"/>
  <c r="AN10" i="4"/>
  <c r="AV10" i="4"/>
  <c r="AV9" i="4" s="1"/>
  <c r="J22" i="4"/>
  <c r="Z22" i="4"/>
  <c r="AL22" i="4"/>
  <c r="AL23" i="4" s="1"/>
  <c r="AT22" i="4"/>
  <c r="BB22" i="4"/>
  <c r="W10" i="4"/>
  <c r="AS22" i="4"/>
  <c r="R22" i="4"/>
  <c r="P10" i="4"/>
  <c r="X10" i="4"/>
  <c r="AR10" i="4"/>
  <c r="N10" i="4"/>
  <c r="V10" i="4"/>
  <c r="AX10" i="4"/>
  <c r="M10" i="4"/>
  <c r="U10" i="4"/>
  <c r="AO10" i="4"/>
  <c r="AW10" i="4"/>
  <c r="AW9" i="4" l="1"/>
  <c r="AW7" i="4" s="1"/>
  <c r="AP10" i="11" s="1"/>
  <c r="AO9" i="4"/>
  <c r="AO7" i="4" s="1"/>
  <c r="AH10" i="11" s="1"/>
  <c r="U36" i="4"/>
  <c r="U80" i="4"/>
  <c r="R23" i="4"/>
  <c r="R22" i="11" s="1"/>
  <c r="R21" i="11"/>
  <c r="AT23" i="4"/>
  <c r="AV7" i="4"/>
  <c r="AO9" i="11" s="1"/>
  <c r="R36" i="4"/>
  <c r="R35" i="11" s="1"/>
  <c r="R12" i="4"/>
  <c r="R10" i="11"/>
  <c r="K12" i="4"/>
  <c r="K36" i="4"/>
  <c r="K35" i="11" s="1"/>
  <c r="K10" i="11"/>
  <c r="O10" i="11"/>
  <c r="O12" i="4"/>
  <c r="O36" i="4"/>
  <c r="O35" i="11" s="1"/>
  <c r="AN23" i="4"/>
  <c r="AM23" i="4"/>
  <c r="AZ23" i="4"/>
  <c r="K23" i="4"/>
  <c r="K22" i="11" s="1"/>
  <c r="K21" i="11"/>
  <c r="BA9" i="4"/>
  <c r="BA7" i="4" s="1"/>
  <c r="AT10" i="11" s="1"/>
  <c r="P10" i="11"/>
  <c r="P36" i="4"/>
  <c r="P35" i="11" s="1"/>
  <c r="P12" i="4"/>
  <c r="AS23" i="4"/>
  <c r="W36" i="4"/>
  <c r="W12" i="4"/>
  <c r="W14" i="4" s="1"/>
  <c r="AN9" i="4"/>
  <c r="AN7" i="4" s="1"/>
  <c r="AG10" i="11" s="1"/>
  <c r="AS9" i="4"/>
  <c r="BC9" i="4"/>
  <c r="BC7" i="4" s="1"/>
  <c r="AV10" i="11" s="1"/>
  <c r="BC80" i="4"/>
  <c r="AQ7" i="4"/>
  <c r="AV23" i="4"/>
  <c r="AO21" i="11"/>
  <c r="T23" i="4"/>
  <c r="M21" i="11"/>
  <c r="M23" i="4"/>
  <c r="M22" i="11" s="1"/>
  <c r="AU23" i="4"/>
  <c r="AR23" i="4"/>
  <c r="BB7" i="4"/>
  <c r="AU9" i="11" s="1"/>
  <c r="AY9" i="4"/>
  <c r="AY7" i="4" s="1"/>
  <c r="AR10" i="11" s="1"/>
  <c r="AQ23" i="4"/>
  <c r="W23" i="4"/>
  <c r="M36" i="4"/>
  <c r="M35" i="11" s="1"/>
  <c r="M12" i="4"/>
  <c r="M10" i="11"/>
  <c r="AX9" i="4"/>
  <c r="V36" i="4"/>
  <c r="V80" i="4"/>
  <c r="N10" i="11"/>
  <c r="N12" i="4"/>
  <c r="N36" i="4"/>
  <c r="N35" i="11" s="1"/>
  <c r="AR9" i="4"/>
  <c r="AR7" i="4" s="1"/>
  <c r="X12" i="4"/>
  <c r="X14" i="4" s="1"/>
  <c r="X36" i="4"/>
  <c r="T36" i="4"/>
  <c r="T80" i="4"/>
  <c r="AM9" i="4"/>
  <c r="AT9" i="4"/>
  <c r="AT7" i="4" s="1"/>
  <c r="AM21" i="11" s="1"/>
  <c r="J36" i="4"/>
  <c r="J35" i="11" s="1"/>
  <c r="J10" i="11"/>
  <c r="J12" i="4"/>
  <c r="AP23" i="4"/>
  <c r="Y36" i="4"/>
  <c r="Y12" i="4"/>
  <c r="Y14" i="4" s="1"/>
  <c r="AW23" i="4"/>
  <c r="AP22" i="11" s="1"/>
  <c r="AP21" i="11"/>
  <c r="P21" i="11"/>
  <c r="P23" i="4"/>
  <c r="P22" i="11" s="1"/>
  <c r="L23" i="4"/>
  <c r="L22" i="11" s="1"/>
  <c r="L21" i="11"/>
  <c r="AX23" i="4"/>
  <c r="U23" i="4"/>
  <c r="V23" i="4"/>
  <c r="AT21" i="11"/>
  <c r="BA23" i="4"/>
  <c r="AT22" i="11" s="1"/>
  <c r="J23" i="4"/>
  <c r="J22" i="11" s="1"/>
  <c r="J21" i="11"/>
  <c r="L12" i="4"/>
  <c r="L10" i="11"/>
  <c r="L36" i="4"/>
  <c r="L35" i="11" s="1"/>
  <c r="AP9" i="4"/>
  <c r="AP7" i="4" s="1"/>
  <c r="AI21" i="11" s="1"/>
  <c r="AU9" i="4"/>
  <c r="S10" i="11"/>
  <c r="S36" i="4"/>
  <c r="S35" i="11" s="1"/>
  <c r="S12" i="4"/>
  <c r="Q23" i="4"/>
  <c r="Q22" i="11" s="1"/>
  <c r="Q21" i="11"/>
  <c r="N23" i="4"/>
  <c r="N22" i="11" s="1"/>
  <c r="N21" i="11"/>
  <c r="Q12" i="4"/>
  <c r="Q36" i="4"/>
  <c r="Q35" i="11" s="1"/>
  <c r="Q10" i="11"/>
  <c r="AO23" i="4"/>
  <c r="AH21" i="11"/>
  <c r="AY23" i="4"/>
  <c r="AR22" i="11" s="1"/>
  <c r="AR21" i="11"/>
  <c r="S23" i="4"/>
  <c r="S22" i="11" s="1"/>
  <c r="S21" i="11"/>
  <c r="AZ9" i="4"/>
  <c r="AZ7" i="4" s="1"/>
  <c r="AS10" i="11" s="1"/>
  <c r="O23" i="4"/>
  <c r="O22" i="11" s="1"/>
  <c r="O21" i="11"/>
  <c r="AH22" i="11" l="1"/>
  <c r="AU21" i="11"/>
  <c r="AO22" i="11"/>
  <c r="AI10" i="11"/>
  <c r="AG22" i="11"/>
  <c r="AM10" i="11"/>
  <c r="AV21" i="11"/>
  <c r="AK9" i="11"/>
  <c r="AK17" i="11"/>
  <c r="F116" i="9"/>
  <c r="AK35" i="11"/>
  <c r="AK44" i="11"/>
  <c r="AK36" i="11"/>
  <c r="AK13" i="11"/>
  <c r="AK7" i="11"/>
  <c r="F50" i="9"/>
  <c r="AK20" i="11"/>
  <c r="AK12" i="11"/>
  <c r="AK23" i="11"/>
  <c r="AK11" i="11"/>
  <c r="AK18" i="11"/>
  <c r="AK32" i="11"/>
  <c r="AK8" i="11"/>
  <c r="AK48" i="11"/>
  <c r="AK45" i="11"/>
  <c r="AX7" i="4"/>
  <c r="AQ9" i="11" s="1"/>
  <c r="AK21" i="11"/>
  <c r="AJ10" i="11"/>
  <c r="AJ18" i="11"/>
  <c r="AJ32" i="11"/>
  <c r="AJ7" i="11"/>
  <c r="E50" i="9"/>
  <c r="AJ20" i="11"/>
  <c r="AJ11" i="11"/>
  <c r="AJ48" i="11"/>
  <c r="AJ17" i="11"/>
  <c r="AJ44" i="11"/>
  <c r="AJ35" i="11"/>
  <c r="AJ23" i="11"/>
  <c r="E116" i="9"/>
  <c r="AJ45" i="11"/>
  <c r="AJ36" i="11"/>
  <c r="AJ12" i="11"/>
  <c r="AJ8" i="11"/>
  <c r="AJ13" i="11"/>
  <c r="AS22" i="11"/>
  <c r="R14" i="4"/>
  <c r="R13" i="11" s="1"/>
  <c r="R11" i="11"/>
  <c r="S14" i="4"/>
  <c r="S13" i="11" s="1"/>
  <c r="S11" i="11"/>
  <c r="AU7" i="4"/>
  <c r="AN9" i="11" s="1"/>
  <c r="AM7" i="4"/>
  <c r="AF9" i="11" s="1"/>
  <c r="V148" i="11"/>
  <c r="V82" i="4"/>
  <c r="AR9" i="11"/>
  <c r="AR35" i="11"/>
  <c r="AR12" i="11"/>
  <c r="AR11" i="11"/>
  <c r="AR20" i="11"/>
  <c r="AR18" i="11"/>
  <c r="AR45" i="11"/>
  <c r="AY6" i="4"/>
  <c r="AR48" i="11"/>
  <c r="AR13" i="11"/>
  <c r="AR8" i="11"/>
  <c r="AR17" i="11"/>
  <c r="AR32" i="11"/>
  <c r="AR23" i="11"/>
  <c r="AR44" i="11"/>
  <c r="AR36" i="11"/>
  <c r="AR7" i="11"/>
  <c r="AK22" i="11"/>
  <c r="AS7" i="4"/>
  <c r="AL9" i="11" s="1"/>
  <c r="AM22" i="11"/>
  <c r="AH9" i="11"/>
  <c r="AH17" i="11"/>
  <c r="AH8" i="11"/>
  <c r="AH44" i="11"/>
  <c r="AH35" i="11"/>
  <c r="AH11" i="11"/>
  <c r="AH7" i="11"/>
  <c r="AH20" i="11"/>
  <c r="C50" i="9"/>
  <c r="AH45" i="11"/>
  <c r="AH13" i="11"/>
  <c r="AH18" i="11"/>
  <c r="C116" i="9"/>
  <c r="AH48" i="11"/>
  <c r="AH36" i="11"/>
  <c r="AH32" i="11"/>
  <c r="AH23" i="11"/>
  <c r="AH12" i="11"/>
  <c r="Q11" i="11"/>
  <c r="Q14" i="4"/>
  <c r="Q13" i="11" s="1"/>
  <c r="L14" i="4"/>
  <c r="L13" i="11" s="1"/>
  <c r="L11" i="11"/>
  <c r="AI22" i="11"/>
  <c r="N14" i="4"/>
  <c r="N13" i="11" s="1"/>
  <c r="N11" i="11"/>
  <c r="M14" i="4"/>
  <c r="M13" i="11" s="1"/>
  <c r="M11" i="11"/>
  <c r="AJ21" i="11"/>
  <c r="BC22" i="7"/>
  <c r="AV148" i="11"/>
  <c r="Z80" i="4"/>
  <c r="BC223" i="4"/>
  <c r="BC82" i="4"/>
  <c r="AL22" i="11"/>
  <c r="O14" i="4"/>
  <c r="O13" i="11" s="1"/>
  <c r="O11" i="11"/>
  <c r="K14" i="4"/>
  <c r="K13" i="11" s="1"/>
  <c r="K11" i="11"/>
  <c r="U82" i="4"/>
  <c r="U180" i="4" s="1"/>
  <c r="U148" i="11"/>
  <c r="AS9" i="11"/>
  <c r="AS18" i="11"/>
  <c r="AS45" i="11"/>
  <c r="AS35" i="11"/>
  <c r="AS11" i="11"/>
  <c r="AS17" i="11"/>
  <c r="AZ6" i="4"/>
  <c r="AS44" i="11"/>
  <c r="AS32" i="11"/>
  <c r="AS36" i="11"/>
  <c r="AS13" i="11"/>
  <c r="AS20" i="11"/>
  <c r="AS23" i="11"/>
  <c r="AS12" i="11"/>
  <c r="AS8" i="11"/>
  <c r="AS7" i="11"/>
  <c r="AS48" i="11"/>
  <c r="AI9" i="11"/>
  <c r="AI8" i="11"/>
  <c r="AI35" i="11"/>
  <c r="AI23" i="11"/>
  <c r="AI20" i="11"/>
  <c r="AI7" i="11"/>
  <c r="AI48" i="11"/>
  <c r="AI13" i="11"/>
  <c r="D50" i="9"/>
  <c r="D116" i="9"/>
  <c r="AI11" i="11"/>
  <c r="AI45" i="11"/>
  <c r="AI32" i="11"/>
  <c r="AI44" i="11"/>
  <c r="AI36" i="11"/>
  <c r="AI18" i="11"/>
  <c r="AI12" i="11"/>
  <c r="AI17" i="11"/>
  <c r="J11" i="11"/>
  <c r="J14" i="4"/>
  <c r="J13" i="11" s="1"/>
  <c r="AM9" i="11"/>
  <c r="AM44" i="11"/>
  <c r="AM48" i="11"/>
  <c r="AM11" i="11"/>
  <c r="AM13" i="11"/>
  <c r="AM18" i="11"/>
  <c r="AM8" i="11"/>
  <c r="AM12" i="11"/>
  <c r="AM20" i="11"/>
  <c r="AM35" i="11"/>
  <c r="AM17" i="11"/>
  <c r="H50" i="9"/>
  <c r="H116" i="9"/>
  <c r="AM36" i="11"/>
  <c r="AM45" i="11"/>
  <c r="AM32" i="11"/>
  <c r="AM7" i="11"/>
  <c r="AM23" i="11"/>
  <c r="T148" i="11"/>
  <c r="T82" i="4"/>
  <c r="T180" i="4" s="1"/>
  <c r="AK10" i="11"/>
  <c r="AJ22" i="11"/>
  <c r="AU10" i="11"/>
  <c r="AU13" i="11"/>
  <c r="AU23" i="11"/>
  <c r="AU17" i="11"/>
  <c r="AU48" i="11"/>
  <c r="AU11" i="11"/>
  <c r="AU45" i="11"/>
  <c r="AU44" i="11"/>
  <c r="AU35" i="11"/>
  <c r="AU36" i="11"/>
  <c r="AU12" i="11"/>
  <c r="AU7" i="11"/>
  <c r="AU32" i="11"/>
  <c r="BB6" i="4"/>
  <c r="AU8" i="11"/>
  <c r="AU18" i="11"/>
  <c r="AN22" i="11"/>
  <c r="AJ9" i="11"/>
  <c r="AV9" i="11"/>
  <c r="AV7" i="11"/>
  <c r="AV17" i="11"/>
  <c r="AV13" i="11"/>
  <c r="AV48" i="11"/>
  <c r="AV23" i="11"/>
  <c r="AV32" i="11"/>
  <c r="AV11" i="11"/>
  <c r="AV18" i="11"/>
  <c r="AV45" i="11"/>
  <c r="AV44" i="11"/>
  <c r="AV8" i="11"/>
  <c r="AV12" i="11"/>
  <c r="AV35" i="11"/>
  <c r="AV36" i="11"/>
  <c r="AG9" i="11"/>
  <c r="AG12" i="11"/>
  <c r="AG44" i="11"/>
  <c r="AG7" i="11"/>
  <c r="AG11" i="11"/>
  <c r="AG35" i="11"/>
  <c r="AG17" i="11"/>
  <c r="AG20" i="11"/>
  <c r="AG18" i="11"/>
  <c r="AG23" i="11"/>
  <c r="AG36" i="11"/>
  <c r="AG8" i="11"/>
  <c r="AG45" i="11"/>
  <c r="AG32" i="11"/>
  <c r="AG48" i="11"/>
  <c r="B116" i="9"/>
  <c r="B50" i="9"/>
  <c r="AG13" i="11"/>
  <c r="P11" i="11"/>
  <c r="P14" i="4"/>
  <c r="P13" i="11" s="1"/>
  <c r="AT9" i="11"/>
  <c r="AT39" i="11"/>
  <c r="AT38" i="11"/>
  <c r="AT46" i="11"/>
  <c r="AT25" i="11"/>
  <c r="AT18" i="11"/>
  <c r="BA41" i="4"/>
  <c r="AT23" i="11"/>
  <c r="AT36" i="11"/>
  <c r="AT33" i="11"/>
  <c r="AT24" i="11"/>
  <c r="AT44" i="11"/>
  <c r="BA20" i="4"/>
  <c r="AT11" i="11"/>
  <c r="AT20" i="11"/>
  <c r="AT45" i="11"/>
  <c r="AT7" i="11"/>
  <c r="BA6" i="4"/>
  <c r="AT8" i="11"/>
  <c r="AT32" i="11"/>
  <c r="AT34" i="11"/>
  <c r="AT17" i="11"/>
  <c r="AT12" i="11"/>
  <c r="AT13" i="11"/>
  <c r="AT35" i="11"/>
  <c r="AT48" i="11"/>
  <c r="AS21" i="11"/>
  <c r="AG21" i="11"/>
  <c r="AO10" i="11"/>
  <c r="AO44" i="11"/>
  <c r="AO45" i="11"/>
  <c r="AO20" i="11"/>
  <c r="AO36" i="11"/>
  <c r="AO18" i="11"/>
  <c r="AO17" i="11"/>
  <c r="AO12" i="11"/>
  <c r="AO7" i="11"/>
  <c r="AO48" i="11"/>
  <c r="AO32" i="11"/>
  <c r="AO8" i="11"/>
  <c r="AO13" i="11"/>
  <c r="AO11" i="11"/>
  <c r="AO35" i="11"/>
  <c r="AO23" i="11"/>
  <c r="AP9" i="11"/>
  <c r="AP11" i="11"/>
  <c r="AP12" i="11"/>
  <c r="AP18" i="11"/>
  <c r="AP45" i="11"/>
  <c r="AP35" i="11"/>
  <c r="AP48" i="11"/>
  <c r="AP36" i="11"/>
  <c r="AP17" i="11"/>
  <c r="AP13" i="11"/>
  <c r="AP44" i="11"/>
  <c r="AP7" i="11"/>
  <c r="AP20" i="11"/>
  <c r="AP32" i="11"/>
  <c r="AP8" i="11"/>
  <c r="AP23" i="11"/>
  <c r="AI27" i="11" l="1"/>
  <c r="AF22" i="11"/>
  <c r="V180" i="4"/>
  <c r="U173" i="4"/>
  <c r="U158" i="4"/>
  <c r="U169" i="4"/>
  <c r="U159" i="4"/>
  <c r="U20" i="7"/>
  <c r="U163" i="4"/>
  <c r="U7" i="4"/>
  <c r="U6" i="4" s="1"/>
  <c r="U170" i="4"/>
  <c r="U168" i="4"/>
  <c r="U166" i="4"/>
  <c r="U164" i="4"/>
  <c r="U155" i="4"/>
  <c r="U172" i="4"/>
  <c r="U160" i="4"/>
  <c r="U162" i="4"/>
  <c r="U176" i="4"/>
  <c r="U167" i="4"/>
  <c r="U177" i="4"/>
  <c r="U175" i="4"/>
  <c r="U150" i="11"/>
  <c r="U182" i="4"/>
  <c r="U87" i="7" s="1"/>
  <c r="U161" i="4"/>
  <c r="U157" i="4"/>
  <c r="U165" i="4"/>
  <c r="K220" i="11"/>
  <c r="U178" i="4"/>
  <c r="U86" i="4"/>
  <c r="U174" i="4"/>
  <c r="U171" i="4"/>
  <c r="U179" i="4"/>
  <c r="U156" i="4"/>
  <c r="V176" i="4"/>
  <c r="V170" i="4"/>
  <c r="V179" i="4"/>
  <c r="V169" i="4"/>
  <c r="V86" i="4"/>
  <c r="V162" i="4"/>
  <c r="V157" i="4"/>
  <c r="V174" i="4"/>
  <c r="V159" i="4"/>
  <c r="V172" i="4"/>
  <c r="V7" i="4"/>
  <c r="V182" i="4"/>
  <c r="V155" i="4"/>
  <c r="V163" i="4"/>
  <c r="V168" i="4"/>
  <c r="V166" i="4"/>
  <c r="V167" i="4"/>
  <c r="W86" i="4"/>
  <c r="V164" i="4"/>
  <c r="V173" i="4"/>
  <c r="V178" i="4"/>
  <c r="V20" i="7"/>
  <c r="V158" i="4"/>
  <c r="L220" i="11"/>
  <c r="V160" i="4"/>
  <c r="V175" i="4"/>
  <c r="V161" i="4"/>
  <c r="V165" i="4"/>
  <c r="V150" i="11"/>
  <c r="V156" i="4"/>
  <c r="V177" i="4"/>
  <c r="V171" i="4"/>
  <c r="AJ27" i="11"/>
  <c r="AK27" i="11"/>
  <c r="AT19" i="11"/>
  <c r="BA28" i="4"/>
  <c r="BA17" i="4"/>
  <c r="BC180" i="4"/>
  <c r="BC6" i="4"/>
  <c r="BC176" i="4"/>
  <c r="BC170" i="4"/>
  <c r="BC169" i="4"/>
  <c r="BC161" i="4"/>
  <c r="BC167" i="4"/>
  <c r="BC166" i="4"/>
  <c r="BC177" i="4"/>
  <c r="BC164" i="4"/>
  <c r="Q150" i="9" s="1"/>
  <c r="BC162" i="4"/>
  <c r="BD84" i="4"/>
  <c r="BC165" i="4"/>
  <c r="BC86" i="4"/>
  <c r="BC182" i="4"/>
  <c r="AV150" i="11"/>
  <c r="BC158" i="4"/>
  <c r="BC174" i="4"/>
  <c r="BC168" i="4"/>
  <c r="BC155" i="4"/>
  <c r="BC157" i="4"/>
  <c r="BC179" i="4"/>
  <c r="BC163" i="4"/>
  <c r="BC171" i="4"/>
  <c r="BC178" i="4"/>
  <c r="BC160" i="4"/>
  <c r="BC173" i="4"/>
  <c r="BC172" i="4"/>
  <c r="BC159" i="4"/>
  <c r="BC156" i="4"/>
  <c r="BC175" i="4"/>
  <c r="AN23" i="11"/>
  <c r="AN13" i="11"/>
  <c r="AN11" i="11"/>
  <c r="AN7" i="11"/>
  <c r="AN8" i="11"/>
  <c r="AN48" i="11"/>
  <c r="AN17" i="11"/>
  <c r="I50" i="9"/>
  <c r="J116" i="9" s="1"/>
  <c r="AN36" i="11"/>
  <c r="AN35" i="11"/>
  <c r="AN44" i="11"/>
  <c r="AN12" i="11"/>
  <c r="AN18" i="11"/>
  <c r="AN45" i="11"/>
  <c r="AN32" i="11"/>
  <c r="I116" i="9"/>
  <c r="AN20" i="11"/>
  <c r="AN21" i="11"/>
  <c r="AN10" i="11"/>
  <c r="T150" i="11"/>
  <c r="T173" i="4"/>
  <c r="T175" i="4"/>
  <c r="T164" i="4"/>
  <c r="T156" i="4"/>
  <c r="T168" i="4"/>
  <c r="T161" i="4"/>
  <c r="T170" i="4"/>
  <c r="T174" i="4"/>
  <c r="T157" i="4"/>
  <c r="T155" i="4"/>
  <c r="T182" i="4"/>
  <c r="T87" i="7" s="1"/>
  <c r="T88" i="7" s="1"/>
  <c r="T159" i="4"/>
  <c r="T160" i="4"/>
  <c r="T166" i="4"/>
  <c r="T179" i="4"/>
  <c r="T162" i="4"/>
  <c r="T158" i="4"/>
  <c r="T7" i="4"/>
  <c r="T6" i="4" s="1"/>
  <c r="T165" i="4"/>
  <c r="T163" i="4"/>
  <c r="T167" i="4"/>
  <c r="T171" i="4"/>
  <c r="T172" i="4"/>
  <c r="J220" i="11"/>
  <c r="T20" i="7"/>
  <c r="T86" i="4"/>
  <c r="T176" i="4"/>
  <c r="T177" i="4"/>
  <c r="T178" i="4"/>
  <c r="T169" i="4"/>
  <c r="BC197" i="4"/>
  <c r="Z223" i="4"/>
  <c r="Z197" i="4" s="1"/>
  <c r="Z236" i="4" s="1"/>
  <c r="AQ22" i="11"/>
  <c r="AQ13" i="11"/>
  <c r="AQ48" i="11"/>
  <c r="AQ20" i="11"/>
  <c r="AQ11" i="11"/>
  <c r="AX6" i="4"/>
  <c r="AQ17" i="11"/>
  <c r="AQ35" i="11"/>
  <c r="AQ18" i="11"/>
  <c r="AQ23" i="11"/>
  <c r="AQ36" i="11"/>
  <c r="AQ8" i="11"/>
  <c r="AQ44" i="11"/>
  <c r="AQ7" i="11"/>
  <c r="AQ45" i="11"/>
  <c r="AQ32" i="11"/>
  <c r="AQ12" i="11"/>
  <c r="AQ10" i="11"/>
  <c r="AQ21" i="11"/>
  <c r="BA45" i="4"/>
  <c r="AT40" i="11"/>
  <c r="BA32" i="4"/>
  <c r="J50" i="9"/>
  <c r="Z82" i="4"/>
  <c r="G116" i="9"/>
  <c r="G50" i="9"/>
  <c r="AL36" i="11"/>
  <c r="AL12" i="11"/>
  <c r="AL35" i="11"/>
  <c r="AL7" i="11"/>
  <c r="AL11" i="11"/>
  <c r="AL23" i="11"/>
  <c r="AL20" i="11"/>
  <c r="AL27" i="11" s="1"/>
  <c r="AL48" i="11"/>
  <c r="AL45" i="11"/>
  <c r="AL17" i="11"/>
  <c r="AL8" i="11"/>
  <c r="AL32" i="11"/>
  <c r="AL18" i="11"/>
  <c r="AL44" i="11"/>
  <c r="AL13" i="11"/>
  <c r="AL21" i="11"/>
  <c r="AL10" i="11"/>
  <c r="AF48" i="11"/>
  <c r="AF11" i="11"/>
  <c r="AF13" i="11"/>
  <c r="AF35" i="11"/>
  <c r="AF7" i="11"/>
  <c r="AF8" i="11"/>
  <c r="AF12" i="11"/>
  <c r="AF36" i="11"/>
  <c r="AF44" i="11"/>
  <c r="AF17" i="11"/>
  <c r="AF20" i="11"/>
  <c r="AF23" i="11"/>
  <c r="AF45" i="11"/>
  <c r="AF32" i="11"/>
  <c r="AF18" i="11"/>
  <c r="AF21" i="11"/>
  <c r="AF10" i="11"/>
  <c r="Z180" i="4" l="1"/>
  <c r="T21" i="7"/>
  <c r="K50" i="9"/>
  <c r="L50" i="9" s="1"/>
  <c r="BC83" i="4"/>
  <c r="BC236" i="4"/>
  <c r="U21" i="7"/>
  <c r="AT31" i="11"/>
  <c r="BA42" i="4"/>
  <c r="AM27" i="11"/>
  <c r="AA84" i="4"/>
  <c r="K116" i="9"/>
  <c r="V6" i="4"/>
  <c r="V45" i="11"/>
  <c r="V7" i="11"/>
  <c r="V17" i="11"/>
  <c r="V18" i="11"/>
  <c r="V48" i="11"/>
  <c r="V23" i="11"/>
  <c r="V20" i="11"/>
  <c r="V44" i="11"/>
  <c r="V9" i="4"/>
  <c r="V32" i="11"/>
  <c r="V36" i="11"/>
  <c r="V8" i="11"/>
  <c r="V12" i="11"/>
  <c r="V21" i="11"/>
  <c r="V10" i="11"/>
  <c r="V22" i="11"/>
  <c r="V35" i="11"/>
  <c r="U23" i="11"/>
  <c r="U36" i="11"/>
  <c r="U48" i="11"/>
  <c r="U17" i="11"/>
  <c r="U12" i="11"/>
  <c r="U20" i="11"/>
  <c r="U45" i="11"/>
  <c r="U32" i="11"/>
  <c r="U44" i="11"/>
  <c r="U8" i="11"/>
  <c r="U7" i="11"/>
  <c r="U9" i="4"/>
  <c r="U18" i="11"/>
  <c r="U21" i="11"/>
  <c r="U10" i="11"/>
  <c r="U22" i="11"/>
  <c r="U35" i="11"/>
  <c r="Z170" i="4"/>
  <c r="Z172" i="4"/>
  <c r="AE87" i="4"/>
  <c r="Z164" i="4"/>
  <c r="Z179" i="4"/>
  <c r="Z167" i="4"/>
  <c r="Z165" i="4"/>
  <c r="Z157" i="4"/>
  <c r="Z175" i="4"/>
  <c r="Z166" i="4"/>
  <c r="Z171" i="4"/>
  <c r="Z182" i="4"/>
  <c r="Z163" i="4"/>
  <c r="Z159" i="4"/>
  <c r="Z160" i="4"/>
  <c r="Z162" i="4"/>
  <c r="Z176" i="4"/>
  <c r="Z20" i="7"/>
  <c r="Z155" i="4"/>
  <c r="Z156" i="4"/>
  <c r="Z161" i="4"/>
  <c r="Z169" i="4"/>
  <c r="Z178" i="4"/>
  <c r="Z168" i="4"/>
  <c r="Z177" i="4"/>
  <c r="Z173" i="4"/>
  <c r="Z174" i="4"/>
  <c r="Z158" i="4"/>
  <c r="Z86" i="4"/>
  <c r="P220" i="11"/>
  <c r="Z7" i="4"/>
  <c r="Z9" i="4" s="1"/>
  <c r="Z12" i="4" s="1"/>
  <c r="Z14" i="4" s="1"/>
  <c r="BA49" i="4"/>
  <c r="AT47" i="11" s="1"/>
  <c r="AT43" i="11"/>
  <c r="T45" i="11"/>
  <c r="T8" i="11"/>
  <c r="T48" i="11"/>
  <c r="T18" i="11"/>
  <c r="T12" i="11"/>
  <c r="T9" i="4"/>
  <c r="T36" i="11"/>
  <c r="T44" i="11"/>
  <c r="T17" i="11"/>
  <c r="T23" i="11"/>
  <c r="T32" i="11"/>
  <c r="T7" i="11"/>
  <c r="T20" i="11"/>
  <c r="T21" i="11"/>
  <c r="T10" i="11"/>
  <c r="T35" i="11"/>
  <c r="T22" i="11"/>
  <c r="AT16" i="11"/>
  <c r="BA27" i="4"/>
  <c r="AT26" i="11" s="1"/>
  <c r="W21" i="7"/>
  <c r="V21" i="7"/>
  <c r="V87" i="7"/>
  <c r="W87" i="7" s="1"/>
  <c r="X87" i="7" s="1"/>
  <c r="Y87" i="7" s="1"/>
  <c r="Z87" i="7" s="1"/>
  <c r="AA87" i="7" s="1"/>
  <c r="AB87" i="7" s="1"/>
  <c r="AC87" i="7" s="1"/>
  <c r="U88" i="7"/>
  <c r="BC188" i="4"/>
  <c r="AP188" i="4"/>
  <c r="AQ188" i="4"/>
  <c r="AS188" i="4"/>
  <c r="BA188" i="4"/>
  <c r="AT188" i="4"/>
  <c r="AM188" i="4"/>
  <c r="AL188" i="4"/>
  <c r="Q68" i="9"/>
  <c r="AU188" i="4"/>
  <c r="AO188" i="4"/>
  <c r="AZ188" i="4"/>
  <c r="AV188" i="4"/>
  <c r="AN188" i="4"/>
  <c r="AR188" i="4"/>
  <c r="AW188" i="4"/>
  <c r="AX188" i="4"/>
  <c r="AY188" i="4"/>
  <c r="BB188" i="4"/>
  <c r="L116" i="9" l="1"/>
  <c r="Z21" i="7"/>
  <c r="M50" i="9"/>
  <c r="N50" i="9" s="1"/>
  <c r="Z83" i="4"/>
  <c r="A53" i="9"/>
  <c r="T12" i="4"/>
  <c r="T9" i="11"/>
  <c r="U12" i="4"/>
  <c r="U9" i="11"/>
  <c r="A54" i="9"/>
  <c r="Z6" i="4"/>
  <c r="V9" i="11"/>
  <c r="V12" i="4"/>
  <c r="M116" i="9"/>
  <c r="N188" i="4"/>
  <c r="W188" i="4"/>
  <c r="P188" i="4"/>
  <c r="S188" i="4"/>
  <c r="Z188" i="4"/>
  <c r="K188" i="4"/>
  <c r="Y188" i="4"/>
  <c r="AA188" i="4"/>
  <c r="U188" i="4"/>
  <c r="T188" i="4"/>
  <c r="M188" i="4"/>
  <c r="Q188" i="4"/>
  <c r="O188" i="4"/>
  <c r="AC188" i="4"/>
  <c r="V188" i="4"/>
  <c r="L188" i="4"/>
  <c r="X188" i="4"/>
  <c r="R188" i="4"/>
  <c r="AB188" i="4"/>
  <c r="O116" i="9" l="1"/>
  <c r="U11" i="11"/>
  <c r="U14" i="4"/>
  <c r="U13" i="11" s="1"/>
  <c r="N116" i="9"/>
  <c r="V11" i="11"/>
  <c r="V14" i="4"/>
  <c r="V13" i="11" s="1"/>
  <c r="T11" i="11"/>
  <c r="T14" i="4"/>
  <c r="T13" i="11" s="1"/>
  <c r="O50" i="9"/>
  <c r="P50" i="9" l="1"/>
  <c r="Q116" i="9" s="1"/>
  <c r="P116" i="9"/>
  <c r="Q50" i="9" l="1"/>
  <c r="R116" i="9" s="1"/>
  <c r="BB21" i="4"/>
  <c r="R50" i="9" l="1"/>
  <c r="S116" i="9" s="1"/>
  <c r="BC21" i="4"/>
  <c r="AU20" i="11"/>
  <c r="BB23" i="4"/>
  <c r="AU22" i="11" s="1"/>
  <c r="Y21" i="4"/>
  <c r="Z21" i="4"/>
  <c r="S50" i="9" l="1"/>
  <c r="T116" i="9" s="1"/>
  <c r="Z23" i="4"/>
  <c r="Y23" i="4"/>
  <c r="BC23" i="4"/>
  <c r="AV22" i="11" s="1"/>
  <c r="AV20" i="11"/>
  <c r="T50" i="9" l="1"/>
  <c r="U116" i="9" s="1"/>
  <c r="U50" i="9" l="1"/>
  <c r="BG21" i="4" s="1"/>
  <c r="V116" i="9" l="1"/>
  <c r="V50" i="9"/>
  <c r="BH21" i="4" s="1"/>
  <c r="BF10" i="4"/>
  <c r="BE10" i="4"/>
  <c r="AE21" i="4" l="1"/>
  <c r="BH23" i="4"/>
  <c r="BE80" i="4"/>
  <c r="BE9" i="4"/>
  <c r="BE7" i="4" s="1"/>
  <c r="AX10" i="11" s="1"/>
  <c r="BF9" i="4"/>
  <c r="BF7" i="4" s="1"/>
  <c r="AY10" i="11" s="1"/>
  <c r="BF80" i="4"/>
  <c r="AD10" i="4"/>
  <c r="AD36" i="4" s="1"/>
  <c r="AE10" i="4"/>
  <c r="BD10" i="4"/>
  <c r="BD9" i="4" l="1"/>
  <c r="BD7" i="4" s="1"/>
  <c r="AW10" i="11" s="1"/>
  <c r="BD80" i="4"/>
  <c r="AY9" i="11"/>
  <c r="AY7" i="11"/>
  <c r="AY16" i="11"/>
  <c r="AY36" i="11"/>
  <c r="AY45" i="11"/>
  <c r="AY23" i="11"/>
  <c r="AY44" i="11"/>
  <c r="AY11" i="11"/>
  <c r="BF21" i="4"/>
  <c r="AY8" i="11"/>
  <c r="AY43" i="11"/>
  <c r="AY47" i="11"/>
  <c r="AY12" i="11"/>
  <c r="AY40" i="11"/>
  <c r="AY32" i="11"/>
  <c r="AY48" i="11"/>
  <c r="AY31" i="11"/>
  <c r="AY13" i="11"/>
  <c r="AX9" i="11"/>
  <c r="AX48" i="11"/>
  <c r="AX8" i="11"/>
  <c r="AX12" i="11"/>
  <c r="AX11" i="11"/>
  <c r="BE21" i="4"/>
  <c r="AX45" i="11"/>
  <c r="AX23" i="11"/>
  <c r="AX44" i="11"/>
  <c r="AX36" i="11"/>
  <c r="AX13" i="11"/>
  <c r="AX7" i="11"/>
  <c r="AX32" i="11"/>
  <c r="AE36" i="4"/>
  <c r="AE12" i="4"/>
  <c r="AE14" i="4" s="1"/>
  <c r="BF223" i="4"/>
  <c r="AY148" i="11"/>
  <c r="BF82" i="4"/>
  <c r="AD80" i="4"/>
  <c r="BF22" i="7"/>
  <c r="AC80" i="4"/>
  <c r="BE82" i="4"/>
  <c r="BE22" i="7"/>
  <c r="BE223" i="4"/>
  <c r="AX148" i="11"/>
  <c r="BE180" i="4" l="1"/>
  <c r="BE177" i="4"/>
  <c r="BE176" i="4"/>
  <c r="BE169" i="4"/>
  <c r="BE172" i="4"/>
  <c r="BF84" i="4"/>
  <c r="BE170" i="4"/>
  <c r="AX150" i="11"/>
  <c r="BE168" i="4"/>
  <c r="BE160" i="4"/>
  <c r="BE178" i="4"/>
  <c r="BE164" i="4"/>
  <c r="BE173" i="4"/>
  <c r="BE158" i="4"/>
  <c r="BE156" i="4"/>
  <c r="BE161" i="4"/>
  <c r="BE6" i="4"/>
  <c r="BE157" i="4"/>
  <c r="BE179" i="4"/>
  <c r="BE166" i="4"/>
  <c r="BE167" i="4"/>
  <c r="BE162" i="4"/>
  <c r="BE165" i="4"/>
  <c r="BE174" i="4"/>
  <c r="BE182" i="4"/>
  <c r="BE171" i="4"/>
  <c r="BE175" i="4"/>
  <c r="BE159" i="4"/>
  <c r="BE163" i="4"/>
  <c r="BE155" i="4"/>
  <c r="BF180" i="4"/>
  <c r="BF176" i="4"/>
  <c r="BF169" i="4"/>
  <c r="BF164" i="4"/>
  <c r="BG84" i="4"/>
  <c r="AE84" i="4" s="1"/>
  <c r="BF179" i="4"/>
  <c r="BF172" i="4"/>
  <c r="BF163" i="4"/>
  <c r="AY150" i="11"/>
  <c r="BF182" i="4"/>
  <c r="BF86" i="4"/>
  <c r="BF158" i="4"/>
  <c r="BF170" i="4"/>
  <c r="BF166" i="4"/>
  <c r="BF173" i="4"/>
  <c r="BF6" i="4"/>
  <c r="BF157" i="4"/>
  <c r="BF156" i="4"/>
  <c r="BF168" i="4"/>
  <c r="BF160" i="4"/>
  <c r="BF162" i="4"/>
  <c r="BF177" i="4"/>
  <c r="BF171" i="4"/>
  <c r="BF155" i="4"/>
  <c r="BF167" i="4"/>
  <c r="BF161" i="4"/>
  <c r="BF159" i="4"/>
  <c r="BF165" i="4"/>
  <c r="BF175" i="4"/>
  <c r="BF178" i="4"/>
  <c r="BF174" i="4"/>
  <c r="BG86" i="4"/>
  <c r="AY20" i="11"/>
  <c r="AD21" i="4"/>
  <c r="AC82" i="4"/>
  <c r="AC223" i="4"/>
  <c r="AC197" i="4" s="1"/>
  <c r="AC236" i="4" s="1"/>
  <c r="BE197" i="4"/>
  <c r="BF197" i="4"/>
  <c r="AD223" i="4"/>
  <c r="AD197" i="4" s="1"/>
  <c r="AD236" i="4" s="1"/>
  <c r="AB80" i="4"/>
  <c r="BD22" i="7"/>
  <c r="AW148" i="11"/>
  <c r="BD82" i="4"/>
  <c r="BE86" i="4" s="1"/>
  <c r="BD223" i="4"/>
  <c r="AA80" i="4"/>
  <c r="AD82" i="4"/>
  <c r="AX20" i="11"/>
  <c r="AC21" i="4"/>
  <c r="AW9" i="11"/>
  <c r="AW45" i="11"/>
  <c r="BD21" i="4"/>
  <c r="AW13" i="11"/>
  <c r="AW8" i="11"/>
  <c r="AW23" i="11"/>
  <c r="AW44" i="11"/>
  <c r="AW36" i="11"/>
  <c r="AW12" i="11"/>
  <c r="AW32" i="11"/>
  <c r="AW7" i="11"/>
  <c r="AW48" i="11"/>
  <c r="AW11" i="11"/>
  <c r="AD180" i="4" l="1"/>
  <c r="AC180" i="4"/>
  <c r="BD180" i="4"/>
  <c r="BE236" i="4"/>
  <c r="BE83" i="4"/>
  <c r="AD84" i="4"/>
  <c r="BD197" i="4"/>
  <c r="AB223" i="4"/>
  <c r="AB197" i="4" s="1"/>
  <c r="AB236" i="4" s="1"/>
  <c r="AA223" i="4"/>
  <c r="AA197" i="4" s="1"/>
  <c r="AA236" i="4" s="1"/>
  <c r="AB82" i="4"/>
  <c r="AD86" i="4"/>
  <c r="T58" i="9" s="1"/>
  <c r="T220" i="11"/>
  <c r="AD165" i="4"/>
  <c r="AD160" i="4"/>
  <c r="AD175" i="4"/>
  <c r="AD176" i="4"/>
  <c r="AD158" i="4"/>
  <c r="AD173" i="4"/>
  <c r="AD178" i="4"/>
  <c r="AD162" i="4"/>
  <c r="AD156" i="4"/>
  <c r="AD168" i="4"/>
  <c r="AD177" i="4"/>
  <c r="AD157" i="4"/>
  <c r="AD179" i="4"/>
  <c r="AD20" i="7"/>
  <c r="AD164" i="4"/>
  <c r="AD172" i="4"/>
  <c r="AD155" i="4"/>
  <c r="AD174" i="4"/>
  <c r="AD169" i="4"/>
  <c r="AD166" i="4"/>
  <c r="AD182" i="4"/>
  <c r="AD171" i="4"/>
  <c r="AD161" i="4"/>
  <c r="AD167" i="4"/>
  <c r="AD170" i="4"/>
  <c r="AD159" i="4"/>
  <c r="AD7" i="4"/>
  <c r="AD163" i="4"/>
  <c r="AE86" i="4"/>
  <c r="U58" i="9" s="1"/>
  <c r="AW150" i="11"/>
  <c r="BD170" i="4"/>
  <c r="BD163" i="4"/>
  <c r="BD6" i="4"/>
  <c r="BD167" i="4"/>
  <c r="BD176" i="4"/>
  <c r="BE84" i="4"/>
  <c r="BD164" i="4"/>
  <c r="R150" i="9" s="1"/>
  <c r="BD179" i="4"/>
  <c r="BD169" i="4"/>
  <c r="BD155" i="4"/>
  <c r="BD168" i="4"/>
  <c r="BD175" i="4"/>
  <c r="BD177" i="4"/>
  <c r="BD173" i="4"/>
  <c r="BD159" i="4"/>
  <c r="BD178" i="4"/>
  <c r="BD86" i="4"/>
  <c r="BD174" i="4"/>
  <c r="BD157" i="4"/>
  <c r="BD158" i="4"/>
  <c r="BD161" i="4"/>
  <c r="W118" i="9" s="1"/>
  <c r="BD172" i="4"/>
  <c r="BD156" i="4"/>
  <c r="BD162" i="4"/>
  <c r="BD166" i="4"/>
  <c r="BD171" i="4"/>
  <c r="BD165" i="4"/>
  <c r="BD182" i="4"/>
  <c r="BD160" i="4"/>
  <c r="S150" i="9"/>
  <c r="AB21" i="4"/>
  <c r="AW20" i="11"/>
  <c r="AA21" i="4"/>
  <c r="AA82" i="4"/>
  <c r="BF236" i="4"/>
  <c r="BF83" i="4"/>
  <c r="AD83" i="4" s="1"/>
  <c r="AC158" i="4"/>
  <c r="AC160" i="4"/>
  <c r="AC159" i="4"/>
  <c r="AC167" i="4"/>
  <c r="AC20" i="7"/>
  <c r="AC161" i="4"/>
  <c r="AC171" i="4"/>
  <c r="AC176" i="4"/>
  <c r="AC172" i="4"/>
  <c r="AC173" i="4"/>
  <c r="AC7" i="4"/>
  <c r="AC9" i="4" s="1"/>
  <c r="AC168" i="4"/>
  <c r="AC166" i="4"/>
  <c r="S220" i="11"/>
  <c r="AC178" i="4"/>
  <c r="AC157" i="4"/>
  <c r="AC175" i="4"/>
  <c r="AC182" i="4"/>
  <c r="AC162" i="4"/>
  <c r="AC170" i="4"/>
  <c r="AC155" i="4"/>
  <c r="AC163" i="4"/>
  <c r="AC169" i="4"/>
  <c r="AC174" i="4"/>
  <c r="AC165" i="4"/>
  <c r="AC156" i="4"/>
  <c r="AC177" i="4"/>
  <c r="AC164" i="4"/>
  <c r="AC179" i="4"/>
  <c r="AC86" i="4"/>
  <c r="S58" i="9" s="1"/>
  <c r="AC6" i="4"/>
  <c r="U150" i="9"/>
  <c r="T150" i="9"/>
  <c r="R68" i="9"/>
  <c r="S68" i="9"/>
  <c r="AA180" i="4" l="1"/>
  <c r="AA23" i="4"/>
  <c r="AD6" i="4"/>
  <c r="AD9" i="4"/>
  <c r="AD12" i="4" s="1"/>
  <c r="AD14" i="4" s="1"/>
  <c r="AB159" i="4"/>
  <c r="AB161" i="4"/>
  <c r="AB158" i="4"/>
  <c r="AB163" i="4"/>
  <c r="AB165" i="4"/>
  <c r="AB20" i="7"/>
  <c r="AB169" i="4"/>
  <c r="AB168" i="4"/>
  <c r="AB179" i="4"/>
  <c r="AB173" i="4"/>
  <c r="AB86" i="4"/>
  <c r="R58" i="9" s="1"/>
  <c r="R220" i="11"/>
  <c r="AB155" i="4"/>
  <c r="AB160" i="4"/>
  <c r="AB164" i="4"/>
  <c r="AB7" i="4"/>
  <c r="AB9" i="4" s="1"/>
  <c r="AB170" i="4"/>
  <c r="AB177" i="4"/>
  <c r="AB156" i="4"/>
  <c r="AB167" i="4"/>
  <c r="AB166" i="4"/>
  <c r="AB182" i="4"/>
  <c r="AB172" i="4"/>
  <c r="AB175" i="4"/>
  <c r="AB162" i="4"/>
  <c r="AB174" i="4"/>
  <c r="AB171" i="4"/>
  <c r="AB157" i="4"/>
  <c r="AB176" i="4"/>
  <c r="AB178" i="4"/>
  <c r="AD21" i="7"/>
  <c r="AE21" i="7"/>
  <c r="AC83" i="4"/>
  <c r="AC84" i="4"/>
  <c r="AB84" i="4"/>
  <c r="AC21" i="7"/>
  <c r="AA155" i="4"/>
  <c r="AA161" i="4"/>
  <c r="AA86" i="4"/>
  <c r="Q58" i="9" s="1"/>
  <c r="AA178" i="4"/>
  <c r="AA156" i="4"/>
  <c r="AA163" i="4"/>
  <c r="AA171" i="4"/>
  <c r="AA162" i="4"/>
  <c r="AA20" i="7"/>
  <c r="AA7" i="4"/>
  <c r="AA9" i="4" s="1"/>
  <c r="AA12" i="4" s="1"/>
  <c r="AA14" i="4" s="1"/>
  <c r="AA160" i="4"/>
  <c r="AA167" i="4"/>
  <c r="AA179" i="4"/>
  <c r="AA165" i="4"/>
  <c r="AA168" i="4"/>
  <c r="AA169" i="4"/>
  <c r="AA170" i="4"/>
  <c r="AA176" i="4"/>
  <c r="AA175" i="4"/>
  <c r="AA159" i="4"/>
  <c r="AA164" i="4"/>
  <c r="Q220" i="11"/>
  <c r="AA173" i="4"/>
  <c r="AA172" i="4"/>
  <c r="AA182" i="4"/>
  <c r="AA157" i="4"/>
  <c r="AA166" i="4"/>
  <c r="AA158" i="4"/>
  <c r="AA174" i="4"/>
  <c r="AA177" i="4"/>
  <c r="AB180" i="4"/>
  <c r="BD236" i="4"/>
  <c r="BD83" i="4"/>
  <c r="AA21" i="7" l="1"/>
  <c r="AB6" i="4"/>
  <c r="AA6" i="4"/>
  <c r="AB83" i="4"/>
  <c r="AA83" i="4"/>
  <c r="AB21" i="7"/>
  <c r="BD36" i="4" l="1"/>
  <c r="AW35" i="11" s="1"/>
  <c r="BE36" i="4" l="1"/>
  <c r="AX35" i="11" s="1"/>
  <c r="BF36" i="4" l="1"/>
  <c r="AY35" i="11" s="1"/>
  <c r="AC10" i="4" l="1"/>
  <c r="AB10" i="4"/>
  <c r="AB36" i="4" l="1"/>
  <c r="AB12" i="4"/>
  <c r="AB14" i="4" s="1"/>
  <c r="AC36" i="4"/>
  <c r="AC12" i="4"/>
  <c r="AC14" i="4" s="1"/>
  <c r="AL10" i="4"/>
  <c r="AL9" i="4" s="1"/>
  <c r="AL7" i="4" s="1"/>
  <c r="R34" i="4" l="1"/>
  <c r="R33" i="11" s="1"/>
  <c r="P34" i="4"/>
  <c r="P33" i="11" s="1"/>
  <c r="Q34" i="4"/>
  <c r="Q33" i="11" s="1"/>
  <c r="L34" i="4"/>
  <c r="L33" i="11" s="1"/>
  <c r="M34" i="4"/>
  <c r="M33" i="11" s="1"/>
  <c r="N34" i="4"/>
  <c r="N33" i="11" s="1"/>
  <c r="O34" i="4"/>
  <c r="O33" i="11" s="1"/>
  <c r="S34" i="4"/>
  <c r="S33" i="11" s="1"/>
  <c r="AR34" i="4"/>
  <c r="AK33" i="11" s="1"/>
  <c r="AS34" i="4"/>
  <c r="AL33" i="11" s="1"/>
  <c r="AN35" i="4"/>
  <c r="AG34" i="11" s="1"/>
  <c r="AT34" i="4"/>
  <c r="AM33" i="11" s="1"/>
  <c r="AN34" i="4"/>
  <c r="AG33" i="11" s="1"/>
  <c r="AO34" i="4"/>
  <c r="AH33" i="11" s="1"/>
  <c r="AP34" i="4"/>
  <c r="AI33" i="11" s="1"/>
  <c r="AQ34" i="4"/>
  <c r="AJ33" i="11" s="1"/>
  <c r="AU34" i="4"/>
  <c r="AN33" i="11" s="1"/>
  <c r="AM34" i="4" l="1"/>
  <c r="AF33" i="11" s="1"/>
  <c r="AL34" i="4"/>
  <c r="AM35" i="4"/>
  <c r="AF34" i="11" s="1"/>
  <c r="K34" i="4"/>
  <c r="K33" i="11" s="1"/>
  <c r="AL35" i="4"/>
  <c r="AP35" i="4"/>
  <c r="AI34" i="11" s="1"/>
  <c r="N35" i="4"/>
  <c r="N34" i="11" s="1"/>
  <c r="AR35" i="4"/>
  <c r="AK34" i="11" s="1"/>
  <c r="O35" i="4"/>
  <c r="O34" i="11" s="1"/>
  <c r="S35" i="4"/>
  <c r="S34" i="11" s="1"/>
  <c r="AU35" i="4"/>
  <c r="AN34" i="11" s="1"/>
  <c r="L35" i="4"/>
  <c r="L34" i="11" s="1"/>
  <c r="AT35" i="4"/>
  <c r="AM34" i="11" s="1"/>
  <c r="Q35" i="4"/>
  <c r="Q34" i="11" s="1"/>
  <c r="P35" i="4"/>
  <c r="P34" i="11" s="1"/>
  <c r="AZ34" i="4"/>
  <c r="AS33" i="11" s="1"/>
  <c r="AQ35" i="4"/>
  <c r="AJ34" i="11" s="1"/>
  <c r="AO35" i="4"/>
  <c r="AH34" i="11" s="1"/>
  <c r="M35" i="4"/>
  <c r="M34" i="11" s="1"/>
  <c r="AV35" i="4"/>
  <c r="AO34" i="11" s="1"/>
  <c r="R35" i="4"/>
  <c r="R34" i="11" s="1"/>
  <c r="AS35" i="4"/>
  <c r="AL34" i="11" s="1"/>
  <c r="AV34" i="4"/>
  <c r="AO33" i="11" s="1"/>
  <c r="J34" i="4" l="1"/>
  <c r="J33" i="11" s="1"/>
  <c r="J35" i="4"/>
  <c r="J34" i="11" s="1"/>
  <c r="P40" i="4"/>
  <c r="P39" i="11" s="1"/>
  <c r="K35" i="4"/>
  <c r="K34" i="11" s="1"/>
  <c r="AR40" i="4"/>
  <c r="AK39" i="11" s="1"/>
  <c r="AS40" i="4"/>
  <c r="AL39" i="11" s="1"/>
  <c r="AM40" i="4"/>
  <c r="AF39" i="11" s="1"/>
  <c r="AZ35" i="4"/>
  <c r="AS34" i="11" s="1"/>
  <c r="Q40" i="4" l="1"/>
  <c r="Q39" i="11" s="1"/>
  <c r="AT40" i="4"/>
  <c r="AM39" i="11" s="1"/>
  <c r="AN40" i="4"/>
  <c r="AG39" i="11" s="1"/>
  <c r="AR39" i="4"/>
  <c r="P39" i="4"/>
  <c r="AU40" i="4"/>
  <c r="AN39" i="11" s="1"/>
  <c r="AO40" i="4"/>
  <c r="AH39" i="11" s="1"/>
  <c r="R40" i="4"/>
  <c r="R39" i="11" s="1"/>
  <c r="K40" i="4"/>
  <c r="K39" i="11" s="1"/>
  <c r="O39" i="4"/>
  <c r="M40" i="4"/>
  <c r="M39" i="11" s="1"/>
  <c r="L40" i="4"/>
  <c r="L39" i="11" s="1"/>
  <c r="AQ40" i="4"/>
  <c r="AJ39" i="11" s="1"/>
  <c r="S40" i="4"/>
  <c r="S39" i="11" s="1"/>
  <c r="AL40" i="4"/>
  <c r="AL39" i="4"/>
  <c r="AL41" i="4" l="1"/>
  <c r="AP40" i="4"/>
  <c r="AI39" i="11" s="1"/>
  <c r="N40" i="4"/>
  <c r="N39" i="11" s="1"/>
  <c r="O40" i="4"/>
  <c r="O39" i="11" s="1"/>
  <c r="P38" i="11"/>
  <c r="P41" i="4"/>
  <c r="O38" i="11"/>
  <c r="O41" i="4"/>
  <c r="AQ39" i="4"/>
  <c r="AL45" i="4"/>
  <c r="AL32" i="4"/>
  <c r="AL42" i="4" s="1"/>
  <c r="AK38" i="11"/>
  <c r="AR41" i="4"/>
  <c r="AS26" i="4"/>
  <c r="AL25" i="11" s="1"/>
  <c r="AS39" i="4"/>
  <c r="J40" i="4"/>
  <c r="J39" i="11" s="1"/>
  <c r="N26" i="4"/>
  <c r="N25" i="11" s="1"/>
  <c r="AL25" i="4"/>
  <c r="K25" i="4" l="1"/>
  <c r="R26" i="4"/>
  <c r="R25" i="11" s="1"/>
  <c r="M25" i="4"/>
  <c r="AT26" i="4"/>
  <c r="AM25" i="11" s="1"/>
  <c r="O40" i="11"/>
  <c r="O32" i="4"/>
  <c r="O45" i="4"/>
  <c r="AU39" i="4"/>
  <c r="Q39" i="4"/>
  <c r="AR45" i="4"/>
  <c r="AK40" i="11"/>
  <c r="AR32" i="4"/>
  <c r="AJ38" i="11"/>
  <c r="AQ41" i="4"/>
  <c r="P32" i="4"/>
  <c r="P40" i="11"/>
  <c r="P45" i="4"/>
  <c r="AL38" i="11"/>
  <c r="AS41" i="4"/>
  <c r="AP48" i="4"/>
  <c r="AI46" i="11" s="1"/>
  <c r="AU48" i="4"/>
  <c r="AN46" i="11" s="1"/>
  <c r="R39" i="4"/>
  <c r="AO39" i="4"/>
  <c r="S48" i="4"/>
  <c r="S46" i="11" s="1"/>
  <c r="O26" i="4"/>
  <c r="O25" i="11" s="1"/>
  <c r="AO48" i="4"/>
  <c r="AH46" i="11" s="1"/>
  <c r="AP26" i="4"/>
  <c r="AI25" i="11" s="1"/>
  <c r="AQ26" i="4"/>
  <c r="AJ25" i="11" s="1"/>
  <c r="Q48" i="4"/>
  <c r="Q46" i="11" s="1"/>
  <c r="AO25" i="4"/>
  <c r="AT39" i="4"/>
  <c r="M39" i="4"/>
  <c r="M48" i="4"/>
  <c r="M46" i="11" s="1"/>
  <c r="AH24" i="11" l="1"/>
  <c r="S26" i="4"/>
  <c r="S25" i="11" s="1"/>
  <c r="N25" i="4"/>
  <c r="P25" i="4"/>
  <c r="M24" i="11"/>
  <c r="J25" i="4"/>
  <c r="K24" i="11"/>
  <c r="AU26" i="4"/>
  <c r="AN25" i="11" s="1"/>
  <c r="L25" i="4"/>
  <c r="AL26" i="4"/>
  <c r="AL20" i="4" s="1"/>
  <c r="M38" i="11"/>
  <c r="M41" i="4"/>
  <c r="R38" i="11"/>
  <c r="R41" i="4"/>
  <c r="AJ40" i="11"/>
  <c r="AQ45" i="4"/>
  <c r="AQ32" i="4"/>
  <c r="AK43" i="11"/>
  <c r="P43" i="11"/>
  <c r="Q38" i="11"/>
  <c r="Q41" i="4"/>
  <c r="O43" i="11"/>
  <c r="AM38" i="11"/>
  <c r="AT41" i="4"/>
  <c r="AH38" i="11"/>
  <c r="AO41" i="4"/>
  <c r="AK31" i="11"/>
  <c r="AR42" i="4"/>
  <c r="O42" i="4"/>
  <c r="O31" i="11"/>
  <c r="AL40" i="11"/>
  <c r="AS45" i="4"/>
  <c r="AS32" i="4"/>
  <c r="P31" i="11"/>
  <c r="P42" i="4"/>
  <c r="AN38" i="11"/>
  <c r="AU41" i="4"/>
  <c r="AV40" i="4"/>
  <c r="AO39" i="11" s="1"/>
  <c r="N39" i="4"/>
  <c r="AR25" i="4"/>
  <c r="AM25" i="4"/>
  <c r="AP39" i="4"/>
  <c r="L39" i="4"/>
  <c r="R48" i="4"/>
  <c r="R46" i="11" s="1"/>
  <c r="AN39" i="4"/>
  <c r="AT48" i="4"/>
  <c r="AM46" i="11" s="1"/>
  <c r="AS25" i="4"/>
  <c r="S25" i="4"/>
  <c r="AN25" i="4"/>
  <c r="AP25" i="4"/>
  <c r="AQ25" i="4"/>
  <c r="AM39" i="4"/>
  <c r="O25" i="4" l="1"/>
  <c r="AL17" i="4"/>
  <c r="AL27" i="4" s="1"/>
  <c r="AL28" i="4"/>
  <c r="J24" i="11"/>
  <c r="P24" i="11"/>
  <c r="AP20" i="4"/>
  <c r="AI24" i="11"/>
  <c r="AF24" i="11"/>
  <c r="L24" i="11"/>
  <c r="N20" i="4"/>
  <c r="N24" i="11"/>
  <c r="AJ24" i="11"/>
  <c r="AQ20" i="4"/>
  <c r="AG24" i="11"/>
  <c r="S24" i="11"/>
  <c r="S20" i="4"/>
  <c r="AL24" i="11"/>
  <c r="AS20" i="4"/>
  <c r="AK24" i="11"/>
  <c r="AG38" i="11"/>
  <c r="AN41" i="4"/>
  <c r="R45" i="4"/>
  <c r="R40" i="11"/>
  <c r="R32" i="4"/>
  <c r="L41" i="4"/>
  <c r="L38" i="11"/>
  <c r="AI38" i="11"/>
  <c r="AP41" i="4"/>
  <c r="AH40" i="11"/>
  <c r="AO32" i="4"/>
  <c r="AO45" i="4"/>
  <c r="AJ31" i="11"/>
  <c r="AQ42" i="4"/>
  <c r="AV39" i="4"/>
  <c r="N38" i="11"/>
  <c r="N41" i="4"/>
  <c r="AU45" i="4"/>
  <c r="AU32" i="4"/>
  <c r="AN40" i="11"/>
  <c r="AS42" i="4"/>
  <c r="AL31" i="11"/>
  <c r="AJ43" i="11"/>
  <c r="M45" i="4"/>
  <c r="M32" i="4"/>
  <c r="M40" i="11"/>
  <c r="AF38" i="11"/>
  <c r="AM41" i="4"/>
  <c r="AL43" i="11"/>
  <c r="AT32" i="4"/>
  <c r="AT45" i="4"/>
  <c r="AM40" i="11"/>
  <c r="Q45" i="4"/>
  <c r="Q40" i="11"/>
  <c r="Q32" i="4"/>
  <c r="AQ48" i="4"/>
  <c r="AJ46" i="11" s="1"/>
  <c r="J39" i="4"/>
  <c r="N48" i="4"/>
  <c r="N46" i="11" s="1"/>
  <c r="J48" i="4"/>
  <c r="J46" i="11" s="1"/>
  <c r="AL19" i="11" l="1"/>
  <c r="AS28" i="4"/>
  <c r="AS17" i="4"/>
  <c r="R25" i="4"/>
  <c r="AQ49" i="4"/>
  <c r="AJ47" i="11" s="1"/>
  <c r="N17" i="4"/>
  <c r="N19" i="11"/>
  <c r="N28" i="4"/>
  <c r="S17" i="4"/>
  <c r="S19" i="11"/>
  <c r="S28" i="4"/>
  <c r="AJ19" i="11"/>
  <c r="AQ17" i="4"/>
  <c r="AQ28" i="4"/>
  <c r="O24" i="11"/>
  <c r="O20" i="4"/>
  <c r="AI19" i="11"/>
  <c r="AP17" i="4"/>
  <c r="AP28" i="4"/>
  <c r="Q43" i="11"/>
  <c r="Q49" i="4"/>
  <c r="Q47" i="11" s="1"/>
  <c r="AN31" i="11"/>
  <c r="AU42" i="4"/>
  <c r="AO38" i="11"/>
  <c r="AV41" i="4"/>
  <c r="AO49" i="4"/>
  <c r="AH47" i="11" s="1"/>
  <c r="AH43" i="11"/>
  <c r="M42" i="4"/>
  <c r="M31" i="11"/>
  <c r="AN43" i="11"/>
  <c r="AU49" i="4"/>
  <c r="AN47" i="11" s="1"/>
  <c r="AO42" i="4"/>
  <c r="AH31" i="11"/>
  <c r="R43" i="11"/>
  <c r="R49" i="4"/>
  <c r="R47" i="11" s="1"/>
  <c r="Q42" i="4"/>
  <c r="Q31" i="11"/>
  <c r="AM43" i="11"/>
  <c r="AT49" i="4"/>
  <c r="AM47" i="11" s="1"/>
  <c r="AM45" i="4"/>
  <c r="AF40" i="11"/>
  <c r="AM32" i="4"/>
  <c r="M43" i="11"/>
  <c r="M49" i="4"/>
  <c r="M47" i="11" s="1"/>
  <c r="N45" i="4"/>
  <c r="N32" i="4"/>
  <c r="N40" i="11"/>
  <c r="L32" i="4"/>
  <c r="L40" i="11"/>
  <c r="L45" i="4"/>
  <c r="AG40" i="11"/>
  <c r="AN32" i="4"/>
  <c r="AN45" i="4"/>
  <c r="J38" i="11"/>
  <c r="J41" i="4"/>
  <c r="AT42" i="4"/>
  <c r="AM31" i="11"/>
  <c r="AI40" i="11"/>
  <c r="AP32" i="4"/>
  <c r="AP45" i="4"/>
  <c r="R31" i="11"/>
  <c r="R42" i="4"/>
  <c r="AM48" i="4"/>
  <c r="AF46" i="11" s="1"/>
  <c r="O48" i="4"/>
  <c r="O46" i="11" l="1"/>
  <c r="O49" i="4"/>
  <c r="O47" i="11" s="1"/>
  <c r="AL48" i="4"/>
  <c r="AL49" i="4" s="1"/>
  <c r="AP27" i="4"/>
  <c r="AI26" i="11" s="1"/>
  <c r="AI16" i="11"/>
  <c r="N16" i="11"/>
  <c r="N27" i="4"/>
  <c r="N26" i="11" s="1"/>
  <c r="AL16" i="11"/>
  <c r="AS27" i="4"/>
  <c r="AL26" i="11" s="1"/>
  <c r="AZ26" i="4"/>
  <c r="AS25" i="11" s="1"/>
  <c r="AQ27" i="4"/>
  <c r="AJ26" i="11" s="1"/>
  <c r="AJ16" i="11"/>
  <c r="S27" i="4"/>
  <c r="S26" i="11" s="1"/>
  <c r="S16" i="11"/>
  <c r="O17" i="4"/>
  <c r="O19" i="11"/>
  <c r="O28" i="4"/>
  <c r="R20" i="4"/>
  <c r="R24" i="11"/>
  <c r="AI31" i="11"/>
  <c r="AP42" i="4"/>
  <c r="J32" i="4"/>
  <c r="J40" i="11"/>
  <c r="J45" i="4"/>
  <c r="L43" i="11"/>
  <c r="N42" i="4"/>
  <c r="N31" i="11"/>
  <c r="AM42" i="4"/>
  <c r="AF31" i="11"/>
  <c r="AG43" i="11"/>
  <c r="N43" i="11"/>
  <c r="N49" i="4"/>
  <c r="N47" i="11" s="1"/>
  <c r="AO40" i="11"/>
  <c r="AV45" i="4"/>
  <c r="AV32" i="4"/>
  <c r="AI43" i="11"/>
  <c r="AP49" i="4"/>
  <c r="AI47" i="11" s="1"/>
  <c r="AN42" i="4"/>
  <c r="AG31" i="11"/>
  <c r="L42" i="4"/>
  <c r="L31" i="11"/>
  <c r="AF43" i="11"/>
  <c r="AM49" i="4"/>
  <c r="AF47" i="11" s="1"/>
  <c r="AO26" i="4"/>
  <c r="M26" i="4"/>
  <c r="K48" i="4"/>
  <c r="K46" i="11" s="1"/>
  <c r="K26" i="4"/>
  <c r="AR48" i="4"/>
  <c r="R19" i="11" l="1"/>
  <c r="R17" i="4"/>
  <c r="R28" i="4"/>
  <c r="K25" i="11"/>
  <c r="K20" i="4"/>
  <c r="M25" i="11"/>
  <c r="M20" i="4"/>
  <c r="AH25" i="11"/>
  <c r="AO20" i="4"/>
  <c r="AK46" i="11"/>
  <c r="AR49" i="4"/>
  <c r="AK47" i="11" s="1"/>
  <c r="O27" i="4"/>
  <c r="O26" i="11" s="1"/>
  <c r="O16" i="11"/>
  <c r="AO43" i="11"/>
  <c r="J43" i="11"/>
  <c r="J49" i="4"/>
  <c r="J47" i="11" s="1"/>
  <c r="J31" i="11"/>
  <c r="J42" i="4"/>
  <c r="AO31" i="11"/>
  <c r="AV42" i="4"/>
  <c r="P26" i="4"/>
  <c r="AM26" i="4"/>
  <c r="AR26" i="4"/>
  <c r="L26" i="4"/>
  <c r="J26" i="4"/>
  <c r="AN26" i="4"/>
  <c r="L48" i="4"/>
  <c r="AS48" i="4"/>
  <c r="S39" i="4"/>
  <c r="AN48" i="4"/>
  <c r="AZ48" i="4"/>
  <c r="AS46" i="11" s="1"/>
  <c r="P25" i="11" l="1"/>
  <c r="P20" i="4"/>
  <c r="L46" i="11"/>
  <c r="L49" i="4"/>
  <c r="L47" i="11" s="1"/>
  <c r="AG25" i="11"/>
  <c r="AN20" i="4"/>
  <c r="J25" i="11"/>
  <c r="J20" i="4"/>
  <c r="AK25" i="11"/>
  <c r="AR20" i="4"/>
  <c r="M19" i="11"/>
  <c r="M17" i="4"/>
  <c r="M28" i="4"/>
  <c r="L25" i="11"/>
  <c r="L20" i="4"/>
  <c r="AF25" i="11"/>
  <c r="AM20" i="4"/>
  <c r="R27" i="4"/>
  <c r="R26" i="11" s="1"/>
  <c r="R16" i="11"/>
  <c r="AG46" i="11"/>
  <c r="AN49" i="4"/>
  <c r="AG47" i="11" s="1"/>
  <c r="AL46" i="11"/>
  <c r="AS49" i="4"/>
  <c r="AL47" i="11" s="1"/>
  <c r="AO17" i="4"/>
  <c r="AO28" i="4"/>
  <c r="AH19" i="11"/>
  <c r="K17" i="4"/>
  <c r="K19" i="11"/>
  <c r="K28" i="4"/>
  <c r="S41" i="4"/>
  <c r="S38" i="11"/>
  <c r="AH16" i="11" l="1"/>
  <c r="AO27" i="4"/>
  <c r="AH26" i="11" s="1"/>
  <c r="M16" i="11"/>
  <c r="M27" i="4"/>
  <c r="M26" i="11" s="1"/>
  <c r="J19" i="11"/>
  <c r="J17" i="4"/>
  <c r="J28" i="4"/>
  <c r="K27" i="4"/>
  <c r="K26" i="11" s="1"/>
  <c r="K16" i="11"/>
  <c r="L19" i="11"/>
  <c r="L17" i="4"/>
  <c r="L28" i="4"/>
  <c r="AR28" i="4"/>
  <c r="AR17" i="4"/>
  <c r="AK19" i="11"/>
  <c r="AN28" i="4"/>
  <c r="AG19" i="11"/>
  <c r="AN17" i="4"/>
  <c r="P19" i="11"/>
  <c r="P17" i="4"/>
  <c r="P28" i="4"/>
  <c r="AM17" i="4"/>
  <c r="AF19" i="11"/>
  <c r="AM28" i="4"/>
  <c r="S45" i="4"/>
  <c r="S40" i="11"/>
  <c r="S32" i="4"/>
  <c r="P27" i="4" l="1"/>
  <c r="P26" i="11" s="1"/>
  <c r="P16" i="11"/>
  <c r="L16" i="11"/>
  <c r="L27" i="4"/>
  <c r="L26" i="11" s="1"/>
  <c r="AF16" i="11"/>
  <c r="AM27" i="4"/>
  <c r="AF26" i="11" s="1"/>
  <c r="AN27" i="4"/>
  <c r="AG26" i="11" s="1"/>
  <c r="AG16" i="11"/>
  <c r="AK16" i="11"/>
  <c r="AR27" i="4"/>
  <c r="AK26" i="11" s="1"/>
  <c r="J27" i="4"/>
  <c r="J26" i="11" s="1"/>
  <c r="J16" i="11"/>
  <c r="S31" i="11"/>
  <c r="S42" i="4"/>
  <c r="S43" i="11"/>
  <c r="S49" i="4"/>
  <c r="S47" i="11" s="1"/>
  <c r="AV48" i="4" l="1"/>
  <c r="AO46" i="11" l="1"/>
  <c r="AV49" i="4"/>
  <c r="AO47" i="11" s="1"/>
  <c r="V35" i="4" l="1"/>
  <c r="V34" i="11" s="1"/>
  <c r="V34" i="4"/>
  <c r="V33" i="11" s="1"/>
  <c r="T34" i="4"/>
  <c r="T33" i="11" s="1"/>
  <c r="U35" i="4"/>
  <c r="U34" i="11" s="1"/>
  <c r="U34" i="4"/>
  <c r="U33" i="11" s="1"/>
  <c r="T35" i="4"/>
  <c r="T34" i="11" s="1"/>
  <c r="AW35" i="4"/>
  <c r="AP34" i="11" s="1"/>
  <c r="AY34" i="4"/>
  <c r="AR33" i="11" s="1"/>
  <c r="AX34" i="4"/>
  <c r="AQ33" i="11" s="1"/>
  <c r="AX35" i="4"/>
  <c r="AQ34" i="11" s="1"/>
  <c r="AW34" i="4"/>
  <c r="AP33" i="11" s="1"/>
  <c r="AY35" i="4"/>
  <c r="AR34" i="11" s="1"/>
  <c r="W35" i="4" l="1"/>
  <c r="W34" i="4"/>
  <c r="AW40" i="4"/>
  <c r="AP39" i="11" s="1"/>
  <c r="AX40" i="4"/>
  <c r="AQ39" i="11" s="1"/>
  <c r="W40" i="4"/>
  <c r="AY40" i="4"/>
  <c r="AR39" i="11" s="1"/>
  <c r="T40" i="4"/>
  <c r="T39" i="11" s="1"/>
  <c r="T39" i="4"/>
  <c r="U39" i="4"/>
  <c r="V40" i="4"/>
  <c r="V39" i="11" s="1"/>
  <c r="AW39" i="4"/>
  <c r="AX39" i="4"/>
  <c r="U40" i="4"/>
  <c r="U39" i="11" s="1"/>
  <c r="T26" i="4"/>
  <c r="T25" i="11" s="1"/>
  <c r="W26" i="4" l="1"/>
  <c r="AV26" i="4"/>
  <c r="AO25" i="11" s="1"/>
  <c r="AP38" i="11"/>
  <c r="AW41" i="4"/>
  <c r="U38" i="11"/>
  <c r="U41" i="4"/>
  <c r="AQ38" i="11"/>
  <c r="AX41" i="4"/>
  <c r="T38" i="11"/>
  <c r="T41" i="4"/>
  <c r="Q26" i="4"/>
  <c r="Q25" i="11" s="1"/>
  <c r="P48" i="4"/>
  <c r="W48" i="4"/>
  <c r="AX26" i="4" l="1"/>
  <c r="AQ25" i="11" s="1"/>
  <c r="V26" i="4"/>
  <c r="V25" i="11" s="1"/>
  <c r="AY26" i="4"/>
  <c r="AR25" i="11" s="1"/>
  <c r="U26" i="4"/>
  <c r="U25" i="11" s="1"/>
  <c r="P46" i="11"/>
  <c r="P49" i="4"/>
  <c r="P47" i="11" s="1"/>
  <c r="AW26" i="4"/>
  <c r="AP25" i="11" s="1"/>
  <c r="W25" i="4"/>
  <c r="W20" i="4" s="1"/>
  <c r="T32" i="4"/>
  <c r="T40" i="11"/>
  <c r="T45" i="4"/>
  <c r="U45" i="4"/>
  <c r="U40" i="11"/>
  <c r="U32" i="4"/>
  <c r="AX45" i="4"/>
  <c r="AX32" i="4"/>
  <c r="AQ40" i="11"/>
  <c r="AP40" i="11"/>
  <c r="AW45" i="4"/>
  <c r="AW32" i="4"/>
  <c r="AY25" i="4"/>
  <c r="AX48" i="4"/>
  <c r="AQ46" i="11" s="1"/>
  <c r="U48" i="4"/>
  <c r="U46" i="11" s="1"/>
  <c r="AW48" i="4"/>
  <c r="AP46" i="11" s="1"/>
  <c r="T48" i="4"/>
  <c r="T46" i="11" s="1"/>
  <c r="Q25" i="4" l="1"/>
  <c r="V25" i="4"/>
  <c r="AR24" i="11"/>
  <c r="AY20" i="4"/>
  <c r="W17" i="4"/>
  <c r="W27" i="4" s="1"/>
  <c r="W28" i="4"/>
  <c r="U25" i="4"/>
  <c r="AW42" i="4"/>
  <c r="AP31" i="11"/>
  <c r="AQ31" i="11"/>
  <c r="AX42" i="4"/>
  <c r="U43" i="11"/>
  <c r="U49" i="4"/>
  <c r="U47" i="11" s="1"/>
  <c r="AP43" i="11"/>
  <c r="AW49" i="4"/>
  <c r="AP47" i="11" s="1"/>
  <c r="AQ43" i="11"/>
  <c r="AX49" i="4"/>
  <c r="AQ47" i="11" s="1"/>
  <c r="T43" i="11"/>
  <c r="T49" i="4"/>
  <c r="T47" i="11" s="1"/>
  <c r="U31" i="11"/>
  <c r="U42" i="4"/>
  <c r="T31" i="11"/>
  <c r="T42" i="4"/>
  <c r="V24" i="11" l="1"/>
  <c r="V20" i="4"/>
  <c r="U24" i="11"/>
  <c r="U20" i="4"/>
  <c r="AY28" i="4"/>
  <c r="AY17" i="4"/>
  <c r="AR19" i="11"/>
  <c r="Q20" i="4"/>
  <c r="Q24" i="11"/>
  <c r="Q17" i="4" l="1"/>
  <c r="Q19" i="11"/>
  <c r="Q28" i="4"/>
  <c r="U28" i="4"/>
  <c r="U17" i="4"/>
  <c r="U19" i="11"/>
  <c r="AR16" i="11"/>
  <c r="AY27" i="4"/>
  <c r="AR26" i="11" s="1"/>
  <c r="V28" i="4"/>
  <c r="V19" i="11"/>
  <c r="V17" i="4"/>
  <c r="V27" i="4" l="1"/>
  <c r="V26" i="11" s="1"/>
  <c r="V16" i="11"/>
  <c r="U16" i="11"/>
  <c r="U27" i="4"/>
  <c r="U26" i="11" s="1"/>
  <c r="Q16" i="11"/>
  <c r="Q27" i="4"/>
  <c r="Q26" i="11" s="1"/>
  <c r="AV25" i="4" l="1"/>
  <c r="AU25" i="4"/>
  <c r="AX25" i="4"/>
  <c r="AT25" i="4"/>
  <c r="AW25" i="4"/>
  <c r="AP24" i="11" l="1"/>
  <c r="AW20" i="4"/>
  <c r="AQ24" i="11"/>
  <c r="AX20" i="4"/>
  <c r="AM24" i="11"/>
  <c r="AT20" i="4"/>
  <c r="AN24" i="11"/>
  <c r="AU20" i="4"/>
  <c r="AO24" i="11"/>
  <c r="AV20" i="4"/>
  <c r="AU28" i="4" l="1"/>
  <c r="AU17" i="4"/>
  <c r="AN19" i="11"/>
  <c r="AX17" i="4"/>
  <c r="AQ19" i="11"/>
  <c r="AX28" i="4"/>
  <c r="AV28" i="4"/>
  <c r="AV17" i="4"/>
  <c r="AO19" i="11"/>
  <c r="AM19" i="11"/>
  <c r="AT28" i="4"/>
  <c r="AT17" i="4"/>
  <c r="AP19" i="11"/>
  <c r="AW28" i="4"/>
  <c r="AW17" i="4"/>
  <c r="AM16" i="11" l="1"/>
  <c r="AT27" i="4"/>
  <c r="AM26" i="11" s="1"/>
  <c r="AV27" i="4"/>
  <c r="AO26" i="11" s="1"/>
  <c r="AO16" i="11"/>
  <c r="AX27" i="4"/>
  <c r="AQ26" i="11" s="1"/>
  <c r="AQ16" i="11"/>
  <c r="AP16" i="11"/>
  <c r="AW27" i="4"/>
  <c r="AP26" i="11" s="1"/>
  <c r="AN16" i="11"/>
  <c r="AU27" i="4"/>
  <c r="AN26" i="11" s="1"/>
  <c r="AY48" i="4" l="1"/>
  <c r="AR46" i="11" s="1"/>
  <c r="V48" i="4"/>
  <c r="V46" i="11" s="1"/>
  <c r="K39" i="4" l="1"/>
  <c r="K38" i="11" l="1"/>
  <c r="K41" i="4"/>
  <c r="K40" i="11" l="1"/>
  <c r="K45" i="4"/>
  <c r="K32" i="4"/>
  <c r="K42" i="4" l="1"/>
  <c r="K31" i="11"/>
  <c r="K49" i="4"/>
  <c r="K47" i="11" s="1"/>
  <c r="K43" i="11"/>
  <c r="AZ25" i="4" l="1"/>
  <c r="AS24" i="11" l="1"/>
  <c r="AZ20" i="4"/>
  <c r="T25" i="4"/>
  <c r="T24" i="11" l="1"/>
  <c r="T20" i="4"/>
  <c r="AZ28" i="4"/>
  <c r="AZ17" i="4"/>
  <c r="AS19" i="11"/>
  <c r="AZ27" i="4" l="1"/>
  <c r="AS26" i="11" s="1"/>
  <c r="AS16" i="11"/>
  <c r="T28" i="4"/>
  <c r="T17" i="4"/>
  <c r="T19" i="11"/>
  <c r="T16" i="11" l="1"/>
  <c r="T27" i="4"/>
  <c r="T26" i="11" s="1"/>
  <c r="AZ40" i="4" l="1"/>
  <c r="AS39" i="11" s="1"/>
  <c r="AZ39" i="4" l="1"/>
  <c r="AS38" i="11" l="1"/>
  <c r="AZ41" i="4"/>
  <c r="AZ32" i="4" l="1"/>
  <c r="AS40" i="11"/>
  <c r="AZ45" i="4"/>
  <c r="AS43" i="11" l="1"/>
  <c r="AZ49" i="4"/>
  <c r="AS47" i="11" s="1"/>
  <c r="AZ42" i="4"/>
  <c r="AS31" i="11"/>
  <c r="V39" i="4" l="1"/>
  <c r="AY39" i="4"/>
  <c r="AR38" i="11" l="1"/>
  <c r="AY41" i="4"/>
  <c r="V38" i="11"/>
  <c r="V41" i="4"/>
  <c r="W39" i="4"/>
  <c r="W41" i="4" s="1"/>
  <c r="V32" i="4" l="1"/>
  <c r="V40" i="11"/>
  <c r="V45" i="4"/>
  <c r="W45" i="4"/>
  <c r="W49" i="4" s="1"/>
  <c r="W32" i="4"/>
  <c r="W42" i="4" s="1"/>
  <c r="AY32" i="4"/>
  <c r="AR40" i="11"/>
  <c r="AY45" i="4"/>
  <c r="AY49" i="4" l="1"/>
  <c r="AR47" i="11" s="1"/>
  <c r="AR43" i="11"/>
  <c r="V43" i="11"/>
  <c r="V49" i="4"/>
  <c r="V47" i="11" s="1"/>
  <c r="AR31" i="11"/>
  <c r="AY42" i="4"/>
  <c r="V42" i="4"/>
  <c r="V31" i="11"/>
  <c r="BB34" i="4" l="1"/>
  <c r="AU33" i="11" s="1"/>
  <c r="BB40" i="4"/>
  <c r="AU39" i="11" s="1"/>
  <c r="BB39" i="4"/>
  <c r="AU38" i="11" s="1"/>
  <c r="BB35" i="4" l="1"/>
  <c r="Z35" i="4"/>
  <c r="Z34" i="4"/>
  <c r="Z40" i="4"/>
  <c r="BB26" i="4"/>
  <c r="AU25" i="11" s="1"/>
  <c r="Z26" i="4" l="1"/>
  <c r="BB41" i="4"/>
  <c r="AU34" i="11"/>
  <c r="BB48" i="4"/>
  <c r="Z48" i="4"/>
  <c r="BB32" i="4" l="1"/>
  <c r="AU40" i="11"/>
  <c r="BB45" i="4"/>
  <c r="AU43" i="11" s="1"/>
  <c r="AU46" i="11"/>
  <c r="BB25" i="4"/>
  <c r="AU24" i="11" l="1"/>
  <c r="BB20" i="4"/>
  <c r="BB49" i="4"/>
  <c r="AU47" i="11" s="1"/>
  <c r="BB42" i="4"/>
  <c r="AU31" i="11"/>
  <c r="AU19" i="11" l="1"/>
  <c r="BB28" i="4"/>
  <c r="BB17" i="4"/>
  <c r="AU16" i="11" l="1"/>
  <c r="BB27" i="4"/>
  <c r="AU26" i="11" s="1"/>
  <c r="Z39" i="4" l="1"/>
  <c r="Z41" i="4" s="1"/>
  <c r="Z25" i="4" l="1"/>
  <c r="Z20" i="4" s="1"/>
  <c r="Z45" i="4"/>
  <c r="Z49" i="4" s="1"/>
  <c r="Z32" i="4"/>
  <c r="Z42" i="4" s="1"/>
  <c r="Z28" i="4" l="1"/>
  <c r="Z17" i="4"/>
  <c r="Z27" i="4" s="1"/>
  <c r="Y35" i="4" l="1"/>
  <c r="Y34" i="4"/>
  <c r="X35" i="4"/>
  <c r="X34" i="4"/>
  <c r="X39" i="4"/>
  <c r="Y39" i="4"/>
  <c r="Y40" i="4" l="1"/>
  <c r="X40" i="4"/>
  <c r="X41" i="4" s="1"/>
  <c r="Y26" i="4"/>
  <c r="X26" i="4"/>
  <c r="Y41" i="4"/>
  <c r="X48" i="4"/>
  <c r="Y48" i="4"/>
  <c r="X32" i="4" l="1"/>
  <c r="X42" i="4" s="1"/>
  <c r="X45" i="4"/>
  <c r="X49" i="4" s="1"/>
  <c r="Y45" i="4"/>
  <c r="Y49" i="4" s="1"/>
  <c r="Y32" i="4"/>
  <c r="Y42" i="4" s="1"/>
  <c r="Y25" i="4" l="1"/>
  <c r="Y20" i="4" s="1"/>
  <c r="X25" i="4"/>
  <c r="X20" i="4" s="1"/>
  <c r="X17" i="4" l="1"/>
  <c r="X27" i="4" s="1"/>
  <c r="X28" i="4"/>
  <c r="Y17" i="4"/>
  <c r="Y27" i="4" s="1"/>
  <c r="Y28" i="4"/>
  <c r="BC35" i="4" l="1"/>
  <c r="BC34" i="4"/>
  <c r="AV33" i="11" s="1"/>
  <c r="BC26" i="4"/>
  <c r="AV25" i="11" s="1"/>
  <c r="AV34" i="11" l="1"/>
  <c r="BC48" i="4" l="1"/>
  <c r="BC25" i="4"/>
  <c r="AV24" i="11" l="1"/>
  <c r="BC20" i="4"/>
  <c r="AV46" i="11"/>
  <c r="BC40" i="4"/>
  <c r="AV39" i="11" l="1"/>
  <c r="BC17" i="4"/>
  <c r="AV19" i="11"/>
  <c r="BC28" i="4"/>
  <c r="BD40" i="4"/>
  <c r="AW39" i="11" s="1"/>
  <c r="AA34" i="4" l="1"/>
  <c r="AV16" i="11"/>
  <c r="BC27" i="4"/>
  <c r="AV26" i="11" s="1"/>
  <c r="BD35" i="4"/>
  <c r="AA35" i="4"/>
  <c r="BD34" i="4"/>
  <c r="AW33" i="11" s="1"/>
  <c r="AA40" i="4"/>
  <c r="AA26" i="4"/>
  <c r="BD26" i="4"/>
  <c r="AW25" i="11" s="1"/>
  <c r="AW34" i="11" l="1"/>
  <c r="AA25" i="4"/>
  <c r="AA20" i="4" s="1"/>
  <c r="BD25" i="4"/>
  <c r="AA48" i="4"/>
  <c r="AW24" i="11" l="1"/>
  <c r="AA17" i="4"/>
  <c r="AA27" i="4" s="1"/>
  <c r="AA28" i="4"/>
  <c r="BD48" i="4"/>
  <c r="BE40" i="4"/>
  <c r="AX39" i="11" s="1"/>
  <c r="AW46" i="11" l="1"/>
  <c r="BE35" i="4"/>
  <c r="BE34" i="4"/>
  <c r="AX33" i="11" s="1"/>
  <c r="BC39" i="4"/>
  <c r="AB34" i="4" l="1"/>
  <c r="AX34" i="11"/>
  <c r="AA39" i="4"/>
  <c r="AA41" i="4" s="1"/>
  <c r="AB35" i="4"/>
  <c r="AV38" i="11"/>
  <c r="BC41" i="4"/>
  <c r="BE25" i="4"/>
  <c r="AB40" i="4"/>
  <c r="BE26" i="4"/>
  <c r="AX25" i="11" s="1"/>
  <c r="BF40" i="4"/>
  <c r="AY39" i="11" s="1"/>
  <c r="BH40" i="4"/>
  <c r="BG40" i="4" l="1"/>
  <c r="BG35" i="4"/>
  <c r="BH35" i="4"/>
  <c r="BF34" i="4"/>
  <c r="AY33" i="11" s="1"/>
  <c r="BF35" i="4"/>
  <c r="AY34" i="11" s="1"/>
  <c r="AA32" i="4"/>
  <c r="AA42" i="4" s="1"/>
  <c r="AA45" i="4"/>
  <c r="AA49" i="4" s="1"/>
  <c r="BG34" i="4"/>
  <c r="BH34" i="4"/>
  <c r="AC35" i="4"/>
  <c r="AX24" i="11"/>
  <c r="AC34" i="4"/>
  <c r="BC32" i="4"/>
  <c r="AV40" i="11"/>
  <c r="BC45" i="4"/>
  <c r="BE48" i="4"/>
  <c r="AB48" i="4"/>
  <c r="AC26" i="4"/>
  <c r="AC40" i="4"/>
  <c r="AB26" i="4"/>
  <c r="BF26" i="4"/>
  <c r="AY25" i="11" s="1"/>
  <c r="AC48" i="4" l="1"/>
  <c r="AD34" i="4"/>
  <c r="AV31" i="11"/>
  <c r="BC42" i="4"/>
  <c r="AD35" i="4"/>
  <c r="AB25" i="4"/>
  <c r="AX46" i="11"/>
  <c r="AV43" i="11"/>
  <c r="BC49" i="4"/>
  <c r="AV47" i="11" s="1"/>
  <c r="AD48" i="4"/>
  <c r="BH26" i="4"/>
  <c r="BH25" i="4"/>
  <c r="BG25" i="4"/>
  <c r="AD40" i="4"/>
  <c r="AC25" i="4"/>
  <c r="BG26" i="4" l="1"/>
  <c r="BG27" i="4" s="1"/>
  <c r="BH27" i="4"/>
  <c r="BH20" i="4"/>
  <c r="BH28" i="4" s="1"/>
  <c r="AE35" i="4"/>
  <c r="AE34" i="4"/>
  <c r="BF25" i="4"/>
  <c r="BH48" i="4"/>
  <c r="BG48" i="4"/>
  <c r="BF48" i="4"/>
  <c r="AY46" i="11" s="1"/>
  <c r="AE40" i="4"/>
  <c r="AD26" i="4"/>
  <c r="AE26" i="4" l="1"/>
  <c r="AD25" i="4"/>
  <c r="AY24" i="11"/>
  <c r="BF27" i="4"/>
  <c r="AY26" i="11" s="1"/>
  <c r="AE25" i="4"/>
  <c r="AE48" i="4"/>
  <c r="BD39" i="4" l="1"/>
  <c r="AW38" i="11" l="1"/>
  <c r="BD41" i="4"/>
  <c r="AB39" i="4"/>
  <c r="AB41" i="4" s="1"/>
  <c r="AB32" i="4" l="1"/>
  <c r="AB42" i="4" s="1"/>
  <c r="AB45" i="4"/>
  <c r="AB49" i="4" s="1"/>
  <c r="AW40" i="11"/>
  <c r="BD45" i="4"/>
  <c r="BD32" i="4"/>
  <c r="BH39" i="4"/>
  <c r="BE39" i="4" l="1"/>
  <c r="AW43" i="11"/>
  <c r="BD49" i="4"/>
  <c r="AW47" i="11" s="1"/>
  <c r="AC39" i="4"/>
  <c r="AC41" i="4" s="1"/>
  <c r="AD39" i="4"/>
  <c r="AD41" i="4" s="1"/>
  <c r="BF39" i="4"/>
  <c r="AY38" i="11" s="1"/>
  <c r="BD42" i="4"/>
  <c r="AW31" i="11"/>
  <c r="BG39" i="4"/>
  <c r="AE39" i="4" l="1"/>
  <c r="AE41" i="4" s="1"/>
  <c r="AC45" i="4"/>
  <c r="AC49" i="4" s="1"/>
  <c r="AC32" i="4"/>
  <c r="AC42" i="4" s="1"/>
  <c r="AX38" i="11"/>
  <c r="BE41" i="4"/>
  <c r="AD45" i="4"/>
  <c r="AD49" i="4" s="1"/>
  <c r="AD32" i="4"/>
  <c r="AD42" i="4" s="1"/>
  <c r="BE32" i="4" l="1"/>
  <c r="BE45" i="4"/>
  <c r="AX40" i="11"/>
  <c r="AE45" i="4"/>
  <c r="AE49" i="4" s="1"/>
  <c r="AE32" i="4"/>
  <c r="AE42" i="4" s="1"/>
  <c r="AX43" i="11" l="1"/>
  <c r="BE49" i="4"/>
  <c r="AX47" i="11" s="1"/>
  <c r="AX31" i="11"/>
  <c r="BE42" i="4"/>
  <c r="AX16" i="7"/>
  <c r="AE22" i="4" l="1"/>
  <c r="AE23" i="4" s="1"/>
  <c r="AE19" i="4" l="1"/>
  <c r="AE18" i="4" l="1"/>
  <c r="AE20" i="4" l="1"/>
  <c r="AE28" i="4" s="1"/>
  <c r="AE17" i="4"/>
  <c r="AE27" i="4" s="1"/>
  <c r="AD22" i="4" l="1"/>
  <c r="AD23" i="4" s="1"/>
  <c r="AD19" i="4" l="1"/>
  <c r="AD18" i="4" l="1"/>
  <c r="AB22" i="4"/>
  <c r="AB23" i="4" s="1"/>
  <c r="AC22" i="4"/>
  <c r="AC23" i="4" s="1"/>
  <c r="AD20" i="4" l="1"/>
  <c r="AD17" i="4" s="1"/>
  <c r="AD27" i="4" s="1"/>
  <c r="AD28" i="4"/>
  <c r="AC19" i="4"/>
  <c r="AB19" i="4"/>
  <c r="AB18" i="4" l="1"/>
  <c r="AC18" i="4"/>
  <c r="AC20" i="4" l="1"/>
  <c r="AC17" i="4" s="1"/>
  <c r="AC27" i="4" s="1"/>
  <c r="AC28" i="4"/>
  <c r="AB20" i="4"/>
  <c r="AB28" i="4" s="1"/>
  <c r="AB17" i="4" l="1"/>
  <c r="AB27" i="4" s="1"/>
  <c r="BD22" i="4" l="1"/>
  <c r="AW21" i="11" l="1"/>
  <c r="BD23" i="4"/>
  <c r="AW22" i="11" s="1"/>
  <c r="BD18" i="4" l="1"/>
  <c r="BD19" i="4"/>
  <c r="AW18" i="11" s="1"/>
  <c r="AW17" i="11" l="1"/>
  <c r="BD20" i="4"/>
  <c r="AW19" i="11" s="1"/>
  <c r="BD28" i="4"/>
  <c r="BD17" i="4"/>
  <c r="BD27" i="4" l="1"/>
  <c r="AW26" i="11" s="1"/>
  <c r="AW16" i="11"/>
  <c r="BE22" i="4" l="1"/>
  <c r="AX21" i="11" l="1"/>
  <c r="BE23" i="4"/>
  <c r="AX22" i="11" s="1"/>
  <c r="BE18" i="4" l="1"/>
  <c r="BE19" i="4"/>
  <c r="AX18" i="11" s="1"/>
  <c r="AX17" i="11" l="1"/>
  <c r="BE20" i="4"/>
  <c r="AX19" i="11" s="1"/>
  <c r="BE28" i="4"/>
  <c r="BE17" i="4" l="1"/>
  <c r="AX16" i="11" l="1"/>
  <c r="BE27" i="4"/>
  <c r="AX26" i="11" s="1"/>
  <c r="BF22" i="4" l="1"/>
  <c r="AY21" i="11" l="1"/>
  <c r="BF23" i="4"/>
  <c r="AY22" i="11" s="1"/>
  <c r="BF18" i="4" l="1"/>
  <c r="BF19" i="4"/>
  <c r="AY18" i="11" s="1"/>
  <c r="AY17" i="11" l="1"/>
  <c r="BF20" i="4"/>
  <c r="AY19" i="11" s="1"/>
  <c r="BF28" i="4"/>
  <c r="BG22" i="4" l="1"/>
  <c r="BG23" i="4" s="1"/>
  <c r="BG18" i="4" l="1"/>
  <c r="BG20" i="4" s="1"/>
  <c r="BG28" i="4" s="1"/>
  <c r="BG19" i="4"/>
</calcChain>
</file>

<file path=xl/sharedStrings.xml><?xml version="1.0" encoding="utf-8"?>
<sst xmlns="http://schemas.openxmlformats.org/spreadsheetml/2006/main" count="1946" uniqueCount="621">
  <si>
    <t>GDP Contribution to Growth by Economic Activity</t>
  </si>
  <si>
    <t>V Shaped recovery (deeper and quick) factor</t>
  </si>
  <si>
    <t>Tax deflator</t>
  </si>
  <si>
    <t>Tax deflator inflation</t>
  </si>
  <si>
    <t>here in FOF</t>
  </si>
  <si>
    <t>Further comment</t>
  </si>
  <si>
    <t>GDP aggregates - production side</t>
  </si>
  <si>
    <t>GDP at market price</t>
  </si>
  <si>
    <t>Value added taxes [GV]</t>
  </si>
  <si>
    <t>GDP at producer' s price</t>
  </si>
  <si>
    <t>Taxes minus subsidies on products [GV]</t>
  </si>
  <si>
    <t>GDP at basic price</t>
  </si>
  <si>
    <t>Other taxes minus subsidies on production [GV]</t>
  </si>
  <si>
    <t>GDP at factor cost</t>
  </si>
  <si>
    <t>GDP - expenditure side</t>
  </si>
  <si>
    <t>Consumption at purchasers' prices + VAT</t>
  </si>
  <si>
    <t xml:space="preserve">   Consumption by government [GV]</t>
  </si>
  <si>
    <t xml:space="preserve">      of which; errors and omissions</t>
  </si>
  <si>
    <t xml:space="preserve">   Consumption by other sectors</t>
  </si>
  <si>
    <t>Gross fixed capital formation at purchasers' prices</t>
  </si>
  <si>
    <t xml:space="preserve">   Capital formation by government [GV]</t>
  </si>
  <si>
    <t xml:space="preserve">   Capital formation by other sectors</t>
  </si>
  <si>
    <t>Change in inventories</t>
  </si>
  <si>
    <t>Exports of goods and services, f.o.b. [BOP]</t>
  </si>
  <si>
    <t>Imports of goods and services, f.o.b. [BOP]</t>
  </si>
  <si>
    <t>Check: production approach = expenditure app.</t>
  </si>
  <si>
    <t>Construct: residual for "consumption by other sec."</t>
  </si>
  <si>
    <t>Allocation of primary income account</t>
  </si>
  <si>
    <t>Resources</t>
  </si>
  <si>
    <t>Operating surplus and mixed income, gross</t>
  </si>
  <si>
    <t>Compensation of employees</t>
  </si>
  <si>
    <t xml:space="preserve">   of which: paid to non-residents</t>
  </si>
  <si>
    <t>Taxes on production and imports (GV)</t>
  </si>
  <si>
    <t>Subsidies on production</t>
  </si>
  <si>
    <t>Property income</t>
  </si>
  <si>
    <t>Secondary distribution of income account</t>
  </si>
  <si>
    <t>GNI, at proudcers' prices</t>
  </si>
  <si>
    <t>Check GDI from top = GDI from this account</t>
  </si>
  <si>
    <t>AGRIC., HUNT., FOREST. &amp; FISHING</t>
  </si>
  <si>
    <t>Mining and quarrying</t>
  </si>
  <si>
    <t>Manufacturing</t>
  </si>
  <si>
    <t>Taxes minus subsidies on products</t>
  </si>
  <si>
    <t>GDP by activity at factor cost, constant prices</t>
  </si>
  <si>
    <t>NA</t>
  </si>
  <si>
    <t>FOF</t>
  </si>
  <si>
    <t>GOV</t>
  </si>
  <si>
    <t>MONEY</t>
  </si>
  <si>
    <t>BOP</t>
  </si>
  <si>
    <t>Taxes on factors of production and wealth (net)</t>
  </si>
  <si>
    <t>Social benefits (net)</t>
  </si>
  <si>
    <t>Current transfers from non-residents (net)</t>
  </si>
  <si>
    <t>GNDI</t>
  </si>
  <si>
    <t xml:space="preserve">   Compensation of employees received from non-residents</t>
  </si>
  <si>
    <t xml:space="preserve">   Property income received from non-residents</t>
  </si>
  <si>
    <t>Assumptions</t>
  </si>
  <si>
    <t>Gross fixed capital formation</t>
  </si>
  <si>
    <t>1994/95</t>
  </si>
  <si>
    <t>1995/96</t>
  </si>
  <si>
    <t>1996/97</t>
  </si>
  <si>
    <t>1997/98</t>
  </si>
  <si>
    <t>1998/99</t>
  </si>
  <si>
    <t>1999/00</t>
  </si>
  <si>
    <t>2000/01</t>
  </si>
  <si>
    <t>2001/02</t>
  </si>
  <si>
    <t>2002/03</t>
  </si>
  <si>
    <t>2003/04</t>
  </si>
  <si>
    <t>2004/05</t>
  </si>
  <si>
    <t>2005/06</t>
  </si>
  <si>
    <t>2006/07</t>
  </si>
  <si>
    <t>2007/08</t>
  </si>
  <si>
    <t>2008/09</t>
  </si>
  <si>
    <t>2009/10</t>
  </si>
  <si>
    <t xml:space="preserve">  Deflator inflation</t>
  </si>
  <si>
    <t>Food CPI eop</t>
  </si>
  <si>
    <t>Non-food CPI eop</t>
  </si>
  <si>
    <t>Overal CPI eop</t>
  </si>
  <si>
    <t>Overall CPI pav</t>
  </si>
  <si>
    <t>PRICES</t>
  </si>
  <si>
    <t xml:space="preserve">  Inflation (eop)</t>
  </si>
  <si>
    <t xml:space="preserve">  Food Inflation</t>
  </si>
  <si>
    <t xml:space="preserve">  Non-food inflation</t>
  </si>
  <si>
    <t>GDP Deflator (market prices)</t>
  </si>
  <si>
    <t>NATIONAL ACCOUNTS</t>
  </si>
  <si>
    <t>Base year 1992</t>
  </si>
  <si>
    <t>Base year 2001</t>
  </si>
  <si>
    <t>CPI</t>
  </si>
  <si>
    <t xml:space="preserve">Food </t>
  </si>
  <si>
    <t>Non-food</t>
  </si>
  <si>
    <t>Headline</t>
  </si>
  <si>
    <t>Food</t>
  </si>
  <si>
    <t>% change</t>
  </si>
  <si>
    <t>Average</t>
  </si>
  <si>
    <t xml:space="preserve">Improved services and  business environment under BEST programme </t>
  </si>
  <si>
    <t>CPI Inflation (end of period)</t>
  </si>
  <si>
    <t>The ratio of CPI inflation to Deflator Inflation</t>
  </si>
  <si>
    <t>The sector is expected to decline consistent with increased monetization of the sector.  Implementation of Business and property formalization (MKURABITA).</t>
  </si>
  <si>
    <t>Based on five years average the GDP deflator inflation is equated to CPI inflation.</t>
  </si>
  <si>
    <t>New CPI figures</t>
  </si>
  <si>
    <t>Inflation rate is expected to be at 6.5% in December 2007 based on measurements taken by Government intervations on fuel prices (EWURA) and expected good food production. From 2008 up to 2010 inflation rate will maintain around 4.5%.</t>
  </si>
  <si>
    <t>Earlier Projections</t>
  </si>
  <si>
    <t>Economic Activity</t>
  </si>
  <si>
    <t>Agriculture, Hunting and Forestry</t>
  </si>
  <si>
    <t>Crops</t>
  </si>
  <si>
    <t>Livestock</t>
  </si>
  <si>
    <t>Forestry and hunting</t>
  </si>
  <si>
    <t>Fishing</t>
  </si>
  <si>
    <t>Industry and construction</t>
  </si>
  <si>
    <t>Electricity, gas</t>
  </si>
  <si>
    <t>Water supply</t>
  </si>
  <si>
    <t>Construction</t>
  </si>
  <si>
    <t>Services</t>
  </si>
  <si>
    <t>Trade and repairs</t>
  </si>
  <si>
    <t>Hotels and restaurants</t>
  </si>
  <si>
    <t>Transport</t>
  </si>
  <si>
    <t>Communications</t>
  </si>
  <si>
    <t>Financial intermediation</t>
  </si>
  <si>
    <t>Real estate and business services</t>
  </si>
  <si>
    <t>Public administration</t>
  </si>
  <si>
    <t>Education</t>
  </si>
  <si>
    <t>Health</t>
  </si>
  <si>
    <t>Other social and personal services</t>
  </si>
  <si>
    <t>Gross value added before adjustments</t>
  </si>
  <si>
    <t>less FISIM</t>
  </si>
  <si>
    <t>Gross value added at constant 2001 basic prices</t>
  </si>
  <si>
    <t>Add Taxes on products</t>
  </si>
  <si>
    <t>GDP at constant 2001 market prices</t>
  </si>
  <si>
    <t>Hunting and Forestry</t>
  </si>
  <si>
    <t>Gross value added at current basic prices</t>
  </si>
  <si>
    <t>add Taxes on products</t>
  </si>
  <si>
    <t>GDP at current market prices</t>
  </si>
  <si>
    <t>GDP at current prices</t>
  </si>
  <si>
    <t xml:space="preserve">  Crops</t>
  </si>
  <si>
    <t xml:space="preserve">  Livestock</t>
  </si>
  <si>
    <t xml:space="preserve">  Forestry and hunting</t>
  </si>
  <si>
    <t xml:space="preserve"> Water supply</t>
  </si>
  <si>
    <t xml:space="preserve"> Manufacturing</t>
  </si>
  <si>
    <t xml:space="preserve"> Mining and quarrying</t>
  </si>
  <si>
    <t>GDP at 2001 Prices  by Economic Activity (Shares)</t>
  </si>
  <si>
    <t>o/w statistical discrepancy</t>
  </si>
  <si>
    <t>Difference btn Gov net taxes and NBS net taxes</t>
  </si>
  <si>
    <t>Difference btn Gov net taxes and NBS net taxes (values only)</t>
  </si>
  <si>
    <t>GDP Deflator (basic prices)</t>
  </si>
  <si>
    <t>2010/11</t>
  </si>
  <si>
    <t>CellRootName</t>
  </si>
  <si>
    <t>VAT</t>
  </si>
  <si>
    <t>OthTaxSubProdn</t>
  </si>
  <si>
    <t>TaxSubProdt</t>
  </si>
  <si>
    <t>FCg</t>
  </si>
  <si>
    <t>KFg</t>
  </si>
  <si>
    <t>ExGS</t>
  </si>
  <si>
    <t>ImGS</t>
  </si>
  <si>
    <t>Taxes on production and imports</t>
  </si>
  <si>
    <r>
      <t>Check:</t>
    </r>
    <r>
      <rPr>
        <sz val="10"/>
        <rFont val="Arial"/>
        <family val="2"/>
      </rPr>
      <t xml:space="preserve"> GNI from GDP = GNI from income</t>
    </r>
  </si>
  <si>
    <t>CurTrans</t>
  </si>
  <si>
    <t>CEPay</t>
  </si>
  <si>
    <t>CERec</t>
  </si>
  <si>
    <t>PropIncPay</t>
  </si>
  <si>
    <t>PropIncRec</t>
  </si>
  <si>
    <t xml:space="preserve">   of which: paid to non-residents [BOP]</t>
  </si>
  <si>
    <t>FCgErOm</t>
  </si>
  <si>
    <t xml:space="preserve">Table 6: Gross Domestic Product by type of Expenditure at Current Market Prices </t>
  </si>
  <si>
    <t>Million T. Shillings</t>
  </si>
  <si>
    <t>Type of Expenditure</t>
  </si>
  <si>
    <t>2006r</t>
  </si>
  <si>
    <t>2007p</t>
  </si>
  <si>
    <t>GDP at market prices</t>
  </si>
  <si>
    <t>Final consumption expenditure</t>
  </si>
  <si>
    <t>Households</t>
  </si>
  <si>
    <t>Government</t>
  </si>
  <si>
    <t>Gross capital formation</t>
  </si>
  <si>
    <t>Changes in inventories</t>
  </si>
  <si>
    <t>Exports of goods and services</t>
  </si>
  <si>
    <t>Exports of goods fob</t>
  </si>
  <si>
    <t>Exports of services</t>
  </si>
  <si>
    <t>Imports of goods and services</t>
  </si>
  <si>
    <t>Imports of goods fob</t>
  </si>
  <si>
    <t>Imports of services</t>
  </si>
  <si>
    <t xml:space="preserve">Table 6A: Gross Domestic Product by Type of Expenditure in US$ at Current Market Prices </t>
  </si>
  <si>
    <t>Million US$</t>
  </si>
  <si>
    <t>Average exchange rates (Shs/US$)</t>
  </si>
  <si>
    <t>Table 6B: Gross Domestic Product at 2001 Market Prices by type of Expenditure</t>
  </si>
  <si>
    <t>GDP at constant market prices</t>
  </si>
  <si>
    <t>Table 6C: Annual Growth Rates of Gross Domestic Product at 2001 Market Prices by type of Expenditure</t>
  </si>
  <si>
    <t>Percentage</t>
  </si>
  <si>
    <t>Table 7: Gross Capital Formation at Current Prices</t>
  </si>
  <si>
    <t xml:space="preserve">Type of Capital formation </t>
  </si>
  <si>
    <t>A.Gross Fixed capital formation</t>
  </si>
  <si>
    <t>Building and works</t>
  </si>
  <si>
    <t>1. Buildings:</t>
  </si>
  <si>
    <t xml:space="preserve">     1.1 Residential</t>
  </si>
  <si>
    <t xml:space="preserve">     1.2 Rural own-account</t>
  </si>
  <si>
    <t xml:space="preserve">     1.3 Non-residential</t>
  </si>
  <si>
    <t>2. Other works:</t>
  </si>
  <si>
    <t xml:space="preserve">     2.1 Land improvement</t>
  </si>
  <si>
    <t xml:space="preserve">     2.2 Roads and Bridges</t>
  </si>
  <si>
    <t xml:space="preserve">     2.3 Water </t>
  </si>
  <si>
    <t xml:space="preserve">     2.4 Others</t>
  </si>
  <si>
    <t>3. Equipment:</t>
  </si>
  <si>
    <t xml:space="preserve">     3.1 Transport equipment</t>
  </si>
  <si>
    <t xml:space="preserve">     3.2 Other equip. and Machinery</t>
  </si>
  <si>
    <t>B. Changes in Inventories</t>
  </si>
  <si>
    <t>C. Total Capital Formation</t>
  </si>
  <si>
    <t>Table 7A: Gross Capital Formation in US$ at current market Prices</t>
  </si>
  <si>
    <t>Type of Capital Formation</t>
  </si>
  <si>
    <t>A. Gross Fixed Capital Formation</t>
  </si>
  <si>
    <t>Average exchange rates (Shs/U$)</t>
  </si>
  <si>
    <t>Table 7B: Gross Capital Formation at 2001  Prices</t>
  </si>
  <si>
    <t>Table 7C: Gross Capital Formation by Public and Private Sectors at current prices</t>
  </si>
  <si>
    <t>1. Central Government:</t>
  </si>
  <si>
    <t>2. Parastatals:</t>
  </si>
  <si>
    <t>3. Institutions:</t>
  </si>
  <si>
    <t>4. Private</t>
  </si>
  <si>
    <t>Table 8: National Disposable Income at current Prices and its appropriation</t>
  </si>
  <si>
    <t>Heading</t>
  </si>
  <si>
    <t>1. Compensation of employees</t>
  </si>
  <si>
    <t>2. Operating surplus</t>
  </si>
  <si>
    <t>3. Net Domestic Product at basic price</t>
  </si>
  <si>
    <t>4. Net primary income from ROW</t>
  </si>
  <si>
    <t>5. Net National Product at basic price.</t>
  </si>
  <si>
    <t>6.Taxes on products</t>
  </si>
  <si>
    <t>8.  Net National Product at m.p.</t>
  </si>
  <si>
    <t xml:space="preserve">9.  Net current Transfers from ROW  </t>
  </si>
  <si>
    <t>10.Net National Disposable Income at m.p</t>
  </si>
  <si>
    <t>11.Government final consumption expenditure</t>
  </si>
  <si>
    <t>12. Household final consumption expenditure</t>
  </si>
  <si>
    <t>13.  Savings</t>
  </si>
  <si>
    <t>14.  Net National Disposable Income at m.p.</t>
  </si>
  <si>
    <t>Table 9:  Capital Finance at current prices</t>
  </si>
  <si>
    <t>1. Savings</t>
  </si>
  <si>
    <t>2.Consumption on fixed capital</t>
  </si>
  <si>
    <t>3.Net capital transfer from ROW</t>
  </si>
  <si>
    <t>4. Finance of Gross accumulation</t>
  </si>
  <si>
    <t>5. Changes in Inventories</t>
  </si>
  <si>
    <t>6.Gross fixed capital formation</t>
  </si>
  <si>
    <t>7.Net Lending(+)/Borrowing(-) from ROW</t>
  </si>
  <si>
    <t>8. Gross Accumulation</t>
  </si>
  <si>
    <t>Table 10: Relation among National Accounting Aggregates at current prices</t>
  </si>
  <si>
    <t>1. Gross Domestic Product at basic price.</t>
  </si>
  <si>
    <t>2.  Net primary income from ROW</t>
  </si>
  <si>
    <t>2.1 Primary  Income receivable</t>
  </si>
  <si>
    <t>2.2 Less Primary income payable</t>
  </si>
  <si>
    <t xml:space="preserve">3. Equals: Gross National Product at basic price </t>
  </si>
  <si>
    <t>4. Less: Consumption of Fixed Capital</t>
  </si>
  <si>
    <t>5. Equals: Net National Product at basic price</t>
  </si>
  <si>
    <t>6. Plus: Net Current Transfers from abroad</t>
  </si>
  <si>
    <t>6.1 Current Transfers receivable</t>
  </si>
  <si>
    <t>6.2 Less: Current transfer payable</t>
  </si>
  <si>
    <t>7. Equals: Net National Disposable Income at    basic price</t>
  </si>
  <si>
    <t xml:space="preserve">8. Gross National Disposable Income at basic prices </t>
  </si>
  <si>
    <t>9. Gross National Income at basic prices</t>
  </si>
  <si>
    <t>Table 10a: International transactions at current Prices</t>
  </si>
  <si>
    <t>1. Export of goods and services:</t>
  </si>
  <si>
    <t xml:space="preserve">    1.1 Export of Goods</t>
  </si>
  <si>
    <t xml:space="preserve">    1.2 Export of services</t>
  </si>
  <si>
    <t>2. Primary incomes receivable</t>
  </si>
  <si>
    <t xml:space="preserve">3. Current transfers receivable </t>
  </si>
  <si>
    <t>4. Total external transactions receivable by the Nation</t>
  </si>
  <si>
    <t>5. Import of goods and services:</t>
  </si>
  <si>
    <t xml:space="preserve">   5.1 Import of goods</t>
  </si>
  <si>
    <t xml:space="preserve">   5.2 Import of  services</t>
  </si>
  <si>
    <t>6. Primary incomes payable</t>
  </si>
  <si>
    <t>7. Current transfers payable</t>
  </si>
  <si>
    <t>8. Current external balance</t>
  </si>
  <si>
    <t>9. Total external transactions paid by the Nation</t>
  </si>
  <si>
    <t>10. Current external balance</t>
  </si>
  <si>
    <t>11.Errors and ommissions</t>
  </si>
  <si>
    <t>12. Net lending (+) or Borrowing (-) from the ROW</t>
  </si>
  <si>
    <t>1. Gross Domestic Product at m.p.</t>
  </si>
  <si>
    <t xml:space="preserve">2.  Plus: Net primary income from ROW </t>
  </si>
  <si>
    <t>3. Equals: Gross National Product at m.p.</t>
  </si>
  <si>
    <t>5. Equals: Net National Income at m.p.</t>
  </si>
  <si>
    <t>6. Plus: Net Current Transfers received from abroad</t>
  </si>
  <si>
    <t>7. Equals: Net National Disposable Income at m.p.</t>
  </si>
  <si>
    <t>Table 11a: National Income  and Disposable income in US $</t>
  </si>
  <si>
    <t>Gross National Income at basic prices (Mill.US $)</t>
  </si>
  <si>
    <t xml:space="preserve">Gross National Disposable Income at basic prices (Mill. US$) </t>
  </si>
  <si>
    <t>exchange rates (annual average)</t>
  </si>
  <si>
    <t>Non Monetary GDP at Constant 2001 Prices</t>
  </si>
  <si>
    <t>Forestry and Hunting</t>
  </si>
  <si>
    <t>Industry and Construction</t>
  </si>
  <si>
    <t>Water Supply</t>
  </si>
  <si>
    <t>Real Estate and Business Services</t>
  </si>
  <si>
    <t>Monetary GDP at Constant 2001 Prices</t>
  </si>
  <si>
    <t>Monetary</t>
  </si>
  <si>
    <t>Gross domestic product at market prices</t>
  </si>
  <si>
    <t>Other social &amp; personal services</t>
  </si>
  <si>
    <t>Non-monetary</t>
  </si>
  <si>
    <t>Forestry &amp; hunting</t>
  </si>
  <si>
    <t>Real estate &amp; business services</t>
  </si>
  <si>
    <t>Total Gross Domestic Product at market prices</t>
  </si>
  <si>
    <t>Million Tshillings</t>
  </si>
  <si>
    <t>Agriculture and Fishing</t>
  </si>
  <si>
    <t>Gross value added excluding adjustments</t>
  </si>
  <si>
    <t>Gross value added at basic prices</t>
  </si>
  <si>
    <t>Taxes on products</t>
  </si>
  <si>
    <t>Agriculture, forestry, hunting &amp; fishing</t>
  </si>
  <si>
    <t>Total Gross domestic product at market prices</t>
  </si>
  <si>
    <t>Industry &amp; construction</t>
  </si>
  <si>
    <t>Gross Domestic Product at market prices</t>
  </si>
  <si>
    <t xml:space="preserve">  O/W Monetary</t>
  </si>
  <si>
    <t>2011/12</t>
  </si>
  <si>
    <r>
      <t>less</t>
    </r>
    <r>
      <rPr>
        <sz val="10"/>
        <rFont val="Arial"/>
        <family val="2"/>
      </rPr>
      <t xml:space="preserve"> FISIM</t>
    </r>
  </si>
  <si>
    <r>
      <t>Add</t>
    </r>
    <r>
      <rPr>
        <sz val="10"/>
        <rFont val="Arial"/>
        <family val="2"/>
      </rPr>
      <t xml:space="preserve"> Taxes on products</t>
    </r>
  </si>
  <si>
    <t>NON MONETARY</t>
  </si>
  <si>
    <t xml:space="preserve"> Gross Domestic Product at Current Prices  by Economic Activity (Monetary &amp; Non monetary)</t>
  </si>
  <si>
    <t>Gross  fixed capital formation at purchasers' prices</t>
  </si>
  <si>
    <t>Inflation scenario with 35% credit and four months of imports</t>
  </si>
  <si>
    <t>Inflation original scenario</t>
  </si>
  <si>
    <t>Baseline scenario factor</t>
  </si>
  <si>
    <t>Multiplier</t>
  </si>
  <si>
    <t>BASELINE SCENARIO</t>
  </si>
  <si>
    <t>2008p</t>
  </si>
  <si>
    <t>2007r</t>
  </si>
  <si>
    <t>GDP - expenditure side NBS</t>
  </si>
  <si>
    <t>GDP at 2001 Prices  by Economic Activity -- Growth rates</t>
  </si>
  <si>
    <t>GDP at 2001 Prices  by Economic Activity -- Contribution to growth</t>
  </si>
  <si>
    <t>GDP Shares by Economic Activity</t>
  </si>
  <si>
    <t>2012/13</t>
  </si>
  <si>
    <t>169.6</t>
  </si>
  <si>
    <t>173.4</t>
  </si>
  <si>
    <t>192.2</t>
  </si>
  <si>
    <t>196.6</t>
  </si>
  <si>
    <t>2009p</t>
  </si>
  <si>
    <t>2008r</t>
  </si>
  <si>
    <t>GDP aggregates - production side growth</t>
  </si>
  <si>
    <t>Table 11: Relation among National accounts aggregates at current market prices</t>
  </si>
  <si>
    <t>GDP at Current market price</t>
  </si>
  <si>
    <t>Gross Domestic Product at current market prices</t>
  </si>
  <si>
    <t>GDP at market price, constant 2001 prices</t>
  </si>
  <si>
    <t>2013/14</t>
  </si>
  <si>
    <t>new CPI</t>
  </si>
  <si>
    <t>New CPI</t>
  </si>
  <si>
    <t>Food weight=0.51</t>
  </si>
  <si>
    <t>Non-food=0.49</t>
  </si>
  <si>
    <t>Agriculture</t>
  </si>
  <si>
    <t>Electricity</t>
  </si>
  <si>
    <t>Wholesale and retail trade</t>
  </si>
  <si>
    <t>Transport and com-munication</t>
  </si>
  <si>
    <t>Real estate</t>
  </si>
  <si>
    <t>Other services</t>
  </si>
  <si>
    <t>FISIM</t>
  </si>
  <si>
    <t>All indust. at basic prices</t>
  </si>
  <si>
    <t>2014/15</t>
  </si>
  <si>
    <t>2015/16</t>
  </si>
  <si>
    <t>2016/17</t>
  </si>
  <si>
    <t>2017/18</t>
  </si>
  <si>
    <t>2018/19</t>
  </si>
  <si>
    <t>2019/20</t>
  </si>
  <si>
    <t>2020/21</t>
  </si>
  <si>
    <t xml:space="preserve">Increased economic activities will entail higher demand for  banking services for business services in the economy. </t>
  </si>
  <si>
    <t>Higher growth</t>
  </si>
  <si>
    <t>Compensation of employees will increase</t>
  </si>
  <si>
    <t>GDP Proj = GDPn-1*(1+gn)*(1+#n)</t>
  </si>
  <si>
    <t>0.45</t>
  </si>
  <si>
    <t>Food and Non Alcoholic Beverages</t>
  </si>
  <si>
    <t>Alcoholic, Tobacco and Narcotics</t>
  </si>
  <si>
    <t>Clothing and Footwear</t>
  </si>
  <si>
    <t>Housing, Water, Electricity, Gas and Other Fuel</t>
  </si>
  <si>
    <t>Furnishing, Housing Equipment and Routine Maintenance of the House</t>
  </si>
  <si>
    <t>Communication</t>
  </si>
  <si>
    <t>Recreation and Culture</t>
  </si>
  <si>
    <t>Restaurants and hotels</t>
  </si>
  <si>
    <t>Miscellaneous goods and services</t>
  </si>
  <si>
    <t>TOTAL – ALL ITEMS INDEX</t>
  </si>
  <si>
    <t>Other Selected Groups</t>
  </si>
  <si>
    <t>Food  - combining food consumed at home and food consumed in restaurants</t>
  </si>
  <si>
    <t>Energy and Fuels - combining electricity and other fuels for use at home with petrol and diesel</t>
  </si>
  <si>
    <t>All Items Less Food</t>
  </si>
  <si>
    <t>All Items Less Food and Energy</t>
  </si>
  <si>
    <t>Non-food non-energy inflation</t>
  </si>
  <si>
    <t>Maize</t>
  </si>
  <si>
    <t>Rice</t>
  </si>
  <si>
    <t>Round Patatoes</t>
  </si>
  <si>
    <t>Beans</t>
  </si>
  <si>
    <t>Sorghum</t>
  </si>
  <si>
    <t>Pries --Major food crops TZS/100kg</t>
  </si>
  <si>
    <t>Av. World market prices of oil (White products)</t>
  </si>
  <si>
    <t>WMP/llitre</t>
  </si>
  <si>
    <t>White products (USD per ton)</t>
  </si>
  <si>
    <t>Prices-WM and Pump</t>
  </si>
  <si>
    <t>Exchange Rate Av. TZS/USD</t>
  </si>
  <si>
    <t>Petrol  TZS/Litre</t>
  </si>
  <si>
    <t>Diesel  TZS/Litre</t>
  </si>
  <si>
    <t>*0.9</t>
  </si>
  <si>
    <t xml:space="preserve"> </t>
  </si>
  <si>
    <t>GDP at Current Prices  by Economic Activity (Shares)</t>
  </si>
  <si>
    <t xml:space="preserve">10.0 percent and 8.0 </t>
  </si>
  <si>
    <t xml:space="preserve">Increased compliance by tax payers due to reduced tax rates and introduction of Electronic Fiscal Devices to major outlets will raise tax revenue. The growth rate is expected to decrease to 6.8 percent in 2013 from 7.3 percent in 2012. In the medium term the annual growth rate is projected at 7.7 percent. </t>
  </si>
  <si>
    <t>Agriculture, forestry &amp; fishing</t>
  </si>
  <si>
    <t>Industry</t>
  </si>
  <si>
    <t>Mining &amp; quarrying</t>
  </si>
  <si>
    <t>Electricity, gas &amp; water supply</t>
  </si>
  <si>
    <t>Trade &amp; repairs</t>
  </si>
  <si>
    <t>Hotels &amp; restaurants</t>
  </si>
  <si>
    <t>Transport &amp; communications</t>
  </si>
  <si>
    <t>Adjustment to market prices</t>
  </si>
  <si>
    <t xml:space="preserve">   Taxes on products</t>
  </si>
  <si>
    <t>GDP at  Current Market Prices</t>
  </si>
  <si>
    <t>Population   "000"</t>
  </si>
  <si>
    <t>GDP per capita: TZS "000"</t>
  </si>
  <si>
    <t>Exchange rate: TZS/USD</t>
  </si>
  <si>
    <t>Total  GDP at market Prices</t>
  </si>
  <si>
    <t>Zanzibar Gross Domestic Product  (GDP) at Market Prices by kind of Economic Activity, at Current PricesMarket Prices by kind of Economic Activity, at Current Prices</t>
  </si>
  <si>
    <t>Zanzibar Gross Domestic Product  (GDP) at factor cost by kind of Economic Activity, at 2001 Constant Prices</t>
  </si>
  <si>
    <t>GDP At constant 2001 prices (Shs. million)</t>
  </si>
  <si>
    <t>2001Q1</t>
  </si>
  <si>
    <t>2001Q2</t>
  </si>
  <si>
    <t>2001Q3</t>
  </si>
  <si>
    <t>2001Q4</t>
  </si>
  <si>
    <t>2002Q1</t>
  </si>
  <si>
    <t>2003Q1</t>
  </si>
  <si>
    <t>2004Q1</t>
  </si>
  <si>
    <t>2005Q1</t>
  </si>
  <si>
    <t>2006Q1</t>
  </si>
  <si>
    <t>2007Q1</t>
  </si>
  <si>
    <t>2008Q1</t>
  </si>
  <si>
    <t>2009Q1</t>
  </si>
  <si>
    <t>2010Q1</t>
  </si>
  <si>
    <t>2011Q1</t>
  </si>
  <si>
    <t>2012Q1</t>
  </si>
  <si>
    <t>2013Q1</t>
  </si>
  <si>
    <t>2003Q2</t>
  </si>
  <si>
    <t>2003Q3</t>
  </si>
  <si>
    <t>2003Q4</t>
  </si>
  <si>
    <t>2004Q2</t>
  </si>
  <si>
    <t>2004Q3</t>
  </si>
  <si>
    <t>2004Q4</t>
  </si>
  <si>
    <t>2005Q2</t>
  </si>
  <si>
    <t>2005Q3</t>
  </si>
  <si>
    <t>2005Q4</t>
  </si>
  <si>
    <t>2006Q2</t>
  </si>
  <si>
    <t>2006Q3</t>
  </si>
  <si>
    <t>2006Q4</t>
  </si>
  <si>
    <t>2007Q2</t>
  </si>
  <si>
    <t>2007Q3</t>
  </si>
  <si>
    <t>2007Q4</t>
  </si>
  <si>
    <t>2008Q2</t>
  </si>
  <si>
    <t>2008Q3</t>
  </si>
  <si>
    <t>2008Q4</t>
  </si>
  <si>
    <t>2009Q2</t>
  </si>
  <si>
    <t>2009Q3</t>
  </si>
  <si>
    <t>2009Q4</t>
  </si>
  <si>
    <t>2010Q2</t>
  </si>
  <si>
    <t>2010Q3</t>
  </si>
  <si>
    <t>2010Q4</t>
  </si>
  <si>
    <t>2011Q2</t>
  </si>
  <si>
    <t>2011Q3</t>
  </si>
  <si>
    <t>2011Q4</t>
  </si>
  <si>
    <t>2012Q2</t>
  </si>
  <si>
    <t>2012Q3</t>
  </si>
  <si>
    <t>2012Q4</t>
  </si>
  <si>
    <t>2013Q2</t>
  </si>
  <si>
    <t>2013Q3</t>
  </si>
  <si>
    <t>2002Q2</t>
  </si>
  <si>
    <t>2002Q3</t>
  </si>
  <si>
    <t>2002Q4</t>
  </si>
  <si>
    <t>KIDATU</t>
  </si>
  <si>
    <t>KIHANSI</t>
  </si>
  <si>
    <t>MTERA</t>
  </si>
  <si>
    <t>HALE</t>
  </si>
  <si>
    <t>NEW PANGANI FALLS</t>
  </si>
  <si>
    <t>UWEMBA MINHYDRO</t>
  </si>
  <si>
    <t>THERMAL</t>
  </si>
  <si>
    <t>UBUNGO DIESELS</t>
  </si>
  <si>
    <t>IYUNGA</t>
  </si>
  <si>
    <t>ZUZU</t>
  </si>
  <si>
    <t>TABORA</t>
  </si>
  <si>
    <t>NYAKATO</t>
  </si>
  <si>
    <t>MUSOMA</t>
  </si>
  <si>
    <t>TOTAL THERMAL</t>
  </si>
  <si>
    <t>ISOLATED THERMAL</t>
  </si>
  <si>
    <t>NYM</t>
  </si>
  <si>
    <t>GTs ABB</t>
  </si>
  <si>
    <t>GTs EPP</t>
  </si>
  <si>
    <t>NJOMBE</t>
  </si>
  <si>
    <t>Notes:   *Provisional</t>
  </si>
  <si>
    <t>Source: Office of Chief Government Statistician-Zanzibar</t>
  </si>
  <si>
    <t>CPI Base: August 2012 = 100</t>
  </si>
  <si>
    <t>CPI Zanzibar</t>
  </si>
  <si>
    <t>% Change</t>
  </si>
  <si>
    <t>UBUNGO-WATSILA</t>
  </si>
  <si>
    <t>TEGETA-GAS</t>
  </si>
  <si>
    <t>Grand Total</t>
  </si>
  <si>
    <t>TOTAL thermal &amp; hydro</t>
  </si>
  <si>
    <t>TOTAL HYDRO</t>
  </si>
  <si>
    <t>2012r</t>
  </si>
  <si>
    <t>2013p</t>
  </si>
  <si>
    <t>Agriculture, Hunting, Forestry and Fishing</t>
  </si>
  <si>
    <t>Wholesale and retail Trade, restaurants and hotels</t>
  </si>
  <si>
    <t>Others</t>
  </si>
  <si>
    <t>Financial intermediation, real estate and business services</t>
  </si>
  <si>
    <t>Mining &amp; Manufacturing</t>
  </si>
  <si>
    <t>2013Q4</t>
  </si>
  <si>
    <t>2014Q1</t>
  </si>
  <si>
    <t>During the period of 2009 - 2013, value added in Agriculture averaged at 3.9 % percent and in 2014  the likely outurn growth is projected to be 4.5 percent due to favourable  weather in 13/14 rain season and the use of agriculture improved seeds. In the medium term, the sector is expected to pick up to an average of  above 4.9 percent owing to favorable long rains,  improving prices of traditional exports and implementation of the current programs under FYDP and SAGCOT initiatives. Further, the implementation of  Agriculture Bank  is expected to boost agriculture performance in the foreseeable future</t>
  </si>
  <si>
    <t xml:space="preserve">In 2014, value added in crop sub-activity is projected  at 6.1  percent  due to favorable weather conditions and improved irrigation infrastructure under SAGCOT. In the medium term, crop value added is projected to increase to an average of 5.6 percent following continued implementation of the Agriculture Sector Development Strategy (ASDS), initiatives under BRN  and strengthening of agriculture financing. Other supportive factors include;  provision of subsidy on agro inputs;   rehabilitation of rural roads; and enhancement of extension services delivery. </t>
  </si>
  <si>
    <t>Value added in fishing activities is projected to grow at 2.7percent in 2014 and increase further to an average of 3.0 percent in the medium term. The expected growth is attributed to modernization of fishing activities; increased demand for fish and fish products in both domestic and foreign markets as well as curbing illegal fishing practices.</t>
  </si>
  <si>
    <t>These activities are poised for higher growth, projected to an average of 8.4 percent in the medium term. Growth of the activity is expected to accrue from all its sub-activities including mining and quarrying,  manufacturing, electricity and gas, water supply and construction.</t>
  </si>
  <si>
    <t xml:space="preserve">The value added growth rate is projected to grow by 7.2 percent in 2014 from 6.9 percent in 2013 following Government initiatives  to improve mining facilities in production in major mining plants. In the medium term, growth is forecasted to increase to an average rate of 7.4 percent due to stabilized global gold prices and increased quarying activities.  </t>
  </si>
  <si>
    <t xml:space="preserve">The growth rate in manufacturing sub-activity is projected to grow by 8.1 percent in 2014 from 7.7 percent in 2013, on account of improved power supply. In the medium term, the growth of the sub-activity is projected to pick up to 8.6 percent basing on the upcoming programs for improving  power supply including gas pipeline from Mtwara to Dar, implementation of Liganga iron ore, motorcycle and bicycle assembly, Kibaha  bio-larvaecide, expansion of cement industries (Mtwara and Lindi) projects, implementation of Special Economic Zone (SEZ), implementation of the SME policy including agro processing and the Tanzania Trade Integrated Strategy (TTIS) , coupled with conducive trade and tax policies. </t>
  </si>
  <si>
    <t>Growth rate of Electricity and gas sub-activity is projected to increase to 4.8 percent in 2014 from 4.4 percent in 2013 due to  stability of power generation from sources of power generation.  In the medium term, growth is projected to pick up to 5.2 percent based on government efforts to implement measures aimed at addressing the current power crisis by installing additional gas-turbines to complement the thermal power generation. Other assumptions include implementation of the Rural Energy Master Plan, Power Sector Master Plan,  and enhancing private sector participation in power generation to meet the growing demand for power in the country and   and the construction of  gas pipeline from  Mtwara to Dar es Salaam to establish the new power station.</t>
  </si>
  <si>
    <t>The water supply is projected to grow by  5.2 percent. In the medium term, the sub-activity is projected to grow at an average of 5.0 percent following implementation of new and ongoing major water supply projects (i.e. boreholes in Pangani, Farkwa and Ndembera projects along Rufiji Basin) and scale up rural water supply services through rehabilitation of malfunctioning water facilities including multi-village water schemes. Other projects include drilling of 20 high yielding boreholes at Kimbiji -Kigamboni and Mpera – Mkuranga; and rehabilitation and expansion of water supply scheme of lower Ruvu for Dar es Salaam and lake Victoria project.</t>
  </si>
  <si>
    <t>Construction activity is projected to grow at 8.9 percent in 2014. The sub-activity is expected to grow at  an average rate of 9.5percent in the medium term, largely due to increased infrastructure developments, including roads and bridges, construction and rehabilitation of railway lines, construction and expansion of airports, commercial and residential dwellings as well as land development.</t>
  </si>
  <si>
    <t>This activity is projected to grow at an average of 9.1 percent in the medium term (2015-2018) driven by an increased export promotion initiatives, implmentation of tourism advertisments on tourist attraction sites , improvements and scaling up of investments in transport and communication infrastructure. . The activity will also be bolstered by expansion of education and health services, increased demand of financial intermediation in response to growth of other economic activities in the country, and sustained implementation of public service reforms.</t>
  </si>
  <si>
    <t>Trade and repair sub- activity is projected to grow at 8.8 percent in 2014  compared to 8.3 percent in 2013 due to improved regional trade and business environment. In the medium term, the sub-sector is projected to grow at an average of 9.4  percent. The projected growth rate is based on the assumptions of improved power supply, increased transit trade, exports resulting from the ongoing export promotion initiatives, including SEZ, EPZ,  promotion of exports through the Export Credit Guarantee Scheme; improved business environment (facilitated through the BEST programme).</t>
  </si>
  <si>
    <t>In 2015-2018 the hotels and restaurants sub-sector is projected to grow at an average of 7.0 percent. The sub-activity is projected to grow at a rate of 6.3 percent in 2014 from 6.3 percent recorded  in the previous year . The growth will be attributed to an increase in the number of international tourists arrivals, government initiatives to promote domestic tourism and advertisement of tourist attractive sites.</t>
  </si>
  <si>
    <t>The transport sub-sector is expected to grow by 7.0 percent in 2014 compared to 6.2 percent in 2013 due to increase in transport and transportation activities. In the medium term, the activity will grow at an average of 7.2 percent. The growth will emanate from improvement in physical infrastructure such as roads, rails, air which will attract movement of goods and passengers during the period. Performance of the activity is also expected to be in line with the performance of other sectors such as agriculture, manufacturing and mining.</t>
  </si>
  <si>
    <t>In 2014, the communications sub-sector is projected to grow at the rate of 18.3 percent  and projected to grow at an average of 19.1 percent  in the medium term following the scale up of the broadband access connectivity and established data storage centers; expansion of services provided by telecommunication companies and completion of the fiber optic cable installation.</t>
  </si>
  <si>
    <t xml:space="preserve">The financial intermediation sub-sector is projected to grow by 12.8 percent in 2014, compared to 12.2 percent recorded in 2013 due to increased access of loans,deposit  to the private sector . Improved business environment and investment opportunities will lead to higher financing requirements  and insurance services. This is therefore expected to boost performance of the sub-activity to an annual average growth rate of 13.5 percent in the medium term. </t>
  </si>
  <si>
    <t xml:space="preserve">Real Estate sub-sector is expected to grow at 6.4 percent in 2014  and in the medium term the growth rate is projected at an average of6.5 percent. The growth will be attributed to high investment in real estate by the National Housing Corporation (NHC), pension funds and private sector(through mortgage refinancing).   Higher investment in real estate by pension funds such as PSPF, NSSF, PPF and other private investment are expected to increase the growth of this industry. Increased economic activities will entail higher demand for business services, for instance consultancy fees, advertisement, and insurance. </t>
  </si>
  <si>
    <t xml:space="preserve">The activity is projected to grow at a rate of 5.6 percent in 2014 from 5.1 percent  recorded in 2013.  Thereafter, the sub-activity is projected to grow at an average rate of 5.6 percent  between 2015 and 2018 due to  increased financing of public service reforms and new employment to replace retirees for both local and central governments to bridge the existing gap. </t>
  </si>
  <si>
    <t xml:space="preserve">Education economic sub-activity growth rate is projected to grow to 5.9 percent in 2014 compared from 5.9 percent attained in 2013. In the medium term, the activity is projected to grow at an average rate of 6.2 percent resulting from the increase in access to primary, secondary, and tertiary education whilst ensuring availability of teaching and learning facilities and materials. Increased expenditure in education in line with implementation of PEDP II, SEDP and recruitment of new teachers will also boost this activity’s performance. </t>
  </si>
  <si>
    <t>Health sub-activity is projected to grow by 5.9 percent in 2014 compared to 5.6 percent recorded in 2013. The activity is projected to grow at an average rate of 6.1 percent in the medium term in line with implementation of Primary Health Care Programme and preventive programmes  such as Malaria, TB, HIV/AIDS and other communicable diseases will enhance the  performance in the health sub-activity.</t>
  </si>
  <si>
    <t>Other social and personal services are expected to grow at 3.8 percent in 2014 compared to 4.2 percent in 2013, and projected to grow at an average growth rate of 4.2 percent in the medium term as result of increased social services and entartiment .</t>
  </si>
  <si>
    <t>In 2014, value added in livestock is projected to grow at 3.2 percent from 3.8percent in 2013 and grow at an average of3.7 percent in the medium term. The expected improvement in the rate of growth is attributed to the implementation of ongoing programs including provision of livestock support services such as livestock research, training, extension services, surveillance and laboratory diagnosis as well as empowerment of livestock farmers through provision of credit facilities.</t>
  </si>
  <si>
    <t xml:space="preserve">In 2014,  the sub activity is expected to grow at 3.1  percent compared to3.3 percent attained in 2013. It is expected that following the rationalization of license fees for forestry and hunting activities, growth in this sub-activity is expected to maintain a growth rate of 3.4percent in the medium term </t>
  </si>
  <si>
    <t>2007</t>
  </si>
  <si>
    <t>2008</t>
  </si>
  <si>
    <t>2009</t>
  </si>
  <si>
    <t>2010</t>
  </si>
  <si>
    <t>2011</t>
  </si>
  <si>
    <t>2012</t>
  </si>
  <si>
    <t>2013</t>
  </si>
  <si>
    <t>2014</t>
  </si>
  <si>
    <t>GDPQ1 Mill. TShs.</t>
  </si>
  <si>
    <t>Growth Rate Q1</t>
  </si>
  <si>
    <t>GDP at current Market Price</t>
  </si>
  <si>
    <t>Population Tanzania Mainland (Tsh. Mil)</t>
  </si>
  <si>
    <t>Manufac-turing</t>
  </si>
  <si>
    <t>Construc-tion</t>
  </si>
  <si>
    <t>Hotels and restau-rants</t>
  </si>
  <si>
    <t>Financial interme-diation</t>
  </si>
  <si>
    <t>Public admi-nistration</t>
  </si>
  <si>
    <t>Economic activities</t>
  </si>
  <si>
    <t xml:space="preserve">Transport </t>
  </si>
  <si>
    <t>q12014</t>
  </si>
  <si>
    <t>q12013</t>
  </si>
  <si>
    <t>Contributors to growth</t>
  </si>
  <si>
    <t>FIRST QUARTER GDP GROWTH RATE &amp; CONTRIBUTORS  BY ECONOMIC ACTIVITIES IN 2014</t>
  </si>
  <si>
    <t xml:space="preserve">Growth rate </t>
  </si>
  <si>
    <t>Contributors</t>
  </si>
  <si>
    <t>NEW GDP SERIES</t>
  </si>
  <si>
    <t>GDP at 2007 Prices  by Economic Activity (Growth Rates)</t>
  </si>
  <si>
    <t>GDP at constant 2007 market prices</t>
  </si>
  <si>
    <t>2000Q1</t>
  </si>
  <si>
    <t>2000Q2</t>
  </si>
  <si>
    <t>2000Q3</t>
  </si>
  <si>
    <t>2000Q4</t>
  </si>
  <si>
    <t>BASE YEAR 2007</t>
  </si>
  <si>
    <t>GDP at 2007 Prices  by Economic Activity</t>
  </si>
  <si>
    <t>Table 3A: Gross Domestic Product (Monetary &amp; Non monetary) by Kind of Economic Activity (at constant 2007 prices)</t>
  </si>
  <si>
    <t>Table 3: GROSS DOMESTIC PRODUCT ESTIMATES AT CURRENT PRICES BY ECONOMIC ACTIVITY</t>
  </si>
  <si>
    <t>Forestry</t>
  </si>
  <si>
    <t xml:space="preserve">ECONOMIC ACTIVITY </t>
  </si>
  <si>
    <t>A: Monetary</t>
  </si>
  <si>
    <t>Gross Domestic Product at market price</t>
  </si>
  <si>
    <t>A</t>
  </si>
  <si>
    <t>Agriculture, forestry and fishing</t>
  </si>
  <si>
    <t>B</t>
  </si>
  <si>
    <t>C</t>
  </si>
  <si>
    <t>D</t>
  </si>
  <si>
    <t>Electricity supply</t>
  </si>
  <si>
    <t>E</t>
  </si>
  <si>
    <t>Water supply; sewerage, waste management</t>
  </si>
  <si>
    <t>F</t>
  </si>
  <si>
    <t>G</t>
  </si>
  <si>
    <t>Wholesale and retail trade; repairs</t>
  </si>
  <si>
    <t>H</t>
  </si>
  <si>
    <t>Transport and storage</t>
  </si>
  <si>
    <t>I</t>
  </si>
  <si>
    <t>Accomodation and Food Services</t>
  </si>
  <si>
    <t>J</t>
  </si>
  <si>
    <t>Information and communication</t>
  </si>
  <si>
    <t>K</t>
  </si>
  <si>
    <t>Financial and insurance activities</t>
  </si>
  <si>
    <t>L</t>
  </si>
  <si>
    <t>M</t>
  </si>
  <si>
    <t>Professional, scientific and technical activities</t>
  </si>
  <si>
    <t>N</t>
  </si>
  <si>
    <t>Administrative and support service activities</t>
  </si>
  <si>
    <t>O</t>
  </si>
  <si>
    <t>Public administration and defence</t>
  </si>
  <si>
    <t>P</t>
  </si>
  <si>
    <t>Q</t>
  </si>
  <si>
    <t>Human health and social work activities</t>
  </si>
  <si>
    <t>R</t>
  </si>
  <si>
    <t>Arts, entertainment and recreation</t>
  </si>
  <si>
    <t>S</t>
  </si>
  <si>
    <t>Other service activities</t>
  </si>
  <si>
    <t>T</t>
  </si>
  <si>
    <t>Activities of households as employers;</t>
  </si>
  <si>
    <t>X</t>
  </si>
  <si>
    <t>All economic activities</t>
  </si>
  <si>
    <t>B: Non- Monetary</t>
  </si>
  <si>
    <t>Data from NBS</t>
  </si>
  <si>
    <t>Table 3: GROSS DOMESTIC PRODUCT ESTIMATES AT CONSTANT PRICES 2007 PRICES BY ECONOMIC ACTIVITY</t>
  </si>
  <si>
    <t>Table 5: GROSS DOMESTIC PRODUCT BY TYPE OF EXPENDITURE AT CURRENT MARKET  PRICES</t>
  </si>
  <si>
    <t xml:space="preserve"> Shs million</t>
  </si>
  <si>
    <t>Final Consumption</t>
  </si>
  <si>
    <t>Government final consumption</t>
  </si>
  <si>
    <t>Household final consumption</t>
  </si>
  <si>
    <t>Non Profit Institutions Serving Households</t>
  </si>
  <si>
    <t>Gross Capital Formation</t>
  </si>
  <si>
    <t>Export of goods</t>
  </si>
  <si>
    <t>Export of services</t>
  </si>
  <si>
    <t>Import of goods</t>
  </si>
  <si>
    <t>Import of services</t>
  </si>
  <si>
    <t>Errors and Omissions</t>
  </si>
  <si>
    <t xml:space="preserve">Table 5a: GROSS DOMESTIC PRODUCT AT 2001 MARKET PRICES BY TYPE OF EXPENDITURE </t>
  </si>
  <si>
    <t>CPI new Format (NBS)</t>
  </si>
  <si>
    <t>new data</t>
  </si>
  <si>
    <t>Base year 2007</t>
  </si>
  <si>
    <t xml:space="preserve">  Fishing</t>
  </si>
  <si>
    <t>Agriculture, Hunting,Forestry and Fishing</t>
  </si>
  <si>
    <t>Copy range Q148:V199 and paste in range Q72 for original scenario</t>
  </si>
  <si>
    <t>Copy range Q205:V255 and paste in range Q72 for gass economy scenario</t>
  </si>
  <si>
    <t>Real GDP Growth (Calendar Year)</t>
  </si>
  <si>
    <t>Core inflation (eop)</t>
  </si>
  <si>
    <t>Core inflation (pav)</t>
  </si>
  <si>
    <t>Core CPI (eop)</t>
  </si>
  <si>
    <t>Core CPI (pav)</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</si>
</sst>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43" formatCode="_(* #,##0.00_);_(* \(#,##0.00\);_(* &quot;-&quot;??_);_(@_)"/>
    <numFmt numFmtId="164" formatCode="_-* #,##0.00_-;\-* #,##0.00_-;_-* &quot;-&quot;??_-;_-@_-"/>
    <numFmt numFmtId="165" formatCode="#,##0.0"/>
    <numFmt numFmtId="166" formatCode="0.0%"/>
    <numFmt numFmtId="167" formatCode="#,##0.000"/>
    <numFmt numFmtId="168" formatCode="0.0"/>
    <numFmt numFmtId="169" formatCode="_(* #,##0_);_(* \(#,##0\);_(* &quot;-&quot;??_);_(@_)"/>
    <numFmt numFmtId="170" formatCode="_(* #,##0.0_);_(* \(#,##0.0\);_(* &quot;-&quot;??_);_(@_)"/>
    <numFmt numFmtId="171" formatCode="0.0000000%"/>
    <numFmt numFmtId="172" formatCode="_-* #,##0_-;\-* #,##0_-;_-* &quot;-&quot;??_-;_-@_-"/>
    <numFmt numFmtId="173" formatCode="_-* #,##0.0_-;\-* #,##0.0_-;_-* &quot;-&quot;??_-;_-@_-"/>
    <numFmt numFmtId="174" formatCode="0.0000000000000%"/>
    <numFmt numFmtId="175" formatCode="_-* #,##0.0_-;\-* #,##0.0_-;_-* &quot;-&quot;?_-;_-@_-"/>
    <numFmt numFmtId="176" formatCode="0.000"/>
    <numFmt numFmtId="177" formatCode="[&gt;=0.05]#,##0.0;[&lt;=-0.05]\-#,##0.0;?0.0"/>
    <numFmt numFmtId="178" formatCode="[&gt;=0.05]#,##0;[&lt;=-0.05]\-#,##0;?0"/>
    <numFmt numFmtId="179" formatCode="#,##0_]"/>
    <numFmt numFmtId="180" formatCode="0.00_)"/>
    <numFmt numFmtId="181" formatCode="#,##0_ ;\-#,##0\ "/>
    <numFmt numFmtId="182" formatCode="#,##0.0_]"/>
    <numFmt numFmtId="183" formatCode="#,##0.000000"/>
    <numFmt numFmtId="184" formatCode="0.000%"/>
  </numFmts>
  <fonts count="89" x14ac:knownFonts="1">
    <font>
      <sz val="10"/>
      <name val="Arial"/>
    </font>
    <font>
      <sz val="11"/>
      <color theme="1"/>
      <name val="Calibri"/>
      <family val="2"/>
      <scheme val="minor"/>
    </font>
    <font>
      <sz val="10"/>
      <name val="Arial"/>
      <family val="2"/>
    </font>
    <font>
      <b/>
      <sz val="10"/>
      <name val="Arial"/>
      <family val="2"/>
    </font>
    <font>
      <sz val="10"/>
      <name val="Arial"/>
      <family val="2"/>
    </font>
    <font>
      <sz val="10"/>
      <color indexed="10"/>
      <name val="Arial"/>
      <family val="2"/>
    </font>
    <font>
      <sz val="10"/>
      <color indexed="12"/>
      <name val="Arial"/>
      <family val="2"/>
    </font>
    <font>
      <sz val="12"/>
      <name val="Times New Roman"/>
      <family val="1"/>
    </font>
    <font>
      <i/>
      <sz val="10"/>
      <color indexed="10"/>
      <name val="Arial"/>
      <family val="2"/>
    </font>
    <font>
      <i/>
      <sz val="10"/>
      <color indexed="12"/>
      <name val="Arial"/>
      <family val="2"/>
    </font>
    <font>
      <b/>
      <sz val="11"/>
      <name val="Times New Roman"/>
      <family val="1"/>
    </font>
    <font>
      <sz val="11"/>
      <name val="Times New Roman"/>
      <family val="1"/>
    </font>
    <font>
      <b/>
      <i/>
      <sz val="11"/>
      <name val="Times New Roman"/>
      <family val="1"/>
    </font>
    <font>
      <sz val="8"/>
      <name val="Arial"/>
      <family val="2"/>
    </font>
    <font>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color indexed="8"/>
      <name val="Arial"/>
      <family val="2"/>
    </font>
    <font>
      <b/>
      <i/>
      <sz val="10"/>
      <name val="Arial"/>
      <family val="2"/>
    </font>
    <font>
      <sz val="10"/>
      <color indexed="8"/>
      <name val="Arial"/>
      <family val="2"/>
    </font>
    <font>
      <sz val="10"/>
      <name val="Times New Roman"/>
      <family val="1"/>
    </font>
    <font>
      <b/>
      <sz val="12"/>
      <name val="Times New Roman"/>
      <family val="1"/>
    </font>
    <font>
      <b/>
      <sz val="11.5"/>
      <name val="Times New Roman"/>
      <family val="1"/>
    </font>
    <font>
      <sz val="11.5"/>
      <name val="Times New Roman"/>
      <family val="1"/>
    </font>
    <font>
      <b/>
      <sz val="12"/>
      <name val="Arial"/>
      <family val="2"/>
    </font>
    <font>
      <b/>
      <sz val="11"/>
      <name val="Arial"/>
      <family val="2"/>
    </font>
    <font>
      <b/>
      <sz val="11"/>
      <color indexed="8"/>
      <name val="Arial"/>
      <family val="2"/>
    </font>
    <font>
      <sz val="10"/>
      <color indexed="60"/>
      <name val="Arial"/>
      <family val="2"/>
    </font>
    <font>
      <sz val="12"/>
      <name val="Tahoma"/>
      <family val="2"/>
    </font>
    <font>
      <sz val="10"/>
      <name val="Arial"/>
      <family val="2"/>
    </font>
    <font>
      <sz val="10"/>
      <color rgb="FFFF0000"/>
      <name val="Arial"/>
      <family val="2"/>
    </font>
    <font>
      <sz val="10"/>
      <color rgb="FF0070C0"/>
      <name val="Arial"/>
      <family val="2"/>
    </font>
    <font>
      <sz val="10"/>
      <color theme="9" tint="-0.499984740745262"/>
      <name val="Arial"/>
      <family val="2"/>
    </font>
    <font>
      <sz val="10"/>
      <name val="Arial"/>
      <family val="2"/>
    </font>
    <font>
      <b/>
      <sz val="9"/>
      <color indexed="8"/>
      <name val="Tahoma"/>
      <family val="2"/>
    </font>
    <font>
      <sz val="9"/>
      <color rgb="FF000000"/>
      <name val="Tahoma"/>
      <family val="2"/>
    </font>
    <font>
      <sz val="11"/>
      <color rgb="FF000000"/>
      <name val="Calibri"/>
      <family val="2"/>
    </font>
    <font>
      <i/>
      <sz val="10"/>
      <color theme="1"/>
      <name val="Arial"/>
      <family val="2"/>
    </font>
    <font>
      <sz val="11"/>
      <name val="Arial"/>
      <family val="2"/>
    </font>
    <font>
      <sz val="11"/>
      <name val="Calibri"/>
      <family val="2"/>
      <scheme val="minor"/>
    </font>
    <font>
      <sz val="10"/>
      <color rgb="FF7030A0"/>
      <name val="Arial"/>
      <family val="2"/>
    </font>
    <font>
      <b/>
      <sz val="11"/>
      <color theme="1"/>
      <name val="Times New Roman"/>
      <family val="1"/>
    </font>
    <font>
      <b/>
      <sz val="9"/>
      <color rgb="FF000000"/>
      <name val="Tahoma"/>
      <family val="2"/>
    </font>
    <font>
      <sz val="9"/>
      <color indexed="8"/>
      <name val="Tahoma"/>
      <family val="2"/>
    </font>
    <font>
      <sz val="11"/>
      <color theme="1"/>
      <name val="Calibri"/>
      <family val="2"/>
    </font>
    <font>
      <sz val="10"/>
      <color rgb="FF000000"/>
      <name val="Times New Roman"/>
      <family val="1"/>
    </font>
    <font>
      <sz val="10"/>
      <color theme="1"/>
      <name val="Times New Roman"/>
      <family val="1"/>
    </font>
    <font>
      <sz val="10"/>
      <color indexed="8"/>
      <name val="Times New Roman"/>
      <family val="1"/>
    </font>
    <font>
      <sz val="9"/>
      <color rgb="FF000000"/>
      <name val="Times New Roman"/>
      <family val="1"/>
    </font>
    <font>
      <b/>
      <sz val="10.5"/>
      <name val="Times New Roman"/>
      <family val="1"/>
    </font>
    <font>
      <sz val="10.5"/>
      <name val="Arial"/>
      <family val="2"/>
    </font>
    <font>
      <sz val="10.5"/>
      <name val="Times New Roman"/>
      <family val="1"/>
    </font>
    <font>
      <b/>
      <sz val="10"/>
      <name val="Times New Roman"/>
      <family val="1"/>
    </font>
    <font>
      <sz val="9"/>
      <name val="Arial"/>
      <family val="2"/>
    </font>
    <font>
      <b/>
      <sz val="9"/>
      <name val="Times New Roman"/>
      <family val="1"/>
    </font>
    <font>
      <sz val="9"/>
      <name val="Times New Roman"/>
      <family val="1"/>
    </font>
    <font>
      <sz val="16"/>
      <name val="Arial"/>
      <family val="2"/>
    </font>
    <font>
      <sz val="12"/>
      <name val="Courier"/>
      <family val="3"/>
    </font>
    <font>
      <b/>
      <sz val="10.5"/>
      <color indexed="12"/>
      <name val="Times New Roman"/>
      <family val="1"/>
    </font>
    <font>
      <b/>
      <sz val="9"/>
      <name val="Arial"/>
      <family val="2"/>
    </font>
    <font>
      <b/>
      <sz val="10"/>
      <color rgb="FFFF0000"/>
      <name val="Arial"/>
      <family val="2"/>
    </font>
    <font>
      <sz val="9"/>
      <color indexed="62"/>
      <name val="Tahoma"/>
      <family val="2"/>
    </font>
    <font>
      <sz val="9"/>
      <name val="Tahoma"/>
      <family val="2"/>
    </font>
    <font>
      <sz val="10"/>
      <name val="Times New Roman"/>
      <family val="1"/>
    </font>
    <font>
      <sz val="10"/>
      <color theme="1"/>
      <name val="Arial"/>
      <family val="2"/>
    </font>
    <font>
      <b/>
      <i/>
      <sz val="10"/>
      <color theme="1"/>
      <name val="Arial"/>
      <family val="2"/>
    </font>
    <font>
      <b/>
      <sz val="10"/>
      <color theme="1"/>
      <name val="Arial"/>
      <family val="2"/>
    </font>
    <font>
      <sz val="12"/>
      <color theme="1"/>
      <name val="Times New Roman"/>
      <family val="1"/>
    </font>
    <font>
      <sz val="12"/>
      <color rgb="FF000000"/>
      <name val="Times New Roman"/>
      <family val="1"/>
    </font>
    <font>
      <sz val="9"/>
      <color rgb="FF000000"/>
      <name val="Arial"/>
      <family val="2"/>
    </font>
    <font>
      <b/>
      <sz val="9"/>
      <color rgb="FF000000"/>
      <name val="Arial"/>
      <family val="2"/>
    </font>
    <font>
      <sz val="10"/>
      <color rgb="FF00B050"/>
      <name val="Arial"/>
      <family val="2"/>
    </font>
    <font>
      <sz val="11"/>
      <name val="Tahoma"/>
      <family val="2"/>
    </font>
    <font>
      <sz val="10"/>
      <color rgb="FF00B0F0"/>
      <name val="Arial"/>
      <family val="2"/>
    </font>
  </fonts>
  <fills count="5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indexed="13"/>
        <bgColor indexed="64"/>
      </patternFill>
    </fill>
    <fill>
      <patternFill patternType="solid">
        <fgColor indexed="45"/>
        <bgColor indexed="64"/>
      </patternFill>
    </fill>
    <fill>
      <patternFill patternType="solid">
        <fgColor indexed="11"/>
        <bgColor indexed="64"/>
      </patternFill>
    </fill>
    <fill>
      <patternFill patternType="solid">
        <fgColor indexed="47"/>
        <bgColor indexed="64"/>
      </patternFill>
    </fill>
    <fill>
      <patternFill patternType="solid">
        <fgColor indexed="53"/>
        <bgColor indexed="64"/>
      </patternFill>
    </fill>
    <fill>
      <patternFill patternType="solid">
        <fgColor indexed="51"/>
        <bgColor indexed="64"/>
      </patternFill>
    </fill>
    <fill>
      <patternFill patternType="solid">
        <fgColor indexed="22"/>
        <bgColor indexed="64"/>
      </patternFill>
    </fill>
    <fill>
      <patternFill patternType="solid">
        <fgColor indexed="9"/>
        <bgColor indexed="64"/>
      </patternFill>
    </fill>
    <fill>
      <patternFill patternType="solid">
        <fgColor indexed="10"/>
        <bgColor indexed="64"/>
      </patternFill>
    </fill>
    <fill>
      <patternFill patternType="solid">
        <fgColor indexed="4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6" tint="-0.249977111117893"/>
        <bgColor indexed="64"/>
      </patternFill>
    </fill>
    <fill>
      <patternFill patternType="solid">
        <fgColor rgb="FFFFFF99"/>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rgb="FF00FFFF"/>
        <bgColor indexed="64"/>
      </patternFill>
    </fill>
    <fill>
      <patternFill patternType="solid">
        <fgColor rgb="FF92D050"/>
        <bgColor indexed="64"/>
      </patternFill>
    </fill>
    <fill>
      <patternFill patternType="solid">
        <fgColor theme="6"/>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n">
        <color indexed="64"/>
      </bottom>
      <diagonal/>
    </border>
    <border>
      <left/>
      <right style="hair">
        <color indexed="64"/>
      </right>
      <top/>
      <bottom/>
      <diagonal/>
    </border>
    <border>
      <left style="hair">
        <color indexed="64"/>
      </left>
      <right style="hair">
        <color indexed="64"/>
      </right>
      <top/>
      <bottom/>
      <diagonal/>
    </border>
  </borders>
  <cellStyleXfs count="72">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43" fontId="2" fillId="0" borderId="0" applyFont="0" applyFill="0" applyBorder="0" applyAlignment="0" applyProtection="0"/>
    <xf numFmtId="164" fontId="2"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4" fillId="23" borderId="7" applyNumberFormat="0" applyFont="0" applyAlignment="0" applyProtection="0"/>
    <xf numFmtId="0" fontId="28" fillId="20" borderId="8" applyNumberFormat="0" applyAlignment="0" applyProtection="0"/>
    <xf numFmtId="9" fontId="2" fillId="0" borderId="0" applyFont="0" applyFill="0" applyBorder="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0" fontId="2" fillId="0" borderId="0"/>
    <xf numFmtId="177" fontId="35" fillId="0" borderId="0" applyFill="0" applyBorder="0" applyAlignment="0" applyProtection="0">
      <alignment horizontal="right"/>
    </xf>
    <xf numFmtId="0" fontId="2" fillId="0" borderId="0"/>
    <xf numFmtId="0" fontId="2" fillId="0" borderId="24"/>
    <xf numFmtId="180" fontId="72" fillId="0" borderId="0"/>
    <xf numFmtId="164" fontId="2" fillId="0" borderId="0" applyFont="0" applyFill="0" applyBorder="0" applyAlignment="0" applyProtection="0"/>
    <xf numFmtId="9" fontId="2" fillId="0" borderId="0" applyFont="0" applyFill="0" applyBorder="0" applyAlignment="0" applyProtection="0"/>
    <xf numFmtId="0" fontId="1" fillId="0" borderId="0"/>
    <xf numFmtId="43" fontId="2" fillId="0" borderId="0" applyFont="0" applyFill="0" applyBorder="0" applyAlignment="0" applyProtection="0"/>
    <xf numFmtId="43" fontId="2" fillId="0" borderId="0" applyFont="0" applyFill="0" applyBorder="0" applyAlignment="0" applyProtection="0"/>
    <xf numFmtId="0" fontId="3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8" fillId="0" borderId="0"/>
    <xf numFmtId="0" fontId="2" fillId="0" borderId="0"/>
  </cellStyleXfs>
  <cellXfs count="763">
    <xf numFmtId="0" fontId="0" fillId="0" borderId="0" xfId="0"/>
    <xf numFmtId="3" fontId="3" fillId="0" borderId="0" xfId="0" applyNumberFormat="1" applyFont="1"/>
    <xf numFmtId="3" fontId="4" fillId="0" borderId="0" xfId="0" applyNumberFormat="1" applyFont="1"/>
    <xf numFmtId="3" fontId="4" fillId="24" borderId="0" xfId="0" applyNumberFormat="1" applyFont="1" applyFill="1"/>
    <xf numFmtId="0" fontId="4" fillId="0" borderId="0" xfId="0" applyFont="1"/>
    <xf numFmtId="3" fontId="0" fillId="0" borderId="0" xfId="0" applyNumberFormat="1"/>
    <xf numFmtId="1" fontId="3" fillId="0" borderId="0" xfId="0" applyNumberFormat="1" applyFont="1"/>
    <xf numFmtId="3" fontId="3" fillId="0" borderId="0" xfId="0" applyNumberFormat="1" applyFont="1" applyFill="1"/>
    <xf numFmtId="0" fontId="0" fillId="24" borderId="0" xfId="0" applyFill="1"/>
    <xf numFmtId="0" fontId="3" fillId="0" borderId="0" xfId="0" applyFont="1"/>
    <xf numFmtId="166" fontId="0" fillId="0" borderId="0" xfId="41" applyNumberFormat="1" applyFont="1"/>
    <xf numFmtId="166" fontId="0" fillId="0" borderId="0" xfId="0" applyNumberFormat="1"/>
    <xf numFmtId="166" fontId="0" fillId="24" borderId="0" xfId="41" applyNumberFormat="1" applyFont="1" applyFill="1"/>
    <xf numFmtId="168" fontId="0" fillId="0" borderId="0" xfId="0" applyNumberFormat="1"/>
    <xf numFmtId="3" fontId="3" fillId="0" borderId="0" xfId="0" quotePrefix="1" applyNumberFormat="1" applyFont="1"/>
    <xf numFmtId="0" fontId="3" fillId="0" borderId="0" xfId="0" applyFont="1" applyFill="1"/>
    <xf numFmtId="165" fontId="0" fillId="0" borderId="0" xfId="0" applyNumberFormat="1"/>
    <xf numFmtId="0" fontId="0" fillId="25" borderId="0" xfId="0" applyFill="1"/>
    <xf numFmtId="17" fontId="0" fillId="0" borderId="0" xfId="0" applyNumberFormat="1"/>
    <xf numFmtId="17" fontId="0" fillId="0" borderId="0" xfId="0" applyNumberFormat="1" applyFill="1"/>
    <xf numFmtId="168" fontId="0" fillId="26" borderId="0" xfId="0" applyNumberFormat="1" applyFill="1"/>
    <xf numFmtId="166" fontId="0" fillId="26" borderId="0" xfId="41" applyNumberFormat="1" applyFont="1" applyFill="1"/>
    <xf numFmtId="168" fontId="7" fillId="27" borderId="0" xfId="41" applyNumberFormat="1" applyFont="1" applyFill="1" applyBorder="1"/>
    <xf numFmtId="168" fontId="7" fillId="24" borderId="0" xfId="41" applyNumberFormat="1" applyFont="1" applyFill="1" applyBorder="1"/>
    <xf numFmtId="168" fontId="0" fillId="24" borderId="0" xfId="0" applyNumberFormat="1" applyFill="1"/>
    <xf numFmtId="168" fontId="7" fillId="24" borderId="0" xfId="0" applyNumberFormat="1" applyFont="1" applyFill="1" applyBorder="1"/>
    <xf numFmtId="0" fontId="7" fillId="24" borderId="0" xfId="0" applyFont="1" applyFill="1" applyBorder="1"/>
    <xf numFmtId="165" fontId="7" fillId="24" borderId="0" xfId="0" applyNumberFormat="1" applyFont="1" applyFill="1" applyAlignment="1">
      <alignment horizontal="right"/>
    </xf>
    <xf numFmtId="0" fontId="0" fillId="0" borderId="0" xfId="0" applyFill="1"/>
    <xf numFmtId="166" fontId="4" fillId="0" borderId="0" xfId="41" applyNumberFormat="1" applyFont="1"/>
    <xf numFmtId="166" fontId="0" fillId="0" borderId="0" xfId="41" applyNumberFormat="1" applyFont="1" applyFill="1"/>
    <xf numFmtId="49" fontId="3" fillId="0" borderId="0" xfId="0" applyNumberFormat="1" applyFont="1"/>
    <xf numFmtId="167" fontId="0" fillId="0" borderId="0" xfId="0" applyNumberFormat="1"/>
    <xf numFmtId="9" fontId="0" fillId="0" borderId="0" xfId="41" applyFont="1"/>
    <xf numFmtId="168" fontId="7" fillId="0" borderId="0" xfId="0" applyNumberFormat="1" applyFont="1" applyFill="1" applyAlignment="1">
      <alignment horizontal="right"/>
    </xf>
    <xf numFmtId="165" fontId="7" fillId="0" borderId="0" xfId="0" applyNumberFormat="1" applyFont="1" applyFill="1" applyAlignment="1">
      <alignment horizontal="right"/>
    </xf>
    <xf numFmtId="10" fontId="0" fillId="0" borderId="0" xfId="0" applyNumberFormat="1"/>
    <xf numFmtId="168" fontId="4" fillId="0" borderId="0" xfId="0" applyNumberFormat="1" applyFont="1"/>
    <xf numFmtId="168" fontId="0" fillId="0" borderId="0" xfId="0" applyNumberFormat="1" applyFill="1"/>
    <xf numFmtId="166" fontId="4" fillId="0" borderId="0" xfId="41" applyNumberFormat="1" applyFont="1" applyFill="1"/>
    <xf numFmtId="3" fontId="3" fillId="0" borderId="10" xfId="0" applyNumberFormat="1" applyFont="1" applyBorder="1"/>
    <xf numFmtId="3" fontId="3" fillId="0" borderId="10" xfId="0" quotePrefix="1" applyNumberFormat="1" applyFont="1" applyBorder="1"/>
    <xf numFmtId="1" fontId="3" fillId="0" borderId="10" xfId="0" applyNumberFormat="1" applyFont="1" applyBorder="1"/>
    <xf numFmtId="1" fontId="3" fillId="26" borderId="10" xfId="0" applyNumberFormat="1" applyFont="1" applyFill="1" applyBorder="1"/>
    <xf numFmtId="168" fontId="0" fillId="24" borderId="0" xfId="0" applyNumberFormat="1" applyFill="1" applyBorder="1"/>
    <xf numFmtId="166" fontId="4" fillId="0" borderId="0" xfId="0" applyNumberFormat="1" applyFont="1"/>
    <xf numFmtId="166" fontId="6" fillId="0" borderId="0" xfId="41" applyNumberFormat="1" applyFont="1"/>
    <xf numFmtId="2" fontId="0" fillId="0" borderId="0" xfId="0" applyNumberFormat="1" applyFill="1"/>
    <xf numFmtId="10" fontId="0" fillId="0" borderId="0" xfId="41" applyNumberFormat="1" applyFont="1"/>
    <xf numFmtId="0" fontId="5" fillId="0" borderId="0" xfId="0" applyFont="1" applyFill="1"/>
    <xf numFmtId="1" fontId="3" fillId="0" borderId="10" xfId="0" applyNumberFormat="1" applyFont="1" applyFill="1" applyBorder="1"/>
    <xf numFmtId="168" fontId="0" fillId="0" borderId="0" xfId="41" quotePrefix="1" applyNumberFormat="1" applyFont="1"/>
    <xf numFmtId="3" fontId="4" fillId="0" borderId="0" xfId="0" applyNumberFormat="1" applyFont="1" applyAlignment="1">
      <alignment horizontal="right"/>
    </xf>
    <xf numFmtId="3" fontId="4" fillId="0" borderId="0" xfId="0" applyNumberFormat="1" applyFont="1" applyBorder="1" applyAlignment="1">
      <alignment horizontal="right"/>
    </xf>
    <xf numFmtId="3" fontId="4" fillId="24" borderId="0" xfId="0" applyNumberFormat="1" applyFont="1" applyFill="1" applyAlignment="1">
      <alignment horizontal="right"/>
    </xf>
    <xf numFmtId="3" fontId="4" fillId="24" borderId="0" xfId="0" applyNumberFormat="1" applyFont="1" applyFill="1" applyBorder="1" applyAlignment="1">
      <alignment horizontal="right"/>
    </xf>
    <xf numFmtId="166" fontId="3" fillId="0" borderId="0" xfId="41" applyNumberFormat="1" applyFont="1"/>
    <xf numFmtId="168" fontId="0" fillId="28" borderId="0" xfId="41" quotePrefix="1" applyNumberFormat="1" applyFont="1" applyFill="1"/>
    <xf numFmtId="0" fontId="9" fillId="0" borderId="0" xfId="0" applyFont="1"/>
    <xf numFmtId="3" fontId="9" fillId="0" borderId="0" xfId="0" applyNumberFormat="1" applyFont="1"/>
    <xf numFmtId="3" fontId="4" fillId="0" borderId="0" xfId="0" applyNumberFormat="1" applyFont="1" applyFill="1"/>
    <xf numFmtId="0" fontId="10" fillId="0" borderId="0" xfId="0" applyFont="1" applyAlignment="1">
      <alignment horizontal="left"/>
    </xf>
    <xf numFmtId="0" fontId="11" fillId="0" borderId="0" xfId="0" applyFont="1"/>
    <xf numFmtId="0" fontId="11" fillId="0" borderId="0" xfId="0" applyFont="1" applyBorder="1" applyAlignment="1">
      <alignment horizontal="justify"/>
    </xf>
    <xf numFmtId="172" fontId="11" fillId="0" borderId="0" xfId="28" applyNumberFormat="1" applyFont="1" applyBorder="1" applyAlignment="1">
      <alignment horizontal="justify"/>
    </xf>
    <xf numFmtId="0" fontId="11" fillId="0" borderId="0" xfId="0" applyFont="1" applyBorder="1" applyAlignment="1">
      <alignment horizontal="right"/>
    </xf>
    <xf numFmtId="0" fontId="10" fillId="0" borderId="12" xfId="0" applyFont="1" applyBorder="1" applyAlignment="1">
      <alignment horizontal="justify"/>
    </xf>
    <xf numFmtId="0" fontId="10" fillId="0" borderId="13" xfId="0" applyFont="1" applyBorder="1" applyAlignment="1">
      <alignment horizontal="right"/>
    </xf>
    <xf numFmtId="0" fontId="10" fillId="0" borderId="14" xfId="0" applyFont="1" applyBorder="1" applyAlignment="1">
      <alignment horizontal="right"/>
    </xf>
    <xf numFmtId="0" fontId="12" fillId="0" borderId="15" xfId="0" applyFont="1" applyBorder="1" applyAlignment="1">
      <alignment horizontal="justify"/>
    </xf>
    <xf numFmtId="0" fontId="11" fillId="0" borderId="16" xfId="0" applyFont="1" applyBorder="1"/>
    <xf numFmtId="3" fontId="11" fillId="0" borderId="16" xfId="0" applyNumberFormat="1" applyFont="1" applyBorder="1" applyAlignment="1">
      <alignment horizontal="justify"/>
    </xf>
    <xf numFmtId="0" fontId="10" fillId="0" borderId="17" xfId="0" applyFont="1" applyBorder="1"/>
    <xf numFmtId="3" fontId="10" fillId="0" borderId="0" xfId="0" applyNumberFormat="1" applyFont="1" applyBorder="1" applyAlignment="1">
      <alignment horizontal="right"/>
    </xf>
    <xf numFmtId="3" fontId="10" fillId="0" borderId="18" xfId="0" applyNumberFormat="1" applyFont="1" applyBorder="1" applyAlignment="1">
      <alignment horizontal="right"/>
    </xf>
    <xf numFmtId="0" fontId="11" fillId="0" borderId="17" xfId="0" applyFont="1" applyBorder="1"/>
    <xf numFmtId="3" fontId="11" fillId="0" borderId="0" xfId="0" applyNumberFormat="1" applyFont="1" applyBorder="1" applyAlignment="1">
      <alignment horizontal="right"/>
    </xf>
    <xf numFmtId="3" fontId="11" fillId="0" borderId="18" xfId="0" applyNumberFormat="1" applyFont="1" applyBorder="1" applyAlignment="1">
      <alignment horizontal="right"/>
    </xf>
    <xf numFmtId="0" fontId="11" fillId="0" borderId="17" xfId="0" applyFont="1" applyBorder="1" applyAlignment="1">
      <alignment horizontal="left" indent="2"/>
    </xf>
    <xf numFmtId="172" fontId="11" fillId="0" borderId="0" xfId="0" applyNumberFormat="1" applyFont="1" applyBorder="1"/>
    <xf numFmtId="166" fontId="11" fillId="0" borderId="0" xfId="41" applyNumberFormat="1" applyFont="1"/>
    <xf numFmtId="0" fontId="11" fillId="0" borderId="19" xfId="0" applyFont="1" applyBorder="1" applyAlignment="1">
      <alignment horizontal="left" indent="2"/>
    </xf>
    <xf numFmtId="3" fontId="11" fillId="0" borderId="20" xfId="0" applyNumberFormat="1" applyFont="1" applyBorder="1" applyAlignment="1">
      <alignment horizontal="right"/>
    </xf>
    <xf numFmtId="172" fontId="11" fillId="0" borderId="0" xfId="28" applyNumberFormat="1" applyFont="1" applyAlignment="1"/>
    <xf numFmtId="172" fontId="11" fillId="0" borderId="0" xfId="28" applyNumberFormat="1" applyFont="1" applyBorder="1"/>
    <xf numFmtId="0" fontId="11" fillId="0" borderId="0" xfId="0" applyFont="1" applyBorder="1"/>
    <xf numFmtId="173" fontId="11" fillId="0" borderId="0" xfId="28" applyNumberFormat="1" applyFont="1"/>
    <xf numFmtId="43" fontId="11" fillId="0" borderId="0" xfId="28" applyFont="1"/>
    <xf numFmtId="0" fontId="10" fillId="0" borderId="12" xfId="0" applyFont="1" applyBorder="1"/>
    <xf numFmtId="0" fontId="10" fillId="0" borderId="13" xfId="28" applyNumberFormat="1" applyFont="1" applyBorder="1"/>
    <xf numFmtId="0" fontId="10" fillId="0" borderId="15" xfId="0" applyFont="1" applyBorder="1"/>
    <xf numFmtId="0" fontId="10" fillId="0" borderId="16" xfId="28" applyNumberFormat="1" applyFont="1" applyBorder="1"/>
    <xf numFmtId="0" fontId="11" fillId="0" borderId="18" xfId="0" applyFont="1" applyBorder="1"/>
    <xf numFmtId="0" fontId="10" fillId="0" borderId="19" xfId="0" applyFont="1" applyBorder="1"/>
    <xf numFmtId="0" fontId="10" fillId="0" borderId="20" xfId="0" applyFont="1" applyBorder="1"/>
    <xf numFmtId="173" fontId="10" fillId="0" borderId="20" xfId="28" applyNumberFormat="1" applyFont="1" applyBorder="1"/>
    <xf numFmtId="3" fontId="11" fillId="0" borderId="0" xfId="0" applyNumberFormat="1" applyFont="1"/>
    <xf numFmtId="165" fontId="11" fillId="0" borderId="0" xfId="0" applyNumberFormat="1" applyFont="1"/>
    <xf numFmtId="0" fontId="10" fillId="0" borderId="0" xfId="0" applyFont="1" applyAlignment="1">
      <alignment horizontal="justify"/>
    </xf>
    <xf numFmtId="3" fontId="11" fillId="0" borderId="0" xfId="0" applyNumberFormat="1" applyFont="1" applyAlignment="1">
      <alignment horizontal="justify"/>
    </xf>
    <xf numFmtId="165" fontId="11" fillId="0" borderId="0" xfId="0" applyNumberFormat="1" applyFont="1" applyAlignment="1">
      <alignment horizontal="justify"/>
    </xf>
    <xf numFmtId="3" fontId="11" fillId="0" borderId="0" xfId="0" applyNumberFormat="1" applyFont="1" applyBorder="1" applyAlignment="1">
      <alignment horizontal="justify"/>
    </xf>
    <xf numFmtId="0" fontId="11" fillId="0" borderId="0" xfId="0" applyFont="1" applyAlignment="1"/>
    <xf numFmtId="0" fontId="10" fillId="0" borderId="12" xfId="0" applyFont="1" applyBorder="1" applyAlignment="1"/>
    <xf numFmtId="0" fontId="12" fillId="0" borderId="15" xfId="0" applyFont="1" applyBorder="1" applyAlignment="1"/>
    <xf numFmtId="3" fontId="11" fillId="0" borderId="16" xfId="0" applyNumberFormat="1" applyFont="1" applyBorder="1" applyAlignment="1">
      <alignment horizontal="right"/>
    </xf>
    <xf numFmtId="3" fontId="11" fillId="0" borderId="21" xfId="0" applyNumberFormat="1" applyFont="1" applyBorder="1" applyAlignment="1">
      <alignment horizontal="right"/>
    </xf>
    <xf numFmtId="0" fontId="10" fillId="0" borderId="17" xfId="0" applyFont="1" applyBorder="1" applyAlignment="1"/>
    <xf numFmtId="0" fontId="11" fillId="0" borderId="17" xfId="0" applyFont="1" applyBorder="1" applyAlignment="1"/>
    <xf numFmtId="0" fontId="11" fillId="0" borderId="17" xfId="0" applyFont="1" applyBorder="1" applyAlignment="1">
      <alignment horizontal="left" indent="1"/>
    </xf>
    <xf numFmtId="166" fontId="11" fillId="0" borderId="0" xfId="41" applyNumberFormat="1" applyFont="1" applyAlignment="1"/>
    <xf numFmtId="0" fontId="11" fillId="0" borderId="19" xfId="0" applyFont="1" applyBorder="1" applyAlignment="1">
      <alignment horizontal="left" indent="1"/>
    </xf>
    <xf numFmtId="0" fontId="11" fillId="0" borderId="0" xfId="0" applyFont="1" applyBorder="1" applyAlignment="1">
      <alignment horizontal="left" indent="1"/>
    </xf>
    <xf numFmtId="172" fontId="11" fillId="0" borderId="0" xfId="28" applyNumberFormat="1" applyFont="1" applyBorder="1" applyAlignment="1">
      <alignment horizontal="right"/>
    </xf>
    <xf numFmtId="0" fontId="10" fillId="0" borderId="0" xfId="0" applyFont="1" applyAlignment="1"/>
    <xf numFmtId="172" fontId="10" fillId="0" borderId="0" xfId="28" applyNumberFormat="1" applyFont="1" applyAlignment="1">
      <alignment horizontal="justify"/>
    </xf>
    <xf numFmtId="0" fontId="10" fillId="0" borderId="0" xfId="0" applyFont="1" applyBorder="1" applyAlignment="1">
      <alignment horizontal="right"/>
    </xf>
    <xf numFmtId="168" fontId="11" fillId="0" borderId="0" xfId="0" applyNumberFormat="1" applyFont="1"/>
    <xf numFmtId="0" fontId="10" fillId="0" borderId="15" xfId="0" applyFont="1" applyBorder="1" applyAlignment="1">
      <alignment horizontal="justify"/>
    </xf>
    <xf numFmtId="0" fontId="10" fillId="0" borderId="16" xfId="0" applyFont="1" applyBorder="1" applyAlignment="1">
      <alignment horizontal="right"/>
    </xf>
    <xf numFmtId="0" fontId="10" fillId="0" borderId="21" xfId="0" applyFont="1" applyBorder="1" applyAlignment="1">
      <alignment horizontal="right"/>
    </xf>
    <xf numFmtId="0" fontId="11" fillId="0" borderId="0" xfId="0" applyFont="1" applyBorder="1" applyAlignment="1"/>
    <xf numFmtId="0" fontId="10" fillId="0" borderId="17" xfId="0" applyFont="1" applyBorder="1" applyAlignment="1">
      <alignment horizontal="justify"/>
    </xf>
    <xf numFmtId="0" fontId="10" fillId="0" borderId="18" xfId="0" applyFont="1" applyBorder="1" applyAlignment="1">
      <alignment horizontal="right"/>
    </xf>
    <xf numFmtId="168" fontId="10" fillId="0" borderId="0" xfId="0" applyNumberFormat="1" applyFont="1" applyBorder="1" applyAlignment="1">
      <alignment horizontal="right"/>
    </xf>
    <xf numFmtId="168" fontId="11" fillId="0" borderId="0" xfId="0" applyNumberFormat="1" applyFont="1" applyBorder="1" applyAlignment="1">
      <alignment horizontal="right"/>
    </xf>
    <xf numFmtId="174" fontId="11" fillId="0" borderId="0" xfId="0" applyNumberFormat="1" applyFont="1"/>
    <xf numFmtId="168" fontId="11" fillId="0" borderId="20" xfId="0" applyNumberFormat="1" applyFont="1" applyBorder="1" applyAlignment="1">
      <alignment horizontal="right"/>
    </xf>
    <xf numFmtId="0" fontId="11" fillId="0" borderId="15" xfId="0" applyFont="1" applyBorder="1" applyAlignment="1">
      <alignment horizontal="justify"/>
    </xf>
    <xf numFmtId="0" fontId="11" fillId="0" borderId="16" xfId="0" applyFont="1" applyBorder="1" applyAlignment="1">
      <alignment horizontal="justify"/>
    </xf>
    <xf numFmtId="0" fontId="11" fillId="0" borderId="21" xfId="0" applyFont="1" applyBorder="1"/>
    <xf numFmtId="3" fontId="10" fillId="0" borderId="0" xfId="0" applyNumberFormat="1" applyFont="1" applyBorder="1"/>
    <xf numFmtId="3" fontId="11" fillId="0" borderId="0" xfId="0" applyNumberFormat="1" applyFont="1" applyBorder="1"/>
    <xf numFmtId="172" fontId="11" fillId="0" borderId="0" xfId="28" applyNumberFormat="1" applyFont="1"/>
    <xf numFmtId="3" fontId="10" fillId="0" borderId="20" xfId="0" applyNumberFormat="1" applyFont="1" applyBorder="1" applyAlignment="1">
      <alignment horizontal="right"/>
    </xf>
    <xf numFmtId="3" fontId="10" fillId="0" borderId="22" xfId="0" applyNumberFormat="1" applyFont="1" applyBorder="1" applyAlignment="1">
      <alignment horizontal="right"/>
    </xf>
    <xf numFmtId="0" fontId="10" fillId="0" borderId="0" xfId="0" applyFont="1" applyBorder="1"/>
    <xf numFmtId="172" fontId="11" fillId="0" borderId="16" xfId="28" applyNumberFormat="1" applyFont="1" applyBorder="1"/>
    <xf numFmtId="0" fontId="11" fillId="0" borderId="17" xfId="0" applyFont="1" applyBorder="1" applyAlignment="1">
      <alignment horizontal="justify"/>
    </xf>
    <xf numFmtId="0" fontId="10" fillId="0" borderId="19" xfId="0" applyFont="1" applyBorder="1" applyAlignment="1">
      <alignment horizontal="justify"/>
    </xf>
    <xf numFmtId="173" fontId="10" fillId="0" borderId="20" xfId="28" applyNumberFormat="1" applyFont="1" applyBorder="1" applyAlignment="1">
      <alignment horizontal="justify"/>
    </xf>
    <xf numFmtId="0" fontId="11" fillId="0" borderId="0" xfId="0" applyFont="1" applyAlignment="1">
      <alignment horizontal="justify"/>
    </xf>
    <xf numFmtId="173" fontId="11" fillId="0" borderId="0" xfId="28" applyNumberFormat="1" applyFont="1" applyAlignment="1">
      <alignment horizontal="justify"/>
    </xf>
    <xf numFmtId="3" fontId="10" fillId="0" borderId="16" xfId="0" applyNumberFormat="1" applyFont="1" applyBorder="1" applyAlignment="1">
      <alignment horizontal="right"/>
    </xf>
    <xf numFmtId="172" fontId="11" fillId="0" borderId="0" xfId="0" applyNumberFormat="1" applyFont="1"/>
    <xf numFmtId="0" fontId="11" fillId="0" borderId="15" xfId="0" applyFont="1" applyBorder="1"/>
    <xf numFmtId="172" fontId="11" fillId="0" borderId="0" xfId="28" applyNumberFormat="1" applyFont="1" applyFill="1"/>
    <xf numFmtId="166" fontId="11" fillId="0" borderId="0" xfId="41" applyNumberFormat="1" applyFont="1" applyFill="1"/>
    <xf numFmtId="172" fontId="11" fillId="0" borderId="0" xfId="0" applyNumberFormat="1" applyFont="1" applyFill="1"/>
    <xf numFmtId="172" fontId="10" fillId="0" borderId="0" xfId="0" applyNumberFormat="1" applyFont="1" applyBorder="1"/>
    <xf numFmtId="172" fontId="10" fillId="0" borderId="0" xfId="28" applyNumberFormat="1" applyFont="1" applyBorder="1"/>
    <xf numFmtId="3" fontId="10" fillId="0" borderId="20" xfId="0" applyNumberFormat="1" applyFont="1" applyBorder="1"/>
    <xf numFmtId="0" fontId="10" fillId="0" borderId="0" xfId="0" applyFont="1"/>
    <xf numFmtId="3" fontId="10" fillId="0" borderId="0" xfId="0" applyNumberFormat="1" applyFont="1"/>
    <xf numFmtId="173" fontId="11" fillId="0" borderId="0" xfId="0" applyNumberFormat="1" applyFont="1"/>
    <xf numFmtId="3" fontId="11" fillId="0" borderId="18" xfId="0" applyNumberFormat="1" applyFont="1" applyBorder="1"/>
    <xf numFmtId="3" fontId="11" fillId="0" borderId="16" xfId="0" applyNumberFormat="1" applyFont="1" applyBorder="1"/>
    <xf numFmtId="166" fontId="11" fillId="0" borderId="0" xfId="41" applyNumberFormat="1" applyFont="1" applyBorder="1"/>
    <xf numFmtId="0" fontId="10" fillId="0" borderId="13" xfId="0" applyFont="1" applyBorder="1"/>
    <xf numFmtId="164" fontId="11" fillId="0" borderId="16" xfId="0" applyNumberFormat="1" applyFont="1" applyBorder="1"/>
    <xf numFmtId="164" fontId="11" fillId="0" borderId="21" xfId="0" applyNumberFormat="1" applyFont="1" applyBorder="1"/>
    <xf numFmtId="0" fontId="11" fillId="0" borderId="17" xfId="28" applyNumberFormat="1" applyFont="1" applyBorder="1"/>
    <xf numFmtId="173" fontId="11" fillId="0" borderId="0" xfId="28" applyNumberFormat="1" applyFont="1" applyBorder="1"/>
    <xf numFmtId="173" fontId="11" fillId="0" borderId="18" xfId="28" applyNumberFormat="1" applyFont="1" applyBorder="1"/>
    <xf numFmtId="0" fontId="11" fillId="0" borderId="19" xfId="0" applyFont="1" applyBorder="1"/>
    <xf numFmtId="173" fontId="11" fillId="0" borderId="20" xfId="28" applyNumberFormat="1" applyFont="1" applyBorder="1"/>
    <xf numFmtId="173" fontId="11" fillId="0" borderId="22" xfId="28" applyNumberFormat="1" applyFont="1" applyBorder="1"/>
    <xf numFmtId="3" fontId="4" fillId="26" borderId="0" xfId="0" applyNumberFormat="1" applyFont="1" applyFill="1"/>
    <xf numFmtId="169" fontId="4" fillId="24" borderId="0" xfId="28" applyNumberFormat="1" applyFont="1" applyFill="1"/>
    <xf numFmtId="3" fontId="3" fillId="24" borderId="0" xfId="0" applyNumberFormat="1" applyFont="1" applyFill="1"/>
    <xf numFmtId="0" fontId="3" fillId="0" borderId="0" xfId="0" applyFont="1" applyAlignment="1">
      <alignment horizontal="left"/>
    </xf>
    <xf numFmtId="170" fontId="3" fillId="0" borderId="0" xfId="0" applyNumberFormat="1" applyFont="1"/>
    <xf numFmtId="169" fontId="3" fillId="24" borderId="0" xfId="28" applyNumberFormat="1" applyFont="1" applyFill="1"/>
    <xf numFmtId="3" fontId="32" fillId="0" borderId="0" xfId="0" applyNumberFormat="1" applyFont="1" applyFill="1" applyBorder="1" applyAlignment="1">
      <alignment horizontal="right" vertical="top" wrapText="1"/>
    </xf>
    <xf numFmtId="3" fontId="32" fillId="0" borderId="0" xfId="0" applyNumberFormat="1" applyFont="1" applyFill="1" applyBorder="1" applyAlignment="1">
      <alignment horizontal="right" vertical="top"/>
    </xf>
    <xf numFmtId="3" fontId="32" fillId="0" borderId="20" xfId="0" applyNumberFormat="1" applyFont="1" applyFill="1" applyBorder="1" applyAlignment="1">
      <alignment horizontal="right" vertical="top"/>
    </xf>
    <xf numFmtId="169" fontId="4" fillId="0" borderId="0" xfId="28" applyNumberFormat="1" applyFont="1"/>
    <xf numFmtId="0" fontId="4" fillId="0" borderId="0" xfId="0" applyFont="1" applyFill="1"/>
    <xf numFmtId="0" fontId="4" fillId="0" borderId="10" xfId="0" applyFont="1" applyBorder="1"/>
    <xf numFmtId="171" fontId="4" fillId="0" borderId="0" xfId="41" applyNumberFormat="1" applyFont="1"/>
    <xf numFmtId="0" fontId="6" fillId="0" borderId="0" xfId="0" applyFont="1"/>
    <xf numFmtId="3" fontId="6" fillId="0" borderId="0" xfId="0" applyNumberFormat="1" applyFont="1" applyFill="1"/>
    <xf numFmtId="3" fontId="6" fillId="0" borderId="0" xfId="0" applyNumberFormat="1" applyFont="1"/>
    <xf numFmtId="0" fontId="4" fillId="0" borderId="0" xfId="0" applyFont="1" applyAlignment="1">
      <alignment horizontal="left" indent="1"/>
    </xf>
    <xf numFmtId="4" fontId="4" fillId="0" borderId="0" xfId="0" applyNumberFormat="1" applyFont="1"/>
    <xf numFmtId="0" fontId="4" fillId="24" borderId="0" xfId="0" applyFont="1" applyFill="1"/>
    <xf numFmtId="0" fontId="4" fillId="0" borderId="23" xfId="0" applyFont="1" applyBorder="1"/>
    <xf numFmtId="3" fontId="4" fillId="0" borderId="23" xfId="0" applyNumberFormat="1" applyFont="1" applyBorder="1"/>
    <xf numFmtId="0" fontId="4" fillId="0" borderId="0" xfId="0" applyFont="1" applyBorder="1"/>
    <xf numFmtId="3" fontId="4" fillId="24" borderId="0" xfId="0" applyNumberFormat="1" applyFont="1" applyFill="1" applyBorder="1"/>
    <xf numFmtId="3" fontId="4" fillId="0" borderId="0" xfId="0" applyNumberFormat="1" applyFont="1" applyBorder="1"/>
    <xf numFmtId="0" fontId="4" fillId="0" borderId="0" xfId="0" applyFont="1" applyFill="1" applyAlignment="1">
      <alignment horizontal="left" indent="1"/>
    </xf>
    <xf numFmtId="0" fontId="4" fillId="0" borderId="0" xfId="0" applyFont="1" applyFill="1" applyAlignment="1">
      <alignment horizontal="left"/>
    </xf>
    <xf numFmtId="9" fontId="4" fillId="0" borderId="0" xfId="41" applyFont="1" applyFill="1"/>
    <xf numFmtId="10" fontId="4" fillId="0" borderId="0" xfId="41" applyNumberFormat="1" applyFont="1"/>
    <xf numFmtId="169" fontId="4" fillId="0" borderId="0" xfId="0" applyNumberFormat="1" applyFont="1" applyFill="1"/>
    <xf numFmtId="0" fontId="3" fillId="0" borderId="0" xfId="0" applyFont="1" applyBorder="1" applyAlignment="1">
      <alignment horizontal="justify"/>
    </xf>
    <xf numFmtId="3" fontId="3" fillId="0" borderId="0" xfId="0" applyNumberFormat="1" applyFont="1" applyBorder="1"/>
    <xf numFmtId="0" fontId="3" fillId="0" borderId="0" xfId="0" applyFont="1" applyAlignment="1">
      <alignment horizontal="justify" wrapText="1"/>
    </xf>
    <xf numFmtId="0" fontId="4" fillId="0" borderId="0" xfId="0" applyFont="1" applyBorder="1" applyAlignment="1">
      <alignment horizontal="justify"/>
    </xf>
    <xf numFmtId="0" fontId="4" fillId="0" borderId="0" xfId="0" applyFont="1" applyBorder="1" applyAlignment="1">
      <alignment horizontal="right"/>
    </xf>
    <xf numFmtId="3" fontId="4" fillId="0" borderId="16" xfId="0" applyNumberFormat="1" applyFont="1" applyBorder="1" applyAlignment="1">
      <alignment horizontal="justify"/>
    </xf>
    <xf numFmtId="0" fontId="3" fillId="0" borderId="0" xfId="0" applyFont="1" applyBorder="1"/>
    <xf numFmtId="3" fontId="3" fillId="0" borderId="0" xfId="0" applyNumberFormat="1" applyFont="1" applyFill="1" applyBorder="1" applyAlignment="1">
      <alignment horizontal="right"/>
    </xf>
    <xf numFmtId="3" fontId="33" fillId="0" borderId="0" xfId="0" applyNumberFormat="1" applyFont="1" applyFill="1" applyBorder="1" applyAlignment="1">
      <alignment horizontal="right"/>
    </xf>
    <xf numFmtId="0" fontId="4" fillId="0" borderId="0" xfId="0" applyFont="1" applyBorder="1" applyAlignment="1">
      <alignment horizontal="left" indent="1"/>
    </xf>
    <xf numFmtId="169" fontId="4" fillId="26" borderId="0" xfId="28" applyNumberFormat="1" applyFont="1" applyFill="1" applyBorder="1"/>
    <xf numFmtId="3" fontId="33" fillId="24" borderId="0" xfId="0" applyNumberFormat="1" applyFont="1" applyFill="1" applyBorder="1" applyAlignment="1">
      <alignment horizontal="right"/>
    </xf>
    <xf numFmtId="0" fontId="14" fillId="0" borderId="0" xfId="0" applyFont="1" applyBorder="1" applyAlignment="1">
      <alignment horizontal="left" indent="1"/>
    </xf>
    <xf numFmtId="0" fontId="4" fillId="0" borderId="0" xfId="0" applyFont="1" applyBorder="1" applyAlignment="1">
      <alignment vertical="top" wrapText="1"/>
    </xf>
    <xf numFmtId="3" fontId="3" fillId="0" borderId="20" xfId="0" applyNumberFormat="1" applyFont="1" applyFill="1" applyBorder="1" applyAlignment="1">
      <alignment horizontal="right"/>
    </xf>
    <xf numFmtId="172" fontId="4" fillId="0" borderId="0" xfId="29" applyNumberFormat="1" applyFont="1"/>
    <xf numFmtId="0" fontId="32" fillId="0" borderId="0" xfId="0" applyFont="1" applyBorder="1" applyAlignment="1">
      <alignment horizontal="left" vertical="top" wrapText="1"/>
    </xf>
    <xf numFmtId="0" fontId="34" fillId="0" borderId="0" xfId="0" applyFont="1" applyBorder="1" applyAlignment="1">
      <alignment horizontal="right" vertical="top" wrapText="1"/>
    </xf>
    <xf numFmtId="0" fontId="34" fillId="0" borderId="0" xfId="0" applyFont="1" applyBorder="1" applyAlignment="1">
      <alignment horizontal="right" vertical="top"/>
    </xf>
    <xf numFmtId="0" fontId="32" fillId="0" borderId="13" xfId="0" applyFont="1" applyBorder="1" applyAlignment="1">
      <alignment horizontal="right" vertical="top" wrapText="1"/>
    </xf>
    <xf numFmtId="0" fontId="3" fillId="0" borderId="13" xfId="0" applyFont="1" applyBorder="1" applyAlignment="1">
      <alignment horizontal="right"/>
    </xf>
    <xf numFmtId="0" fontId="32" fillId="0" borderId="0" xfId="0" applyFont="1" applyBorder="1" applyAlignment="1">
      <alignment vertical="top" wrapText="1"/>
    </xf>
    <xf numFmtId="3" fontId="34" fillId="0" borderId="16" xfId="0" applyNumberFormat="1" applyFont="1" applyBorder="1" applyAlignment="1">
      <alignment horizontal="right" vertical="top" wrapText="1"/>
    </xf>
    <xf numFmtId="169" fontId="3" fillId="0" borderId="0" xfId="0" applyNumberFormat="1" applyFont="1" applyFill="1"/>
    <xf numFmtId="0" fontId="34" fillId="0" borderId="0" xfId="0" applyFont="1" applyBorder="1" applyAlignment="1">
      <alignment horizontal="left" vertical="top" wrapText="1" indent="1"/>
    </xf>
    <xf numFmtId="3" fontId="34" fillId="24" borderId="0" xfId="0" applyNumberFormat="1" applyFont="1" applyFill="1" applyBorder="1" applyAlignment="1">
      <alignment horizontal="right" vertical="top" wrapText="1"/>
    </xf>
    <xf numFmtId="169" fontId="4" fillId="26" borderId="0" xfId="28" applyNumberFormat="1" applyFont="1" applyFill="1"/>
    <xf numFmtId="3" fontId="32" fillId="24" borderId="0" xfId="0" applyNumberFormat="1" applyFont="1" applyFill="1" applyBorder="1" applyAlignment="1">
      <alignment horizontal="right" vertical="top" wrapText="1"/>
    </xf>
    <xf numFmtId="0" fontId="32" fillId="0" borderId="0" xfId="0" applyFont="1" applyBorder="1" applyAlignment="1">
      <alignment horizontal="left" vertical="top"/>
    </xf>
    <xf numFmtId="0" fontId="34" fillId="0" borderId="0" xfId="0" applyFont="1" applyBorder="1" applyAlignment="1">
      <alignment horizontal="left" vertical="top" indent="1"/>
    </xf>
    <xf numFmtId="3" fontId="34" fillId="24" borderId="0" xfId="0" applyNumberFormat="1" applyFont="1" applyFill="1" applyBorder="1" applyAlignment="1">
      <alignment horizontal="right" vertical="top"/>
    </xf>
    <xf numFmtId="0" fontId="32" fillId="0" borderId="0" xfId="0" applyFont="1" applyBorder="1" applyAlignment="1">
      <alignment vertical="top"/>
    </xf>
    <xf numFmtId="172" fontId="4" fillId="0" borderId="0" xfId="0" applyNumberFormat="1" applyFont="1"/>
    <xf numFmtId="173" fontId="4" fillId="0" borderId="0" xfId="29" applyNumberFormat="1" applyFont="1"/>
    <xf numFmtId="0" fontId="4" fillId="0" borderId="0" xfId="0" applyNumberFormat="1" applyFont="1" applyBorder="1"/>
    <xf numFmtId="0" fontId="4" fillId="0" borderId="0" xfId="41" applyNumberFormat="1" applyFont="1" applyBorder="1"/>
    <xf numFmtId="4" fontId="4" fillId="0" borderId="0" xfId="0" applyNumberFormat="1" applyFont="1" applyFill="1"/>
    <xf numFmtId="165" fontId="4" fillId="0" borderId="0" xfId="0" applyNumberFormat="1" applyFont="1" applyFill="1"/>
    <xf numFmtId="166" fontId="4" fillId="29" borderId="0" xfId="41" applyNumberFormat="1" applyFont="1" applyFill="1"/>
    <xf numFmtId="3" fontId="4" fillId="0" borderId="0" xfId="0" applyNumberFormat="1" applyFont="1" applyBorder="1" applyAlignment="1">
      <alignment horizontal="justify"/>
    </xf>
    <xf numFmtId="3" fontId="4" fillId="26" borderId="0" xfId="0" applyNumberFormat="1" applyFont="1" applyFill="1" applyBorder="1"/>
    <xf numFmtId="3" fontId="4" fillId="0" borderId="0" xfId="0" applyNumberFormat="1" applyFont="1" applyFill="1" applyBorder="1"/>
    <xf numFmtId="172" fontId="11" fillId="0" borderId="0" xfId="28" applyNumberFormat="1" applyFont="1" applyFill="1" applyBorder="1"/>
    <xf numFmtId="3" fontId="12" fillId="0" borderId="0" xfId="0" applyNumberFormat="1" applyFont="1" applyBorder="1" applyAlignment="1">
      <alignment horizontal="right"/>
    </xf>
    <xf numFmtId="49" fontId="3" fillId="26" borderId="10" xfId="0" applyNumberFormat="1" applyFont="1" applyFill="1" applyBorder="1"/>
    <xf numFmtId="0" fontId="0" fillId="24" borderId="0" xfId="0" applyFill="1" applyBorder="1"/>
    <xf numFmtId="168" fontId="35" fillId="24" borderId="0" xfId="0" applyNumberFormat="1" applyFont="1" applyFill="1" applyBorder="1" applyAlignment="1">
      <alignment horizontal="center" wrapText="1"/>
    </xf>
    <xf numFmtId="0" fontId="35" fillId="24" borderId="0" xfId="0" applyFont="1" applyFill="1" applyBorder="1" applyAlignment="1">
      <alignment horizontal="center" wrapText="1"/>
    </xf>
    <xf numFmtId="166" fontId="0" fillId="0" borderId="0" xfId="41" applyNumberFormat="1" applyFont="1" applyFill="1" applyBorder="1"/>
    <xf numFmtId="43" fontId="4" fillId="0" borderId="0" xfId="0" applyNumberFormat="1" applyFont="1"/>
    <xf numFmtId="0" fontId="0" fillId="29" borderId="0" xfId="0" applyFill="1"/>
    <xf numFmtId="2" fontId="4" fillId="31" borderId="0" xfId="0" applyNumberFormat="1" applyFont="1" applyFill="1" applyBorder="1"/>
    <xf numFmtId="43" fontId="4" fillId="31" borderId="0" xfId="28" applyFont="1" applyFill="1"/>
    <xf numFmtId="3" fontId="4" fillId="28" borderId="0" xfId="0" applyNumberFormat="1" applyFont="1" applyFill="1"/>
    <xf numFmtId="166" fontId="0" fillId="0" borderId="0" xfId="0" applyNumberFormat="1" applyFill="1"/>
    <xf numFmtId="0" fontId="10" fillId="0" borderId="14" xfId="0" applyFont="1" applyBorder="1"/>
    <xf numFmtId="0" fontId="10" fillId="0" borderId="16" xfId="0" applyFont="1" applyBorder="1" applyAlignment="1">
      <alignment horizontal="left" indent="2"/>
    </xf>
    <xf numFmtId="0" fontId="11" fillId="0" borderId="20" xfId="0" applyFont="1" applyBorder="1"/>
    <xf numFmtId="3" fontId="11" fillId="24" borderId="0" xfId="0" applyNumberFormat="1" applyFont="1" applyFill="1" applyBorder="1" applyAlignment="1">
      <alignment horizontal="right"/>
    </xf>
    <xf numFmtId="172" fontId="11" fillId="24" borderId="0" xfId="28" applyNumberFormat="1" applyFont="1" applyFill="1" applyBorder="1"/>
    <xf numFmtId="0" fontId="3" fillId="29" borderId="0" xfId="0" applyFont="1" applyFill="1"/>
    <xf numFmtId="168" fontId="0" fillId="32" borderId="0" xfId="0" applyNumberFormat="1" applyFill="1"/>
    <xf numFmtId="166" fontId="0" fillId="32" borderId="0" xfId="0" applyNumberFormat="1" applyFill="1"/>
    <xf numFmtId="166" fontId="0" fillId="24" borderId="0" xfId="0" applyNumberFormat="1" applyFill="1"/>
    <xf numFmtId="168" fontId="2" fillId="0" borderId="0" xfId="0" applyNumberFormat="1" applyFont="1"/>
    <xf numFmtId="0" fontId="0" fillId="29" borderId="0" xfId="0" applyFill="1" applyProtection="1">
      <protection locked="0"/>
    </xf>
    <xf numFmtId="166" fontId="0" fillId="0" borderId="0" xfId="41" applyNumberFormat="1" applyFont="1" applyProtection="1">
      <protection locked="0"/>
    </xf>
    <xf numFmtId="166" fontId="0" fillId="30" borderId="0" xfId="41" applyNumberFormat="1" applyFont="1" applyFill="1" applyProtection="1">
      <protection locked="0"/>
    </xf>
    <xf numFmtId="0" fontId="2" fillId="0" borderId="0" xfId="0" applyFont="1" applyFill="1" applyProtection="1">
      <protection locked="0"/>
    </xf>
    <xf numFmtId="0" fontId="0" fillId="0" borderId="0" xfId="0" applyProtection="1">
      <protection locked="0"/>
    </xf>
    <xf numFmtId="166" fontId="0" fillId="0" borderId="0" xfId="0" applyNumberFormat="1" applyProtection="1">
      <protection locked="0"/>
    </xf>
    <xf numFmtId="166" fontId="4" fillId="0" borderId="0" xfId="41" applyNumberFormat="1" applyFont="1" applyBorder="1" applyProtection="1">
      <protection locked="0"/>
    </xf>
    <xf numFmtId="0" fontId="0" fillId="0" borderId="13" xfId="0" applyBorder="1" applyProtection="1">
      <protection locked="0"/>
    </xf>
    <xf numFmtId="0" fontId="3" fillId="0" borderId="13" xfId="0" applyFont="1" applyBorder="1" applyAlignment="1" applyProtection="1">
      <alignment horizontal="right"/>
      <protection locked="0"/>
    </xf>
    <xf numFmtId="0" fontId="3" fillId="0" borderId="13" xfId="0" applyFont="1" applyBorder="1" applyProtection="1">
      <protection locked="0"/>
    </xf>
    <xf numFmtId="0" fontId="3" fillId="0" borderId="0" xfId="0" applyFont="1" applyProtection="1">
      <protection locked="0"/>
    </xf>
    <xf numFmtId="0" fontId="3" fillId="0" borderId="0" xfId="0" applyFont="1" applyFill="1" applyProtection="1">
      <protection locked="0"/>
    </xf>
    <xf numFmtId="0" fontId="0" fillId="0" borderId="0" xfId="0" applyBorder="1" applyProtection="1">
      <protection locked="0"/>
    </xf>
    <xf numFmtId="166" fontId="0" fillId="0" borderId="0" xfId="41" applyNumberFormat="1" applyFont="1" applyBorder="1" applyProtection="1">
      <protection locked="0"/>
    </xf>
    <xf numFmtId="166" fontId="3" fillId="33" borderId="0" xfId="0" applyNumberFormat="1" applyFont="1" applyFill="1" applyBorder="1" applyProtection="1">
      <protection locked="0"/>
    </xf>
    <xf numFmtId="166" fontId="0" fillId="0" borderId="0" xfId="0" applyNumberFormat="1" applyBorder="1" applyProtection="1">
      <protection locked="0"/>
    </xf>
    <xf numFmtId="0" fontId="3" fillId="0" borderId="0" xfId="0" applyFont="1" applyBorder="1" applyAlignment="1" applyProtection="1">
      <protection locked="0"/>
    </xf>
    <xf numFmtId="166" fontId="3" fillId="0" borderId="0" xfId="41" applyNumberFormat="1" applyFont="1" applyFill="1" applyProtection="1">
      <protection locked="0"/>
    </xf>
    <xf numFmtId="0" fontId="4" fillId="0" borderId="0" xfId="0" applyFont="1" applyBorder="1" applyAlignment="1" applyProtection="1">
      <alignment horizontal="left"/>
      <protection locked="0"/>
    </xf>
    <xf numFmtId="173" fontId="4" fillId="0" borderId="0" xfId="29" applyNumberFormat="1" applyFont="1" applyBorder="1" applyAlignment="1" applyProtection="1">
      <alignment horizontal="right"/>
      <protection locked="0"/>
    </xf>
    <xf numFmtId="168" fontId="4" fillId="26" borderId="0" xfId="41" applyNumberFormat="1" applyFont="1" applyFill="1" applyBorder="1" applyProtection="1">
      <protection locked="0"/>
    </xf>
    <xf numFmtId="0" fontId="0" fillId="0" borderId="0" xfId="0" applyAlignment="1" applyProtection="1">
      <alignment horizontal="left" indent="1"/>
      <protection locked="0"/>
    </xf>
    <xf numFmtId="168" fontId="4" fillId="0" borderId="0" xfId="29" applyNumberFormat="1" applyFont="1" applyBorder="1" applyAlignment="1" applyProtection="1">
      <alignment horizontal="right"/>
      <protection locked="0"/>
    </xf>
    <xf numFmtId="173" fontId="4" fillId="0" borderId="0" xfId="29" applyNumberFormat="1" applyFont="1" applyFill="1" applyBorder="1" applyAlignment="1" applyProtection="1">
      <alignment horizontal="right"/>
      <protection locked="0"/>
    </xf>
    <xf numFmtId="0" fontId="0" fillId="24" borderId="0" xfId="0" applyFill="1" applyAlignment="1" applyProtection="1">
      <alignment horizontal="left" indent="1"/>
      <protection locked="0"/>
    </xf>
    <xf numFmtId="0" fontId="3" fillId="0" borderId="0" xfId="0" applyFont="1" applyBorder="1" applyAlignment="1" applyProtection="1">
      <alignment horizontal="left"/>
      <protection locked="0"/>
    </xf>
    <xf numFmtId="173" fontId="3" fillId="0" borderId="0" xfId="29" applyNumberFormat="1" applyFont="1" applyBorder="1" applyAlignment="1" applyProtection="1">
      <alignment horizontal="right"/>
      <protection locked="0"/>
    </xf>
    <xf numFmtId="0" fontId="4" fillId="0" borderId="0" xfId="0" applyFont="1" applyFill="1" applyProtection="1">
      <protection locked="0"/>
    </xf>
    <xf numFmtId="0" fontId="0" fillId="24" borderId="0" xfId="0" applyFill="1" applyProtection="1">
      <protection locked="0"/>
    </xf>
    <xf numFmtId="0" fontId="0" fillId="34" borderId="0" xfId="0" applyFill="1" applyProtection="1">
      <protection locked="0"/>
    </xf>
    <xf numFmtId="175" fontId="4" fillId="0" borderId="0" xfId="0" applyNumberFormat="1" applyFont="1" applyBorder="1" applyProtection="1">
      <protection locked="0"/>
    </xf>
    <xf numFmtId="175" fontId="4" fillId="0" borderId="0" xfId="0" applyNumberFormat="1" applyFont="1" applyProtection="1">
      <protection locked="0"/>
    </xf>
    <xf numFmtId="0" fontId="0" fillId="34" borderId="0" xfId="0" applyFill="1" applyAlignment="1" applyProtection="1">
      <alignment horizontal="left" indent="1"/>
      <protection locked="0"/>
    </xf>
    <xf numFmtId="166" fontId="2" fillId="0" borderId="0" xfId="41" applyNumberFormat="1" applyFont="1" applyFill="1" applyProtection="1">
      <protection locked="0"/>
    </xf>
    <xf numFmtId="0" fontId="3" fillId="0" borderId="0" xfId="0" applyFont="1" applyBorder="1" applyAlignment="1" applyProtection="1">
      <alignment vertical="top"/>
      <protection locked="0"/>
    </xf>
    <xf numFmtId="0" fontId="14" fillId="0" borderId="0" xfId="0" applyFont="1" applyBorder="1" applyAlignment="1" applyProtection="1">
      <alignment horizontal="left"/>
      <protection locked="0"/>
    </xf>
    <xf numFmtId="0" fontId="4" fillId="0" borderId="0" xfId="0" applyFont="1" applyBorder="1" applyAlignment="1" applyProtection="1">
      <alignment vertical="top"/>
      <protection locked="0"/>
    </xf>
    <xf numFmtId="166" fontId="0" fillId="24" borderId="0" xfId="41" applyNumberFormat="1" applyFont="1" applyFill="1" applyBorder="1" applyProtection="1">
      <protection locked="0"/>
    </xf>
    <xf numFmtId="166" fontId="4" fillId="24" borderId="0" xfId="41" applyNumberFormat="1" applyFont="1" applyFill="1" applyBorder="1" applyProtection="1">
      <protection locked="0"/>
    </xf>
    <xf numFmtId="166" fontId="0" fillId="30" borderId="0" xfId="41" applyNumberFormat="1" applyFont="1" applyFill="1" applyBorder="1" applyProtection="1">
      <protection locked="0"/>
    </xf>
    <xf numFmtId="168" fontId="4" fillId="0" borderId="0" xfId="0" applyNumberFormat="1" applyFont="1" applyBorder="1" applyProtection="1">
      <protection locked="0"/>
    </xf>
    <xf numFmtId="168" fontId="4" fillId="0" borderId="0" xfId="0" applyNumberFormat="1" applyFont="1" applyProtection="1">
      <protection locked="0"/>
    </xf>
    <xf numFmtId="0" fontId="0" fillId="0" borderId="0" xfId="0" applyFill="1" applyBorder="1" applyProtection="1">
      <protection locked="0"/>
    </xf>
    <xf numFmtId="166" fontId="0" fillId="34" borderId="0" xfId="41" applyNumberFormat="1" applyFont="1" applyFill="1" applyBorder="1" applyProtection="1">
      <protection locked="0"/>
    </xf>
    <xf numFmtId="0" fontId="0" fillId="0" borderId="0" xfId="0" applyFill="1" applyProtection="1">
      <protection locked="0"/>
    </xf>
    <xf numFmtId="166" fontId="3" fillId="24" borderId="0" xfId="41" applyNumberFormat="1" applyFont="1" applyFill="1" applyBorder="1" applyProtection="1">
      <protection locked="0"/>
    </xf>
    <xf numFmtId="166" fontId="0" fillId="24" borderId="0" xfId="41" applyNumberFormat="1" applyFont="1" applyFill="1" applyProtection="1">
      <protection locked="0"/>
    </xf>
    <xf numFmtId="168" fontId="0" fillId="0" borderId="0" xfId="0" applyNumberFormat="1" applyProtection="1">
      <protection locked="0"/>
    </xf>
    <xf numFmtId="0" fontId="4" fillId="0" borderId="0" xfId="0" applyFont="1" applyProtection="1">
      <protection locked="0"/>
    </xf>
    <xf numFmtId="0" fontId="0" fillId="24" borderId="0" xfId="0" applyFill="1" applyBorder="1" applyProtection="1">
      <protection locked="0"/>
    </xf>
    <xf numFmtId="9" fontId="0" fillId="0" borderId="0" xfId="41" applyFont="1" applyBorder="1" applyProtection="1">
      <protection locked="0"/>
    </xf>
    <xf numFmtId="9" fontId="0" fillId="0" borderId="0" xfId="41" applyFont="1" applyProtection="1">
      <protection locked="0"/>
    </xf>
    <xf numFmtId="0" fontId="0" fillId="24" borderId="23" xfId="0" applyFill="1" applyBorder="1" applyProtection="1">
      <protection locked="0"/>
    </xf>
    <xf numFmtId="166" fontId="0" fillId="0" borderId="23" xfId="41" applyNumberFormat="1" applyFont="1" applyBorder="1" applyProtection="1">
      <protection locked="0"/>
    </xf>
    <xf numFmtId="166" fontId="0" fillId="0" borderId="23" xfId="0" applyNumberFormat="1" applyBorder="1" applyProtection="1">
      <protection locked="0"/>
    </xf>
    <xf numFmtId="168" fontId="4" fillId="26" borderId="0" xfId="0" applyNumberFormat="1" applyFont="1" applyFill="1" applyBorder="1" applyProtection="1">
      <protection locked="0"/>
    </xf>
    <xf numFmtId="169" fontId="0" fillId="0" borderId="0" xfId="28" applyNumberFormat="1" applyFont="1" applyProtection="1">
      <protection locked="0"/>
    </xf>
    <xf numFmtId="10" fontId="0" fillId="0" borderId="0" xfId="41" applyNumberFormat="1" applyFont="1" applyFill="1" applyProtection="1">
      <protection locked="0"/>
    </xf>
    <xf numFmtId="49" fontId="0" fillId="0" borderId="0" xfId="41" applyNumberFormat="1" applyFont="1" applyFill="1" applyProtection="1">
      <protection locked="0"/>
    </xf>
    <xf numFmtId="166" fontId="0" fillId="28" borderId="0" xfId="41" applyNumberFormat="1" applyFont="1" applyFill="1" applyProtection="1">
      <protection locked="0"/>
    </xf>
    <xf numFmtId="168" fontId="8" fillId="0" borderId="0" xfId="0" applyNumberFormat="1" applyFont="1" applyProtection="1">
      <protection locked="0"/>
    </xf>
    <xf numFmtId="166" fontId="8" fillId="0" borderId="0" xfId="41" applyNumberFormat="1" applyFont="1" applyFill="1" applyProtection="1">
      <protection locked="0"/>
    </xf>
    <xf numFmtId="166" fontId="4" fillId="0" borderId="0" xfId="41" applyNumberFormat="1" applyFont="1" applyProtection="1">
      <protection locked="0"/>
    </xf>
    <xf numFmtId="166" fontId="0" fillId="0" borderId="0" xfId="41" applyNumberFormat="1" applyFont="1" applyFill="1" applyProtection="1">
      <protection locked="0"/>
    </xf>
    <xf numFmtId="166" fontId="0" fillId="0" borderId="0" xfId="41" quotePrefix="1" applyNumberFormat="1" applyFont="1" applyBorder="1" applyProtection="1">
      <protection locked="0"/>
    </xf>
    <xf numFmtId="0" fontId="0" fillId="35" borderId="0" xfId="0" applyFill="1" applyProtection="1">
      <protection locked="0"/>
    </xf>
    <xf numFmtId="169" fontId="11" fillId="0" borderId="0" xfId="28" applyNumberFormat="1" applyFont="1"/>
    <xf numFmtId="3" fontId="4" fillId="34" borderId="0" xfId="0" applyNumberFormat="1" applyFont="1" applyFill="1"/>
    <xf numFmtId="3" fontId="4" fillId="0" borderId="23" xfId="0" applyNumberFormat="1" applyFont="1" applyFill="1" applyBorder="1"/>
    <xf numFmtId="166" fontId="3" fillId="0" borderId="0" xfId="41" applyNumberFormat="1" applyFont="1" applyFill="1"/>
    <xf numFmtId="3" fontId="9" fillId="0" borderId="0" xfId="0" applyNumberFormat="1" applyFont="1" applyFill="1"/>
    <xf numFmtId="0" fontId="4" fillId="0" borderId="0" xfId="0" applyFont="1" applyFill="1" applyBorder="1"/>
    <xf numFmtId="3" fontId="4" fillId="0" borderId="0" xfId="0" applyNumberFormat="1" applyFont="1" applyFill="1" applyBorder="1" applyAlignment="1">
      <alignment horizontal="right"/>
    </xf>
    <xf numFmtId="3" fontId="4" fillId="0" borderId="0" xfId="41" applyNumberFormat="1" applyFont="1" applyFill="1"/>
    <xf numFmtId="0" fontId="3" fillId="0" borderId="13" xfId="0" applyFont="1" applyFill="1" applyBorder="1" applyAlignment="1">
      <alignment horizontal="right"/>
    </xf>
    <xf numFmtId="169" fontId="4" fillId="0" borderId="0" xfId="28" applyNumberFormat="1" applyFont="1" applyFill="1" applyBorder="1"/>
    <xf numFmtId="172" fontId="7" fillId="0" borderId="0" xfId="28" applyNumberFormat="1" applyFont="1" applyBorder="1"/>
    <xf numFmtId="1" fontId="36" fillId="0" borderId="0" xfId="0" applyNumberFormat="1" applyFont="1" applyBorder="1" applyAlignment="1">
      <alignment horizontal="right"/>
    </xf>
    <xf numFmtId="0" fontId="37" fillId="0" borderId="0" xfId="0" applyFont="1" applyFill="1" applyBorder="1"/>
    <xf numFmtId="0" fontId="38" fillId="0" borderId="0" xfId="0" applyFont="1" applyFill="1" applyBorder="1"/>
    <xf numFmtId="172" fontId="38" fillId="0" borderId="0" xfId="28" applyNumberFormat="1" applyFont="1" applyFill="1" applyBorder="1" applyAlignment="1">
      <alignment horizontal="right"/>
    </xf>
    <xf numFmtId="172" fontId="37" fillId="0" borderId="0" xfId="28" applyNumberFormat="1" applyFont="1" applyFill="1" applyBorder="1" applyAlignment="1">
      <alignment horizontal="right"/>
    </xf>
    <xf numFmtId="172" fontId="37" fillId="0" borderId="0" xfId="28" applyNumberFormat="1" applyFont="1" applyFill="1" applyBorder="1"/>
    <xf numFmtId="172" fontId="36" fillId="0" borderId="0" xfId="28" applyNumberFormat="1" applyFont="1" applyBorder="1"/>
    <xf numFmtId="1" fontId="10" fillId="0" borderId="0" xfId="0" applyNumberFormat="1" applyFont="1" applyBorder="1" applyAlignment="1">
      <alignment horizontal="right"/>
    </xf>
    <xf numFmtId="172" fontId="38" fillId="0" borderId="0" xfId="28" applyNumberFormat="1" applyFont="1" applyFill="1" applyBorder="1"/>
    <xf numFmtId="0" fontId="39" fillId="0" borderId="0" xfId="0" applyFont="1" applyBorder="1" applyAlignment="1">
      <alignment horizontal="justify"/>
    </xf>
    <xf numFmtId="0" fontId="40" fillId="0" borderId="0" xfId="0" applyFont="1" applyBorder="1"/>
    <xf numFmtId="0" fontId="40" fillId="0" borderId="0" xfId="0" applyFont="1" applyFill="1"/>
    <xf numFmtId="0" fontId="41" fillId="0" borderId="0" xfId="0" applyFont="1" applyBorder="1" applyAlignment="1">
      <alignment vertical="top" wrapText="1"/>
    </xf>
    <xf numFmtId="0" fontId="41" fillId="0" borderId="0" xfId="0" applyFont="1" applyBorder="1" applyAlignment="1">
      <alignment horizontal="left" vertical="top"/>
    </xf>
    <xf numFmtId="169" fontId="3" fillId="0" borderId="0" xfId="28" applyNumberFormat="1" applyFont="1"/>
    <xf numFmtId="168" fontId="3" fillId="0" borderId="0" xfId="0" applyNumberFormat="1" applyFont="1" applyFill="1" applyBorder="1" applyProtection="1">
      <protection locked="0"/>
    </xf>
    <xf numFmtId="0" fontId="4" fillId="0" borderId="0" xfId="0" applyNumberFormat="1" applyFont="1" applyFill="1" applyProtection="1">
      <protection locked="0"/>
    </xf>
    <xf numFmtId="3" fontId="9" fillId="36" borderId="0" xfId="0" applyNumberFormat="1" applyFont="1" applyFill="1"/>
    <xf numFmtId="3" fontId="4" fillId="36" borderId="0" xfId="0" applyNumberFormat="1" applyFont="1" applyFill="1"/>
    <xf numFmtId="166" fontId="4" fillId="32" borderId="0" xfId="41" applyNumberFormat="1" applyFont="1" applyFill="1"/>
    <xf numFmtId="0" fontId="3" fillId="0" borderId="0" xfId="0" applyFont="1" applyFill="1" applyAlignment="1">
      <alignment horizontal="left"/>
    </xf>
    <xf numFmtId="2" fontId="0" fillId="0" borderId="0" xfId="0" applyNumberFormat="1" applyProtection="1">
      <protection locked="0"/>
    </xf>
    <xf numFmtId="2" fontId="42" fillId="27" borderId="0" xfId="0" applyNumberFormat="1" applyFont="1" applyFill="1" applyProtection="1">
      <protection locked="0"/>
    </xf>
    <xf numFmtId="166" fontId="0" fillId="29" borderId="0" xfId="41" applyNumberFormat="1" applyFont="1" applyFill="1"/>
    <xf numFmtId="0" fontId="10" fillId="0" borderId="0" xfId="0" applyFont="1" applyBorder="1" applyAlignment="1"/>
    <xf numFmtId="0" fontId="11" fillId="0" borderId="20" xfId="0" applyFont="1" applyBorder="1" applyAlignment="1"/>
    <xf numFmtId="0" fontId="10" fillId="0" borderId="13" xfId="0" applyFont="1" applyBorder="1" applyAlignment="1">
      <alignment horizontal="justify"/>
    </xf>
    <xf numFmtId="0" fontId="10" fillId="0" borderId="16" xfId="0" applyFont="1" applyBorder="1"/>
    <xf numFmtId="0" fontId="10" fillId="0" borderId="16" xfId="0" applyFont="1" applyBorder="1" applyAlignment="1">
      <alignment horizontal="justify"/>
    </xf>
    <xf numFmtId="0" fontId="10" fillId="0" borderId="0" xfId="0" applyFont="1" applyBorder="1" applyAlignment="1">
      <alignment horizontal="justify"/>
    </xf>
    <xf numFmtId="0" fontId="10" fillId="0" borderId="20" xfId="0" applyFont="1" applyBorder="1" applyAlignment="1">
      <alignment horizontal="justify"/>
    </xf>
    <xf numFmtId="0" fontId="11" fillId="0" borderId="0" xfId="28" applyNumberFormat="1" applyFont="1" applyBorder="1"/>
    <xf numFmtId="0" fontId="0" fillId="37" borderId="0" xfId="0" applyFill="1"/>
    <xf numFmtId="168" fontId="35" fillId="37" borderId="0" xfId="0" applyNumberFormat="1" applyFont="1" applyFill="1" applyBorder="1" applyAlignment="1">
      <alignment horizontal="center" wrapText="1"/>
    </xf>
    <xf numFmtId="168" fontId="0" fillId="37" borderId="0" xfId="0" applyNumberFormat="1" applyFill="1"/>
    <xf numFmtId="166" fontId="4" fillId="26" borderId="0" xfId="41" applyNumberFormat="1" applyFont="1" applyFill="1" applyProtection="1">
      <protection locked="0"/>
    </xf>
    <xf numFmtId="166" fontId="4" fillId="34" borderId="0" xfId="41" applyNumberFormat="1" applyFont="1" applyFill="1" applyProtection="1">
      <protection locked="0"/>
    </xf>
    <xf numFmtId="0" fontId="4" fillId="24" borderId="0" xfId="0" applyFont="1" applyFill="1" applyAlignment="1" applyProtection="1">
      <alignment horizontal="left" indent="1"/>
      <protection locked="0"/>
    </xf>
    <xf numFmtId="0" fontId="4" fillId="0" borderId="0" xfId="0" applyFont="1" applyAlignment="1" applyProtection="1">
      <alignment horizontal="left" indent="1"/>
      <protection locked="0"/>
    </xf>
    <xf numFmtId="166" fontId="45" fillId="0" borderId="0" xfId="0" applyNumberFormat="1" applyFont="1" applyProtection="1">
      <protection locked="0"/>
    </xf>
    <xf numFmtId="166" fontId="44" fillId="38" borderId="0" xfId="41" applyNumberFormat="1" applyFont="1" applyFill="1" applyProtection="1">
      <protection locked="0"/>
    </xf>
    <xf numFmtId="168" fontId="35" fillId="0" borderId="0" xfId="0" applyNumberFormat="1" applyFont="1" applyFill="1" applyBorder="1" applyAlignment="1">
      <alignment horizontal="center" wrapText="1"/>
    </xf>
    <xf numFmtId="49" fontId="3" fillId="0" borderId="10" xfId="0" applyNumberFormat="1" applyFont="1" applyFill="1" applyBorder="1"/>
    <xf numFmtId="166" fontId="3" fillId="39" borderId="0" xfId="0" applyNumberFormat="1" applyFont="1" applyFill="1" applyBorder="1" applyProtection="1">
      <protection locked="0"/>
    </xf>
    <xf numFmtId="166" fontId="45" fillId="0" borderId="0" xfId="41" applyNumberFormat="1" applyFont="1"/>
    <xf numFmtId="3" fontId="34" fillId="24" borderId="0" xfId="0" applyNumberFormat="1" applyFont="1" applyFill="1" applyBorder="1" applyAlignment="1">
      <alignment horizontal="right" wrapText="1"/>
    </xf>
    <xf numFmtId="17" fontId="3" fillId="0" borderId="0" xfId="0" applyNumberFormat="1" applyFont="1"/>
    <xf numFmtId="168" fontId="35" fillId="40" borderId="0" xfId="0" applyNumberFormat="1" applyFont="1" applyFill="1" applyBorder="1" applyAlignment="1">
      <alignment horizontal="center" wrapText="1"/>
    </xf>
    <xf numFmtId="2" fontId="0" fillId="40" borderId="0" xfId="0" applyNumberFormat="1" applyFill="1" applyBorder="1"/>
    <xf numFmtId="0" fontId="45" fillId="0" borderId="0" xfId="0" applyFont="1" applyProtection="1">
      <protection locked="0"/>
    </xf>
    <xf numFmtId="3" fontId="4" fillId="0" borderId="0" xfId="0" applyNumberFormat="1" applyFont="1" applyProtection="1">
      <protection locked="0"/>
    </xf>
    <xf numFmtId="0" fontId="4" fillId="42" borderId="0" xfId="0" applyFont="1" applyFill="1" applyProtection="1">
      <protection locked="0"/>
    </xf>
    <xf numFmtId="0" fontId="0" fillId="42" borderId="0" xfId="0" applyFill="1" applyProtection="1">
      <protection locked="0"/>
    </xf>
    <xf numFmtId="0" fontId="2" fillId="42" borderId="0" xfId="0" applyFont="1" applyFill="1" applyProtection="1">
      <protection locked="0"/>
    </xf>
    <xf numFmtId="173" fontId="4" fillId="42" borderId="0" xfId="29" applyNumberFormat="1" applyFont="1" applyFill="1" applyBorder="1" applyAlignment="1" applyProtection="1">
      <alignment horizontal="right"/>
      <protection locked="0"/>
    </xf>
    <xf numFmtId="168" fontId="4" fillId="42" borderId="0" xfId="0" applyNumberFormat="1" applyFont="1" applyFill="1" applyBorder="1" applyProtection="1">
      <protection locked="0"/>
    </xf>
    <xf numFmtId="168" fontId="4" fillId="42" borderId="0" xfId="0" applyNumberFormat="1" applyFont="1" applyFill="1" applyProtection="1">
      <protection locked="0"/>
    </xf>
    <xf numFmtId="175" fontId="4" fillId="42" borderId="0" xfId="0" applyNumberFormat="1" applyFont="1" applyFill="1" applyProtection="1">
      <protection locked="0"/>
    </xf>
    <xf numFmtId="0" fontId="3" fillId="0" borderId="0" xfId="0" applyFont="1" applyFill="1" applyBorder="1" applyAlignment="1" applyProtection="1">
      <protection locked="0"/>
    </xf>
    <xf numFmtId="173" fontId="3" fillId="0" borderId="0" xfId="29" applyNumberFormat="1" applyFont="1" applyFill="1" applyBorder="1" applyAlignment="1" applyProtection="1">
      <alignment horizontal="right"/>
      <protection locked="0"/>
    </xf>
    <xf numFmtId="166" fontId="45" fillId="0" borderId="0" xfId="0" applyNumberFormat="1" applyFont="1" applyFill="1" applyProtection="1">
      <protection locked="0"/>
    </xf>
    <xf numFmtId="0" fontId="4" fillId="0" borderId="0" xfId="0" applyFont="1" applyFill="1" applyBorder="1" applyAlignment="1" applyProtection="1">
      <alignment horizontal="left"/>
      <protection locked="0"/>
    </xf>
    <xf numFmtId="0" fontId="43" fillId="0" borderId="0" xfId="0" applyFont="1" applyFill="1" applyAlignment="1">
      <alignment horizontal="justify"/>
    </xf>
    <xf numFmtId="166" fontId="0" fillId="0" borderId="0" xfId="0" applyNumberFormat="1" applyFill="1" applyProtection="1">
      <protection locked="0"/>
    </xf>
    <xf numFmtId="166" fontId="0" fillId="0" borderId="0" xfId="41" applyNumberFormat="1" applyFont="1" applyFill="1" applyBorder="1" applyProtection="1">
      <protection locked="0"/>
    </xf>
    <xf numFmtId="175" fontId="4" fillId="0" borderId="0" xfId="0" applyNumberFormat="1" applyFont="1" applyFill="1" applyProtection="1">
      <protection locked="0"/>
    </xf>
    <xf numFmtId="166" fontId="0" fillId="0" borderId="0" xfId="0" applyNumberFormat="1" applyFill="1" applyBorder="1" applyProtection="1">
      <protection locked="0"/>
    </xf>
    <xf numFmtId="0" fontId="3" fillId="0" borderId="0" xfId="0" applyFont="1" applyBorder="1" applyAlignment="1">
      <alignment vertical="center" wrapText="1"/>
    </xf>
    <xf numFmtId="0" fontId="10" fillId="0" borderId="12" xfId="0" applyFont="1" applyBorder="1" applyAlignment="1">
      <alignment horizontal="right"/>
    </xf>
    <xf numFmtId="3" fontId="10" fillId="0" borderId="17" xfId="0" applyNumberFormat="1" applyFont="1" applyBorder="1" applyAlignment="1">
      <alignment horizontal="right"/>
    </xf>
    <xf numFmtId="3" fontId="11" fillId="0" borderId="17" xfId="0" applyNumberFormat="1" applyFont="1" applyBorder="1" applyAlignment="1">
      <alignment horizontal="right"/>
    </xf>
    <xf numFmtId="3" fontId="11" fillId="0" borderId="19" xfId="0" applyNumberFormat="1" applyFont="1" applyBorder="1" applyAlignment="1">
      <alignment horizontal="right"/>
    </xf>
    <xf numFmtId="49" fontId="0" fillId="0" borderId="0" xfId="41" applyNumberFormat="1" applyFont="1" applyFill="1" applyAlignment="1" applyProtection="1">
      <alignment horizontal="right"/>
      <protection locked="0"/>
    </xf>
    <xf numFmtId="3" fontId="0" fillId="0" borderId="0" xfId="0" applyNumberFormat="1" applyProtection="1">
      <protection locked="0"/>
    </xf>
    <xf numFmtId="166" fontId="46" fillId="0" borderId="0" xfId="41" applyNumberFormat="1" applyFont="1"/>
    <xf numFmtId="0" fontId="4" fillId="43" borderId="0" xfId="0" applyFont="1" applyFill="1"/>
    <xf numFmtId="176" fontId="0" fillId="0" borderId="0" xfId="0" applyNumberFormat="1" applyFill="1" applyProtection="1">
      <protection locked="0"/>
    </xf>
    <xf numFmtId="169" fontId="45" fillId="0" borderId="0" xfId="28" applyNumberFormat="1" applyFont="1" applyFill="1"/>
    <xf numFmtId="3" fontId="4" fillId="43" borderId="0" xfId="0" applyNumberFormat="1" applyFont="1" applyFill="1"/>
    <xf numFmtId="169" fontId="47" fillId="43" borderId="0" xfId="28" applyNumberFormat="1" applyFont="1" applyFill="1"/>
    <xf numFmtId="168" fontId="45" fillId="26" borderId="0" xfId="41" applyNumberFormat="1" applyFont="1" applyFill="1" applyProtection="1">
      <protection locked="0"/>
    </xf>
    <xf numFmtId="2" fontId="0" fillId="42" borderId="0" xfId="0" applyNumberFormat="1" applyFill="1" applyProtection="1">
      <protection locked="0"/>
    </xf>
    <xf numFmtId="49" fontId="4" fillId="0" borderId="0" xfId="41" applyNumberFormat="1" applyFont="1" applyFill="1" applyProtection="1">
      <protection locked="0"/>
    </xf>
    <xf numFmtId="2" fontId="0" fillId="0" borderId="0" xfId="0" applyNumberFormat="1" applyFill="1" applyProtection="1">
      <protection locked="0"/>
    </xf>
    <xf numFmtId="0" fontId="2" fillId="0" borderId="0" xfId="0" applyFont="1"/>
    <xf numFmtId="168" fontId="2" fillId="24" borderId="0" xfId="0" applyNumberFormat="1" applyFont="1" applyFill="1" applyBorder="1"/>
    <xf numFmtId="168" fontId="2" fillId="24" borderId="0" xfId="0" applyNumberFormat="1" applyFont="1" applyFill="1"/>
    <xf numFmtId="166" fontId="2" fillId="24" borderId="0" xfId="41" applyNumberFormat="1" applyFont="1" applyFill="1" applyBorder="1"/>
    <xf numFmtId="166" fontId="2" fillId="24" borderId="11" xfId="41" applyNumberFormat="1" applyFont="1" applyFill="1" applyBorder="1"/>
    <xf numFmtId="166" fontId="2" fillId="0" borderId="0" xfId="41" applyNumberFormat="1" applyFont="1" applyBorder="1"/>
    <xf numFmtId="166" fontId="2" fillId="40" borderId="0" xfId="41" applyNumberFormat="1" applyFont="1" applyFill="1" applyBorder="1"/>
    <xf numFmtId="166" fontId="2" fillId="40" borderId="0" xfId="41" applyNumberFormat="1" applyFont="1" applyFill="1"/>
    <xf numFmtId="168" fontId="2" fillId="24" borderId="0" xfId="0" applyNumberFormat="1" applyFont="1" applyFill="1" applyBorder="1" applyAlignment="1" applyProtection="1">
      <alignment horizontal="right"/>
      <protection locked="0"/>
    </xf>
    <xf numFmtId="168" fontId="2" fillId="24" borderId="0" xfId="0" applyNumberFormat="1" applyFont="1" applyFill="1" applyBorder="1" applyAlignment="1">
      <alignment horizontal="right" wrapText="1"/>
    </xf>
    <xf numFmtId="165" fontId="2" fillId="24" borderId="0" xfId="0" applyNumberFormat="1" applyFont="1" applyFill="1" applyBorder="1" applyAlignment="1">
      <alignment horizontal="center"/>
    </xf>
    <xf numFmtId="0" fontId="2" fillId="24" borderId="0" xfId="0" applyFont="1" applyFill="1" applyBorder="1" applyAlignment="1">
      <alignment horizontal="right" wrapText="1"/>
    </xf>
    <xf numFmtId="166" fontId="2" fillId="0" borderId="0" xfId="41" applyNumberFormat="1" applyFont="1"/>
    <xf numFmtId="168" fontId="48" fillId="0" borderId="0" xfId="0" applyNumberFormat="1" applyFont="1"/>
    <xf numFmtId="168" fontId="48" fillId="0" borderId="0" xfId="0" applyNumberFormat="1" applyFont="1" applyFill="1"/>
    <xf numFmtId="168" fontId="48" fillId="26" borderId="0" xfId="0" applyNumberFormat="1" applyFont="1" applyFill="1"/>
    <xf numFmtId="168" fontId="2" fillId="0" borderId="0" xfId="0" applyNumberFormat="1" applyFont="1" applyFill="1" applyBorder="1"/>
    <xf numFmtId="165" fontId="2" fillId="0" borderId="0" xfId="0" applyNumberFormat="1" applyFont="1"/>
    <xf numFmtId="166" fontId="2" fillId="0" borderId="0" xfId="0" applyNumberFormat="1" applyFont="1"/>
    <xf numFmtId="166" fontId="48" fillId="0" borderId="0" xfId="41" applyNumberFormat="1" applyFont="1" applyFill="1"/>
    <xf numFmtId="0" fontId="0" fillId="44" borderId="0" xfId="0" applyFill="1"/>
    <xf numFmtId="0" fontId="50" fillId="0" borderId="0" xfId="0" applyFont="1" applyBorder="1" applyAlignment="1">
      <alignment horizontal="right" vertical="center" wrapText="1"/>
    </xf>
    <xf numFmtId="0" fontId="0" fillId="0" borderId="0" xfId="0" applyBorder="1"/>
    <xf numFmtId="17" fontId="49" fillId="0" borderId="0" xfId="0" applyNumberFormat="1" applyFont="1" applyFill="1" applyBorder="1" applyAlignment="1">
      <alignment horizontal="center" vertical="top" wrapText="1"/>
    </xf>
    <xf numFmtId="166" fontId="0" fillId="0" borderId="0" xfId="41" applyNumberFormat="1" applyFont="1" applyBorder="1"/>
    <xf numFmtId="0" fontId="52" fillId="45" borderId="0" xfId="0" applyFont="1" applyFill="1"/>
    <xf numFmtId="3" fontId="0" fillId="42" borderId="0" xfId="0" applyNumberFormat="1" applyFill="1" applyProtection="1">
      <protection locked="0"/>
    </xf>
    <xf numFmtId="17" fontId="10" fillId="0" borderId="0" xfId="0" applyNumberFormat="1" applyFont="1" applyBorder="1"/>
    <xf numFmtId="17" fontId="0" fillId="0" borderId="0" xfId="0" applyNumberFormat="1" applyBorder="1"/>
    <xf numFmtId="169" fontId="35" fillId="0" borderId="0" xfId="28" applyNumberFormat="1" applyFont="1"/>
    <xf numFmtId="0" fontId="2" fillId="44" borderId="0" xfId="0" applyFont="1" applyFill="1"/>
    <xf numFmtId="170" fontId="0" fillId="0" borderId="0" xfId="28" applyNumberFormat="1" applyFont="1"/>
    <xf numFmtId="0" fontId="35" fillId="34" borderId="0" xfId="45" applyFont="1" applyFill="1" applyBorder="1" applyAlignment="1">
      <alignment horizontal="left"/>
    </xf>
    <xf numFmtId="0" fontId="35" fillId="34" borderId="0" xfId="45" applyFont="1" applyFill="1" applyAlignment="1">
      <alignment horizontal="left"/>
    </xf>
    <xf numFmtId="0" fontId="35" fillId="0" borderId="0" xfId="45" applyFont="1" applyFill="1" applyBorder="1" applyAlignment="1">
      <alignment horizontal="left" wrapText="1"/>
    </xf>
    <xf numFmtId="3" fontId="45" fillId="0" borderId="0" xfId="0" applyNumberFormat="1" applyFont="1" applyFill="1"/>
    <xf numFmtId="0" fontId="2" fillId="0" borderId="0" xfId="0" applyFont="1" applyProtection="1">
      <protection locked="0"/>
    </xf>
    <xf numFmtId="0" fontId="2" fillId="0" borderId="0" xfId="0" applyNumberFormat="1" applyFont="1" applyFill="1" applyProtection="1">
      <protection locked="0"/>
    </xf>
    <xf numFmtId="169" fontId="4" fillId="0" borderId="0" xfId="0" applyNumberFormat="1" applyFont="1"/>
    <xf numFmtId="166" fontId="0" fillId="41" borderId="0" xfId="41" applyNumberFormat="1" applyFont="1" applyFill="1"/>
    <xf numFmtId="3" fontId="3" fillId="41" borderId="0" xfId="0" applyNumberFormat="1" applyFont="1" applyFill="1"/>
    <xf numFmtId="166" fontId="2" fillId="0" borderId="0" xfId="41" applyNumberFormat="1" applyFont="1" applyFill="1"/>
    <xf numFmtId="9" fontId="0" fillId="0" borderId="0" xfId="0" applyNumberFormat="1"/>
    <xf numFmtId="0" fontId="2" fillId="0" borderId="0" xfId="0" applyFont="1" applyAlignment="1">
      <alignment horizontal="left"/>
    </xf>
    <xf numFmtId="168" fontId="35" fillId="0" borderId="0" xfId="0" applyNumberFormat="1" applyFont="1" applyFill="1" applyBorder="1" applyAlignment="1">
      <alignment horizontal="center"/>
    </xf>
    <xf numFmtId="2" fontId="54" fillId="0" borderId="0" xfId="0" applyNumberFormat="1" applyFont="1" applyFill="1" applyBorder="1" applyAlignment="1">
      <alignment vertical="center"/>
    </xf>
    <xf numFmtId="2" fontId="54" fillId="0" borderId="0" xfId="0" applyNumberFormat="1" applyFont="1" applyFill="1" applyBorder="1"/>
    <xf numFmtId="3" fontId="2" fillId="0" borderId="0" xfId="0" applyNumberFormat="1" applyFont="1" applyFill="1" applyBorder="1"/>
    <xf numFmtId="0" fontId="4" fillId="0" borderId="0" xfId="0" applyFont="1" applyAlignment="1">
      <alignment wrapText="1"/>
    </xf>
    <xf numFmtId="166" fontId="3" fillId="42" borderId="0" xfId="41" applyNumberFormat="1" applyFont="1" applyFill="1"/>
    <xf numFmtId="168" fontId="3" fillId="42" borderId="0" xfId="0" applyNumberFormat="1" applyFont="1" applyFill="1" applyBorder="1" applyProtection="1">
      <protection locked="0"/>
    </xf>
    <xf numFmtId="9" fontId="4" fillId="0" borderId="0" xfId="41" applyFont="1" applyFill="1" applyBorder="1" applyAlignment="1">
      <alignment horizontal="right"/>
    </xf>
    <xf numFmtId="0" fontId="55" fillId="0" borderId="0" xfId="0" applyFont="1" applyBorder="1" applyAlignment="1">
      <alignment horizontal="left" indent="1"/>
    </xf>
    <xf numFmtId="168" fontId="2" fillId="26" borderId="0" xfId="41" applyNumberFormat="1" applyFont="1" applyFill="1" applyProtection="1">
      <protection locked="0"/>
    </xf>
    <xf numFmtId="168" fontId="2" fillId="26" borderId="0" xfId="0" applyNumberFormat="1" applyFont="1" applyFill="1" applyBorder="1" applyProtection="1">
      <protection locked="0"/>
    </xf>
    <xf numFmtId="175" fontId="2" fillId="0" borderId="0" xfId="0" applyNumberFormat="1" applyFont="1" applyProtection="1">
      <protection locked="0"/>
    </xf>
    <xf numFmtId="43" fontId="45" fillId="0" borderId="0" xfId="28" applyFont="1" applyProtection="1">
      <protection locked="0"/>
    </xf>
    <xf numFmtId="178" fontId="2" fillId="46" borderId="0" xfId="46" applyNumberFormat="1" applyFont="1" applyFill="1">
      <alignment horizontal="right"/>
    </xf>
    <xf numFmtId="1" fontId="0" fillId="0" borderId="0" xfId="41" applyNumberFormat="1" applyFont="1" applyProtection="1">
      <protection locked="0"/>
    </xf>
    <xf numFmtId="166" fontId="34" fillId="24" borderId="0" xfId="41" applyNumberFormat="1" applyFont="1" applyFill="1" applyBorder="1" applyAlignment="1">
      <alignment horizontal="right" vertical="top"/>
    </xf>
    <xf numFmtId="166" fontId="4" fillId="26" borderId="0" xfId="41" applyNumberFormat="1" applyFont="1" applyFill="1"/>
    <xf numFmtId="3" fontId="45" fillId="0" borderId="0" xfId="0" applyNumberFormat="1" applyFont="1"/>
    <xf numFmtId="168" fontId="2" fillId="0" borderId="0" xfId="0" applyNumberFormat="1" applyFont="1" applyFill="1"/>
    <xf numFmtId="0" fontId="3" fillId="0" borderId="13" xfId="0" applyFont="1" applyFill="1" applyBorder="1" applyAlignment="1" applyProtection="1">
      <alignment horizontal="right"/>
      <protection locked="0"/>
    </xf>
    <xf numFmtId="168" fontId="4" fillId="0" borderId="0" xfId="0" applyNumberFormat="1" applyFont="1" applyFill="1" applyBorder="1" applyProtection="1">
      <protection locked="0"/>
    </xf>
    <xf numFmtId="168" fontId="0" fillId="0" borderId="0" xfId="0" applyNumberFormat="1" applyFill="1" applyProtection="1">
      <protection locked="0"/>
    </xf>
    <xf numFmtId="166" fontId="4" fillId="0" borderId="0" xfId="41" applyNumberFormat="1" applyFont="1" applyFill="1" applyProtection="1">
      <protection locked="0"/>
    </xf>
    <xf numFmtId="175" fontId="2" fillId="0" borderId="0" xfId="0" applyNumberFormat="1" applyFont="1" applyFill="1" applyProtection="1">
      <protection locked="0"/>
    </xf>
    <xf numFmtId="168" fontId="2" fillId="47" borderId="0" xfId="0" applyNumberFormat="1" applyFont="1" applyFill="1" applyBorder="1" applyProtection="1">
      <protection locked="0"/>
    </xf>
    <xf numFmtId="0" fontId="56" fillId="0" borderId="0" xfId="0" applyFont="1" applyBorder="1" applyAlignment="1">
      <alignment horizontal="right" vertical="center" wrapText="1"/>
    </xf>
    <xf numFmtId="0" fontId="57" fillId="0" borderId="0" xfId="0" applyFont="1" applyBorder="1" applyAlignment="1">
      <alignment horizontal="right" vertical="center" wrapText="1"/>
    </xf>
    <xf numFmtId="2" fontId="49" fillId="0" borderId="0" xfId="28" applyNumberFormat="1" applyFont="1" applyFill="1" applyBorder="1" applyAlignment="1">
      <alignment vertical="center"/>
    </xf>
    <xf numFmtId="0" fontId="50" fillId="0" borderId="0" xfId="0" applyFont="1" applyFill="1" applyBorder="1" applyAlignment="1">
      <alignment horizontal="right" vertical="center" wrapText="1"/>
    </xf>
    <xf numFmtId="2" fontId="58" fillId="0" borderId="0" xfId="0" applyNumberFormat="1" applyFont="1" applyFill="1" applyBorder="1" applyAlignment="1">
      <alignment horizontal="right" vertical="center" wrapText="1"/>
    </xf>
    <xf numFmtId="0" fontId="59" fillId="0" borderId="0" xfId="0" applyFont="1" applyBorder="1" applyAlignment="1">
      <alignment horizontal="right" vertical="center"/>
    </xf>
    <xf numFmtId="170" fontId="35" fillId="0" borderId="0" xfId="28" applyNumberFormat="1" applyFont="1" applyFill="1" applyBorder="1"/>
    <xf numFmtId="170" fontId="35" fillId="0" borderId="0" xfId="28" applyNumberFormat="1" applyFont="1" applyBorder="1"/>
    <xf numFmtId="170" fontId="62" fillId="0" borderId="0" xfId="28" applyNumberFormat="1" applyFont="1"/>
    <xf numFmtId="0" fontId="60" fillId="0" borderId="0" xfId="0" applyFont="1" applyBorder="1" applyAlignment="1">
      <alignment vertical="center"/>
    </xf>
    <xf numFmtId="0" fontId="60" fillId="0" borderId="0" xfId="0" applyFont="1" applyBorder="1" applyAlignment="1">
      <alignment horizontal="center" vertical="center"/>
    </xf>
    <xf numFmtId="4" fontId="60" fillId="0" borderId="0" xfId="0" applyNumberFormat="1" applyFont="1" applyBorder="1" applyAlignment="1">
      <alignment horizontal="center" vertical="center"/>
    </xf>
    <xf numFmtId="0" fontId="7" fillId="0" borderId="0" xfId="0" applyFont="1" applyBorder="1" applyAlignment="1">
      <alignment vertical="center" wrapText="1"/>
    </xf>
    <xf numFmtId="0" fontId="35" fillId="0" borderId="0" xfId="0" applyFont="1"/>
    <xf numFmtId="0" fontId="66" fillId="0" borderId="23" xfId="0" applyFont="1" applyBorder="1" applyAlignment="1">
      <alignment horizontal="center"/>
    </xf>
    <xf numFmtId="0" fontId="66" fillId="0" borderId="0" xfId="0" applyFont="1"/>
    <xf numFmtId="179" fontId="68" fillId="0" borderId="0" xfId="48" applyNumberFormat="1" applyFont="1" applyBorder="1"/>
    <xf numFmtId="172" fontId="40" fillId="0" borderId="0" xfId="28" applyNumberFormat="1" applyFont="1" applyFill="1" applyBorder="1" applyAlignment="1">
      <alignment horizontal="right"/>
    </xf>
    <xf numFmtId="172" fontId="53" fillId="0" borderId="0" xfId="28" applyNumberFormat="1" applyFont="1" applyFill="1" applyBorder="1" applyAlignment="1">
      <alignment horizontal="right"/>
    </xf>
    <xf numFmtId="172" fontId="53" fillId="0" borderId="20" xfId="28" applyNumberFormat="1" applyFont="1" applyFill="1" applyBorder="1" applyAlignment="1">
      <alignment horizontal="right"/>
    </xf>
    <xf numFmtId="3" fontId="3" fillId="48" borderId="0" xfId="0" applyNumberFormat="1" applyFont="1" applyFill="1"/>
    <xf numFmtId="3" fontId="4" fillId="48" borderId="0" xfId="0" applyNumberFormat="1" applyFont="1" applyFill="1"/>
    <xf numFmtId="3" fontId="4" fillId="48" borderId="0" xfId="0" applyNumberFormat="1" applyFont="1" applyFill="1" applyBorder="1"/>
    <xf numFmtId="3" fontId="69" fillId="0" borderId="0" xfId="0" applyNumberFormat="1" applyFont="1" applyAlignment="1">
      <alignment horizontal="right" vertical="center" indent="2"/>
    </xf>
    <xf numFmtId="3" fontId="69" fillId="0" borderId="0" xfId="0" applyNumberFormat="1" applyFont="1" applyAlignment="1">
      <alignment horizontal="right" vertical="center" wrapText="1" indent="2"/>
    </xf>
    <xf numFmtId="3" fontId="70" fillId="0" borderId="0" xfId="0" applyNumberFormat="1" applyFont="1" applyAlignment="1">
      <alignment horizontal="right" vertical="center" indent="2"/>
    </xf>
    <xf numFmtId="3" fontId="70" fillId="0" borderId="0" xfId="0" applyNumberFormat="1" applyFont="1" applyAlignment="1">
      <alignment horizontal="right" vertical="center" wrapText="1" indent="2"/>
    </xf>
    <xf numFmtId="3" fontId="69" fillId="0" borderId="20" xfId="0" applyNumberFormat="1" applyFont="1" applyBorder="1" applyAlignment="1">
      <alignment horizontal="right" vertical="center" indent="2"/>
    </xf>
    <xf numFmtId="3" fontId="69" fillId="0" borderId="20" xfId="0" applyNumberFormat="1" applyFont="1" applyBorder="1" applyAlignment="1">
      <alignment horizontal="right" vertical="center" wrapText="1" indent="2"/>
    </xf>
    <xf numFmtId="3" fontId="11" fillId="0" borderId="0" xfId="0" applyNumberFormat="1" applyFont="1" applyAlignment="1">
      <alignment horizontal="right" vertical="center" wrapText="1" indent="2"/>
    </xf>
    <xf numFmtId="3" fontId="70" fillId="0" borderId="0" xfId="0" applyNumberFormat="1" applyFont="1" applyAlignment="1">
      <alignment horizontal="left" vertical="center" indent="2"/>
    </xf>
    <xf numFmtId="3" fontId="69" fillId="0" borderId="0" xfId="0" applyNumberFormat="1" applyFont="1" applyAlignment="1">
      <alignment horizontal="left" vertical="center" indent="2"/>
    </xf>
    <xf numFmtId="0" fontId="0" fillId="0" borderId="0" xfId="0" applyAlignment="1">
      <alignment horizontal="center"/>
    </xf>
    <xf numFmtId="0" fontId="3" fillId="0" borderId="0" xfId="0" applyFont="1" applyFill="1" applyAlignment="1">
      <alignment horizontal="left" indent="1"/>
    </xf>
    <xf numFmtId="0" fontId="7" fillId="0" borderId="0" xfId="0" applyFont="1" applyAlignment="1">
      <alignment horizontal="left"/>
    </xf>
    <xf numFmtId="0" fontId="35" fillId="0" borderId="0" xfId="0" applyFont="1" applyAlignment="1">
      <alignment horizontal="left"/>
    </xf>
    <xf numFmtId="168" fontId="68" fillId="0" borderId="0" xfId="0" applyNumberFormat="1" applyFont="1" applyBorder="1" applyAlignment="1">
      <alignment horizontal="left"/>
    </xf>
    <xf numFmtId="0" fontId="73" fillId="0" borderId="0" xfId="0" applyFont="1" applyAlignment="1">
      <alignment horizontal="center"/>
    </xf>
    <xf numFmtId="0" fontId="65" fillId="0" borderId="0" xfId="0" applyFont="1" applyAlignment="1">
      <alignment horizontal="center"/>
    </xf>
    <xf numFmtId="0" fontId="65" fillId="0" borderId="0" xfId="0" applyFont="1"/>
    <xf numFmtId="168" fontId="74" fillId="0" borderId="0" xfId="0" applyNumberFormat="1" applyFont="1" applyAlignment="1">
      <alignment horizontal="center"/>
    </xf>
    <xf numFmtId="168" fontId="68" fillId="0" borderId="0" xfId="0" applyNumberFormat="1" applyFont="1" applyAlignment="1">
      <alignment horizontal="center"/>
    </xf>
    <xf numFmtId="165" fontId="74" fillId="0" borderId="0" xfId="0" applyNumberFormat="1" applyFont="1" applyAlignment="1">
      <alignment horizontal="center"/>
    </xf>
    <xf numFmtId="165" fontId="3" fillId="0" borderId="0" xfId="0" applyNumberFormat="1" applyFont="1" applyAlignment="1">
      <alignment horizontal="center"/>
    </xf>
    <xf numFmtId="0" fontId="3" fillId="0" borderId="0" xfId="0" applyFont="1" applyAlignment="1">
      <alignment horizontal="center"/>
    </xf>
    <xf numFmtId="0" fontId="2" fillId="0" borderId="0" xfId="0" applyFont="1" applyAlignment="1">
      <alignment horizontal="center"/>
    </xf>
    <xf numFmtId="0" fontId="11" fillId="0" borderId="0" xfId="0" applyFont="1" applyBorder="1" applyAlignment="1">
      <alignment horizontal="left" indent="2"/>
    </xf>
    <xf numFmtId="0" fontId="10" fillId="0" borderId="13" xfId="0" applyFont="1" applyBorder="1" applyAlignment="1"/>
    <xf numFmtId="0" fontId="12" fillId="0" borderId="16" xfId="0" applyFont="1" applyBorder="1" applyAlignment="1"/>
    <xf numFmtId="0" fontId="11" fillId="0" borderId="20" xfId="0" applyFont="1" applyBorder="1" applyAlignment="1">
      <alignment horizontal="left" indent="1"/>
    </xf>
    <xf numFmtId="0" fontId="71" fillId="0" borderId="0" xfId="0" applyFont="1" applyBorder="1"/>
    <xf numFmtId="0" fontId="2" fillId="0" borderId="0" xfId="0" applyFont="1" applyBorder="1"/>
    <xf numFmtId="169" fontId="70" fillId="0" borderId="0" xfId="28" applyNumberFormat="1" applyFont="1"/>
    <xf numFmtId="0" fontId="67" fillId="0" borderId="23" xfId="0" applyFont="1" applyBorder="1" applyAlignment="1">
      <alignment horizontal="right"/>
    </xf>
    <xf numFmtId="0" fontId="0" fillId="0" borderId="23" xfId="0" applyBorder="1" applyAlignment="1">
      <alignment horizontal="right"/>
    </xf>
    <xf numFmtId="0" fontId="64" fillId="0" borderId="23" xfId="0" applyFont="1" applyBorder="1" applyAlignment="1">
      <alignment horizontal="left"/>
    </xf>
    <xf numFmtId="168" fontId="74" fillId="0" borderId="0" xfId="0" applyNumberFormat="1" applyFont="1" applyBorder="1" applyAlignment="1">
      <alignment horizontal="left"/>
    </xf>
    <xf numFmtId="17" fontId="3" fillId="0" borderId="0" xfId="0" applyNumberFormat="1" applyFont="1" applyAlignment="1">
      <alignment horizontal="center"/>
    </xf>
    <xf numFmtId="37" fontId="2" fillId="0" borderId="0" xfId="0" applyNumberFormat="1" applyFont="1" applyBorder="1" applyProtection="1"/>
    <xf numFmtId="3" fontId="2" fillId="0" borderId="0" xfId="0" applyNumberFormat="1" applyFont="1" applyBorder="1"/>
    <xf numFmtId="0" fontId="2" fillId="0" borderId="0" xfId="0" applyFont="1" applyBorder="1" applyAlignment="1" applyProtection="1">
      <alignment horizontal="left"/>
    </xf>
    <xf numFmtId="37" fontId="3" fillId="0" borderId="0" xfId="0" applyNumberFormat="1" applyFont="1" applyBorder="1" applyProtection="1"/>
    <xf numFmtId="2" fontId="0" fillId="0" borderId="0" xfId="0" applyNumberFormat="1"/>
    <xf numFmtId="169" fontId="63" fillId="0" borderId="0" xfId="0" applyNumberFormat="1" applyFont="1" applyBorder="1" applyAlignment="1">
      <alignment vertical="center"/>
    </xf>
    <xf numFmtId="169" fontId="60" fillId="0" borderId="0" xfId="0" applyNumberFormat="1" applyFont="1" applyBorder="1" applyAlignment="1">
      <alignment horizontal="center" vertical="center"/>
    </xf>
    <xf numFmtId="170" fontId="0" fillId="42" borderId="0" xfId="28" applyNumberFormat="1" applyFont="1" applyFill="1"/>
    <xf numFmtId="170" fontId="61" fillId="0" borderId="0" xfId="28" applyNumberFormat="1" applyFont="1" applyBorder="1"/>
    <xf numFmtId="170" fontId="35" fillId="0" borderId="0" xfId="28" applyNumberFormat="1" applyFont="1" applyFill="1" applyBorder="1" applyAlignment="1" applyProtection="1">
      <alignment horizontal="right"/>
    </xf>
    <xf numFmtId="170" fontId="0" fillId="0" borderId="0" xfId="0" applyNumberFormat="1"/>
    <xf numFmtId="0" fontId="3" fillId="0" borderId="0" xfId="0" applyFont="1" applyBorder="1" applyAlignment="1" applyProtection="1">
      <alignment horizontal="left"/>
    </xf>
    <xf numFmtId="0" fontId="2" fillId="0" borderId="0" xfId="0" applyFont="1" applyBorder="1" applyAlignment="1" applyProtection="1">
      <alignment horizontal="left" indent="1"/>
    </xf>
    <xf numFmtId="3" fontId="2" fillId="0" borderId="0" xfId="28" applyNumberFormat="1" applyFont="1" applyBorder="1" applyAlignment="1"/>
    <xf numFmtId="0" fontId="39" fillId="0" borderId="0" xfId="0" applyFont="1"/>
    <xf numFmtId="3" fontId="3" fillId="0" borderId="0" xfId="28" applyNumberFormat="1" applyFont="1" applyBorder="1" applyAlignment="1"/>
    <xf numFmtId="3" fontId="2" fillId="0" borderId="0" xfId="0" applyNumberFormat="1" applyFont="1" applyBorder="1" applyAlignment="1"/>
    <xf numFmtId="37" fontId="2" fillId="0" borderId="0" xfId="0" applyNumberFormat="1" applyFont="1" applyBorder="1" applyAlignment="1" applyProtection="1"/>
    <xf numFmtId="37" fontId="2" fillId="0" borderId="0" xfId="49" applyNumberFormat="1" applyFont="1" applyBorder="1" applyAlignment="1" applyProtection="1"/>
    <xf numFmtId="172" fontId="2" fillId="0" borderId="0" xfId="28" applyNumberFormat="1" applyFont="1" applyBorder="1" applyAlignment="1"/>
    <xf numFmtId="169" fontId="2" fillId="0" borderId="0" xfId="28" applyNumberFormat="1" applyFont="1" applyBorder="1" applyAlignment="1"/>
    <xf numFmtId="0" fontId="2" fillId="0" borderId="0" xfId="0" applyFont="1" applyBorder="1" applyAlignment="1"/>
    <xf numFmtId="0" fontId="2" fillId="0" borderId="0" xfId="0" applyFont="1" applyAlignment="1"/>
    <xf numFmtId="181" fontId="2" fillId="34" borderId="0" xfId="28" applyNumberFormat="1" applyFont="1" applyFill="1" applyBorder="1" applyAlignment="1"/>
    <xf numFmtId="172" fontId="2" fillId="34" borderId="0" xfId="28" applyNumberFormat="1" applyFont="1" applyFill="1" applyBorder="1" applyAlignment="1"/>
    <xf numFmtId="3" fontId="6" fillId="0" borderId="0" xfId="0" applyNumberFormat="1" applyFont="1" applyBorder="1" applyAlignment="1"/>
    <xf numFmtId="3" fontId="2" fillId="0" borderId="0" xfId="0" applyNumberFormat="1" applyFont="1" applyFill="1" applyBorder="1" applyAlignment="1"/>
    <xf numFmtId="37" fontId="2" fillId="0" borderId="0" xfId="49" applyNumberFormat="1" applyFont="1" applyFill="1" applyBorder="1" applyAlignment="1" applyProtection="1"/>
    <xf numFmtId="37" fontId="2" fillId="0" borderId="0" xfId="0" applyNumberFormat="1" applyFont="1" applyAlignment="1"/>
    <xf numFmtId="0" fontId="3" fillId="0" borderId="0" xfId="0" applyFont="1" applyAlignment="1"/>
    <xf numFmtId="3" fontId="11" fillId="0" borderId="0" xfId="28" applyNumberFormat="1" applyFont="1" applyBorder="1"/>
    <xf numFmtId="165" fontId="10" fillId="0" borderId="20" xfId="0" applyNumberFormat="1" applyFont="1" applyBorder="1"/>
    <xf numFmtId="165" fontId="10" fillId="0" borderId="20" xfId="28" applyNumberFormat="1" applyFont="1" applyBorder="1"/>
    <xf numFmtId="172" fontId="61" fillId="0" borderId="0" xfId="0" applyNumberFormat="1" applyFont="1" applyBorder="1" applyAlignment="1">
      <alignment horizontal="right"/>
    </xf>
    <xf numFmtId="2" fontId="0" fillId="0" borderId="0" xfId="41" applyNumberFormat="1" applyFont="1" applyFill="1"/>
    <xf numFmtId="168" fontId="35" fillId="0" borderId="0" xfId="0" applyNumberFormat="1" applyFont="1"/>
    <xf numFmtId="169" fontId="35" fillId="0" borderId="0" xfId="28" applyNumberFormat="1" applyFont="1" applyFill="1"/>
    <xf numFmtId="3" fontId="10" fillId="0" borderId="13" xfId="0" applyNumberFormat="1" applyFont="1" applyBorder="1" applyAlignment="1">
      <alignment horizontal="right"/>
    </xf>
    <xf numFmtId="3" fontId="10" fillId="0" borderId="14" xfId="0" applyNumberFormat="1" applyFont="1" applyBorder="1" applyAlignment="1">
      <alignment horizontal="right"/>
    </xf>
    <xf numFmtId="172" fontId="10" fillId="0" borderId="16" xfId="50" applyNumberFormat="1" applyFont="1" applyBorder="1" applyAlignment="1">
      <alignment horizontal="right"/>
    </xf>
    <xf numFmtId="172" fontId="10" fillId="0" borderId="0" xfId="50" applyNumberFormat="1" applyFont="1" applyBorder="1" applyAlignment="1">
      <alignment horizontal="right"/>
    </xf>
    <xf numFmtId="172" fontId="10" fillId="0" borderId="21" xfId="50" applyNumberFormat="1" applyFont="1" applyBorder="1" applyAlignment="1">
      <alignment horizontal="right"/>
    </xf>
    <xf numFmtId="172" fontId="10" fillId="0" borderId="18" xfId="50" applyNumberFormat="1" applyFont="1" applyBorder="1" applyAlignment="1">
      <alignment horizontal="right"/>
    </xf>
    <xf numFmtId="172" fontId="11" fillId="0" borderId="0" xfId="50" applyNumberFormat="1" applyFont="1" applyBorder="1"/>
    <xf numFmtId="3" fontId="11" fillId="0" borderId="0" xfId="51" applyNumberFormat="1" applyFont="1" applyBorder="1"/>
    <xf numFmtId="3" fontId="11" fillId="0" borderId="18" xfId="0" applyNumberFormat="1" applyFont="1" applyBorder="1" applyAlignment="1"/>
    <xf numFmtId="3" fontId="11" fillId="0" borderId="0" xfId="51" applyNumberFormat="1" applyFont="1" applyFill="1" applyBorder="1"/>
    <xf numFmtId="172" fontId="10" fillId="0" borderId="0" xfId="50" applyNumberFormat="1" applyFont="1" applyBorder="1"/>
    <xf numFmtId="3" fontId="10" fillId="0" borderId="18" xfId="0" applyNumberFormat="1" applyFont="1" applyBorder="1"/>
    <xf numFmtId="172" fontId="10" fillId="0" borderId="20" xfId="50" applyNumberFormat="1" applyFont="1" applyBorder="1" applyAlignment="1">
      <alignment horizontal="right"/>
    </xf>
    <xf numFmtId="172" fontId="10" fillId="0" borderId="22" xfId="50" applyNumberFormat="1" applyFont="1" applyBorder="1" applyAlignment="1">
      <alignment horizontal="right"/>
    </xf>
    <xf numFmtId="0" fontId="4" fillId="49" borderId="0" xfId="0" applyFont="1" applyFill="1"/>
    <xf numFmtId="0" fontId="0" fillId="49" borderId="0" xfId="0" applyFill="1"/>
    <xf numFmtId="166" fontId="0" fillId="49" borderId="0" xfId="41" applyNumberFormat="1" applyFont="1" applyFill="1"/>
    <xf numFmtId="0" fontId="4" fillId="49" borderId="0" xfId="0" applyFont="1" applyFill="1" applyAlignment="1">
      <alignment horizontal="left" indent="1"/>
    </xf>
    <xf numFmtId="0" fontId="2" fillId="46" borderId="0" xfId="0" applyFont="1" applyFill="1"/>
    <xf numFmtId="1" fontId="0" fillId="0" borderId="0" xfId="0" applyNumberFormat="1"/>
    <xf numFmtId="1" fontId="2" fillId="0" borderId="0" xfId="0" applyNumberFormat="1" applyFont="1"/>
    <xf numFmtId="166" fontId="3" fillId="0" borderId="0" xfId="0" applyNumberFormat="1" applyFont="1" applyFill="1" applyBorder="1" applyProtection="1">
      <protection locked="0"/>
    </xf>
    <xf numFmtId="0" fontId="3" fillId="0" borderId="0" xfId="0" applyFont="1" applyFill="1" applyBorder="1"/>
    <xf numFmtId="0" fontId="10" fillId="0" borderId="0" xfId="0" applyFont="1" applyFill="1" applyBorder="1"/>
    <xf numFmtId="0" fontId="11" fillId="0" borderId="0" xfId="0" applyFont="1" applyFill="1" applyBorder="1"/>
    <xf numFmtId="0" fontId="34" fillId="0" borderId="0" xfId="0" applyFont="1" applyFill="1" applyBorder="1" applyAlignment="1">
      <alignment horizontal="left" vertical="top" wrapText="1" indent="1"/>
    </xf>
    <xf numFmtId="172" fontId="3" fillId="0" borderId="0" xfId="28" applyNumberFormat="1" applyFont="1" applyFill="1" applyBorder="1" applyAlignment="1"/>
    <xf numFmtId="0" fontId="34" fillId="0" borderId="20" xfId="0" applyFont="1" applyFill="1" applyBorder="1" applyAlignment="1">
      <alignment horizontal="left" vertical="top" wrapText="1" indent="1"/>
    </xf>
    <xf numFmtId="0" fontId="4" fillId="42" borderId="0" xfId="0" applyFont="1" applyFill="1" applyAlignment="1">
      <alignment horizontal="left" indent="1"/>
    </xf>
    <xf numFmtId="3" fontId="0" fillId="42" borderId="0" xfId="0" applyNumberFormat="1" applyFill="1"/>
    <xf numFmtId="179" fontId="68" fillId="42" borderId="0" xfId="48" applyNumberFormat="1" applyFont="1" applyFill="1" applyBorder="1"/>
    <xf numFmtId="3" fontId="2" fillId="0" borderId="0" xfId="0" applyNumberFormat="1" applyFont="1" applyFill="1"/>
    <xf numFmtId="3" fontId="2" fillId="0" borderId="0" xfId="0" applyNumberFormat="1" applyFont="1"/>
    <xf numFmtId="179" fontId="74" fillId="0" borderId="0" xfId="48" applyNumberFormat="1" applyFont="1" applyBorder="1"/>
    <xf numFmtId="0" fontId="2" fillId="0" borderId="0" xfId="0" applyFont="1" applyFill="1"/>
    <xf numFmtId="3" fontId="2" fillId="24" borderId="0" xfId="0" applyNumberFormat="1" applyFont="1" applyFill="1"/>
    <xf numFmtId="169" fontId="2" fillId="0" borderId="0" xfId="0" applyNumberFormat="1" applyFont="1" applyFill="1"/>
    <xf numFmtId="0" fontId="2" fillId="0" borderId="0" xfId="0" applyFont="1" applyFill="1" applyAlignment="1">
      <alignment horizontal="left" indent="1"/>
    </xf>
    <xf numFmtId="0" fontId="2" fillId="0" borderId="0" xfId="0" applyFont="1" applyFill="1" applyAlignment="1">
      <alignment horizontal="left"/>
    </xf>
    <xf numFmtId="166" fontId="4" fillId="42" borderId="0" xfId="41" applyNumberFormat="1" applyFont="1" applyFill="1"/>
    <xf numFmtId="0" fontId="35" fillId="0" borderId="0" xfId="45" applyFont="1" applyFill="1" applyBorder="1" applyAlignment="1">
      <alignment horizontal="left"/>
    </xf>
    <xf numFmtId="170" fontId="0" fillId="0" borderId="0" xfId="28" applyNumberFormat="1" applyFont="1" applyFill="1"/>
    <xf numFmtId="170" fontId="0" fillId="0" borderId="0" xfId="0" applyNumberFormat="1" applyFill="1"/>
    <xf numFmtId="170" fontId="51" fillId="0" borderId="0" xfId="0" applyNumberFormat="1" applyFont="1" applyFill="1" applyBorder="1" applyAlignment="1">
      <alignment horizontal="right" vertical="center"/>
    </xf>
    <xf numFmtId="0" fontId="51" fillId="0" borderId="0" xfId="0" applyFont="1" applyFill="1" applyBorder="1" applyAlignment="1">
      <alignment horizontal="right" vertical="center"/>
    </xf>
    <xf numFmtId="169" fontId="0" fillId="0" borderId="0" xfId="0" applyNumberFormat="1" applyFill="1"/>
    <xf numFmtId="9" fontId="0" fillId="0" borderId="0" xfId="41" applyFont="1" applyFill="1"/>
    <xf numFmtId="182" fontId="68" fillId="0" borderId="25" xfId="48" applyNumberFormat="1" applyFont="1" applyBorder="1"/>
    <xf numFmtId="169" fontId="2" fillId="0" borderId="0" xfId="28" applyNumberFormat="1" applyFont="1"/>
    <xf numFmtId="168" fontId="45" fillId="26" borderId="0" xfId="0" applyNumberFormat="1" applyFont="1" applyFill="1" applyBorder="1" applyProtection="1">
      <protection locked="0"/>
    </xf>
    <xf numFmtId="0" fontId="45" fillId="0" borderId="0" xfId="0" applyFont="1" applyFill="1" applyProtection="1">
      <protection locked="0"/>
    </xf>
    <xf numFmtId="0" fontId="45" fillId="0" borderId="0" xfId="0" applyNumberFormat="1" applyFont="1" applyFill="1" applyProtection="1">
      <protection locked="0"/>
    </xf>
    <xf numFmtId="170" fontId="4" fillId="0" borderId="0" xfId="28" applyNumberFormat="1" applyFont="1"/>
    <xf numFmtId="49" fontId="0" fillId="0" borderId="0" xfId="0" applyNumberFormat="1"/>
    <xf numFmtId="179" fontId="0" fillId="0" borderId="0" xfId="0" applyNumberFormat="1"/>
    <xf numFmtId="3" fontId="2" fillId="0" borderId="0" xfId="0" applyNumberFormat="1" applyFont="1" applyAlignment="1">
      <alignment wrapText="1"/>
    </xf>
    <xf numFmtId="1" fontId="0" fillId="0" borderId="0" xfId="41" applyNumberFormat="1" applyFont="1"/>
    <xf numFmtId="0" fontId="0" fillId="0" borderId="0" xfId="0" applyNumberFormat="1"/>
    <xf numFmtId="166" fontId="13" fillId="0" borderId="0" xfId="41" applyNumberFormat="1" applyFont="1"/>
    <xf numFmtId="3" fontId="13" fillId="0" borderId="0" xfId="0" applyNumberFormat="1" applyFont="1"/>
    <xf numFmtId="169" fontId="60" fillId="0" borderId="0" xfId="28" applyNumberFormat="1" applyFont="1" applyBorder="1" applyAlignment="1">
      <alignment horizontal="right" vertical="center"/>
    </xf>
    <xf numFmtId="183" fontId="4" fillId="0" borderId="0" xfId="0" applyNumberFormat="1" applyFont="1" applyFill="1"/>
    <xf numFmtId="183" fontId="4" fillId="50" borderId="0" xfId="0" applyNumberFormat="1" applyFont="1" applyFill="1"/>
    <xf numFmtId="49" fontId="3" fillId="0" borderId="0" xfId="0" applyNumberFormat="1" applyFont="1" applyFill="1"/>
    <xf numFmtId="169" fontId="0" fillId="0" borderId="0" xfId="28" applyNumberFormat="1" applyFont="1"/>
    <xf numFmtId="43" fontId="0" fillId="0" borderId="0" xfId="0" applyNumberFormat="1"/>
    <xf numFmtId="0" fontId="75" fillId="0" borderId="0" xfId="0" applyFont="1"/>
    <xf numFmtId="0" fontId="45" fillId="49" borderId="0" xfId="0" applyFont="1" applyFill="1"/>
    <xf numFmtId="2" fontId="3" fillId="0" borderId="0" xfId="41" applyNumberFormat="1" applyFont="1" applyFill="1" applyProtection="1">
      <protection locked="0"/>
    </xf>
    <xf numFmtId="169" fontId="1" fillId="0" borderId="0" xfId="28" applyNumberFormat="1" applyFont="1"/>
    <xf numFmtId="3" fontId="0" fillId="0" borderId="0" xfId="0" applyNumberFormat="1" applyFont="1"/>
    <xf numFmtId="172" fontId="61" fillId="0" borderId="0" xfId="0" applyNumberFormat="1" applyFont="1" applyFill="1" applyBorder="1" applyAlignment="1">
      <alignment horizontal="right"/>
    </xf>
    <xf numFmtId="3" fontId="60" fillId="0" borderId="0" xfId="0" applyNumberFormat="1" applyFont="1" applyBorder="1" applyAlignment="1">
      <alignment horizontal="right" vertical="center"/>
    </xf>
    <xf numFmtId="4" fontId="60" fillId="0" borderId="0" xfId="0" applyNumberFormat="1" applyFont="1" applyBorder="1" applyAlignment="1">
      <alignment horizontal="right" vertical="center"/>
    </xf>
    <xf numFmtId="0" fontId="10" fillId="0" borderId="0" xfId="0" applyFont="1" applyBorder="1" applyAlignment="1">
      <alignment horizontal="center"/>
    </xf>
    <xf numFmtId="0" fontId="76" fillId="0" borderId="0" xfId="52" applyFont="1" applyFill="1" applyBorder="1" applyAlignment="1">
      <alignment horizontal="left" indent="6"/>
    </xf>
    <xf numFmtId="3" fontId="77" fillId="0" borderId="0" xfId="52" applyNumberFormat="1" applyFont="1" applyFill="1" applyBorder="1" applyAlignment="1" applyProtection="1">
      <alignment horizontal="right"/>
    </xf>
    <xf numFmtId="3" fontId="77" fillId="0" borderId="0" xfId="52" applyNumberFormat="1" applyFont="1" applyFill="1" applyBorder="1"/>
    <xf numFmtId="3" fontId="1" fillId="0" borderId="0" xfId="52" applyNumberFormat="1" applyBorder="1"/>
    <xf numFmtId="0" fontId="0" fillId="0" borderId="0" xfId="0" applyFill="1" applyBorder="1"/>
    <xf numFmtId="3" fontId="75" fillId="0" borderId="20" xfId="0" applyNumberFormat="1" applyFont="1" applyFill="1" applyBorder="1" applyAlignment="1">
      <alignment horizontal="right"/>
    </xf>
    <xf numFmtId="168" fontId="45" fillId="26" borderId="0" xfId="41" applyNumberFormat="1" applyFont="1" applyFill="1" applyBorder="1" applyProtection="1">
      <protection locked="0"/>
    </xf>
    <xf numFmtId="175" fontId="45" fillId="0" borderId="0" xfId="0" applyNumberFormat="1" applyFont="1" applyProtection="1">
      <protection locked="0"/>
    </xf>
    <xf numFmtId="0" fontId="7" fillId="0" borderId="0" xfId="0" applyFont="1" applyBorder="1" applyAlignment="1">
      <alignment horizontal="justify"/>
    </xf>
    <xf numFmtId="3" fontId="36" fillId="0" borderId="0" xfId="50" applyNumberFormat="1" applyFont="1" applyFill="1" applyBorder="1"/>
    <xf numFmtId="0" fontId="36" fillId="0" borderId="0" xfId="0" applyFont="1" applyBorder="1" applyAlignment="1"/>
    <xf numFmtId="3" fontId="2" fillId="0" borderId="10" xfId="0" applyNumberFormat="1" applyFont="1" applyBorder="1"/>
    <xf numFmtId="3" fontId="33" fillId="0" borderId="0" xfId="0" applyNumberFormat="1" applyFont="1"/>
    <xf numFmtId="3" fontId="2" fillId="0" borderId="0" xfId="0" applyNumberFormat="1" applyFont="1" applyAlignment="1">
      <alignment horizontal="left" indent="1"/>
    </xf>
    <xf numFmtId="3" fontId="33" fillId="0" borderId="0" xfId="0" applyNumberFormat="1" applyFont="1" applyAlignment="1">
      <alignment horizontal="left"/>
    </xf>
    <xf numFmtId="3" fontId="33" fillId="0" borderId="0" xfId="0" applyNumberFormat="1" applyFont="1" applyAlignment="1">
      <alignment horizontal="left" indent="1"/>
    </xf>
    <xf numFmtId="3" fontId="79" fillId="0" borderId="0" xfId="0" applyNumberFormat="1" applyFont="1"/>
    <xf numFmtId="3" fontId="3" fillId="0" borderId="0" xfId="0" quotePrefix="1" applyNumberFormat="1" applyFont="1" applyBorder="1" applyAlignment="1">
      <alignment horizontal="right"/>
    </xf>
    <xf numFmtId="3" fontId="80" fillId="0" borderId="0" xfId="0" applyNumberFormat="1" applyFont="1"/>
    <xf numFmtId="3" fontId="81" fillId="0" borderId="0" xfId="0" applyNumberFormat="1" applyFont="1"/>
    <xf numFmtId="3" fontId="2" fillId="0" borderId="0" xfId="28" applyNumberFormat="1" applyFont="1"/>
    <xf numFmtId="3" fontId="33" fillId="0" borderId="0" xfId="28" applyNumberFormat="1" applyFont="1"/>
    <xf numFmtId="169" fontId="3" fillId="0" borderId="10" xfId="28" applyNumberFormat="1" applyFont="1" applyBorder="1"/>
    <xf numFmtId="169" fontId="2" fillId="0" borderId="0" xfId="0" applyNumberFormat="1" applyFont="1"/>
    <xf numFmtId="3" fontId="14" fillId="0" borderId="0" xfId="0" applyNumberFormat="1" applyFont="1" applyFill="1" applyBorder="1" applyAlignment="1">
      <alignment horizontal="right"/>
    </xf>
    <xf numFmtId="0" fontId="3" fillId="42" borderId="0" xfId="0" applyFont="1" applyFill="1" applyAlignment="1">
      <alignment horizontal="left" indent="1"/>
    </xf>
    <xf numFmtId="3" fontId="82" fillId="0" borderId="0" xfId="0" applyNumberFormat="1" applyFont="1"/>
    <xf numFmtId="0" fontId="2" fillId="42" borderId="0" xfId="0" applyFont="1" applyFill="1" applyBorder="1"/>
    <xf numFmtId="0" fontId="2" fillId="42" borderId="0" xfId="0" applyNumberFormat="1" applyFont="1" applyFill="1" applyBorder="1"/>
    <xf numFmtId="0" fontId="32" fillId="42" borderId="0" xfId="0" applyFont="1" applyFill="1" applyBorder="1" applyAlignment="1">
      <alignment horizontal="left" vertical="top"/>
    </xf>
    <xf numFmtId="3" fontId="3" fillId="42" borderId="0" xfId="0" applyNumberFormat="1" applyFont="1" applyFill="1" applyBorder="1"/>
    <xf numFmtId="0" fontId="67" fillId="0" borderId="0" xfId="0" applyFont="1" applyAlignment="1">
      <alignment horizontal="left"/>
    </xf>
    <xf numFmtId="0" fontId="35" fillId="0" borderId="0" xfId="0" applyFont="1" applyBorder="1" applyAlignment="1">
      <alignment horizontal="justify"/>
    </xf>
    <xf numFmtId="172" fontId="35" fillId="0" borderId="0" xfId="50" applyNumberFormat="1" applyFont="1" applyBorder="1" applyAlignment="1">
      <alignment horizontal="justify"/>
    </xf>
    <xf numFmtId="1" fontId="67" fillId="0" borderId="0" xfId="0" applyNumberFormat="1" applyFont="1" applyBorder="1"/>
    <xf numFmtId="0" fontId="67" fillId="0" borderId="0" xfId="0" applyFont="1" applyFill="1" applyBorder="1" applyAlignment="1">
      <alignment horizontal="right"/>
    </xf>
    <xf numFmtId="0" fontId="3" fillId="0" borderId="0" xfId="0" applyNumberFormat="1" applyFont="1" applyBorder="1" applyAlignment="1">
      <alignment horizontal="right"/>
    </xf>
    <xf numFmtId="3" fontId="3" fillId="0" borderId="0" xfId="0" applyNumberFormat="1" applyFont="1" applyBorder="1" applyAlignment="1">
      <alignment horizontal="right"/>
    </xf>
    <xf numFmtId="3" fontId="2" fillId="0" borderId="0" xfId="0" applyNumberFormat="1" applyFont="1" applyFill="1" applyAlignment="1">
      <alignment horizontal="left" indent="1"/>
    </xf>
    <xf numFmtId="3" fontId="2" fillId="0" borderId="0" xfId="0" applyNumberFormat="1" applyFont="1" applyBorder="1" applyAlignment="1">
      <alignment horizontal="right"/>
    </xf>
    <xf numFmtId="3" fontId="79" fillId="0" borderId="0" xfId="0" applyNumberFormat="1" applyFont="1" applyAlignment="1">
      <alignment horizontal="left" indent="1"/>
    </xf>
    <xf numFmtId="3" fontId="81" fillId="0" borderId="0" xfId="0" applyNumberFormat="1" applyFont="1" applyAlignment="1">
      <alignment horizontal="left"/>
    </xf>
    <xf numFmtId="0" fontId="2" fillId="0" borderId="0" xfId="0" applyFont="1" applyBorder="1" applyAlignment="1">
      <alignment horizontal="left" indent="2"/>
    </xf>
    <xf numFmtId="3" fontId="2" fillId="0" borderId="0" xfId="0" applyNumberFormat="1" applyFont="1" applyBorder="1" applyAlignment="1">
      <alignment horizontal="justify"/>
    </xf>
    <xf numFmtId="3" fontId="2" fillId="0" borderId="0" xfId="50" applyNumberFormat="1" applyFont="1" applyBorder="1"/>
    <xf numFmtId="0" fontId="3" fillId="0" borderId="0" xfId="0" applyFont="1" applyBorder="1" applyAlignment="1">
      <alignment horizontal="left"/>
    </xf>
    <xf numFmtId="0" fontId="2" fillId="0" borderId="0" xfId="0" applyFont="1" applyBorder="1" applyAlignment="1">
      <alignment horizontal="justify"/>
    </xf>
    <xf numFmtId="172" fontId="3" fillId="0" borderId="0" xfId="50" applyNumberFormat="1" applyFont="1" applyBorder="1"/>
    <xf numFmtId="0" fontId="2" fillId="0" borderId="0" xfId="0" applyFont="1" applyBorder="1" applyAlignment="1">
      <alignment horizontal="right"/>
    </xf>
    <xf numFmtId="1" fontId="3" fillId="0" borderId="0" xfId="0" applyNumberFormat="1" applyFont="1" applyBorder="1"/>
    <xf numFmtId="0" fontId="3" fillId="0" borderId="0" xfId="0" applyFont="1" applyBorder="1" applyAlignment="1">
      <alignment horizontal="right"/>
    </xf>
    <xf numFmtId="0" fontId="3" fillId="0" borderId="0" xfId="0" applyFont="1" applyBorder="1" applyAlignment="1"/>
    <xf numFmtId="0" fontId="83" fillId="0" borderId="0" xfId="0" applyFont="1" applyBorder="1" applyAlignment="1">
      <alignment horizontal="justify" vertical="center"/>
    </xf>
    <xf numFmtId="3" fontId="83" fillId="0" borderId="0" xfId="0" applyNumberFormat="1" applyFont="1" applyBorder="1" applyAlignment="1">
      <alignment horizontal="center" vertical="center"/>
    </xf>
    <xf numFmtId="172" fontId="79" fillId="0" borderId="0" xfId="0" applyNumberFormat="1" applyFont="1" applyBorder="1" applyAlignment="1">
      <alignment horizontal="right"/>
    </xf>
    <xf numFmtId="3" fontId="53" fillId="0" borderId="0" xfId="0" applyNumberFormat="1" applyFont="1" applyBorder="1"/>
    <xf numFmtId="169" fontId="62" fillId="0" borderId="0" xfId="28" applyNumberFormat="1" applyFont="1"/>
    <xf numFmtId="169" fontId="61" fillId="0" borderId="0" xfId="28" applyNumberFormat="1" applyFont="1" applyBorder="1" applyAlignment="1">
      <alignment horizontal="right"/>
    </xf>
    <xf numFmtId="169" fontId="35" fillId="0" borderId="0" xfId="28" applyNumberFormat="1" applyFont="1" applyBorder="1"/>
    <xf numFmtId="43" fontId="35" fillId="0" borderId="0" xfId="28" applyNumberFormat="1" applyFont="1" applyFill="1"/>
    <xf numFmtId="43" fontId="35" fillId="42" borderId="0" xfId="28" applyNumberFormat="1" applyFont="1" applyFill="1"/>
    <xf numFmtId="43" fontId="35" fillId="0" borderId="0" xfId="28" applyNumberFormat="1" applyFont="1"/>
    <xf numFmtId="43" fontId="35" fillId="0" borderId="0" xfId="28" applyNumberFormat="1" applyFont="1" applyBorder="1"/>
    <xf numFmtId="43" fontId="60" fillId="0" borderId="0" xfId="28" applyNumberFormat="1" applyFont="1" applyBorder="1" applyAlignment="1">
      <alignment horizontal="right" vertical="center"/>
    </xf>
    <xf numFmtId="0" fontId="2" fillId="0" borderId="0" xfId="0" applyFont="1" applyAlignment="1">
      <alignment horizontal="right"/>
    </xf>
    <xf numFmtId="2" fontId="0" fillId="42" borderId="0" xfId="0" applyNumberFormat="1" applyFill="1"/>
    <xf numFmtId="0" fontId="0" fillId="42" borderId="0" xfId="0" applyFill="1"/>
    <xf numFmtId="2" fontId="0" fillId="42" borderId="0" xfId="0" applyNumberFormat="1" applyFill="1" applyBorder="1"/>
    <xf numFmtId="166" fontId="2" fillId="0" borderId="0" xfId="41" applyNumberFormat="1" applyFont="1" applyFill="1" applyBorder="1"/>
    <xf numFmtId="2" fontId="35" fillId="0" borderId="0" xfId="0" applyNumberFormat="1" applyFont="1" applyFill="1" applyBorder="1" applyAlignment="1">
      <alignment horizontal="center" wrapText="1"/>
    </xf>
    <xf numFmtId="166" fontId="5" fillId="0" borderId="0" xfId="41" applyNumberFormat="1" applyFont="1" applyFill="1"/>
    <xf numFmtId="166" fontId="2" fillId="0" borderId="0" xfId="0" applyNumberFormat="1" applyFont="1" applyFill="1"/>
    <xf numFmtId="2" fontId="0" fillId="0" borderId="0" xfId="0" applyNumberFormat="1" applyFill="1" applyBorder="1"/>
    <xf numFmtId="3" fontId="77" fillId="0" borderId="0" xfId="0" applyNumberFormat="1" applyFont="1" applyFill="1" applyBorder="1"/>
    <xf numFmtId="3" fontId="77" fillId="0" borderId="0" xfId="0" applyNumberFormat="1" applyFont="1" applyFill="1" applyBorder="1" applyAlignment="1" applyProtection="1">
      <alignment horizontal="right"/>
    </xf>
    <xf numFmtId="0" fontId="84" fillId="0" borderId="0" xfId="0" applyFont="1" applyBorder="1" applyAlignment="1">
      <alignment vertical="center"/>
    </xf>
    <xf numFmtId="0" fontId="84" fillId="0" borderId="0" xfId="0" applyFont="1" applyBorder="1" applyAlignment="1">
      <alignment horizontal="center" vertical="center"/>
    </xf>
    <xf numFmtId="0" fontId="85" fillId="0" borderId="0" xfId="0" applyFont="1" applyBorder="1" applyAlignment="1">
      <alignment vertical="center"/>
    </xf>
    <xf numFmtId="4" fontId="84" fillId="0" borderId="0" xfId="0" applyNumberFormat="1" applyFont="1" applyBorder="1" applyAlignment="1">
      <alignment horizontal="center" vertical="center"/>
    </xf>
    <xf numFmtId="3" fontId="0" fillId="0" borderId="0" xfId="0" applyNumberFormat="1" applyBorder="1"/>
    <xf numFmtId="172" fontId="53" fillId="42" borderId="0" xfId="28" applyNumberFormat="1" applyFont="1" applyFill="1" applyBorder="1" applyAlignment="1">
      <alignment horizontal="right"/>
    </xf>
    <xf numFmtId="172" fontId="53" fillId="42" borderId="20" xfId="28" applyNumberFormat="1" applyFont="1" applyFill="1" applyBorder="1" applyAlignment="1">
      <alignment horizontal="right"/>
    </xf>
    <xf numFmtId="166" fontId="86" fillId="0" borderId="0" xfId="41" applyNumberFormat="1" applyFont="1" applyBorder="1" applyProtection="1">
      <protection locked="0"/>
    </xf>
    <xf numFmtId="166" fontId="86" fillId="0" borderId="0" xfId="41" applyNumberFormat="1" applyFont="1" applyProtection="1">
      <protection locked="0"/>
    </xf>
    <xf numFmtId="166" fontId="4" fillId="0" borderId="0" xfId="0" applyNumberFormat="1" applyFont="1" applyProtection="1">
      <protection locked="0"/>
    </xf>
    <xf numFmtId="166" fontId="45" fillId="0" borderId="0" xfId="41" applyNumberFormat="1" applyFont="1" applyFill="1"/>
    <xf numFmtId="166" fontId="4" fillId="0" borderId="0" xfId="0" applyNumberFormat="1" applyFont="1" applyFill="1"/>
    <xf numFmtId="170" fontId="0" fillId="0" borderId="0" xfId="28" applyNumberFormat="1" applyFont="1" applyProtection="1">
      <protection locked="0"/>
    </xf>
    <xf numFmtId="4" fontId="87" fillId="0" borderId="0" xfId="0" applyNumberFormat="1" applyFont="1"/>
    <xf numFmtId="166" fontId="45" fillId="0" borderId="0" xfId="41" applyNumberFormat="1" applyFont="1" applyFill="1" applyBorder="1"/>
    <xf numFmtId="43" fontId="0" fillId="0" borderId="0" xfId="28" applyFont="1" applyProtection="1">
      <protection locked="0"/>
    </xf>
    <xf numFmtId="10" fontId="88" fillId="0" borderId="0" xfId="0" applyNumberFormat="1" applyFont="1"/>
    <xf numFmtId="166" fontId="88" fillId="0" borderId="0" xfId="41" applyNumberFormat="1" applyFont="1" applyProtection="1">
      <protection locked="0"/>
    </xf>
    <xf numFmtId="184" fontId="0" fillId="0" borderId="0" xfId="41" applyNumberFormat="1" applyFont="1" applyProtection="1">
      <protection locked="0"/>
    </xf>
    <xf numFmtId="184" fontId="4" fillId="0" borderId="0" xfId="41" applyNumberFormat="1" applyFont="1"/>
    <xf numFmtId="184" fontId="0" fillId="0" borderId="0" xfId="41" applyNumberFormat="1" applyFont="1"/>
    <xf numFmtId="10" fontId="2" fillId="46" borderId="0" xfId="41" applyNumberFormat="1" applyFont="1" applyFill="1" applyAlignment="1">
      <alignment horizontal="right"/>
    </xf>
    <xf numFmtId="168" fontId="88" fillId="0" borderId="0" xfId="0" applyNumberFormat="1" applyFont="1"/>
    <xf numFmtId="10" fontId="45" fillId="0" borderId="0" xfId="0" applyNumberFormat="1" applyFont="1"/>
    <xf numFmtId="0" fontId="11" fillId="0" borderId="0" xfId="0" applyFont="1" applyAlignment="1">
      <alignment wrapText="1"/>
    </xf>
    <xf numFmtId="0" fontId="84" fillId="0" borderId="0" xfId="0" applyFont="1" applyBorder="1" applyAlignment="1">
      <alignment horizontal="center" vertical="center"/>
    </xf>
    <xf numFmtId="0" fontId="0" fillId="0" borderId="0" xfId="0" applyAlignment="1">
      <alignment horizontal="center"/>
    </xf>
  </cellXfs>
  <cellStyles count="7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53"/>
    <cellStyle name="Comma 3" xfId="54"/>
    <cellStyle name="Comma 3 2" xfId="50"/>
    <cellStyle name="Comma_GDP tables - New series-June-2008" xfId="29"/>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Input" xfId="36" builtinId="20" customBuiltin="1"/>
    <cellStyle name="Linked Cell" xfId="37" builtinId="24" customBuiltin="1"/>
    <cellStyle name="Neutral" xfId="38" builtinId="28" customBuiltin="1"/>
    <cellStyle name="Normal" xfId="0" builtinId="0"/>
    <cellStyle name="Normal 2" xfId="47"/>
    <cellStyle name="Normal 2 2" xfId="56"/>
    <cellStyle name="Normal 2 3" xfId="57"/>
    <cellStyle name="Normal 2 4" xfId="58"/>
    <cellStyle name="Normal 2 5" xfId="59"/>
    <cellStyle name="Normal 2 6" xfId="55"/>
    <cellStyle name="Normal 3" xfId="45"/>
    <cellStyle name="Normal 3 10" xfId="60"/>
    <cellStyle name="Normal 3 11" xfId="61"/>
    <cellStyle name="Normal 3 2" xfId="62"/>
    <cellStyle name="Normal 3 3" xfId="63"/>
    <cellStyle name="Normal 3 4" xfId="64"/>
    <cellStyle name="Normal 3 5" xfId="65"/>
    <cellStyle name="Normal 3 6" xfId="66"/>
    <cellStyle name="Normal 3 7" xfId="67"/>
    <cellStyle name="Normal 3 8" xfId="68"/>
    <cellStyle name="Normal 3 9" xfId="69"/>
    <cellStyle name="Normal 4" xfId="70"/>
    <cellStyle name="Normal 4 2" xfId="71"/>
    <cellStyle name="Normal 5" xfId="52"/>
    <cellStyle name="Normal Table" xfId="46"/>
    <cellStyle name="Normal_GEN97GR" xfId="49"/>
    <cellStyle name="Normal_Tables1Q" xfId="48"/>
    <cellStyle name="Note" xfId="39" builtinId="10" customBuiltin="1"/>
    <cellStyle name="Output" xfId="40" builtinId="21" customBuiltin="1"/>
    <cellStyle name="Percent" xfId="41" builtinId="5"/>
    <cellStyle name="Percent 2 2" xfId="51"/>
    <cellStyle name="Title" xfId="42" builtinId="15" customBuiltin="1"/>
    <cellStyle name="Total" xfId="43" builtinId="25" customBuiltin="1"/>
    <cellStyle name="Warning Text" xfId="44" builtinId="11" customBuiltin="1"/>
  </cellStyles>
  <dxfs count="0"/>
  <tableStyles count="0" defaultTableStyle="TableStyleMedium9" defaultPivotStyle="PivotStyleLight16"/>
  <colors>
    <mruColors>
      <color rgb="FF00FFFF"/>
      <color rgb="FFFF9900"/>
      <color rgb="FF66FF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Prices!$FP$64</c:f>
              <c:strCache>
                <c:ptCount val="1"/>
                <c:pt idx="0">
                  <c:v>16%</c:v>
                </c:pt>
              </c:strCache>
            </c:strRef>
          </c:tx>
          <c:marker>
            <c:symbol val="none"/>
          </c:marker>
          <c:cat>
            <c:numRef>
              <c:f>Prices!$FQ$63:$HG$63</c:f>
              <c:numCache>
                <c:formatCode>mmm\-yy</c:formatCode>
                <c:ptCount val="43"/>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numCache>
            </c:numRef>
          </c:cat>
          <c:val>
            <c:numRef>
              <c:f>Prices!$FQ$64:$HG$64</c:f>
              <c:numCache>
                <c:formatCode>0%</c:formatCode>
                <c:ptCount val="43"/>
                <c:pt idx="0">
                  <c:v>8.8631408608450535E-2</c:v>
                </c:pt>
                <c:pt idx="1">
                  <c:v>8.1714336263165599E-2</c:v>
                </c:pt>
                <c:pt idx="2">
                  <c:v>6.895918132188128E-2</c:v>
                </c:pt>
                <c:pt idx="3">
                  <c:v>7.7895788131294497E-2</c:v>
                </c:pt>
                <c:pt idx="4">
                  <c:v>0.14170093971304509</c:v>
                </c:pt>
                <c:pt idx="5">
                  <c:v>0.20536336432913571</c:v>
                </c:pt>
                <c:pt idx="6">
                  <c:v>0.19201865632533277</c:v>
                </c:pt>
                <c:pt idx="7">
                  <c:v>0.22413687705552254</c:v>
                </c:pt>
                <c:pt idx="8">
                  <c:v>0.26594014933550736</c:v>
                </c:pt>
                <c:pt idx="9">
                  <c:v>0.21243326818168562</c:v>
                </c:pt>
                <c:pt idx="10">
                  <c:v>0.32115995371510175</c:v>
                </c:pt>
                <c:pt idx="11">
                  <c:v>0.26436847869948688</c:v>
                </c:pt>
                <c:pt idx="12">
                  <c:v>0.28482773770731873</c:v>
                </c:pt>
                <c:pt idx="13">
                  <c:v>0.16505769377722301</c:v>
                </c:pt>
                <c:pt idx="14">
                  <c:v>8.7196937473415614E-2</c:v>
                </c:pt>
                <c:pt idx="15">
                  <c:v>-3.6211699164345412E-2</c:v>
                </c:pt>
                <c:pt idx="16">
                  <c:v>-0.13869366626065771</c:v>
                </c:pt>
                <c:pt idx="17">
                  <c:v>-0.14400345932153746</c:v>
                </c:pt>
                <c:pt idx="18">
                  <c:v>-0.1911873537295038</c:v>
                </c:pt>
                <c:pt idx="19">
                  <c:v>-0.19565797414930852</c:v>
                </c:pt>
                <c:pt idx="20">
                  <c:v>-0.21333701178417996</c:v>
                </c:pt>
                <c:pt idx="21">
                  <c:v>-0.21520175164216448</c:v>
                </c:pt>
                <c:pt idx="22">
                  <c:v>-0.2221542826395343</c:v>
                </c:pt>
                <c:pt idx="23">
                  <c:v>-0.21928144804632288</c:v>
                </c:pt>
                <c:pt idx="24">
                  <c:v>-0.25013891857234449</c:v>
                </c:pt>
                <c:pt idx="25">
                  <c:v>-0.16097859594656638</c:v>
                </c:pt>
                <c:pt idx="26">
                  <c:v>4.4809955624155906E-2</c:v>
                </c:pt>
                <c:pt idx="27">
                  <c:v>0.26317919075144514</c:v>
                </c:pt>
                <c:pt idx="28">
                  <c:v>0.40871062000403025</c:v>
                </c:pt>
                <c:pt idx="29">
                  <c:v>0.53399350457420569</c:v>
                </c:pt>
                <c:pt idx="30">
                  <c:v>0.61759856500942156</c:v>
                </c:pt>
                <c:pt idx="31">
                  <c:v>0.48983573988008655</c:v>
                </c:pt>
                <c:pt idx="32">
                  <c:v>0.45791583166332672</c:v>
                </c:pt>
                <c:pt idx="33">
                  <c:v>0.41001727115716768</c:v>
                </c:pt>
                <c:pt idx="34">
                  <c:v>0.33261013111970561</c:v>
                </c:pt>
                <c:pt idx="35">
                  <c:v>0.25471136157911634</c:v>
                </c:pt>
                <c:pt idx="36">
                  <c:v>0.26145471128085274</c:v>
                </c:pt>
                <c:pt idx="37">
                  <c:v>0.1061366479049406</c:v>
                </c:pt>
                <c:pt idx="38">
                  <c:v>-9.313974424080107E-3</c:v>
                </c:pt>
                <c:pt idx="39">
                  <c:v>7.3877728458335179E-2</c:v>
                </c:pt>
                <c:pt idx="40">
                  <c:v>0.24736815126260803</c:v>
                </c:pt>
                <c:pt idx="41">
                  <c:v>0.16098723046471286</c:v>
                </c:pt>
                <c:pt idx="42">
                  <c:v>0.16649880047149912</c:v>
                </c:pt>
              </c:numCache>
            </c:numRef>
          </c:val>
          <c:smooth val="0"/>
        </c:ser>
        <c:ser>
          <c:idx val="1"/>
          <c:order val="1"/>
          <c:tx>
            <c:strRef>
              <c:f>Prices!$FP$65</c:f>
              <c:strCache>
                <c:ptCount val="1"/>
                <c:pt idx="0">
                  <c:v>49%</c:v>
                </c:pt>
              </c:strCache>
            </c:strRef>
          </c:tx>
          <c:marker>
            <c:symbol val="none"/>
          </c:marker>
          <c:cat>
            <c:numRef>
              <c:f>Prices!$FQ$63:$HG$63</c:f>
              <c:numCache>
                <c:formatCode>mmm\-yy</c:formatCode>
                <c:ptCount val="43"/>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numCache>
            </c:numRef>
          </c:cat>
          <c:val>
            <c:numRef>
              <c:f>Prices!$FQ$65:$HG$65</c:f>
              <c:numCache>
                <c:formatCode>0%</c:formatCode>
                <c:ptCount val="43"/>
                <c:pt idx="0">
                  <c:v>0.45786211179833347</c:v>
                </c:pt>
                <c:pt idx="1">
                  <c:v>0.43050180544797345</c:v>
                </c:pt>
                <c:pt idx="2">
                  <c:v>0.33723301186557109</c:v>
                </c:pt>
                <c:pt idx="3">
                  <c:v>0.25796853132946529</c:v>
                </c:pt>
                <c:pt idx="4">
                  <c:v>0.11238644793260466</c:v>
                </c:pt>
                <c:pt idx="5">
                  <c:v>0.15102126436536656</c:v>
                </c:pt>
                <c:pt idx="6">
                  <c:v>0.16572224824410964</c:v>
                </c:pt>
                <c:pt idx="7">
                  <c:v>0.15549864154068449</c:v>
                </c:pt>
                <c:pt idx="8">
                  <c:v>4.139872794571442E-2</c:v>
                </c:pt>
                <c:pt idx="9">
                  <c:v>2.9146033053445208E-2</c:v>
                </c:pt>
                <c:pt idx="10">
                  <c:v>7.6974654287539357E-2</c:v>
                </c:pt>
                <c:pt idx="11">
                  <c:v>-9.3468389800908103E-3</c:v>
                </c:pt>
                <c:pt idx="12">
                  <c:v>-2.9027761953781539E-2</c:v>
                </c:pt>
                <c:pt idx="13">
                  <c:v>-5.947462434711559E-2</c:v>
                </c:pt>
                <c:pt idx="14">
                  <c:v>-9.1223487409059056E-2</c:v>
                </c:pt>
                <c:pt idx="15">
                  <c:v>-0.13195705577290517</c:v>
                </c:pt>
                <c:pt idx="16">
                  <c:v>-0.1201203649776742</c:v>
                </c:pt>
                <c:pt idx="17">
                  <c:v>-3.9656307706673388E-2</c:v>
                </c:pt>
                <c:pt idx="18">
                  <c:v>-0.15941016115534778</c:v>
                </c:pt>
                <c:pt idx="19">
                  <c:v>-0.15413174654262263</c:v>
                </c:pt>
                <c:pt idx="20">
                  <c:v>-0.157112554299778</c:v>
                </c:pt>
                <c:pt idx="21">
                  <c:v>-0.13846919653314593</c:v>
                </c:pt>
                <c:pt idx="22">
                  <c:v>-0.112926170729583</c:v>
                </c:pt>
                <c:pt idx="23">
                  <c:v>-6.4630167639786018E-2</c:v>
                </c:pt>
                <c:pt idx="24">
                  <c:v>-3.4584465369012607E-2</c:v>
                </c:pt>
                <c:pt idx="25">
                  <c:v>1.4980427582053535E-2</c:v>
                </c:pt>
                <c:pt idx="26">
                  <c:v>-0.11598662967416928</c:v>
                </c:pt>
                <c:pt idx="27">
                  <c:v>0.18611343450033857</c:v>
                </c:pt>
                <c:pt idx="28">
                  <c:v>0.29712784019451655</c:v>
                </c:pt>
                <c:pt idx="29">
                  <c:v>0.31479758482046805</c:v>
                </c:pt>
                <c:pt idx="30">
                  <c:v>0.44336395666182882</c:v>
                </c:pt>
                <c:pt idx="31">
                  <c:v>0.45681603010438265</c:v>
                </c:pt>
                <c:pt idx="32">
                  <c:v>0.54719345138656861</c:v>
                </c:pt>
                <c:pt idx="33">
                  <c:v>0.62269199832330702</c:v>
                </c:pt>
                <c:pt idx="34">
                  <c:v>0.68516538662942916</c:v>
                </c:pt>
                <c:pt idx="35">
                  <c:v>0.64388199226013976</c:v>
                </c:pt>
                <c:pt idx="36">
                  <c:v>0.68831715802966498</c:v>
                </c:pt>
                <c:pt idx="37">
                  <c:v>0.65604650300378253</c:v>
                </c:pt>
                <c:pt idx="38">
                  <c:v>1.0529413654962618</c:v>
                </c:pt>
                <c:pt idx="39">
                  <c:v>0.71278637329057482</c:v>
                </c:pt>
                <c:pt idx="40">
                  <c:v>0.4833184195270539</c:v>
                </c:pt>
                <c:pt idx="41">
                  <c:v>0.33601207046773074</c:v>
                </c:pt>
                <c:pt idx="42">
                  <c:v>0.33071702670864012</c:v>
                </c:pt>
              </c:numCache>
            </c:numRef>
          </c:val>
          <c:smooth val="0"/>
        </c:ser>
        <c:ser>
          <c:idx val="2"/>
          <c:order val="2"/>
          <c:tx>
            <c:strRef>
              <c:f>Prices!$FP$66</c:f>
              <c:strCache>
                <c:ptCount val="1"/>
                <c:pt idx="0">
                  <c:v>14%</c:v>
                </c:pt>
              </c:strCache>
            </c:strRef>
          </c:tx>
          <c:marker>
            <c:symbol val="none"/>
          </c:marker>
          <c:cat>
            <c:numRef>
              <c:f>Prices!$FQ$63:$HG$63</c:f>
              <c:numCache>
                <c:formatCode>mmm\-yy</c:formatCode>
                <c:ptCount val="43"/>
                <c:pt idx="0">
                  <c:v>39814</c:v>
                </c:pt>
                <c:pt idx="1">
                  <c:v>39845</c:v>
                </c:pt>
                <c:pt idx="2">
                  <c:v>39873</c:v>
                </c:pt>
                <c:pt idx="3">
                  <c:v>39904</c:v>
                </c:pt>
                <c:pt idx="4">
                  <c:v>39934</c:v>
                </c:pt>
                <c:pt idx="5">
                  <c:v>39965</c:v>
                </c:pt>
                <c:pt idx="6">
                  <c:v>39995</c:v>
                </c:pt>
                <c:pt idx="7">
                  <c:v>40026</c:v>
                </c:pt>
                <c:pt idx="8">
                  <c:v>40057</c:v>
                </c:pt>
                <c:pt idx="9">
                  <c:v>40087</c:v>
                </c:pt>
                <c:pt idx="10">
                  <c:v>40118</c:v>
                </c:pt>
                <c:pt idx="11">
                  <c:v>40148</c:v>
                </c:pt>
                <c:pt idx="12">
                  <c:v>40179</c:v>
                </c:pt>
                <c:pt idx="13">
                  <c:v>40210</c:v>
                </c:pt>
                <c:pt idx="14">
                  <c:v>40238</c:v>
                </c:pt>
                <c:pt idx="15">
                  <c:v>40269</c:v>
                </c:pt>
                <c:pt idx="16">
                  <c:v>40299</c:v>
                </c:pt>
                <c:pt idx="17">
                  <c:v>40330</c:v>
                </c:pt>
                <c:pt idx="18">
                  <c:v>40360</c:v>
                </c:pt>
                <c:pt idx="19">
                  <c:v>40391</c:v>
                </c:pt>
                <c:pt idx="20">
                  <c:v>40422</c:v>
                </c:pt>
                <c:pt idx="21">
                  <c:v>40452</c:v>
                </c:pt>
                <c:pt idx="22">
                  <c:v>40483</c:v>
                </c:pt>
                <c:pt idx="23">
                  <c:v>40513</c:v>
                </c:pt>
                <c:pt idx="24">
                  <c:v>40544</c:v>
                </c:pt>
                <c:pt idx="25">
                  <c:v>40575</c:v>
                </c:pt>
                <c:pt idx="26">
                  <c:v>40603</c:v>
                </c:pt>
                <c:pt idx="27">
                  <c:v>40634</c:v>
                </c:pt>
                <c:pt idx="28">
                  <c:v>40664</c:v>
                </c:pt>
                <c:pt idx="29">
                  <c:v>40695</c:v>
                </c:pt>
                <c:pt idx="30">
                  <c:v>40725</c:v>
                </c:pt>
                <c:pt idx="31">
                  <c:v>40756</c:v>
                </c:pt>
                <c:pt idx="32">
                  <c:v>40787</c:v>
                </c:pt>
                <c:pt idx="33">
                  <c:v>40817</c:v>
                </c:pt>
                <c:pt idx="34">
                  <c:v>40848</c:v>
                </c:pt>
                <c:pt idx="35">
                  <c:v>40878</c:v>
                </c:pt>
                <c:pt idx="36">
                  <c:v>40909</c:v>
                </c:pt>
                <c:pt idx="37">
                  <c:v>40940</c:v>
                </c:pt>
                <c:pt idx="38">
                  <c:v>40969</c:v>
                </c:pt>
                <c:pt idx="39">
                  <c:v>41000</c:v>
                </c:pt>
                <c:pt idx="40">
                  <c:v>41030</c:v>
                </c:pt>
                <c:pt idx="41">
                  <c:v>41061</c:v>
                </c:pt>
                <c:pt idx="42">
                  <c:v>41091</c:v>
                </c:pt>
              </c:numCache>
            </c:numRef>
          </c:cat>
          <c:val>
            <c:numRef>
              <c:f>Prices!$FQ$66:$HG$66</c:f>
              <c:numCache>
                <c:formatCode>0%</c:formatCode>
                <c:ptCount val="43"/>
                <c:pt idx="0">
                  <c:v>0.15452476655459457</c:v>
                </c:pt>
                <c:pt idx="1">
                  <c:v>0.1375759318264469</c:v>
                </c:pt>
                <c:pt idx="2">
                  <c:v>0.18498534596721927</c:v>
                </c:pt>
                <c:pt idx="3">
                  <c:v>0.14201533320374193</c:v>
                </c:pt>
                <c:pt idx="4">
                  <c:v>0.14175491908720272</c:v>
                </c:pt>
                <c:pt idx="5">
                  <c:v>0.13644005093322598</c:v>
                </c:pt>
                <c:pt idx="6">
                  <c:v>0.1852745927924786</c:v>
                </c:pt>
                <c:pt idx="7">
                  <c:v>0.33619601462229376</c:v>
                </c:pt>
                <c:pt idx="8">
                  <c:v>0.34573433794768826</c:v>
                </c:pt>
                <c:pt idx="9">
                  <c:v>0.42831939163498145</c:v>
                </c:pt>
                <c:pt idx="10">
                  <c:v>0.41215272265438951</c:v>
                </c:pt>
                <c:pt idx="11">
                  <c:v>0.36432409821532552</c:v>
                </c:pt>
                <c:pt idx="12">
                  <c:v>0.19104011387675213</c:v>
                </c:pt>
                <c:pt idx="13">
                  <c:v>7.8427457746438334E-2</c:v>
                </c:pt>
                <c:pt idx="14">
                  <c:v>8.9254722744872561E-2</c:v>
                </c:pt>
                <c:pt idx="15">
                  <c:v>0.17373231501189457</c:v>
                </c:pt>
                <c:pt idx="16">
                  <c:v>0.13162540755947338</c:v>
                </c:pt>
                <c:pt idx="17">
                  <c:v>6.7905167233787811E-2</c:v>
                </c:pt>
                <c:pt idx="18">
                  <c:v>2.7100553205336775E-2</c:v>
                </c:pt>
                <c:pt idx="19">
                  <c:v>-5.9955659187339916E-2</c:v>
                </c:pt>
                <c:pt idx="20">
                  <c:v>-3.860624226916709E-2</c:v>
                </c:pt>
                <c:pt idx="21">
                  <c:v>-4.3779992617201891E-2</c:v>
                </c:pt>
                <c:pt idx="22">
                  <c:v>-9.0032208563093352E-2</c:v>
                </c:pt>
                <c:pt idx="23">
                  <c:v>-0.12734000188140859</c:v>
                </c:pt>
                <c:pt idx="24">
                  <c:v>1.3511719009361878E-2</c:v>
                </c:pt>
                <c:pt idx="25">
                  <c:v>0.27391455098817286</c:v>
                </c:pt>
                <c:pt idx="26">
                  <c:v>0.2014985395589044</c:v>
                </c:pt>
                <c:pt idx="27">
                  <c:v>0.13526550466153231</c:v>
                </c:pt>
                <c:pt idx="28">
                  <c:v>0.12268810445854705</c:v>
                </c:pt>
                <c:pt idx="29">
                  <c:v>0.18108403949938068</c:v>
                </c:pt>
                <c:pt idx="30">
                  <c:v>6.4554739545710005E-2</c:v>
                </c:pt>
                <c:pt idx="31">
                  <c:v>0.15932296431838977</c:v>
                </c:pt>
                <c:pt idx="32">
                  <c:v>0.17460519006428066</c:v>
                </c:pt>
                <c:pt idx="33">
                  <c:v>8.8770074119826958E-2</c:v>
                </c:pt>
                <c:pt idx="34">
                  <c:v>0.199770208665357</c:v>
                </c:pt>
                <c:pt idx="35">
                  <c:v>0.19771110312612294</c:v>
                </c:pt>
                <c:pt idx="36">
                  <c:v>3.4970028497494088E-2</c:v>
                </c:pt>
                <c:pt idx="37">
                  <c:v>-7.8549611395046459E-2</c:v>
                </c:pt>
                <c:pt idx="38">
                  <c:v>5.8335975760138048E-2</c:v>
                </c:pt>
                <c:pt idx="39">
                  <c:v>0.11370907273181707</c:v>
                </c:pt>
                <c:pt idx="40">
                  <c:v>9.4907001901679777E-2</c:v>
                </c:pt>
                <c:pt idx="41">
                  <c:v>0.1919725606090783</c:v>
                </c:pt>
                <c:pt idx="42">
                  <c:v>0.43081419293670575</c:v>
                </c:pt>
              </c:numCache>
            </c:numRef>
          </c:val>
          <c:smooth val="0"/>
        </c:ser>
        <c:dLbls>
          <c:showLegendKey val="0"/>
          <c:showVal val="0"/>
          <c:showCatName val="0"/>
          <c:showSerName val="0"/>
          <c:showPercent val="0"/>
          <c:showBubbleSize val="0"/>
        </c:dLbls>
        <c:smooth val="0"/>
        <c:axId val="1288898368"/>
        <c:axId val="1288903264"/>
      </c:lineChart>
      <c:dateAx>
        <c:axId val="1288898368"/>
        <c:scaling>
          <c:orientation val="minMax"/>
        </c:scaling>
        <c:delete val="0"/>
        <c:axPos val="b"/>
        <c:numFmt formatCode="mmm\-yy" sourceLinked="1"/>
        <c:majorTickMark val="out"/>
        <c:minorTickMark val="none"/>
        <c:tickLblPos val="low"/>
        <c:crossAx val="1288903264"/>
        <c:crosses val="autoZero"/>
        <c:auto val="1"/>
        <c:lblOffset val="100"/>
        <c:baseTimeUnit val="months"/>
      </c:dateAx>
      <c:valAx>
        <c:axId val="1288903264"/>
        <c:scaling>
          <c:orientation val="minMax"/>
        </c:scaling>
        <c:delete val="0"/>
        <c:axPos val="l"/>
        <c:majorGridlines/>
        <c:numFmt formatCode="0%" sourceLinked="1"/>
        <c:majorTickMark val="out"/>
        <c:minorTickMark val="none"/>
        <c:tickLblPos val="nextTo"/>
        <c:crossAx val="1288898368"/>
        <c:crosses val="autoZero"/>
        <c:crossBetween val="between"/>
      </c:valAx>
    </c:plotArea>
    <c:legend>
      <c:legendPos val="t"/>
      <c:overlay val="0"/>
    </c:legend>
    <c:plotVisOnly val="1"/>
    <c:dispBlanksAs val="gap"/>
    <c:showDLblsOverMax val="0"/>
  </c:chart>
  <c:printSettings>
    <c:headerFooter/>
    <c:pageMargins b="0.7500000000000141" l="0.70000000000000062" r="0.70000000000000062" t="0.750000000000014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Monthly Change in the Domestic Price of Petrol in TZS</c:v>
          </c:tx>
          <c:spPr>
            <a:ln w="38100"/>
          </c:spPr>
          <c:marker>
            <c:symbol val="none"/>
          </c:marker>
          <c:cat>
            <c:numRef>
              <c:f>Prices!$DJ$4:$HG$4</c:f>
              <c:numCache>
                <c:formatCode>mmm\-yy</c:formatCode>
                <c:ptCount val="102"/>
                <c:pt idx="0">
                  <c:v>38018</c:v>
                </c:pt>
                <c:pt idx="1">
                  <c:v>38047</c:v>
                </c:pt>
                <c:pt idx="2">
                  <c:v>38078</c:v>
                </c:pt>
                <c:pt idx="3">
                  <c:v>38108</c:v>
                </c:pt>
                <c:pt idx="4">
                  <c:v>38139</c:v>
                </c:pt>
                <c:pt idx="5">
                  <c:v>38169</c:v>
                </c:pt>
                <c:pt idx="6">
                  <c:v>38200</c:v>
                </c:pt>
                <c:pt idx="7">
                  <c:v>38231</c:v>
                </c:pt>
                <c:pt idx="8">
                  <c:v>38261</c:v>
                </c:pt>
                <c:pt idx="9">
                  <c:v>38292</c:v>
                </c:pt>
                <c:pt idx="10">
                  <c:v>38322</c:v>
                </c:pt>
                <c:pt idx="11">
                  <c:v>38353</c:v>
                </c:pt>
                <c:pt idx="12">
                  <c:v>38384</c:v>
                </c:pt>
                <c:pt idx="13">
                  <c:v>38412</c:v>
                </c:pt>
                <c:pt idx="14">
                  <c:v>38443</c:v>
                </c:pt>
                <c:pt idx="15">
                  <c:v>38473</c:v>
                </c:pt>
                <c:pt idx="16">
                  <c:v>38504</c:v>
                </c:pt>
                <c:pt idx="17">
                  <c:v>38534</c:v>
                </c:pt>
                <c:pt idx="18">
                  <c:v>38565</c:v>
                </c:pt>
                <c:pt idx="19">
                  <c:v>38596</c:v>
                </c:pt>
                <c:pt idx="20">
                  <c:v>38626</c:v>
                </c:pt>
                <c:pt idx="21">
                  <c:v>38657</c:v>
                </c:pt>
                <c:pt idx="22">
                  <c:v>38687</c:v>
                </c:pt>
                <c:pt idx="23">
                  <c:v>38718</c:v>
                </c:pt>
                <c:pt idx="24">
                  <c:v>38749</c:v>
                </c:pt>
                <c:pt idx="25">
                  <c:v>38777</c:v>
                </c:pt>
                <c:pt idx="26">
                  <c:v>38808</c:v>
                </c:pt>
                <c:pt idx="27">
                  <c:v>38838</c:v>
                </c:pt>
                <c:pt idx="28">
                  <c:v>38869</c:v>
                </c:pt>
                <c:pt idx="29">
                  <c:v>38899</c:v>
                </c:pt>
                <c:pt idx="30">
                  <c:v>38930</c:v>
                </c:pt>
                <c:pt idx="31">
                  <c:v>38961</c:v>
                </c:pt>
                <c:pt idx="32">
                  <c:v>38991</c:v>
                </c:pt>
                <c:pt idx="33">
                  <c:v>39022</c:v>
                </c:pt>
                <c:pt idx="34">
                  <c:v>39052</c:v>
                </c:pt>
                <c:pt idx="35">
                  <c:v>39083</c:v>
                </c:pt>
                <c:pt idx="36">
                  <c:v>39114</c:v>
                </c:pt>
                <c:pt idx="37">
                  <c:v>39142</c:v>
                </c:pt>
                <c:pt idx="38">
                  <c:v>39173</c:v>
                </c:pt>
                <c:pt idx="39">
                  <c:v>39203</c:v>
                </c:pt>
                <c:pt idx="40">
                  <c:v>39234</c:v>
                </c:pt>
                <c:pt idx="41">
                  <c:v>39264</c:v>
                </c:pt>
                <c:pt idx="42">
                  <c:v>39295</c:v>
                </c:pt>
                <c:pt idx="43">
                  <c:v>39326</c:v>
                </c:pt>
                <c:pt idx="44">
                  <c:v>39356</c:v>
                </c:pt>
                <c:pt idx="45">
                  <c:v>39387</c:v>
                </c:pt>
                <c:pt idx="46">
                  <c:v>39417</c:v>
                </c:pt>
                <c:pt idx="47">
                  <c:v>39448</c:v>
                </c:pt>
                <c:pt idx="48">
                  <c:v>39479</c:v>
                </c:pt>
                <c:pt idx="49">
                  <c:v>39508</c:v>
                </c:pt>
                <c:pt idx="50">
                  <c:v>39539</c:v>
                </c:pt>
                <c:pt idx="51">
                  <c:v>39569</c:v>
                </c:pt>
                <c:pt idx="52">
                  <c:v>39600</c:v>
                </c:pt>
                <c:pt idx="53">
                  <c:v>39630</c:v>
                </c:pt>
                <c:pt idx="54">
                  <c:v>39661</c:v>
                </c:pt>
                <c:pt idx="55">
                  <c:v>39692</c:v>
                </c:pt>
                <c:pt idx="56">
                  <c:v>39722</c:v>
                </c:pt>
                <c:pt idx="57">
                  <c:v>39753</c:v>
                </c:pt>
                <c:pt idx="58">
                  <c:v>39783</c:v>
                </c:pt>
                <c:pt idx="59">
                  <c:v>39814</c:v>
                </c:pt>
                <c:pt idx="60">
                  <c:v>39845</c:v>
                </c:pt>
                <c:pt idx="61">
                  <c:v>39873</c:v>
                </c:pt>
                <c:pt idx="62">
                  <c:v>39904</c:v>
                </c:pt>
                <c:pt idx="63">
                  <c:v>39934</c:v>
                </c:pt>
                <c:pt idx="64">
                  <c:v>39965</c:v>
                </c:pt>
                <c:pt idx="65">
                  <c:v>39995</c:v>
                </c:pt>
                <c:pt idx="66">
                  <c:v>40026</c:v>
                </c:pt>
                <c:pt idx="67">
                  <c:v>40057</c:v>
                </c:pt>
                <c:pt idx="68">
                  <c:v>40087</c:v>
                </c:pt>
                <c:pt idx="69">
                  <c:v>40118</c:v>
                </c:pt>
                <c:pt idx="70">
                  <c:v>40148</c:v>
                </c:pt>
                <c:pt idx="71">
                  <c:v>40179</c:v>
                </c:pt>
                <c:pt idx="72">
                  <c:v>40210</c:v>
                </c:pt>
                <c:pt idx="73">
                  <c:v>40238</c:v>
                </c:pt>
                <c:pt idx="74">
                  <c:v>40269</c:v>
                </c:pt>
                <c:pt idx="75">
                  <c:v>40299</c:v>
                </c:pt>
                <c:pt idx="76">
                  <c:v>40330</c:v>
                </c:pt>
                <c:pt idx="77">
                  <c:v>40360</c:v>
                </c:pt>
                <c:pt idx="78">
                  <c:v>40391</c:v>
                </c:pt>
                <c:pt idx="79">
                  <c:v>40422</c:v>
                </c:pt>
                <c:pt idx="80">
                  <c:v>40452</c:v>
                </c:pt>
                <c:pt idx="81">
                  <c:v>40483</c:v>
                </c:pt>
                <c:pt idx="82">
                  <c:v>40513</c:v>
                </c:pt>
                <c:pt idx="83">
                  <c:v>40544</c:v>
                </c:pt>
                <c:pt idx="84">
                  <c:v>40575</c:v>
                </c:pt>
                <c:pt idx="85">
                  <c:v>40603</c:v>
                </c:pt>
                <c:pt idx="86">
                  <c:v>40634</c:v>
                </c:pt>
                <c:pt idx="87">
                  <c:v>40664</c:v>
                </c:pt>
                <c:pt idx="88">
                  <c:v>40695</c:v>
                </c:pt>
                <c:pt idx="89">
                  <c:v>40725</c:v>
                </c:pt>
                <c:pt idx="90">
                  <c:v>40756</c:v>
                </c:pt>
                <c:pt idx="91">
                  <c:v>40787</c:v>
                </c:pt>
                <c:pt idx="92">
                  <c:v>40817</c:v>
                </c:pt>
                <c:pt idx="93">
                  <c:v>40848</c:v>
                </c:pt>
                <c:pt idx="94">
                  <c:v>40878</c:v>
                </c:pt>
                <c:pt idx="95">
                  <c:v>40909</c:v>
                </c:pt>
                <c:pt idx="96">
                  <c:v>40940</c:v>
                </c:pt>
                <c:pt idx="97">
                  <c:v>40969</c:v>
                </c:pt>
                <c:pt idx="98">
                  <c:v>41000</c:v>
                </c:pt>
                <c:pt idx="99">
                  <c:v>41030</c:v>
                </c:pt>
                <c:pt idx="100">
                  <c:v>41061</c:v>
                </c:pt>
                <c:pt idx="101">
                  <c:v>41091</c:v>
                </c:pt>
              </c:numCache>
            </c:numRef>
          </c:cat>
          <c:val>
            <c:numRef>
              <c:f>Prices!$DJ$62:$HG$62</c:f>
              <c:numCache>
                <c:formatCode>_(* #,##0_);_(* \(#,##0\);_(* "-"??_);_(@_)</c:formatCode>
                <c:ptCount val="102"/>
                <c:pt idx="0">
                  <c:v>56.6114035087719</c:v>
                </c:pt>
                <c:pt idx="1">
                  <c:v>2.413596491228077</c:v>
                </c:pt>
                <c:pt idx="2">
                  <c:v>12.458333333333144</c:v>
                </c:pt>
                <c:pt idx="3">
                  <c:v>76.850000000000023</c:v>
                </c:pt>
                <c:pt idx="4">
                  <c:v>3.2291666666668561</c:v>
                </c:pt>
                <c:pt idx="5">
                  <c:v>37.633333333333212</c:v>
                </c:pt>
                <c:pt idx="6">
                  <c:v>19.487499999999955</c:v>
                </c:pt>
                <c:pt idx="7">
                  <c:v>5.1166666666667879</c:v>
                </c:pt>
                <c:pt idx="8">
                  <c:v>16.799999999999955</c:v>
                </c:pt>
                <c:pt idx="9">
                  <c:v>12.450000000000045</c:v>
                </c:pt>
                <c:pt idx="10">
                  <c:v>8.7875000000000227</c:v>
                </c:pt>
                <c:pt idx="11">
                  <c:v>9.9624999999999773</c:v>
                </c:pt>
                <c:pt idx="12">
                  <c:v>-4.75</c:v>
                </c:pt>
                <c:pt idx="13">
                  <c:v>17.5</c:v>
                </c:pt>
                <c:pt idx="14">
                  <c:v>28.708333333333485</c:v>
                </c:pt>
                <c:pt idx="15">
                  <c:v>22.158333333333076</c:v>
                </c:pt>
                <c:pt idx="16">
                  <c:v>0.54166666666674246</c:v>
                </c:pt>
                <c:pt idx="17">
                  <c:v>5.8916666666666515</c:v>
                </c:pt>
                <c:pt idx="18">
                  <c:v>42.075000000000045</c:v>
                </c:pt>
                <c:pt idx="19">
                  <c:v>21.650000000000091</c:v>
                </c:pt>
                <c:pt idx="20">
                  <c:v>17.041666666666515</c:v>
                </c:pt>
                <c:pt idx="21">
                  <c:v>6.183333333333394</c:v>
                </c:pt>
                <c:pt idx="22">
                  <c:v>1.8333333333332575</c:v>
                </c:pt>
                <c:pt idx="23">
                  <c:v>22.229166666666742</c:v>
                </c:pt>
                <c:pt idx="24">
                  <c:v>3.6041666666667425</c:v>
                </c:pt>
                <c:pt idx="25">
                  <c:v>-0.33333333333325754</c:v>
                </c:pt>
                <c:pt idx="26">
                  <c:v>36.983333333333121</c:v>
                </c:pt>
                <c:pt idx="27">
                  <c:v>126.55333333333328</c:v>
                </c:pt>
                <c:pt idx="28">
                  <c:v>54.470000000000027</c:v>
                </c:pt>
                <c:pt idx="29">
                  <c:v>1.3900000000001</c:v>
                </c:pt>
                <c:pt idx="30">
                  <c:v>-19.920000000000073</c:v>
                </c:pt>
                <c:pt idx="31">
                  <c:v>36.779999999999973</c:v>
                </c:pt>
                <c:pt idx="32">
                  <c:v>-7.6299999999998818</c:v>
                </c:pt>
                <c:pt idx="33">
                  <c:v>-42.809999999999945</c:v>
                </c:pt>
                <c:pt idx="34">
                  <c:v>-51.440000000000055</c:v>
                </c:pt>
                <c:pt idx="35">
                  <c:v>-11.309999999999945</c:v>
                </c:pt>
                <c:pt idx="36">
                  <c:v>-11.870000000000118</c:v>
                </c:pt>
                <c:pt idx="37">
                  <c:v>-14.240000000000009</c:v>
                </c:pt>
                <c:pt idx="38">
                  <c:v>-13.420000000000073</c:v>
                </c:pt>
                <c:pt idx="39">
                  <c:v>38.190000000000055</c:v>
                </c:pt>
                <c:pt idx="40">
                  <c:v>49.870000000000118</c:v>
                </c:pt>
                <c:pt idx="41">
                  <c:v>162.51999999999998</c:v>
                </c:pt>
                <c:pt idx="42">
                  <c:v>-1.0099999999999909</c:v>
                </c:pt>
                <c:pt idx="43">
                  <c:v>19.329999999999927</c:v>
                </c:pt>
                <c:pt idx="44">
                  <c:v>14.599999999999909</c:v>
                </c:pt>
                <c:pt idx="45">
                  <c:v>-14.879999999999882</c:v>
                </c:pt>
                <c:pt idx="46">
                  <c:v>3.3799999999998818</c:v>
                </c:pt>
                <c:pt idx="47">
                  <c:v>-0.1908333333333303</c:v>
                </c:pt>
                <c:pt idx="48">
                  <c:v>39.2989035087719</c:v>
                </c:pt>
                <c:pt idx="49">
                  <c:v>9.3885964912280997</c:v>
                </c:pt>
                <c:pt idx="50">
                  <c:v>125.83333333333348</c:v>
                </c:pt>
                <c:pt idx="51">
                  <c:v>54.716666666666697</c:v>
                </c:pt>
                <c:pt idx="52">
                  <c:v>22.962500000000091</c:v>
                </c:pt>
                <c:pt idx="53">
                  <c:v>22.116666666666788</c:v>
                </c:pt>
                <c:pt idx="54">
                  <c:v>4.7208333333328483</c:v>
                </c:pt>
                <c:pt idx="55">
                  <c:v>-56.352631578947012</c:v>
                </c:pt>
                <c:pt idx="56">
                  <c:v>-79.7807017543862</c:v>
                </c:pt>
                <c:pt idx="57">
                  <c:v>-80.983333333333348</c:v>
                </c:pt>
                <c:pt idx="58">
                  <c:v>-29.980000000000018</c:v>
                </c:pt>
                <c:pt idx="59">
                  <c:v>-176.84999999999991</c:v>
                </c:pt>
                <c:pt idx="60">
                  <c:v>-11.890833333333376</c:v>
                </c:pt>
                <c:pt idx="61">
                  <c:v>-15.791666666666515</c:v>
                </c:pt>
                <c:pt idx="62">
                  <c:v>-65.329166666666652</c:v>
                </c:pt>
                <c:pt idx="63">
                  <c:v>-9.1666666666667425</c:v>
                </c:pt>
                <c:pt idx="64">
                  <c:v>24.815000000000055</c:v>
                </c:pt>
                <c:pt idx="65">
                  <c:v>73.051666666666733</c:v>
                </c:pt>
                <c:pt idx="66">
                  <c:v>58.074999999999818</c:v>
                </c:pt>
                <c:pt idx="67">
                  <c:v>90.683333333333394</c:v>
                </c:pt>
                <c:pt idx="68">
                  <c:v>13.024999999999864</c:v>
                </c:pt>
                <c:pt idx="69">
                  <c:v>5.683333333333394</c:v>
                </c:pt>
                <c:pt idx="70">
                  <c:v>10.083333333333485</c:v>
                </c:pt>
                <c:pt idx="71">
                  <c:v>2.658333333333303</c:v>
                </c:pt>
                <c:pt idx="72">
                  <c:v>7.0083333333332121</c:v>
                </c:pt>
                <c:pt idx="73">
                  <c:v>34.116666666666788</c:v>
                </c:pt>
                <c:pt idx="74">
                  <c:v>-2.6833333333336213</c:v>
                </c:pt>
                <c:pt idx="75">
                  <c:v>30.725000000000364</c:v>
                </c:pt>
                <c:pt idx="76">
                  <c:v>49.266666666666424</c:v>
                </c:pt>
                <c:pt idx="77">
                  <c:v>4.9491666666669971</c:v>
                </c:pt>
                <c:pt idx="78">
                  <c:v>13.304999999999609</c:v>
                </c:pt>
                <c:pt idx="79">
                  <c:v>11.870833333333394</c:v>
                </c:pt>
                <c:pt idx="80">
                  <c:v>19.450000000000045</c:v>
                </c:pt>
                <c:pt idx="81">
                  <c:v>45.309997588893111</c:v>
                </c:pt>
                <c:pt idx="82">
                  <c:v>46.419840300542546</c:v>
                </c:pt>
                <c:pt idx="83">
                  <c:v>5.4034005315122613</c:v>
                </c:pt>
                <c:pt idx="84">
                  <c:v>17.43587375601237</c:v>
                </c:pt>
                <c:pt idx="85">
                  <c:v>65.920490620229657</c:v>
                </c:pt>
                <c:pt idx="86">
                  <c:v>110.46254296066513</c:v>
                </c:pt>
                <c:pt idx="87">
                  <c:v>90.417032833996018</c:v>
                </c:pt>
                <c:pt idx="88">
                  <c:v>18.170485500939321</c:v>
                </c:pt>
                <c:pt idx="89">
                  <c:v>23.454186850181031</c:v>
                </c:pt>
                <c:pt idx="90">
                  <c:v>-26.902996165509194</c:v>
                </c:pt>
                <c:pt idx="91">
                  <c:v>14.47804168932953</c:v>
                </c:pt>
                <c:pt idx="92">
                  <c:v>6.6060380044391422</c:v>
                </c:pt>
                <c:pt idx="93">
                  <c:v>-25.469934471230772</c:v>
                </c:pt>
                <c:pt idx="94">
                  <c:v>-50.369207024614298</c:v>
                </c:pt>
                <c:pt idx="95">
                  <c:v>-16.368589131231147</c:v>
                </c:pt>
                <c:pt idx="96">
                  <c:v>12.881222940915904</c:v>
                </c:pt>
                <c:pt idx="97">
                  <c:v>137.66567804891793</c:v>
                </c:pt>
                <c:pt idx="98">
                  <c:v>74.177079179396515</c:v>
                </c:pt>
                <c:pt idx="99">
                  <c:v>0</c:v>
                </c:pt>
                <c:pt idx="100">
                  <c:v>-30.036184013385082</c:v>
                </c:pt>
                <c:pt idx="101">
                  <c:v>-15.394831121216612</c:v>
                </c:pt>
              </c:numCache>
            </c:numRef>
          </c:val>
          <c:smooth val="0"/>
        </c:ser>
        <c:dLbls>
          <c:showLegendKey val="0"/>
          <c:showVal val="0"/>
          <c:showCatName val="0"/>
          <c:showSerName val="0"/>
          <c:showPercent val="0"/>
          <c:showBubbleSize val="0"/>
        </c:dLbls>
        <c:smooth val="0"/>
        <c:axId val="1288901088"/>
        <c:axId val="1288897280"/>
      </c:lineChart>
      <c:dateAx>
        <c:axId val="1288901088"/>
        <c:scaling>
          <c:orientation val="minMax"/>
        </c:scaling>
        <c:delete val="0"/>
        <c:axPos val="b"/>
        <c:majorGridlines>
          <c:spPr>
            <a:ln>
              <a:solidFill>
                <a:schemeClr val="tx2">
                  <a:lumMod val="40000"/>
                  <a:lumOff val="60000"/>
                </a:schemeClr>
              </a:solidFill>
            </a:ln>
          </c:spPr>
        </c:majorGridlines>
        <c:numFmt formatCode="mmm\-yy" sourceLinked="1"/>
        <c:majorTickMark val="out"/>
        <c:minorTickMark val="none"/>
        <c:tickLblPos val="low"/>
        <c:crossAx val="1288897280"/>
        <c:crosses val="autoZero"/>
        <c:auto val="1"/>
        <c:lblOffset val="100"/>
        <c:baseTimeUnit val="months"/>
        <c:majorUnit val="5"/>
        <c:majorTimeUnit val="months"/>
      </c:dateAx>
      <c:valAx>
        <c:axId val="1288897280"/>
        <c:scaling>
          <c:orientation val="minMax"/>
        </c:scaling>
        <c:delete val="0"/>
        <c:axPos val="l"/>
        <c:majorGridlines>
          <c:spPr>
            <a:ln>
              <a:solidFill>
                <a:srgbClr val="1F497D">
                  <a:lumMod val="40000"/>
                  <a:lumOff val="60000"/>
                </a:srgbClr>
              </a:solidFill>
            </a:ln>
          </c:spPr>
        </c:majorGridlines>
        <c:title>
          <c:tx>
            <c:rich>
              <a:bodyPr rot="-5400000" vert="horz"/>
              <a:lstStyle/>
              <a:p>
                <a:pPr>
                  <a:defRPr/>
                </a:pPr>
                <a:r>
                  <a:rPr lang="en-US"/>
                  <a:t>Change TZS</a:t>
                </a:r>
              </a:p>
            </c:rich>
          </c:tx>
          <c:overlay val="0"/>
        </c:title>
        <c:numFmt formatCode="_(* #,##0_);_(* \(#,##0\);_(* &quot;-&quot;??_);_(@_)" sourceLinked="1"/>
        <c:majorTickMark val="out"/>
        <c:minorTickMark val="none"/>
        <c:tickLblPos val="nextTo"/>
        <c:crossAx val="1288901088"/>
        <c:crosses val="autoZero"/>
        <c:crossBetween val="between"/>
      </c:valAx>
      <c:spPr>
        <a:ln>
          <a:solidFill>
            <a:schemeClr val="tx1"/>
          </a:solidFill>
        </a:ln>
      </c:spPr>
    </c:plotArea>
    <c:plotVisOnly val="1"/>
    <c:dispBlanksAs val="gap"/>
    <c:showDLblsOverMax val="0"/>
  </c:chart>
  <c:printSettings>
    <c:headerFooter/>
    <c:pageMargins b="0.75000000000001332" l="0.70000000000000062" r="0.70000000000000062" t="0.7500000000000133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'NA Indicators'!$AG$225</c:f>
              <c:strCache>
                <c:ptCount val="1"/>
                <c:pt idx="0">
                  <c:v>Agriculture, Hunting, Forestry and Fishing</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'NA Indicators'!$AH$224:$AN$224</c:f>
              <c:numCache>
                <c:formatCode>General</c:formatCode>
                <c:ptCount val="7"/>
                <c:pt idx="0">
                  <c:v>1961</c:v>
                </c:pt>
                <c:pt idx="1">
                  <c:v>1970</c:v>
                </c:pt>
                <c:pt idx="2">
                  <c:v>1980</c:v>
                </c:pt>
                <c:pt idx="3">
                  <c:v>1990</c:v>
                </c:pt>
                <c:pt idx="4">
                  <c:v>2000</c:v>
                </c:pt>
                <c:pt idx="5" formatCode="0">
                  <c:v>2010</c:v>
                </c:pt>
                <c:pt idx="6" formatCode="0">
                  <c:v>2013</c:v>
                </c:pt>
              </c:numCache>
            </c:numRef>
          </c:cat>
          <c:val>
            <c:numRef>
              <c:f>'NA Indicators'!$AH$225:$AN$225</c:f>
              <c:numCache>
                <c:formatCode>0.0%</c:formatCode>
                <c:ptCount val="7"/>
                <c:pt idx="0">
                  <c:v>0.58899999999999997</c:v>
                </c:pt>
                <c:pt idx="1">
                  <c:v>0.41099999999999998</c:v>
                </c:pt>
                <c:pt idx="2">
                  <c:v>0.52100000000000002</c:v>
                </c:pt>
                <c:pt idx="3">
                  <c:v>0.55000000000000004</c:v>
                </c:pt>
                <c:pt idx="4">
                  <c:v>0.35388537598453657</c:v>
                </c:pt>
                <c:pt idx="5">
                  <c:v>0.34153790966756092</c:v>
                </c:pt>
                <c:pt idx="6">
                  <c:v>0.35860096607571812</c:v>
                </c:pt>
              </c:numCache>
            </c:numRef>
          </c:val>
        </c:ser>
        <c:ser>
          <c:idx val="1"/>
          <c:order val="1"/>
          <c:tx>
            <c:strRef>
              <c:f>'NA Indicators'!$AG$226</c:f>
              <c:strCache>
                <c:ptCount val="1"/>
                <c:pt idx="0">
                  <c:v>Mining &amp; Manufacturing</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'NA Indicators'!$AH$224:$AN$224</c:f>
              <c:numCache>
                <c:formatCode>General</c:formatCode>
                <c:ptCount val="7"/>
                <c:pt idx="0">
                  <c:v>1961</c:v>
                </c:pt>
                <c:pt idx="1">
                  <c:v>1970</c:v>
                </c:pt>
                <c:pt idx="2">
                  <c:v>1980</c:v>
                </c:pt>
                <c:pt idx="3">
                  <c:v>1990</c:v>
                </c:pt>
                <c:pt idx="4">
                  <c:v>2000</c:v>
                </c:pt>
                <c:pt idx="5" formatCode="0">
                  <c:v>2010</c:v>
                </c:pt>
                <c:pt idx="6" formatCode="0">
                  <c:v>2013</c:v>
                </c:pt>
              </c:numCache>
            </c:numRef>
          </c:cat>
          <c:val>
            <c:numRef>
              <c:f>'NA Indicators'!$AH$226:$AN$226</c:f>
              <c:numCache>
                <c:formatCode>0.0%</c:formatCode>
                <c:ptCount val="7"/>
                <c:pt idx="0">
                  <c:v>2.8000000000000001E-2</c:v>
                </c:pt>
                <c:pt idx="1">
                  <c:v>0.10100000000000001</c:v>
                </c:pt>
                <c:pt idx="2">
                  <c:v>9.1999999999999998E-2</c:v>
                </c:pt>
                <c:pt idx="3">
                  <c:v>0.09</c:v>
                </c:pt>
                <c:pt idx="4">
                  <c:v>0.10950467480224009</c:v>
                </c:pt>
                <c:pt idx="5">
                  <c:v>0.11704387930522066</c:v>
                </c:pt>
                <c:pt idx="6">
                  <c:v>0.11375773093011476</c:v>
                </c:pt>
              </c:numCache>
            </c:numRef>
          </c:val>
        </c:ser>
        <c:ser>
          <c:idx val="2"/>
          <c:order val="2"/>
          <c:tx>
            <c:strRef>
              <c:f>'NA Indicators'!$AG$227</c:f>
              <c:strCache>
                <c:ptCount val="1"/>
                <c:pt idx="0">
                  <c:v>Wholesale and retail Trade, restaurants and hotels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'NA Indicators'!$AH$224:$AN$224</c:f>
              <c:numCache>
                <c:formatCode>General</c:formatCode>
                <c:ptCount val="7"/>
                <c:pt idx="0">
                  <c:v>1961</c:v>
                </c:pt>
                <c:pt idx="1">
                  <c:v>1970</c:v>
                </c:pt>
                <c:pt idx="2">
                  <c:v>1980</c:v>
                </c:pt>
                <c:pt idx="3">
                  <c:v>1990</c:v>
                </c:pt>
                <c:pt idx="4">
                  <c:v>2000</c:v>
                </c:pt>
                <c:pt idx="5" formatCode="0">
                  <c:v>2010</c:v>
                </c:pt>
                <c:pt idx="6" formatCode="0">
                  <c:v>2013</c:v>
                </c:pt>
              </c:numCache>
            </c:numRef>
          </c:cat>
          <c:val>
            <c:numRef>
              <c:f>'NA Indicators'!$AH$227:$AN$227</c:f>
              <c:numCache>
                <c:formatCode>0.0%</c:formatCode>
                <c:ptCount val="7"/>
                <c:pt idx="0">
                  <c:v>0.114</c:v>
                </c:pt>
                <c:pt idx="1">
                  <c:v>0.127</c:v>
                </c:pt>
                <c:pt idx="2">
                  <c:v>8.5999999999999993E-2</c:v>
                </c:pt>
                <c:pt idx="3">
                  <c:v>0.156</c:v>
                </c:pt>
                <c:pt idx="4">
                  <c:v>0.16682166703088472</c:v>
                </c:pt>
                <c:pt idx="5">
                  <c:v>0.12547842191643879</c:v>
                </c:pt>
                <c:pt idx="6">
                  <c:v>0.12297542086697999</c:v>
                </c:pt>
              </c:numCache>
            </c:numRef>
          </c:val>
        </c:ser>
        <c:ser>
          <c:idx val="3"/>
          <c:order val="3"/>
          <c:tx>
            <c:strRef>
              <c:f>'NA Indicators'!$AG$228</c:f>
              <c:strCache>
                <c:ptCount val="1"/>
                <c:pt idx="0">
                  <c:v>Financial intermediation</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'NA Indicators'!$AH$224:$AN$224</c:f>
              <c:numCache>
                <c:formatCode>General</c:formatCode>
                <c:ptCount val="7"/>
                <c:pt idx="0">
                  <c:v>1961</c:v>
                </c:pt>
                <c:pt idx="1">
                  <c:v>1970</c:v>
                </c:pt>
                <c:pt idx="2">
                  <c:v>1980</c:v>
                </c:pt>
                <c:pt idx="3">
                  <c:v>1990</c:v>
                </c:pt>
                <c:pt idx="4">
                  <c:v>2000</c:v>
                </c:pt>
                <c:pt idx="5" formatCode="0">
                  <c:v>2010</c:v>
                </c:pt>
                <c:pt idx="6" formatCode="0">
                  <c:v>2013</c:v>
                </c:pt>
              </c:numCache>
            </c:numRef>
          </c:cat>
          <c:val>
            <c:numRef>
              <c:f>'NA Indicators'!$AH$228:$AN$228</c:f>
              <c:numCache>
                <c:formatCode>0.0%</c:formatCode>
                <c:ptCount val="7"/>
                <c:pt idx="0">
                  <c:v>4.2999999999999997E-2</c:v>
                </c:pt>
                <c:pt idx="1">
                  <c:v>0.10299999999999999</c:v>
                </c:pt>
                <c:pt idx="2">
                  <c:v>0.104</c:v>
                </c:pt>
                <c:pt idx="3">
                  <c:v>0.05</c:v>
                </c:pt>
                <c:pt idx="4">
                  <c:v>0.13062005305078755</c:v>
                </c:pt>
                <c:pt idx="5">
                  <c:v>0.10174300525271313</c:v>
                </c:pt>
                <c:pt idx="6">
                  <c:v>8.8510546281858338E-2</c:v>
                </c:pt>
              </c:numCache>
            </c:numRef>
          </c:val>
        </c:ser>
        <c:ser>
          <c:idx val="4"/>
          <c:order val="4"/>
          <c:tx>
            <c:strRef>
              <c:f>'NA Indicators'!$AG$229</c:f>
              <c:strCache>
                <c:ptCount val="1"/>
                <c:pt idx="0">
                  <c:v>Others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'NA Indicators'!$AH$224:$AN$224</c:f>
              <c:numCache>
                <c:formatCode>General</c:formatCode>
                <c:ptCount val="7"/>
                <c:pt idx="0">
                  <c:v>1961</c:v>
                </c:pt>
                <c:pt idx="1">
                  <c:v>1970</c:v>
                </c:pt>
                <c:pt idx="2">
                  <c:v>1980</c:v>
                </c:pt>
                <c:pt idx="3">
                  <c:v>1990</c:v>
                </c:pt>
                <c:pt idx="4">
                  <c:v>2000</c:v>
                </c:pt>
                <c:pt idx="5" formatCode="0">
                  <c:v>2010</c:v>
                </c:pt>
                <c:pt idx="6" formatCode="0">
                  <c:v>2013</c:v>
                </c:pt>
              </c:numCache>
            </c:numRef>
          </c:cat>
          <c:val>
            <c:numRef>
              <c:f>'NA Indicators'!$AH$229:$AN$229</c:f>
              <c:numCache>
                <c:formatCode>0.0%</c:formatCode>
                <c:ptCount val="7"/>
                <c:pt idx="0">
                  <c:v>0.224</c:v>
                </c:pt>
                <c:pt idx="1">
                  <c:v>0.25800000000000001</c:v>
                </c:pt>
                <c:pt idx="2">
                  <c:v>0.19700000000000001</c:v>
                </c:pt>
                <c:pt idx="3">
                  <c:v>0.154</c:v>
                </c:pt>
                <c:pt idx="4">
                  <c:v>0.23916822913155111</c:v>
                </c:pt>
                <c:pt idx="5">
                  <c:v>0.3141967838580666</c:v>
                </c:pt>
                <c:pt idx="6">
                  <c:v>0.31615533584532884</c:v>
                </c:pt>
              </c:numCache>
            </c:numRef>
          </c:val>
        </c:ser>
        <c:dLbls>
          <c:showLegendKey val="0"/>
          <c:showVal val="0"/>
          <c:showCatName val="0"/>
          <c:showSerName val="0"/>
          <c:showPercent val="0"/>
          <c:showBubbleSize val="0"/>
        </c:dLbls>
        <c:gapWidth val="150"/>
        <c:overlap val="100"/>
        <c:axId val="1288895648"/>
        <c:axId val="1288908160"/>
      </c:barChart>
      <c:catAx>
        <c:axId val="1288895648"/>
        <c:scaling>
          <c:orientation val="minMax"/>
        </c:scaling>
        <c:delete val="0"/>
        <c:axPos val="b"/>
        <c:numFmt formatCode="General" sourceLinked="1"/>
        <c:majorTickMark val="out"/>
        <c:minorTickMark val="none"/>
        <c:tickLblPos val="nextTo"/>
        <c:crossAx val="1288908160"/>
        <c:crosses val="autoZero"/>
        <c:auto val="1"/>
        <c:lblAlgn val="ctr"/>
        <c:lblOffset val="100"/>
        <c:noMultiLvlLbl val="0"/>
      </c:catAx>
      <c:valAx>
        <c:axId val="1288908160"/>
        <c:scaling>
          <c:orientation val="minMax"/>
        </c:scaling>
        <c:delete val="1"/>
        <c:axPos val="l"/>
        <c:numFmt formatCode="0.0%" sourceLinked="1"/>
        <c:majorTickMark val="out"/>
        <c:minorTickMark val="none"/>
        <c:tickLblPos val="none"/>
        <c:crossAx val="1288895648"/>
        <c:crosses val="autoZero"/>
        <c:crossBetween val="between"/>
      </c:valAx>
    </c:plotArea>
    <c:legend>
      <c:legendPos val="t"/>
      <c:layout>
        <c:manualLayout>
          <c:xMode val="edge"/>
          <c:yMode val="edge"/>
          <c:x val="2.0743058272956819E-2"/>
          <c:y val="9.5093560975858568E-2"/>
          <c:w val="0.96854837801679272"/>
          <c:h val="0.1360787423753094"/>
        </c:manualLayout>
      </c:layout>
      <c:overlay val="0"/>
    </c:legend>
    <c:plotVisOnly val="1"/>
    <c:dispBlanksAs val="gap"/>
    <c:showDLblsOverMax val="0"/>
  </c:chart>
  <c:txPr>
    <a:bodyPr/>
    <a:lstStyle/>
    <a:p>
      <a:pPr>
        <a:defRPr sz="1400"/>
      </a:pPr>
      <a:endParaRPr lang="en-US"/>
    </a:p>
  </c:txPr>
  <c:printSettings>
    <c:headerFooter/>
    <c:pageMargins b="0.75000000000000455" l="0.70000000000000062" r="0.70000000000000062" t="0.750000000000004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59160872902525"/>
          <c:y val="7.530862300748993E-2"/>
          <c:w val="0.69592996288398579"/>
          <c:h val="0.81094045828541639"/>
        </c:manualLayout>
      </c:layout>
      <c:barChart>
        <c:barDir val="col"/>
        <c:grouping val="clustered"/>
        <c:varyColors val="0"/>
        <c:ser>
          <c:idx val="1"/>
          <c:order val="1"/>
          <c:tx>
            <c:strRef>
              <c:f>'NA Indicators'!$I$215</c:f>
              <c:strCache>
                <c:ptCount val="1"/>
                <c:pt idx="0">
                  <c:v>GDPQ1 Mill. TShs.</c:v>
                </c:pt>
              </c:strCache>
            </c:strRef>
          </c:tx>
          <c:spPr>
            <a:solidFill>
              <a:srgbClr val="9BBB59">
                <a:lumMod val="75000"/>
                <a:alpha val="56000"/>
              </a:srgbClr>
            </a:solidFill>
            <a:effectLst>
              <a:outerShdw blurRad="50800" dist="50800" dir="5400000" algn="ctr" rotWithShape="0">
                <a:schemeClr val="accent1">
                  <a:lumMod val="40000"/>
                  <a:lumOff val="60000"/>
                </a:schemeClr>
              </a:outerShdw>
            </a:effectLst>
          </c:spPr>
          <c:invertIfNegative val="0"/>
          <c:dPt>
            <c:idx val="0"/>
            <c:invertIfNegative val="0"/>
            <c:bubble3D val="0"/>
            <c:spPr>
              <a:solidFill>
                <a:srgbClr val="9BBB59">
                  <a:lumMod val="75000"/>
                  <a:alpha val="56000"/>
                </a:srgbClr>
              </a:solidFill>
              <a:effectLst>
                <a:outerShdw blurRad="50800" dist="50800" dir="5400000" algn="ctr" rotWithShape="0">
                  <a:schemeClr val="tx2">
                    <a:lumMod val="75000"/>
                  </a:schemeClr>
                </a:outerShdw>
              </a:effectLst>
            </c:spPr>
          </c:dPt>
          <c:dLbls>
            <c:spPr>
              <a:effectLst>
                <a:outerShdw blurRad="50800" dist="50800" dir="5400000" algn="ctr" rotWithShape="0">
                  <a:schemeClr val="accent1">
                    <a:lumMod val="40000"/>
                    <a:lumOff val="60000"/>
                  </a:schemeClr>
                </a:outerShdw>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'NA Indicators'!$J$213:$Q$213</c:f>
              <c:strCache>
                <c:ptCount val="8"/>
                <c:pt idx="0">
                  <c:v>2007</c:v>
                </c:pt>
                <c:pt idx="1">
                  <c:v>2008</c:v>
                </c:pt>
                <c:pt idx="2">
                  <c:v>2009</c:v>
                </c:pt>
                <c:pt idx="3">
                  <c:v>2010</c:v>
                </c:pt>
                <c:pt idx="4">
                  <c:v>2011</c:v>
                </c:pt>
                <c:pt idx="5">
                  <c:v>2012</c:v>
                </c:pt>
                <c:pt idx="6">
                  <c:v>2013</c:v>
                </c:pt>
                <c:pt idx="7">
                  <c:v>2014</c:v>
                </c:pt>
              </c:strCache>
            </c:strRef>
          </c:cat>
          <c:val>
            <c:numRef>
              <c:f>'NA Indicators'!$J$215:$Q$215</c:f>
              <c:numCache>
                <c:formatCode>General</c:formatCode>
                <c:ptCount val="8"/>
                <c:pt idx="0">
                  <c:v>3029100.3379021743</c:v>
                </c:pt>
                <c:pt idx="1">
                  <c:v>3268212.1087289769</c:v>
                </c:pt>
                <c:pt idx="2">
                  <c:v>3450244.1836561938</c:v>
                </c:pt>
                <c:pt idx="3">
                  <c:v>3710823.9509790987</c:v>
                </c:pt>
                <c:pt idx="4">
                  <c:v>3938240.4975032131</c:v>
                </c:pt>
                <c:pt idx="5">
                  <c:v>4225584.6533789998</c:v>
                </c:pt>
                <c:pt idx="6">
                  <c:v>4526147.7030638009</c:v>
                </c:pt>
                <c:pt idx="7">
                  <c:v>4862688.9721278455</c:v>
                </c:pt>
              </c:numCache>
            </c:numRef>
          </c:val>
        </c:ser>
        <c:dLbls>
          <c:showLegendKey val="0"/>
          <c:showVal val="0"/>
          <c:showCatName val="0"/>
          <c:showSerName val="0"/>
          <c:showPercent val="0"/>
          <c:showBubbleSize val="0"/>
        </c:dLbls>
        <c:gapWidth val="300"/>
        <c:axId val="1288905984"/>
        <c:axId val="1288903808"/>
      </c:barChart>
      <c:lineChart>
        <c:grouping val="standard"/>
        <c:varyColors val="0"/>
        <c:ser>
          <c:idx val="0"/>
          <c:order val="0"/>
          <c:tx>
            <c:strRef>
              <c:f>'NA Indicators'!$I$214</c:f>
              <c:strCache>
                <c:ptCount val="1"/>
                <c:pt idx="0">
                  <c:v>Growth Rate Q1</c:v>
                </c:pt>
              </c:strCache>
            </c:strRef>
          </c:tx>
          <c:marker>
            <c:symbol val="none"/>
          </c:marker>
          <c:dLbls>
            <c:dLbl>
              <c:idx val="1"/>
              <c:layout>
                <c:manualLayout>
                  <c:x val="-2.3049642172105696E-2"/>
                  <c:y val="-2.7414330218068612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3.1914889161376955E-2"/>
                  <c:y val="2.2429906542056052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2.1276592774251452E-2"/>
                  <c:y val="-1.2461059190031223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2.1276592774251452E-2"/>
                  <c:y val="7.4766355140187465E-3"/>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2.1276592774251292E-2"/>
                  <c:y val="-1.7445482866043617E-2"/>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2.3049642172105696E-2"/>
                  <c:y val="1.4953271028037467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'NA Indicators'!$J$213:$Q$213</c:f>
              <c:strCache>
                <c:ptCount val="8"/>
                <c:pt idx="0">
                  <c:v>2007</c:v>
                </c:pt>
                <c:pt idx="1">
                  <c:v>2008</c:v>
                </c:pt>
                <c:pt idx="2">
                  <c:v>2009</c:v>
                </c:pt>
                <c:pt idx="3">
                  <c:v>2010</c:v>
                </c:pt>
                <c:pt idx="4">
                  <c:v>2011</c:v>
                </c:pt>
                <c:pt idx="5">
                  <c:v>2012</c:v>
                </c:pt>
                <c:pt idx="6">
                  <c:v>2013</c:v>
                </c:pt>
                <c:pt idx="7">
                  <c:v>2014</c:v>
                </c:pt>
              </c:strCache>
            </c:strRef>
          </c:cat>
          <c:val>
            <c:numRef>
              <c:f>'NA Indicators'!$J$214:$Q$214</c:f>
              <c:numCache>
                <c:formatCode>0.0%</c:formatCode>
                <c:ptCount val="8"/>
                <c:pt idx="0" formatCode="0.00%">
                  <c:v>4.4999999999999998E-2</c:v>
                </c:pt>
                <c:pt idx="1">
                  <c:v>7.8938214041599231E-2</c:v>
                </c:pt>
                <c:pt idx="2">
                  <c:v>5.5697754267855545E-2</c:v>
                </c:pt>
                <c:pt idx="3">
                  <c:v>7.5525021839692105E-2</c:v>
                </c:pt>
                <c:pt idx="4">
                  <c:v>6.1284649858991853E-2</c:v>
                </c:pt>
                <c:pt idx="5">
                  <c:v>7.2962572005939849E-2</c:v>
                </c:pt>
                <c:pt idx="6">
                  <c:v>7.1129340514916636E-2</c:v>
                </c:pt>
                <c:pt idx="7">
                  <c:v>7.435490203650133E-2</c:v>
                </c:pt>
              </c:numCache>
            </c:numRef>
          </c:val>
          <c:smooth val="0"/>
        </c:ser>
        <c:dLbls>
          <c:showLegendKey val="0"/>
          <c:showVal val="0"/>
          <c:showCatName val="0"/>
          <c:showSerName val="0"/>
          <c:showPercent val="0"/>
          <c:showBubbleSize val="0"/>
        </c:dLbls>
        <c:hiLowLines/>
        <c:marker val="1"/>
        <c:smooth val="0"/>
        <c:axId val="1288906528"/>
        <c:axId val="1288899456"/>
      </c:lineChart>
      <c:catAx>
        <c:axId val="1288906528"/>
        <c:scaling>
          <c:orientation val="minMax"/>
        </c:scaling>
        <c:delete val="0"/>
        <c:axPos val="b"/>
        <c:title>
          <c:tx>
            <c:rich>
              <a:bodyPr/>
              <a:lstStyle/>
              <a:p>
                <a:pPr>
                  <a:defRPr/>
                </a:pPr>
                <a:r>
                  <a:rPr lang="en-US"/>
                  <a:t>Years</a:t>
                </a:r>
              </a:p>
            </c:rich>
          </c:tx>
          <c:overlay val="0"/>
        </c:title>
        <c:numFmt formatCode="General" sourceLinked="0"/>
        <c:majorTickMark val="none"/>
        <c:minorTickMark val="none"/>
        <c:tickLblPos val="nextTo"/>
        <c:crossAx val="1288899456"/>
        <c:crosses val="autoZero"/>
        <c:auto val="1"/>
        <c:lblAlgn val="ctr"/>
        <c:lblOffset val="100"/>
        <c:noMultiLvlLbl val="0"/>
      </c:catAx>
      <c:valAx>
        <c:axId val="1288899456"/>
        <c:scaling>
          <c:orientation val="minMax"/>
        </c:scaling>
        <c:delete val="0"/>
        <c:axPos val="l"/>
        <c:title>
          <c:tx>
            <c:rich>
              <a:bodyPr/>
              <a:lstStyle/>
              <a:p>
                <a:pPr>
                  <a:defRPr/>
                </a:pPr>
                <a:r>
                  <a:rPr lang="en-US"/>
                  <a:t>First Quarter GDP in Mill. Tsh</a:t>
                </a:r>
              </a:p>
            </c:rich>
          </c:tx>
          <c:layout>
            <c:manualLayout>
              <c:xMode val="edge"/>
              <c:yMode val="edge"/>
              <c:x val="0.93231916922106406"/>
              <c:y val="0.36757884803481011"/>
            </c:manualLayout>
          </c:layout>
          <c:overlay val="0"/>
        </c:title>
        <c:numFmt formatCode="0.00%" sourceLinked="0"/>
        <c:majorTickMark val="out"/>
        <c:minorTickMark val="none"/>
        <c:tickLblPos val="nextTo"/>
        <c:crossAx val="1288906528"/>
        <c:crosses val="autoZero"/>
        <c:crossBetween val="between"/>
      </c:valAx>
      <c:valAx>
        <c:axId val="1288903808"/>
        <c:scaling>
          <c:orientation val="minMax"/>
        </c:scaling>
        <c:delete val="0"/>
        <c:axPos val="r"/>
        <c:numFmt formatCode="General" sourceLinked="1"/>
        <c:majorTickMark val="out"/>
        <c:minorTickMark val="none"/>
        <c:tickLblPos val="nextTo"/>
        <c:crossAx val="1288905984"/>
        <c:crosses val="max"/>
        <c:crossBetween val="between"/>
      </c:valAx>
      <c:catAx>
        <c:axId val="1288905984"/>
        <c:scaling>
          <c:orientation val="minMax"/>
        </c:scaling>
        <c:delete val="1"/>
        <c:axPos val="b"/>
        <c:numFmt formatCode="General" sourceLinked="1"/>
        <c:majorTickMark val="out"/>
        <c:minorTickMark val="none"/>
        <c:tickLblPos val="none"/>
        <c:crossAx val="1288903808"/>
        <c:crosses val="autoZero"/>
        <c:auto val="1"/>
        <c:lblAlgn val="ctr"/>
        <c:lblOffset val="100"/>
        <c:noMultiLvlLbl val="0"/>
      </c:catAx>
    </c:plotArea>
    <c:legend>
      <c:legendPos val="t"/>
      <c:overlay val="0"/>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008597001927879E-2"/>
          <c:y val="9.156878560911591E-2"/>
          <c:w val="0.81392404926084161"/>
          <c:h val="0.81094045828541672"/>
        </c:manualLayout>
      </c:layout>
      <c:barChart>
        <c:barDir val="col"/>
        <c:grouping val="clustered"/>
        <c:varyColors val="0"/>
        <c:ser>
          <c:idx val="1"/>
          <c:order val="1"/>
          <c:tx>
            <c:strRef>
              <c:f>'NA Indicators'!$I$220</c:f>
              <c:strCache>
                <c:ptCount val="1"/>
                <c:pt idx="0">
                  <c:v>GDP at current Market Price</c:v>
                </c:pt>
              </c:strCache>
            </c:strRef>
          </c:tx>
          <c:spPr>
            <a:solidFill>
              <a:schemeClr val="accent3"/>
            </a:solidFill>
            <a:ln w="25400" cap="flat" cmpd="sng" algn="ctr">
              <a:solidFill>
                <a:schemeClr val="accent3">
                  <a:shade val="50000"/>
                </a:schemeClr>
              </a:solidFill>
              <a:prstDash val="solid"/>
            </a:ln>
            <a:effectLst/>
          </c:spPr>
          <c:invertIfNegative val="0"/>
          <c:dPt>
            <c:idx val="7"/>
            <c:invertIfNegative val="0"/>
            <c:bubble3D val="0"/>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25400" cap="flat" cmpd="sng" algn="ctr">
                <a:solidFill>
                  <a:schemeClr val="accent3">
                    <a:shade val="50000"/>
                  </a:schemeClr>
                </a:solidFill>
                <a:prstDash val="solid"/>
              </a:ln>
              <a:effectLst/>
            </c:spPr>
          </c:dPt>
          <c:dPt>
            <c:idx val="8"/>
            <c:invertIfNegative val="0"/>
            <c:bubble3D val="0"/>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a:ln w="25400" cap="flat" cmpd="sng" algn="ctr">
                <a:solidFill>
                  <a:schemeClr val="accent3">
                    <a:shade val="50000"/>
                  </a:schemeClr>
                </a:solidFill>
                <a:prstDash val="solid"/>
              </a:ln>
              <a:effectLst/>
            </c:spPr>
          </c:dPt>
          <c:dPt>
            <c:idx val="9"/>
            <c:invertIfNegative val="0"/>
            <c:bubble3D val="0"/>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a:ln w="25400" cap="flat" cmpd="sng" algn="ctr">
                <a:solidFill>
                  <a:schemeClr val="accent3">
                    <a:shade val="50000"/>
                  </a:schemeClr>
                </a:solidFill>
                <a:prstDash val="solid"/>
              </a:ln>
              <a:effectLst/>
            </c:spPr>
          </c:dPt>
          <c:dPt>
            <c:idx val="10"/>
            <c:invertIfNegative val="0"/>
            <c:bubble3D val="0"/>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a:ln w="25400" cap="flat" cmpd="sng" algn="ctr">
                <a:solidFill>
                  <a:schemeClr val="accent3">
                    <a:shade val="50000"/>
                  </a:schemeClr>
                </a:solidFill>
                <a:prstDash val="solid"/>
              </a:ln>
              <a:effectLst/>
            </c:spPr>
          </c:dPt>
          <c:dPt>
            <c:idx val="11"/>
            <c:invertIfNegative val="0"/>
            <c:bubble3D val="0"/>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a:ln w="25400" cap="flat" cmpd="sng" algn="ctr">
                <a:solidFill>
                  <a:schemeClr val="accent3">
                    <a:shade val="50000"/>
                  </a:schemeClr>
                </a:solidFill>
                <a:prstDash val="solid"/>
              </a:ln>
              <a:effectLst/>
            </c:spPr>
          </c:dPt>
          <c:dLbls>
            <c:spPr>
              <a:noFill/>
              <a:ln>
                <a:noFill/>
              </a:ln>
              <a:effectLst/>
            </c:spPr>
            <c:txPr>
              <a:bodyPr rot="-5400000" vert="horz"/>
              <a:lstStyle/>
              <a:p>
                <a:pPr>
                  <a:defRPr sz="1200"/>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'NA Indicators'!$J$218:$U$218</c:f>
              <c:strCache>
                <c:ptCount val="12"/>
                <c:pt idx="0">
                  <c:v>2008/09</c:v>
                </c:pt>
                <c:pt idx="1">
                  <c:v>2009/10</c:v>
                </c:pt>
                <c:pt idx="2">
                  <c:v>2010/11</c:v>
                </c:pt>
                <c:pt idx="3">
                  <c:v>2011/12</c:v>
                </c:pt>
                <c:pt idx="4">
                  <c:v>2012/13</c:v>
                </c:pt>
                <c:pt idx="5">
                  <c:v>2013/14</c:v>
                </c:pt>
                <c:pt idx="6">
                  <c:v>2014/15</c:v>
                </c:pt>
                <c:pt idx="7">
                  <c:v>2015/16</c:v>
                </c:pt>
                <c:pt idx="8">
                  <c:v>2016/17</c:v>
                </c:pt>
                <c:pt idx="9">
                  <c:v>2017/18</c:v>
                </c:pt>
                <c:pt idx="10">
                  <c:v>2018/19</c:v>
                </c:pt>
                <c:pt idx="11">
                  <c:v>2019/20</c:v>
                </c:pt>
              </c:strCache>
            </c:strRef>
          </c:cat>
          <c:val>
            <c:numRef>
              <c:f>'NA Indicators'!$J$220:$U$220</c:f>
              <c:numCache>
                <c:formatCode>#,##0</c:formatCode>
                <c:ptCount val="12"/>
                <c:pt idx="0">
                  <c:v>35412.37049741493</c:v>
                </c:pt>
                <c:pt idx="1">
                  <c:v>41050.915873859834</c:v>
                </c:pt>
                <c:pt idx="2">
                  <c:v>48608.337793716368</c:v>
                </c:pt>
                <c:pt idx="3">
                  <c:v>57098.397420132576</c:v>
                </c:pt>
                <c:pt idx="4">
                  <c:v>66193.720627851289</c:v>
                </c:pt>
                <c:pt idx="5">
                  <c:v>75197.863338904877</c:v>
                </c:pt>
                <c:pt idx="6">
                  <c:v>84279.922233707242</c:v>
                </c:pt>
                <c:pt idx="7">
                  <c:v>94804.704534106946</c:v>
                </c:pt>
                <c:pt idx="8">
                  <c:v>106888.64262564004</c:v>
                </c:pt>
                <c:pt idx="9">
                  <c:v>118369.60105311633</c:v>
                </c:pt>
                <c:pt idx="10">
                  <c:v>134742.49076419312</c:v>
                </c:pt>
                <c:pt idx="11">
                  <c:v>153318.72362621661</c:v>
                </c:pt>
              </c:numCache>
            </c:numRef>
          </c:val>
        </c:ser>
        <c:dLbls>
          <c:showLegendKey val="0"/>
          <c:showVal val="0"/>
          <c:showCatName val="0"/>
          <c:showSerName val="0"/>
          <c:showPercent val="0"/>
          <c:showBubbleSize val="0"/>
        </c:dLbls>
        <c:gapWidth val="300"/>
        <c:axId val="1288894016"/>
        <c:axId val="1288900544"/>
      </c:barChart>
      <c:lineChart>
        <c:grouping val="standard"/>
        <c:varyColors val="0"/>
        <c:ser>
          <c:idx val="0"/>
          <c:order val="0"/>
          <c:tx>
            <c:strRef>
              <c:f>'NA Indicators'!$I$219</c:f>
              <c:strCache>
                <c:ptCount val="1"/>
                <c:pt idx="0">
                  <c:v>Real GDP Growth (Calendar Year)</c:v>
                </c:pt>
              </c:strCache>
            </c:strRef>
          </c:tx>
          <c:marker>
            <c:symbol val="none"/>
          </c:marker>
          <c:dPt>
            <c:idx val="7"/>
            <c:bubble3D val="0"/>
            <c:spPr>
              <a:ln>
                <a:prstDash val="sysDash"/>
              </a:ln>
            </c:spPr>
          </c:dPt>
          <c:dPt>
            <c:idx val="8"/>
            <c:bubble3D val="0"/>
            <c:spPr>
              <a:ln>
                <a:prstDash val="sysDash"/>
              </a:ln>
            </c:spPr>
          </c:dPt>
          <c:dPt>
            <c:idx val="9"/>
            <c:bubble3D val="0"/>
            <c:spPr>
              <a:ln>
                <a:prstDash val="sysDash"/>
              </a:ln>
            </c:spPr>
          </c:dPt>
          <c:dPt>
            <c:idx val="10"/>
            <c:bubble3D val="0"/>
            <c:spPr>
              <a:ln>
                <a:prstDash val="sysDash"/>
              </a:ln>
            </c:spPr>
          </c:dPt>
          <c:dPt>
            <c:idx val="11"/>
            <c:bubble3D val="0"/>
            <c:spPr>
              <a:ln>
                <a:prstDash val="sysDash"/>
              </a:ln>
            </c:spPr>
          </c:dPt>
          <c:dLbls>
            <c:dLbl>
              <c:idx val="0"/>
              <c:layout>
                <c:manualLayout>
                  <c:x val="-2.9498529641531577E-2"/>
                  <c:y val="1.9512195121951195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3049642172105696E-2"/>
                  <c:y val="-2.7414330218068612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3.1914889161376955E-2"/>
                  <c:y val="2.2429906542056052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2.1276592774251452E-2"/>
                  <c:y val="-1.2461059190031223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2.1276592774251452E-2"/>
                  <c:y val="7.4766355140187509E-3"/>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3.3075981244199984E-2"/>
                  <c:y val="-2.0697522565776991E-2"/>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3.2882421338415645E-2"/>
                  <c:y val="1.4953204020229174E-2"/>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4.3264510140913183E-2"/>
                  <c:y val="-2.2764227642276442E-2"/>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4.5231078783681856E-2"/>
                  <c:y val="1.6260162601626021E-2"/>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3.1465098284300615E-2"/>
                  <c:y val="1.3008130081300823E-2"/>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4.1297941498144392E-2"/>
                  <c:y val="-2.9268292682927004E-2"/>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3.9331372855375975E-2"/>
                  <c:y val="-2.2764227642276442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sz="80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'NA Indicators'!$J$218:$U$218</c:f>
              <c:strCache>
                <c:ptCount val="12"/>
                <c:pt idx="0">
                  <c:v>2008/09</c:v>
                </c:pt>
                <c:pt idx="1">
                  <c:v>2009/10</c:v>
                </c:pt>
                <c:pt idx="2">
                  <c:v>2010/11</c:v>
                </c:pt>
                <c:pt idx="3">
                  <c:v>2011/12</c:v>
                </c:pt>
                <c:pt idx="4">
                  <c:v>2012/13</c:v>
                </c:pt>
                <c:pt idx="5">
                  <c:v>2013/14</c:v>
                </c:pt>
                <c:pt idx="6">
                  <c:v>2014/15</c:v>
                </c:pt>
                <c:pt idx="7">
                  <c:v>2015/16</c:v>
                </c:pt>
                <c:pt idx="8">
                  <c:v>2016/17</c:v>
                </c:pt>
                <c:pt idx="9">
                  <c:v>2017/18</c:v>
                </c:pt>
                <c:pt idx="10">
                  <c:v>2018/19</c:v>
                </c:pt>
                <c:pt idx="11">
                  <c:v>2019/20</c:v>
                </c:pt>
              </c:strCache>
            </c:strRef>
          </c:cat>
          <c:val>
            <c:numRef>
              <c:f>'NA Indicators'!$J$219:$U$219</c:f>
              <c:numCache>
                <c:formatCode>0.0%</c:formatCode>
                <c:ptCount val="12"/>
                <c:pt idx="0">
                  <c:v>5.3823461684580076E-2</c:v>
                </c:pt>
                <c:pt idx="1">
                  <c:v>6.3588860814886905E-2</c:v>
                </c:pt>
                <c:pt idx="2">
                  <c:v>7.9045075722513625E-2</c:v>
                </c:pt>
                <c:pt idx="3">
                  <c:v>5.1410136208195567E-2</c:v>
                </c:pt>
                <c:pt idx="4">
                  <c:v>7.2630600302156401E-2</c:v>
                </c:pt>
                <c:pt idx="5">
                  <c:v>6.965132961535736E-2</c:v>
                </c:pt>
                <c:pt idx="6">
                  <c:v>7.0397469530978585E-2</c:v>
                </c:pt>
                <c:pt idx="7">
                  <c:v>7.1739363954783641E-2</c:v>
                </c:pt>
                <c:pt idx="8">
                  <c:v>7.3741943963407053E-2</c:v>
                </c:pt>
                <c:pt idx="9">
                  <c:v>7.5887738158493701E-2</c:v>
                </c:pt>
                <c:pt idx="10">
                  <c:v>7.9163062985012633E-2</c:v>
                </c:pt>
                <c:pt idx="11">
                  <c:v>8.1465072834696395E-2</c:v>
                </c:pt>
              </c:numCache>
            </c:numRef>
          </c:val>
          <c:smooth val="0"/>
        </c:ser>
        <c:dLbls>
          <c:showLegendKey val="0"/>
          <c:showVal val="0"/>
          <c:showCatName val="0"/>
          <c:showSerName val="0"/>
          <c:showPercent val="0"/>
          <c:showBubbleSize val="0"/>
        </c:dLbls>
        <c:hiLowLines/>
        <c:marker val="1"/>
        <c:smooth val="0"/>
        <c:axId val="1288893472"/>
        <c:axId val="1288900000"/>
      </c:lineChart>
      <c:catAx>
        <c:axId val="1288893472"/>
        <c:scaling>
          <c:orientation val="minMax"/>
        </c:scaling>
        <c:delete val="0"/>
        <c:axPos val="b"/>
        <c:title>
          <c:tx>
            <c:rich>
              <a:bodyPr/>
              <a:lstStyle/>
              <a:p>
                <a:pPr>
                  <a:defRPr/>
                </a:pPr>
                <a:r>
                  <a:rPr lang="en-US"/>
                  <a:t>Years</a:t>
                </a:r>
              </a:p>
            </c:rich>
          </c:tx>
          <c:overlay val="0"/>
        </c:title>
        <c:numFmt formatCode="General" sourceLinked="0"/>
        <c:majorTickMark val="none"/>
        <c:minorTickMark val="none"/>
        <c:tickLblPos val="nextTo"/>
        <c:txPr>
          <a:bodyPr/>
          <a:lstStyle/>
          <a:p>
            <a:pPr>
              <a:defRPr sz="800"/>
            </a:pPr>
            <a:endParaRPr lang="en-US"/>
          </a:p>
        </c:txPr>
        <c:crossAx val="1288900000"/>
        <c:crosses val="autoZero"/>
        <c:auto val="1"/>
        <c:lblAlgn val="ctr"/>
        <c:lblOffset val="100"/>
        <c:noMultiLvlLbl val="0"/>
      </c:catAx>
      <c:valAx>
        <c:axId val="1288900000"/>
        <c:scaling>
          <c:orientation val="minMax"/>
        </c:scaling>
        <c:delete val="0"/>
        <c:axPos val="l"/>
        <c:title>
          <c:tx>
            <c:rich>
              <a:bodyPr/>
              <a:lstStyle/>
              <a:p>
                <a:pPr>
                  <a:defRPr/>
                </a:pPr>
                <a:r>
                  <a:rPr lang="en-US"/>
                  <a:t> GDP in Bill. Tsh</a:t>
                </a:r>
              </a:p>
            </c:rich>
          </c:tx>
          <c:layout>
            <c:manualLayout>
              <c:xMode val="edge"/>
              <c:yMode val="edge"/>
              <c:x val="0.9637843222360537"/>
              <c:y val="0.36757877216567836"/>
            </c:manualLayout>
          </c:layout>
          <c:overlay val="0"/>
        </c:title>
        <c:numFmt formatCode="0.0%" sourceLinked="0"/>
        <c:majorTickMark val="out"/>
        <c:minorTickMark val="none"/>
        <c:tickLblPos val="nextTo"/>
        <c:txPr>
          <a:bodyPr/>
          <a:lstStyle/>
          <a:p>
            <a:pPr>
              <a:defRPr sz="800"/>
            </a:pPr>
            <a:endParaRPr lang="en-US"/>
          </a:p>
        </c:txPr>
        <c:crossAx val="1288893472"/>
        <c:crosses val="autoZero"/>
        <c:crossBetween val="between"/>
      </c:valAx>
      <c:valAx>
        <c:axId val="1288900544"/>
        <c:scaling>
          <c:orientation val="minMax"/>
        </c:scaling>
        <c:delete val="0"/>
        <c:axPos val="r"/>
        <c:numFmt formatCode="#,##0" sourceLinked="1"/>
        <c:majorTickMark val="out"/>
        <c:minorTickMark val="none"/>
        <c:tickLblPos val="nextTo"/>
        <c:txPr>
          <a:bodyPr/>
          <a:lstStyle/>
          <a:p>
            <a:pPr>
              <a:defRPr sz="800"/>
            </a:pPr>
            <a:endParaRPr lang="en-US"/>
          </a:p>
        </c:txPr>
        <c:crossAx val="1288894016"/>
        <c:crosses val="max"/>
        <c:crossBetween val="between"/>
      </c:valAx>
      <c:catAx>
        <c:axId val="1288894016"/>
        <c:scaling>
          <c:orientation val="minMax"/>
        </c:scaling>
        <c:delete val="1"/>
        <c:axPos val="b"/>
        <c:numFmt formatCode="General" sourceLinked="1"/>
        <c:majorTickMark val="out"/>
        <c:minorTickMark val="none"/>
        <c:tickLblPos val="none"/>
        <c:crossAx val="1288900544"/>
        <c:crosses val="autoZero"/>
        <c:auto val="1"/>
        <c:lblAlgn val="ctr"/>
        <c:lblOffset val="100"/>
        <c:noMultiLvlLbl val="0"/>
      </c:catAx>
    </c:plotArea>
    <c:legend>
      <c:legendPos val="t"/>
      <c:overlay val="0"/>
    </c:legend>
    <c:plotVisOnly val="1"/>
    <c:dispBlanksAs val="gap"/>
    <c:showDLblsOverMax val="0"/>
  </c:chart>
  <c:spPr>
    <a:blipFill>
      <a:blip xmlns:r="http://schemas.openxmlformats.org/officeDocument/2006/relationships" r:embed="rId1"/>
      <a:tile tx="0" ty="0" sx="100000" sy="100000" flip="none" algn="tl"/>
    </a:blipFill>
  </c:spPr>
  <c:printSettings>
    <c:headerFooter/>
    <c:pageMargins b="0.750000000000004" l="0.70000000000000062" r="0.70000000000000062" t="0.75000000000000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94838426542687"/>
          <c:y val="0.23058899417233975"/>
          <c:w val="0.69633921088504269"/>
          <c:h val="0.40991436451799595"/>
        </c:manualLayout>
      </c:layout>
      <c:barChart>
        <c:barDir val="col"/>
        <c:grouping val="clustered"/>
        <c:varyColors val="0"/>
        <c:ser>
          <c:idx val="0"/>
          <c:order val="0"/>
          <c:tx>
            <c:strRef>
              <c:f>'NA Indicators'!$I$264</c:f>
              <c:strCache>
                <c:ptCount val="1"/>
                <c:pt idx="0">
                  <c:v>Growth rate </c:v>
                </c:pt>
              </c:strCache>
            </c:strRef>
          </c:tx>
          <c:invertIfNegative val="0"/>
          <c:dLbls>
            <c:dLbl>
              <c:idx val="0"/>
              <c:layout>
                <c:manualLayout>
                  <c:x val="-4.2260968468326113E-3"/>
                  <c:y val="1.2374326293445943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1.7660049061563169E-3"/>
                  <c:y val="1.1299435028248589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5.2980147184689208E-3"/>
                  <c:y val="1.1299435028248589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8.8300245307815547E-3"/>
                  <c:y val="0"/>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1.0596029436937982E-2"/>
                  <c:y val="0"/>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7.0640196246252304E-3"/>
                  <c:y val="0"/>
                </c:manualLayout>
              </c:layout>
              <c:showLegendKey val="0"/>
              <c:showVal val="1"/>
              <c:showCatName val="0"/>
              <c:showSerName val="0"/>
              <c:showPercent val="0"/>
              <c:showBubbleSize val="0"/>
              <c:extLst>
                <c:ext xmlns:c15="http://schemas.microsoft.com/office/drawing/2012/chart" uri="{CE6537A1-D6FC-4f65-9D91-7224C49458BB}"/>
              </c:extLst>
            </c:dLbl>
            <c:dLbl>
              <c:idx val="12"/>
              <c:layout>
                <c:manualLayout>
                  <c:x val="0"/>
                  <c:y val="1.1299435028248589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'NA Indicators'!$H$265:$H$278</c:f>
              <c:strCache>
                <c:ptCount val="14"/>
                <c:pt idx="0">
                  <c:v>Agriculture</c:v>
                </c:pt>
                <c:pt idx="1">
                  <c:v>Fishing</c:v>
                </c:pt>
                <c:pt idx="2">
                  <c:v>Mining and quarrying</c:v>
                </c:pt>
                <c:pt idx="3">
                  <c:v>Manufac-turing</c:v>
                </c:pt>
                <c:pt idx="4">
                  <c:v>Electricity</c:v>
                </c:pt>
                <c:pt idx="5">
                  <c:v>Construc-tion</c:v>
                </c:pt>
                <c:pt idx="6">
                  <c:v>Wholesale and retail trade</c:v>
                </c:pt>
                <c:pt idx="7">
                  <c:v>Hotels and restau-rants</c:v>
                </c:pt>
                <c:pt idx="8">
                  <c:v>Transport and com-munication</c:v>
                </c:pt>
                <c:pt idx="9">
                  <c:v>Financial interme-diation</c:v>
                </c:pt>
                <c:pt idx="10">
                  <c:v>Real estate and business services</c:v>
                </c:pt>
                <c:pt idx="11">
                  <c:v>Public admi-nistration</c:v>
                </c:pt>
                <c:pt idx="12">
                  <c:v>Education</c:v>
                </c:pt>
                <c:pt idx="13">
                  <c:v>Other services</c:v>
                </c:pt>
              </c:strCache>
            </c:strRef>
          </c:cat>
          <c:val>
            <c:numRef>
              <c:f>'NA Indicators'!$I$265:$I$278</c:f>
              <c:numCache>
                <c:formatCode>0.0</c:formatCode>
                <c:ptCount val="14"/>
                <c:pt idx="0">
                  <c:v>1.5999999999999943</c:v>
                </c:pt>
                <c:pt idx="1">
                  <c:v>2.5374277708530713</c:v>
                </c:pt>
                <c:pt idx="2">
                  <c:v>8.7136761729778414</c:v>
                </c:pt>
                <c:pt idx="3">
                  <c:v>8.5</c:v>
                </c:pt>
                <c:pt idx="4">
                  <c:v>12.56873395301524</c:v>
                </c:pt>
                <c:pt idx="5">
                  <c:v>6.6215912826432941</c:v>
                </c:pt>
                <c:pt idx="6">
                  <c:v>8</c:v>
                </c:pt>
                <c:pt idx="7">
                  <c:v>3.0458348421438188</c:v>
                </c:pt>
                <c:pt idx="8">
                  <c:v>16.534758791969566</c:v>
                </c:pt>
                <c:pt idx="9">
                  <c:v>13.199999999999974</c:v>
                </c:pt>
                <c:pt idx="10">
                  <c:v>8.1000000000000085</c:v>
                </c:pt>
                <c:pt idx="11">
                  <c:v>5.0999999999999943</c:v>
                </c:pt>
                <c:pt idx="12">
                  <c:v>5.2213534231301395</c:v>
                </c:pt>
                <c:pt idx="13">
                  <c:v>4.4999999999999858</c:v>
                </c:pt>
              </c:numCache>
            </c:numRef>
          </c:val>
        </c:ser>
        <c:ser>
          <c:idx val="1"/>
          <c:order val="1"/>
          <c:tx>
            <c:strRef>
              <c:f>'NA Indicators'!$J$264</c:f>
              <c:strCache>
                <c:ptCount val="1"/>
                <c:pt idx="0">
                  <c:v>Contributors</c:v>
                </c:pt>
              </c:strCache>
            </c:strRef>
          </c:tx>
          <c:invertIfNegative val="0"/>
          <c:dLbls>
            <c:dLbl>
              <c:idx val="0"/>
              <c:layout>
                <c:manualLayout>
                  <c:x val="5.2980147184689208E-3"/>
                  <c:y val="1.4124293785310734E-2"/>
                </c:manualLayout>
              </c:layout>
              <c:tx>
                <c:rich>
                  <a:bodyPr/>
                  <a:lstStyle/>
                  <a:p>
                    <a:r>
                      <a:rPr lang="en-US">
                        <a:latin typeface="Times New Roman" pitchFamily="18" charset="0"/>
                        <a:cs typeface="Times New Roman" pitchFamily="18" charset="0"/>
                      </a:rPr>
                      <a:t>3.2</a:t>
                    </a:r>
                  </a:p>
                </c:rich>
              </c:tx>
              <c:showLegendKey val="0"/>
              <c:showVal val="1"/>
              <c:showCatName val="0"/>
              <c:showSerName val="0"/>
              <c:showPercent val="0"/>
              <c:showBubbleSize val="0"/>
              <c:extLst>
                <c:ext xmlns:c15="http://schemas.microsoft.com/office/drawing/2012/chart" uri="{CE6537A1-D6FC-4f65-9D91-7224C49458BB}"/>
              </c:extLst>
            </c:dLbl>
            <c:dLbl>
              <c:idx val="1"/>
              <c:layout>
                <c:manualLayout>
                  <c:x val="7.0640196246252304E-3"/>
                  <c:y val="8.4745762711865152E-3"/>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5.2980147184689208E-3"/>
                  <c:y val="5.6497175141242938E-3"/>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0"/>
                  <c:y val="8.4745762711865152E-3"/>
                </c:manualLayout>
              </c:layout>
              <c:tx>
                <c:rich>
                  <a:bodyPr/>
                  <a:lstStyle/>
                  <a:p>
                    <a:r>
                      <a:rPr lang="en-US">
                        <a:latin typeface="Times New Roman" pitchFamily="18" charset="0"/>
                        <a:cs typeface="Times New Roman" pitchFamily="18" charset="0"/>
                      </a:rPr>
                      <a:t>10.5</a:t>
                    </a:r>
                  </a:p>
                </c:rich>
              </c:tx>
              <c:showLegendKey val="0"/>
              <c:showVal val="1"/>
              <c:showCatName val="0"/>
              <c:showSerName val="0"/>
              <c:showPercent val="0"/>
              <c:showBubbleSize val="0"/>
              <c:extLst>
                <c:ext xmlns:c15="http://schemas.microsoft.com/office/drawing/2012/chart" uri="{CE6537A1-D6FC-4f65-9D91-7224C49458BB}"/>
              </c:extLst>
            </c:dLbl>
            <c:dLbl>
              <c:idx val="5"/>
              <c:layout>
                <c:manualLayout>
                  <c:x val="0"/>
                  <c:y val="8.4745762711865152E-3"/>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5.2980147184689208E-3"/>
                  <c:y val="2.8248587570621608E-3"/>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1.7660049061563169E-3"/>
                  <c:y val="8.4745762711865152E-3"/>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7.0640196246252304E-3"/>
                  <c:y val="2.8248587570621608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sz="800">
                    <a:latin typeface="Times New Roman" pitchFamily="18" charset="0"/>
                    <a:cs typeface="Times New Roman"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'NA Indicators'!$H$265:$H$278</c:f>
              <c:strCache>
                <c:ptCount val="14"/>
                <c:pt idx="0">
                  <c:v>Agriculture</c:v>
                </c:pt>
                <c:pt idx="1">
                  <c:v>Fishing</c:v>
                </c:pt>
                <c:pt idx="2">
                  <c:v>Mining and quarrying</c:v>
                </c:pt>
                <c:pt idx="3">
                  <c:v>Manufac-turing</c:v>
                </c:pt>
                <c:pt idx="4">
                  <c:v>Electricity</c:v>
                </c:pt>
                <c:pt idx="5">
                  <c:v>Construc-tion</c:v>
                </c:pt>
                <c:pt idx="6">
                  <c:v>Wholesale and retail trade</c:v>
                </c:pt>
                <c:pt idx="7">
                  <c:v>Hotels and restau-rants</c:v>
                </c:pt>
                <c:pt idx="8">
                  <c:v>Transport and com-munication</c:v>
                </c:pt>
                <c:pt idx="9">
                  <c:v>Financial interme-diation</c:v>
                </c:pt>
                <c:pt idx="10">
                  <c:v>Real estate and business services</c:v>
                </c:pt>
                <c:pt idx="11">
                  <c:v>Public admi-nistration</c:v>
                </c:pt>
                <c:pt idx="12">
                  <c:v>Education</c:v>
                </c:pt>
                <c:pt idx="13">
                  <c:v>Other services</c:v>
                </c:pt>
              </c:strCache>
            </c:strRef>
          </c:cat>
          <c:val>
            <c:numRef>
              <c:f>'NA Indicators'!$J$265:$J$278</c:f>
              <c:numCache>
                <c:formatCode>0.0</c:formatCode>
                <c:ptCount val="14"/>
                <c:pt idx="0">
                  <c:v>3.1991527186133482</c:v>
                </c:pt>
                <c:pt idx="1">
                  <c:v>0.43985616827219665</c:v>
                </c:pt>
                <c:pt idx="2">
                  <c:v>2.7488388576923501</c:v>
                </c:pt>
                <c:pt idx="3">
                  <c:v>10.532346762606302</c:v>
                </c:pt>
                <c:pt idx="4">
                  <c:v>4.2502494602689973</c:v>
                </c:pt>
                <c:pt idx="5">
                  <c:v>6.0603112200644338</c:v>
                </c:pt>
                <c:pt idx="6">
                  <c:v>18.510943817580092</c:v>
                </c:pt>
                <c:pt idx="7">
                  <c:v>0.88493335295397468</c:v>
                </c:pt>
                <c:pt idx="8">
                  <c:v>23.416491014346011</c:v>
                </c:pt>
                <c:pt idx="9">
                  <c:v>3.3523590109716928</c:v>
                </c:pt>
                <c:pt idx="10">
                  <c:v>14.643746333496885</c:v>
                </c:pt>
                <c:pt idx="11">
                  <c:v>5.7940535753165898</c:v>
                </c:pt>
                <c:pt idx="12">
                  <c:v>1.4024182898124804</c:v>
                </c:pt>
                <c:pt idx="13">
                  <c:v>1.3020369276633541</c:v>
                </c:pt>
              </c:numCache>
            </c:numRef>
          </c:val>
        </c:ser>
        <c:dLbls>
          <c:showLegendKey val="0"/>
          <c:showVal val="0"/>
          <c:showCatName val="0"/>
          <c:showSerName val="0"/>
          <c:showPercent val="0"/>
          <c:showBubbleSize val="0"/>
        </c:dLbls>
        <c:gapWidth val="50"/>
        <c:axId val="1330490112"/>
        <c:axId val="1330479232"/>
      </c:barChart>
      <c:catAx>
        <c:axId val="1330490112"/>
        <c:scaling>
          <c:orientation val="minMax"/>
        </c:scaling>
        <c:delete val="0"/>
        <c:axPos val="b"/>
        <c:numFmt formatCode="General" sourceLinked="0"/>
        <c:majorTickMark val="out"/>
        <c:minorTickMark val="none"/>
        <c:tickLblPos val="nextTo"/>
        <c:txPr>
          <a:bodyPr/>
          <a:lstStyle/>
          <a:p>
            <a:pPr>
              <a:defRPr sz="1000">
                <a:latin typeface="Times New Roman" pitchFamily="18" charset="0"/>
                <a:cs typeface="Times New Roman" pitchFamily="18" charset="0"/>
              </a:defRPr>
            </a:pPr>
            <a:endParaRPr lang="en-US"/>
          </a:p>
        </c:txPr>
        <c:crossAx val="1330479232"/>
        <c:crosses val="autoZero"/>
        <c:auto val="1"/>
        <c:lblAlgn val="ctr"/>
        <c:lblOffset val="100"/>
        <c:noMultiLvlLbl val="0"/>
      </c:catAx>
      <c:valAx>
        <c:axId val="1330479232"/>
        <c:scaling>
          <c:orientation val="minMax"/>
        </c:scaling>
        <c:delete val="1"/>
        <c:axPos val="l"/>
        <c:numFmt formatCode="0.0" sourceLinked="1"/>
        <c:majorTickMark val="out"/>
        <c:minorTickMark val="none"/>
        <c:tickLblPos val="none"/>
        <c:crossAx val="1330490112"/>
        <c:crosses val="autoZero"/>
        <c:crossBetween val="between"/>
      </c:valAx>
    </c:plotArea>
    <c:legend>
      <c:legendPos val="t"/>
      <c:overlay val="0"/>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232</xdr:col>
      <xdr:colOff>515127</xdr:colOff>
      <xdr:row>99</xdr:row>
      <xdr:rowOff>165229</xdr:rowOff>
    </xdr:from>
    <xdr:to>
      <xdr:col>241</xdr:col>
      <xdr:colOff>145789</xdr:colOff>
      <xdr:row>123</xdr:row>
      <xdr:rowOff>48597</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241</xdr:col>
      <xdr:colOff>544285</xdr:colOff>
      <xdr:row>99</xdr:row>
      <xdr:rowOff>0</xdr:rowOff>
    </xdr:from>
    <xdr:to>
      <xdr:col>249</xdr:col>
      <xdr:colOff>213825</xdr:colOff>
      <xdr:row>117</xdr:row>
      <xdr:rowOff>87475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1314451</xdr:colOff>
      <xdr:row>230</xdr:row>
      <xdr:rowOff>161924</xdr:rowOff>
    </xdr:from>
    <xdr:to>
      <xdr:col>46</xdr:col>
      <xdr:colOff>9525</xdr:colOff>
      <xdr:row>270</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304801</xdr:colOff>
      <xdr:row>187</xdr:row>
      <xdr:rowOff>219075</xdr:rowOff>
    </xdr:from>
    <xdr:to>
      <xdr:col>19</xdr:col>
      <xdr:colOff>400050</xdr:colOff>
      <xdr:row>210</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638174</xdr:colOff>
      <xdr:row>223</xdr:row>
      <xdr:rowOff>66675</xdr:rowOff>
    </xdr:from>
    <xdr:to>
      <xdr:col>18</xdr:col>
      <xdr:colOff>108584</xdr:colOff>
      <xdr:row>251</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342902</xdr:colOff>
      <xdr:row>257</xdr:row>
      <xdr:rowOff>19050</xdr:rowOff>
    </xdr:from>
    <xdr:to>
      <xdr:col>21</xdr:col>
      <xdr:colOff>552450</xdr:colOff>
      <xdr:row>284</xdr:row>
      <xdr:rowOff>142875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ewFP2_CT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1/DJKWIM~1/LOCALS~1/Temp/XPgrpwise/NewFP2_CT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istrator.PAD-TEDDY/Desktop/First%20Quarter%20GDP%2020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vigator"/>
      <sheetName val="Macroframe"/>
      <sheetName val="RegEstimates"/>
      <sheetName val="Indicators"/>
      <sheetName val="Horizontal"/>
      <sheetName val="NA"/>
      <sheetName val="Gov"/>
      <sheetName val="BOP"/>
      <sheetName val="BOP$"/>
      <sheetName val="MON"/>
      <sheetName val="BOT"/>
      <sheetName val="ODCs"/>
      <sheetName val="1SR-STA-1SG"/>
      <sheetName val="2SR-STA-2SG"/>
      <sheetName val="Prices"/>
      <sheetName val="FoFAll"/>
      <sheetName val="Help"/>
      <sheetName val="FoFBoxNew"/>
      <sheetName val="FoFBox"/>
      <sheetName val="PROG-ASSIST"/>
      <sheetName val="CashFlow"/>
      <sheetName val="FinIncome"/>
      <sheetName val="LeadingIndicators"/>
    </sheetNames>
    <sheetDataSet>
      <sheetData sheetId="0" refreshError="1"/>
      <sheetData sheetId="1" refreshError="1"/>
      <sheetData sheetId="2" refreshError="1"/>
      <sheetData sheetId="3">
        <row r="6">
          <cell r="U6">
            <v>5.8834119566436582E-2</v>
          </cell>
        </row>
        <row r="8">
          <cell r="BC8">
            <v>0.12178425761604128</v>
          </cell>
          <cell r="BD8">
            <v>0.12763754103314517</v>
          </cell>
          <cell r="BE8">
            <v>0.12730515113247765</v>
          </cell>
        </row>
      </sheetData>
      <sheetData sheetId="4" refreshError="1"/>
      <sheetData sheetId="5">
        <row r="8">
          <cell r="J8">
            <v>221864.2</v>
          </cell>
          <cell r="K8">
            <v>222212.7</v>
          </cell>
          <cell r="L8">
            <v>301982.8</v>
          </cell>
          <cell r="M8">
            <v>351893.2</v>
          </cell>
          <cell r="N8">
            <v>425140.4</v>
          </cell>
          <cell r="O8">
            <v>504323.72454999993</v>
          </cell>
          <cell r="P8">
            <v>679986.44154202065</v>
          </cell>
          <cell r="Q8">
            <v>845789.8</v>
          </cell>
          <cell r="R8">
            <v>861049.79999999993</v>
          </cell>
          <cell r="S8">
            <v>1110950.7000000002</v>
          </cell>
          <cell r="T8">
            <v>1287813.8999999999</v>
          </cell>
          <cell r="U8">
            <v>1488451.73</v>
          </cell>
          <cell r="V8">
            <v>1632863.19</v>
          </cell>
          <cell r="W8">
            <v>1974820.2431748202</v>
          </cell>
          <cell r="X8">
            <v>2372870.9000000004</v>
          </cell>
          <cell r="Y8">
            <v>2276633.258956173</v>
          </cell>
          <cell r="Z8">
            <v>2438903.9146492835</v>
          </cell>
          <cell r="AA8">
            <v>3616082.3471014583</v>
          </cell>
          <cell r="AB8">
            <v>3972192.5307128783</v>
          </cell>
          <cell r="AC8">
            <v>4639674.0787013536</v>
          </cell>
          <cell r="AD8">
            <v>5492550.5743343551</v>
          </cell>
          <cell r="AE8">
            <v>6491629.9421350379</v>
          </cell>
          <cell r="AL8">
            <v>89789.963000000003</v>
          </cell>
          <cell r="AM8">
            <v>162093.50700000001</v>
          </cell>
          <cell r="AN8">
            <v>266555.8</v>
          </cell>
          <cell r="AO8">
            <v>321922.59999999998</v>
          </cell>
          <cell r="AP8">
            <v>387905.69999999995</v>
          </cell>
          <cell r="AQ8">
            <v>465931.05050000001</v>
          </cell>
          <cell r="AR8">
            <v>586373.53912480001</v>
          </cell>
          <cell r="AS8">
            <v>586373.53912480001</v>
          </cell>
          <cell r="AT8">
            <v>837961</v>
          </cell>
          <cell r="AU8">
            <v>990548.6</v>
          </cell>
          <cell r="AV8">
            <v>1260498.2</v>
          </cell>
          <cell r="AW8">
            <v>1345695.6300000001</v>
          </cell>
          <cell r="AX8">
            <v>1567835.46</v>
          </cell>
          <cell r="AY8">
            <v>1762141.4917226899</v>
          </cell>
          <cell r="AZ8">
            <v>2177891.2814521301</v>
          </cell>
          <cell r="BA8">
            <v>2441264.2056401325</v>
          </cell>
          <cell r="BB8">
            <v>2285072.4533160408</v>
          </cell>
          <cell r="BC8">
            <v>2975487.1629207651</v>
          </cell>
          <cell r="BD8">
            <v>3791069.3737345003</v>
          </cell>
          <cell r="BE8">
            <v>4300650.4779322958</v>
          </cell>
          <cell r="BF8">
            <v>5059418.2114691483</v>
          </cell>
          <cell r="BG8">
            <v>5984200.3738031704</v>
          </cell>
          <cell r="BH8">
            <v>0</v>
          </cell>
        </row>
        <row r="10">
          <cell r="J10">
            <v>223739.69999999955</v>
          </cell>
          <cell r="K10">
            <v>223700.84999999954</v>
          </cell>
          <cell r="L10">
            <v>290368.69999999984</v>
          </cell>
          <cell r="M10">
            <v>303364.55884399987</v>
          </cell>
          <cell r="N10">
            <v>335775.44125599985</v>
          </cell>
          <cell r="O10">
            <v>402233.46038957953</v>
          </cell>
          <cell r="P10">
            <v>493231.97657723445</v>
          </cell>
          <cell r="Q10">
            <v>649139.89684116538</v>
          </cell>
          <cell r="R10">
            <v>918764.99999999977</v>
          </cell>
          <cell r="S10">
            <v>1016965.9500000004</v>
          </cell>
          <cell r="T10">
            <v>1205243.3100000035</v>
          </cell>
          <cell r="U10">
            <v>1428880.3600000036</v>
          </cell>
          <cell r="V10">
            <v>1714465.61</v>
          </cell>
          <cell r="W10">
            <v>1917632.03052257</v>
          </cell>
          <cell r="X10">
            <v>2008905.9425159544</v>
          </cell>
          <cell r="Y10">
            <v>2866261.2763149552</v>
          </cell>
          <cell r="Z10">
            <v>3234304.5594410785</v>
          </cell>
          <cell r="AA10">
            <v>4141362.8227108242</v>
          </cell>
          <cell r="AB10">
            <v>4347092.8284508567</v>
          </cell>
          <cell r="AC10">
            <v>4956381.5452465806</v>
          </cell>
          <cell r="AD10">
            <v>5696818.5408279821</v>
          </cell>
          <cell r="AE10">
            <v>6548092.6510093566</v>
          </cell>
          <cell r="AL10">
            <v>330453.0369999996</v>
          </cell>
          <cell r="AM10">
            <v>266512.49299999943</v>
          </cell>
          <cell r="AN10">
            <v>262595.1999999996</v>
          </cell>
          <cell r="AO10">
            <v>290077.40000000002</v>
          </cell>
          <cell r="AP10">
            <v>316668.29999999993</v>
          </cell>
          <cell r="AQ10">
            <v>365775.9495000001</v>
          </cell>
          <cell r="AR10">
            <v>412627.460875199</v>
          </cell>
          <cell r="AS10">
            <v>589499.45521637122</v>
          </cell>
          <cell r="AT10">
            <v>825081.9999999993</v>
          </cell>
          <cell r="AU10">
            <v>968010.40000000061</v>
          </cell>
          <cell r="AV10">
            <v>1069121.7999999998</v>
          </cell>
          <cell r="AW10">
            <v>1356663.5700000066</v>
          </cell>
          <cell r="AX10">
            <v>1488723.1999999997</v>
          </cell>
          <cell r="AY10">
            <v>1893890.0706371998</v>
          </cell>
          <cell r="AZ10">
            <v>1968107.9198853704</v>
          </cell>
          <cell r="BA10">
            <v>2405815.0071335994</v>
          </cell>
          <cell r="BB10">
            <v>3057564.7916973107</v>
          </cell>
          <cell r="BC10">
            <v>3654629.7754356358</v>
          </cell>
          <cell r="BD10">
            <v>4242483.141309537</v>
          </cell>
          <cell r="BE10">
            <v>4646292.6801735153</v>
          </cell>
          <cell r="BF10">
            <v>5319971.4240170494</v>
          </cell>
          <cell r="BG10">
            <v>6114828.7984311692</v>
          </cell>
          <cell r="BH10">
            <v>0</v>
          </cell>
        </row>
        <row r="13">
          <cell r="J13">
            <v>73356.399999999994</v>
          </cell>
          <cell r="K13">
            <v>74987</v>
          </cell>
          <cell r="L13">
            <v>81396.3</v>
          </cell>
          <cell r="M13">
            <v>100410.09999999999</v>
          </cell>
          <cell r="N13">
            <v>111664.180488</v>
          </cell>
          <cell r="O13">
            <v>123500.24456633333</v>
          </cell>
          <cell r="P13">
            <v>132040.20978373667</v>
          </cell>
          <cell r="Q13">
            <v>109758.15196533334</v>
          </cell>
          <cell r="R13">
            <v>218581.1</v>
          </cell>
          <cell r="S13">
            <v>382792</v>
          </cell>
          <cell r="T13">
            <v>462543.80000000005</v>
          </cell>
          <cell r="U13">
            <v>243138.67</v>
          </cell>
          <cell r="V13">
            <v>287875.3</v>
          </cell>
          <cell r="W13">
            <v>341241.80722401</v>
          </cell>
          <cell r="X13">
            <v>328653.33999999997</v>
          </cell>
          <cell r="Y13">
            <v>443503.63315238612</v>
          </cell>
          <cell r="Z13">
            <v>498556.58093199995</v>
          </cell>
          <cell r="AA13">
            <v>663536.19149541575</v>
          </cell>
          <cell r="AB13">
            <v>987797.58373518358</v>
          </cell>
          <cell r="AC13">
            <v>1123763.3987815883</v>
          </cell>
          <cell r="AD13">
            <v>1270122.0164675277</v>
          </cell>
          <cell r="AE13">
            <v>1434836.7854363187</v>
          </cell>
          <cell r="AL13">
            <v>83905.600000000006</v>
          </cell>
          <cell r="AM13">
            <v>72280.5</v>
          </cell>
          <cell r="AN13">
            <v>78317.100000000006</v>
          </cell>
          <cell r="AO13">
            <v>92119.400000000009</v>
          </cell>
          <cell r="AP13">
            <v>105135.98048799999</v>
          </cell>
          <cell r="AQ13">
            <v>115368.34811966665</v>
          </cell>
          <cell r="AR13">
            <v>128692.22351566667</v>
          </cell>
          <cell r="AS13">
            <v>128692.22351566667</v>
          </cell>
          <cell r="AT13">
            <v>163699.19999999998</v>
          </cell>
          <cell r="AU13">
            <v>299125.39999999997</v>
          </cell>
          <cell r="AV13">
            <v>421548.60000000003</v>
          </cell>
          <cell r="AW13">
            <v>361199.44000000006</v>
          </cell>
          <cell r="AX13">
            <v>265220.93</v>
          </cell>
          <cell r="AY13">
            <v>309136.90722401004</v>
          </cell>
          <cell r="AZ13">
            <v>337084.62</v>
          </cell>
          <cell r="BA13">
            <v>377716.07995117991</v>
          </cell>
          <cell r="BB13">
            <v>493170.37320120627</v>
          </cell>
          <cell r="BC13">
            <v>576793.72264856426</v>
          </cell>
          <cell r="BD13">
            <v>830134.87594946078</v>
          </cell>
          <cell r="BE13">
            <v>1057653.960286801</v>
          </cell>
          <cell r="BF13">
            <v>1198959.3787796032</v>
          </cell>
          <cell r="BG13">
            <v>1354749.0009839628</v>
          </cell>
          <cell r="BH13">
            <v>0</v>
          </cell>
        </row>
        <row r="18">
          <cell r="J18">
            <v>558611.45400000003</v>
          </cell>
          <cell r="K18">
            <v>401936.47480000008</v>
          </cell>
          <cell r="L18">
            <v>588422.55020923878</v>
          </cell>
          <cell r="M18">
            <v>923045.19558472978</v>
          </cell>
          <cell r="N18">
            <v>1290936.8297591975</v>
          </cell>
          <cell r="O18">
            <v>1613433.833857791</v>
          </cell>
          <cell r="P18">
            <v>1899811.7999644317</v>
          </cell>
          <cell r="Q18">
            <v>2270652.2139595547</v>
          </cell>
          <cell r="R18">
            <v>2966883.4922297676</v>
          </cell>
          <cell r="S18">
            <v>3240444.110107264</v>
          </cell>
          <cell r="T18">
            <v>4272480.7688016109</v>
          </cell>
          <cell r="U18">
            <v>4981847.8348253211</v>
          </cell>
          <cell r="V18">
            <v>6490329.073227169</v>
          </cell>
          <cell r="W18">
            <v>6320397.9221016634</v>
          </cell>
          <cell r="X18">
            <v>7689149.5995749924</v>
          </cell>
          <cell r="Y18">
            <v>8813758.2812381219</v>
          </cell>
          <cell r="Z18">
            <v>9070926.0978350323</v>
          </cell>
          <cell r="AA18">
            <v>10802895.058981787</v>
          </cell>
          <cell r="AB18">
            <v>10531389.951216988</v>
          </cell>
          <cell r="AC18">
            <v>11839663.000850376</v>
          </cell>
          <cell r="AD18">
            <v>13691180.04539188</v>
          </cell>
          <cell r="AE18">
            <v>15955660.920038503</v>
          </cell>
          <cell r="AL18">
            <v>423341.08000000007</v>
          </cell>
          <cell r="AM18">
            <v>516892.674</v>
          </cell>
          <cell r="AN18">
            <v>462495.52543841535</v>
          </cell>
          <cell r="AO18">
            <v>782195.26582467766</v>
          </cell>
          <cell r="AP18">
            <v>1115456.8309741681</v>
          </cell>
          <cell r="AQ18">
            <v>1352447.5714904943</v>
          </cell>
          <cell r="AR18">
            <v>1814049.0703442658</v>
          </cell>
          <cell r="AS18">
            <v>1814049.0703442658</v>
          </cell>
          <cell r="AT18">
            <v>2410598.3509477442</v>
          </cell>
          <cell r="AU18">
            <v>3348881.4442904275</v>
          </cell>
          <cell r="AV18">
            <v>3767700.5342280143</v>
          </cell>
          <cell r="AW18">
            <v>4563042.3880703738</v>
          </cell>
          <cell r="AX18">
            <v>5586290.1794839678</v>
          </cell>
          <cell r="AY18">
            <v>6379828.1716155838</v>
          </cell>
          <cell r="AZ18">
            <v>6887229.7161300741</v>
          </cell>
          <cell r="BA18">
            <v>8134488.0357963443</v>
          </cell>
          <cell r="BB18">
            <v>8432645.0590631235</v>
          </cell>
          <cell r="BC18">
            <v>10229738.262537878</v>
          </cell>
          <cell r="BD18">
            <v>10054989.620334951</v>
          </cell>
          <cell r="BE18">
            <v>10051563.798191966</v>
          </cell>
          <cell r="BF18">
            <v>11081448.294265695</v>
          </cell>
          <cell r="BG18">
            <v>12630076.037467845</v>
          </cell>
          <cell r="BH18">
            <v>317104.71524240292</v>
          </cell>
        </row>
        <row r="19">
          <cell r="J19">
            <v>20365.39399999992</v>
          </cell>
          <cell r="K19">
            <v>-213719.36519999994</v>
          </cell>
          <cell r="L19">
            <v>-230924.89979076112</v>
          </cell>
          <cell r="M19">
            <v>-4816.4542531401967</v>
          </cell>
          <cell r="N19">
            <v>55648.199483197459</v>
          </cell>
          <cell r="O19">
            <v>23406.206704991229</v>
          </cell>
          <cell r="P19">
            <v>60965.608518002555</v>
          </cell>
          <cell r="Q19">
            <v>-47461.270435855025</v>
          </cell>
          <cell r="R19">
            <v>191684.96591582813</v>
          </cell>
          <cell r="S19">
            <v>299984.89168346458</v>
          </cell>
          <cell r="T19">
            <v>8271.2186151803471</v>
          </cell>
          <cell r="U19">
            <v>-168110.08611212973</v>
          </cell>
          <cell r="V19">
            <v>475450.50136035937</v>
          </cell>
          <cell r="W19">
            <v>285559.97346100211</v>
          </cell>
          <cell r="X19">
            <v>-88587.768320930656</v>
          </cell>
          <cell r="Y19">
            <v>327375.87579595717</v>
          </cell>
          <cell r="Z19">
            <v>184701.83942579571</v>
          </cell>
          <cell r="AA19">
            <v>6.0535967350006104E-9</v>
          </cell>
          <cell r="AB19">
            <v>-113246.47261213884</v>
          </cell>
          <cell r="AC19">
            <v>366724.91900442261</v>
          </cell>
          <cell r="AD19">
            <v>222041.38397212606</v>
          </cell>
          <cell r="AE19">
            <v>-350382.88907537609</v>
          </cell>
          <cell r="AL19">
            <v>2789.5700000000361</v>
          </cell>
          <cell r="AM19">
            <v>-93578.155999999988</v>
          </cell>
          <cell r="AN19">
            <v>-276787.31456158473</v>
          </cell>
          <cell r="AO19">
            <v>-44388.80401319245</v>
          </cell>
          <cell r="AP19">
            <v>49503.088414168364</v>
          </cell>
          <cell r="AQ19">
            <v>36096.337461994612</v>
          </cell>
          <cell r="AR19">
            <v>301.97496796690393</v>
          </cell>
          <cell r="AS19">
            <v>301.97496796690393</v>
          </cell>
          <cell r="AT19">
            <v>161550.24933928403</v>
          </cell>
          <cell r="AU19">
            <v>355131.25695595704</v>
          </cell>
          <cell r="AV19">
            <v>428238.19959925406</v>
          </cell>
          <cell r="AW19">
            <v>-195027.70305874571</v>
          </cell>
          <cell r="AX19">
            <v>30945.187889596913</v>
          </cell>
          <cell r="AY19">
            <v>385032.68999419198</v>
          </cell>
          <cell r="AZ19">
            <v>-6167.1492025752086</v>
          </cell>
          <cell r="BA19">
            <v>206087.64476678381</v>
          </cell>
          <cell r="BB19">
            <v>-50988.861137379892</v>
          </cell>
          <cell r="BC19">
            <v>-410043.2876135651</v>
          </cell>
          <cell r="BD19">
            <v>-666439.85642391257</v>
          </cell>
          <cell r="BE19">
            <v>-1011890.5900520203</v>
          </cell>
          <cell r="BF19">
            <v>-1401652.4192031301</v>
          </cell>
          <cell r="BG19">
            <v>-2274943.1457070615</v>
          </cell>
          <cell r="BH19">
            <v>317104.71524240292</v>
          </cell>
        </row>
        <row r="22">
          <cell r="J22">
            <v>136523.91</v>
          </cell>
          <cell r="K22">
            <v>359913.39</v>
          </cell>
          <cell r="L22">
            <v>259560.29</v>
          </cell>
          <cell r="M22">
            <v>344610.87003700004</v>
          </cell>
          <cell r="N22">
            <v>322996.54958358</v>
          </cell>
          <cell r="O22">
            <v>727061.06194489403</v>
          </cell>
          <cell r="P22">
            <v>1071160.5994641171</v>
          </cell>
          <cell r="Q22">
            <v>1277436.0471893479</v>
          </cell>
          <cell r="R22">
            <v>1337211.4063234888</v>
          </cell>
          <cell r="S22">
            <v>1810972.0383730277</v>
          </cell>
          <cell r="T22">
            <v>2085368.2599171526</v>
          </cell>
          <cell r="U22">
            <v>2601647.2569607371</v>
          </cell>
          <cell r="V22">
            <v>2649854.8914085701</v>
          </cell>
          <cell r="W22">
            <v>3774721.744294649</v>
          </cell>
          <cell r="X22">
            <v>3670913.495494673</v>
          </cell>
          <cell r="Y22">
            <v>3926042.2041529566</v>
          </cell>
          <cell r="Z22">
            <v>3710228.2142699738</v>
          </cell>
          <cell r="AA22">
            <v>5909053.5287212329</v>
          </cell>
          <cell r="AB22">
            <v>6874481.9327952601</v>
          </cell>
          <cell r="AC22">
            <v>7765152.9066954497</v>
          </cell>
          <cell r="AD22">
            <v>8916358.4352976363</v>
          </cell>
          <cell r="AE22">
            <v>10033617.451487351</v>
          </cell>
          <cell r="AL22">
            <v>190338.4</v>
          </cell>
          <cell r="AM22">
            <v>325926.03999999998</v>
          </cell>
          <cell r="AN22">
            <v>255091.35999999996</v>
          </cell>
          <cell r="AO22">
            <v>293163.19438599999</v>
          </cell>
          <cell r="AP22">
            <v>326361.03523457999</v>
          </cell>
          <cell r="AQ22">
            <v>608130.15577569697</v>
          </cell>
          <cell r="AR22">
            <v>1005249.2570331383</v>
          </cell>
          <cell r="AS22">
            <v>1005249.2570331383</v>
          </cell>
          <cell r="AT22">
            <v>1298367.2826774977</v>
          </cell>
          <cell r="AU22">
            <v>1649598.7567041775</v>
          </cell>
          <cell r="AV22">
            <v>1707662.3943542065</v>
          </cell>
          <cell r="AW22">
            <v>2442349.0974066406</v>
          </cell>
          <cell r="AX22">
            <v>2670338.3489703303</v>
          </cell>
          <cell r="AY22">
            <v>3363238.5736085479</v>
          </cell>
          <cell r="AZ22">
            <v>3582944.2530394755</v>
          </cell>
          <cell r="BA22">
            <v>3923686.483581732</v>
          </cell>
          <cell r="BB22">
            <v>3925473.8517064601</v>
          </cell>
          <cell r="BC22">
            <v>4457783.572448587</v>
          </cell>
          <cell r="BD22">
            <v>6385763.935749081</v>
          </cell>
          <cell r="BE22">
            <v>7314278.5253795534</v>
          </cell>
          <cell r="BF22">
            <v>8333596.5673509715</v>
          </cell>
          <cell r="BG22">
            <v>9468039.9459262509</v>
          </cell>
          <cell r="BH22">
            <v>0</v>
          </cell>
        </row>
        <row r="25">
          <cell r="J25">
            <v>782298.42229682836</v>
          </cell>
          <cell r="K25">
            <v>1062888.5525015816</v>
          </cell>
          <cell r="L25">
            <v>1261192.4137999243</v>
          </cell>
          <cell r="M25">
            <v>1670929.5215229793</v>
          </cell>
          <cell r="N25">
            <v>2033017.7536154813</v>
          </cell>
          <cell r="O25">
            <v>2486384.7265814561</v>
          </cell>
          <cell r="P25">
            <v>3066023.4421944888</v>
          </cell>
          <cell r="Q25">
            <v>3829526.598813971</v>
          </cell>
          <cell r="R25">
            <v>4757095.2706078775</v>
          </cell>
          <cell r="S25">
            <v>5929956.9181014588</v>
          </cell>
          <cell r="T25">
            <v>6383758.3322470896</v>
          </cell>
          <cell r="U25">
            <v>7547543.6997294985</v>
          </cell>
          <cell r="V25">
            <v>10407876.433812918</v>
          </cell>
          <cell r="W25">
            <v>12727173.664276734</v>
          </cell>
          <cell r="X25">
            <v>13183201.480633918</v>
          </cell>
          <cell r="Y25">
            <v>13893353.642913884</v>
          </cell>
          <cell r="Z25">
            <v>16351805.27046819</v>
          </cell>
          <cell r="AA25">
            <v>21088129.377491735</v>
          </cell>
          <cell r="AB25">
            <v>23358468.15924361</v>
          </cell>
          <cell r="AC25">
            <v>26242210.035597019</v>
          </cell>
          <cell r="AD25">
            <v>28585378.895093426</v>
          </cell>
          <cell r="AE25">
            <v>30954041.969547197</v>
          </cell>
          <cell r="AL25">
            <v>770080.34071219456</v>
          </cell>
          <cell r="AM25">
            <v>904961.65606334899</v>
          </cell>
          <cell r="AN25">
            <v>1089573.6559188182</v>
          </cell>
          <cell r="AO25">
            <v>1550229.8243713281</v>
          </cell>
          <cell r="AP25">
            <v>1837937.9505545269</v>
          </cell>
          <cell r="AQ25">
            <v>2254951.3114456031</v>
          </cell>
          <cell r="AR25">
            <v>2839009.1393259023</v>
          </cell>
          <cell r="AS25">
            <v>3362243.4512813399</v>
          </cell>
          <cell r="AT25">
            <v>4321702.3590395181</v>
          </cell>
          <cell r="AU25">
            <v>5090841.1775250267</v>
          </cell>
          <cell r="AV25">
            <v>6668216.2027760539</v>
          </cell>
          <cell r="AW25">
            <v>6715853.6874213703</v>
          </cell>
          <cell r="AX25">
            <v>8939142.3282770738</v>
          </cell>
          <cell r="AY25">
            <v>11544688.018271362</v>
          </cell>
          <cell r="AZ25">
            <v>13635672.460336883</v>
          </cell>
          <cell r="BA25">
            <v>13522174.943742868</v>
          </cell>
          <cell r="BB25">
            <v>14435312.390468981</v>
          </cell>
          <cell r="BC25">
            <v>18992389.110893618</v>
          </cell>
          <cell r="BD25">
            <v>22272960.373991065</v>
          </cell>
          <cell r="BE25">
            <v>24778281.827267848</v>
          </cell>
          <cell r="BF25">
            <v>27434751.709538307</v>
          </cell>
          <cell r="BG25">
            <v>29725296.117876403</v>
          </cell>
          <cell r="BH25">
            <v>31285448.804135051</v>
          </cell>
        </row>
        <row r="26">
          <cell r="J26">
            <v>-1563811.804519465</v>
          </cell>
          <cell r="K26">
            <v>-1713994.4617795129</v>
          </cell>
          <cell r="L26">
            <v>-1748756.4665109499</v>
          </cell>
          <cell r="M26">
            <v>-2029724.5705736396</v>
          </cell>
          <cell r="N26">
            <v>-2282998.6456837696</v>
          </cell>
          <cell r="O26">
            <v>-3224762.6206520083</v>
          </cell>
          <cell r="P26">
            <v>-4197209.1677556913</v>
          </cell>
          <cell r="Q26">
            <v>-5543536.7401661519</v>
          </cell>
          <cell r="R26">
            <v>-7280550.2469330104</v>
          </cell>
          <cell r="S26">
            <v>-9032884.448481109</v>
          </cell>
          <cell r="T26">
            <v>-9847740.6596936453</v>
          </cell>
          <cell r="U26">
            <v>-11124124.63691378</v>
          </cell>
          <cell r="V26">
            <v>-14762877.017638195</v>
          </cell>
          <cell r="W26">
            <v>-20638021.788390242</v>
          </cell>
          <cell r="X26">
            <v>-20342958.720145833</v>
          </cell>
          <cell r="Y26">
            <v>-22590477.030992217</v>
          </cell>
          <cell r="Z26">
            <v>-23508660.533674836</v>
          </cell>
          <cell r="AA26">
            <v>-29336405.854531102</v>
          </cell>
          <cell r="AB26">
            <v>-31204772.495735809</v>
          </cell>
          <cell r="AC26">
            <v>-34220845.611924797</v>
          </cell>
          <cell r="AD26">
            <v>-36863480.94679299</v>
          </cell>
          <cell r="AE26">
            <v>-40505096.40196909</v>
          </cell>
          <cell r="AL26">
            <v>-1554103.2297893525</v>
          </cell>
          <cell r="AM26">
            <v>-1650668.233994975</v>
          </cell>
          <cell r="AN26">
            <v>-1640826.0600401456</v>
          </cell>
          <cell r="AO26">
            <v>-1937572.1672358003</v>
          </cell>
          <cell r="AP26">
            <v>-2072146.9918077183</v>
          </cell>
          <cell r="AQ26">
            <v>-2765994.7715981277</v>
          </cell>
          <cell r="AR26">
            <v>-3755318.773337556</v>
          </cell>
          <cell r="AS26">
            <v>-4756057.6171978405</v>
          </cell>
          <cell r="AT26">
            <v>-6422253.8191225305</v>
          </cell>
          <cell r="AU26">
            <v>-7781546.815985918</v>
          </cell>
          <cell r="AV26">
            <v>-10374692.314477587</v>
          </cell>
          <cell r="AW26">
            <v>-9865201.5460425224</v>
          </cell>
          <cell r="AX26">
            <v>-12663593.141938964</v>
          </cell>
          <cell r="AY26">
            <v>-18835527.985073149</v>
          </cell>
          <cell r="AZ26">
            <v>-19925691.261761077</v>
          </cell>
          <cell r="BA26">
            <v>-21604880.805950325</v>
          </cell>
          <cell r="BB26">
            <v>-22462320.310592022</v>
          </cell>
          <cell r="BC26">
            <v>-27142685.887932256</v>
          </cell>
          <cell r="BD26">
            <v>-31293463.648098085</v>
          </cell>
          <cell r="BE26">
            <v>-34346549.000766091</v>
          </cell>
          <cell r="BF26">
            <v>-37887956.772523694</v>
          </cell>
          <cell r="BG26">
            <v>-40842347.195772812</v>
          </cell>
          <cell r="BH26">
            <v>-38524921.992324695</v>
          </cell>
        </row>
        <row r="34">
          <cell r="J34">
            <v>-10877.697234031253</v>
          </cell>
        </row>
        <row r="36">
          <cell r="AL36">
            <v>464766.62</v>
          </cell>
          <cell r="AM36">
            <v>480376.69999999995</v>
          </cell>
          <cell r="AN36">
            <v>590173.71</v>
          </cell>
          <cell r="AO36">
            <v>702188.71</v>
          </cell>
          <cell r="AP36">
            <v>801802.64456000004</v>
          </cell>
          <cell r="AQ36">
            <v>938173.89935966674</v>
          </cell>
          <cell r="AR36">
            <v>1113046.0048824756</v>
          </cell>
          <cell r="AS36">
            <v>1113046.0048824756</v>
          </cell>
          <cell r="AT36">
            <v>1641834.06</v>
          </cell>
          <cell r="AU36">
            <v>2198916.9399999995</v>
          </cell>
          <cell r="AV36">
            <v>2682426.3000000003</v>
          </cell>
          <cell r="AW36">
            <v>3008137.7819999997</v>
          </cell>
          <cell r="AX36">
            <v>3419694.202</v>
          </cell>
          <cell r="AY36">
            <v>4115557.567000411</v>
          </cell>
          <cell r="AZ36">
            <v>4710569.3501849137</v>
          </cell>
          <cell r="BA36">
            <v>5455997.2180661261</v>
          </cell>
          <cell r="BB36">
            <v>6131923.7446955033</v>
          </cell>
          <cell r="BC36">
            <v>7628249.781355381</v>
          </cell>
          <cell r="BD36">
            <v>9389280.4947143476</v>
          </cell>
          <cell r="BE36">
            <v>10607945.030936407</v>
          </cell>
          <cell r="BF36">
            <v>12301179.057148905</v>
          </cell>
          <cell r="BG36">
            <v>14287439.855465861</v>
          </cell>
          <cell r="BH36">
            <v>0</v>
          </cell>
        </row>
        <row r="39">
          <cell r="J39">
            <v>-103865.92603366365</v>
          </cell>
          <cell r="K39">
            <v>-129748.646615367</v>
          </cell>
          <cell r="L39">
            <v>-203824.7098622293</v>
          </cell>
          <cell r="M39">
            <v>-208904.4707215869</v>
          </cell>
          <cell r="N39">
            <v>-191632.50590269332</v>
          </cell>
          <cell r="O39">
            <v>-258747.37224477337</v>
          </cell>
          <cell r="P39">
            <v>-351254.34901876579</v>
          </cell>
          <cell r="Q39">
            <v>-235935.72837054712</v>
          </cell>
          <cell r="R39">
            <v>-246200.79618149379</v>
          </cell>
          <cell r="S39">
            <v>-433542.13802345778</v>
          </cell>
          <cell r="T39">
            <v>-475202.31863536098</v>
          </cell>
          <cell r="U39">
            <v>-711372.11548457842</v>
          </cell>
          <cell r="V39">
            <v>-1104152.8083461979</v>
          </cell>
          <cell r="W39">
            <v>-1144015.6705973542</v>
          </cell>
          <cell r="X39">
            <v>-1110592.9487257861</v>
          </cell>
          <cell r="Y39">
            <v>-1147227.1917931505</v>
          </cell>
          <cell r="Z39">
            <v>-1323852.0270757079</v>
          </cell>
          <cell r="AA39">
            <v>-1943202.5309147299</v>
          </cell>
          <cell r="AB39">
            <v>-2326677.3148456248</v>
          </cell>
          <cell r="AC39">
            <v>-2952856.4873657255</v>
          </cell>
          <cell r="AD39">
            <v>-3109601.242492158</v>
          </cell>
          <cell r="AE39">
            <v>-3249167.7171463794</v>
          </cell>
          <cell r="AL39">
            <v>-87156.539918333336</v>
          </cell>
          <cell r="AM39">
            <v>-133511.43293440208</v>
          </cell>
          <cell r="AN39">
            <v>-116579.66719232209</v>
          </cell>
          <cell r="AO39">
            <v>-303153.0790861753</v>
          </cell>
          <cell r="AP39">
            <v>-122839.31027772346</v>
          </cell>
          <cell r="AQ39">
            <v>-244215.56391323893</v>
          </cell>
          <cell r="AR39">
            <v>-270406.24533486587</v>
          </cell>
          <cell r="AS39">
            <v>-423506.74661616015</v>
          </cell>
          <cell r="AT39">
            <v>-66383.841093580384</v>
          </cell>
          <cell r="AU39">
            <v>-416753.84061985684</v>
          </cell>
          <cell r="AV39">
            <v>-459856.49437372154</v>
          </cell>
          <cell r="AW39">
            <v>-506668.97062886425</v>
          </cell>
          <cell r="AX39">
            <v>-968427.7866802949</v>
          </cell>
          <cell r="AY39">
            <v>-1223932.5543468921</v>
          </cell>
          <cell r="AZ39">
            <v>-1012761.8938307234</v>
          </cell>
          <cell r="BA39">
            <v>-1222519.4405614976</v>
          </cell>
          <cell r="BB39">
            <v>-1144643.9583448635</v>
          </cell>
          <cell r="BC39">
            <v>-1654319.1834374471</v>
          </cell>
          <cell r="BD39">
            <v>-2138620.7386501702</v>
          </cell>
          <cell r="BE39">
            <v>-2635851.8960215827</v>
          </cell>
          <cell r="BF39">
            <v>-3034195.2346746856</v>
          </cell>
          <cell r="BG39">
            <v>-3175111.741033949</v>
          </cell>
          <cell r="BH39">
            <v>-3283954.6567403707</v>
          </cell>
        </row>
        <row r="40">
          <cell r="J40">
            <v>22056.580364304358</v>
          </cell>
          <cell r="K40">
            <v>29236.6540719</v>
          </cell>
          <cell r="L40">
            <v>31476.114144261788</v>
          </cell>
          <cell r="M40">
            <v>54155.621711428568</v>
          </cell>
          <cell r="N40">
            <v>67174.833382000012</v>
          </cell>
          <cell r="O40">
            <v>87764.340492806572</v>
          </cell>
          <cell r="P40">
            <v>80027.803333635457</v>
          </cell>
          <cell r="Q40">
            <v>77565.977770592246</v>
          </cell>
          <cell r="R40">
            <v>107450.81077485235</v>
          </cell>
          <cell r="S40">
            <v>142365.17558569371</v>
          </cell>
          <cell r="T40">
            <v>146614.554806117</v>
          </cell>
          <cell r="U40">
            <v>195991.05315633153</v>
          </cell>
          <cell r="V40">
            <v>270475.86321655882</v>
          </cell>
          <cell r="W40">
            <v>204111.23062787749</v>
          </cell>
          <cell r="X40">
            <v>148802.45999617051</v>
          </cell>
          <cell r="Y40">
            <v>152244.70025815308</v>
          </cell>
          <cell r="Z40">
            <v>159558.32155677231</v>
          </cell>
          <cell r="AA40">
            <v>211381.0761123535</v>
          </cell>
          <cell r="AB40">
            <v>216952.17759809305</v>
          </cell>
          <cell r="AC40">
            <v>221256.16664225888</v>
          </cell>
          <cell r="AD40">
            <v>349391.82649708679</v>
          </cell>
          <cell r="AE40">
            <v>355247.73531051731</v>
          </cell>
          <cell r="AL40">
            <v>20776.784978299998</v>
          </cell>
          <cell r="AM40">
            <v>18789.309620504362</v>
          </cell>
          <cell r="AN40">
            <v>35003.242650947162</v>
          </cell>
          <cell r="AO40">
            <v>40093.5758091432</v>
          </cell>
          <cell r="AP40">
            <v>58810.112083999993</v>
          </cell>
          <cell r="AQ40">
            <v>83443.876720799992</v>
          </cell>
          <cell r="AR40">
            <v>79917.560106976278</v>
          </cell>
          <cell r="AS40">
            <v>80046.837204985146</v>
          </cell>
          <cell r="AT40">
            <v>92995.470408270412</v>
          </cell>
          <cell r="AU40">
            <v>125729.81154121773</v>
          </cell>
          <cell r="AV40">
            <v>135232.32701316499</v>
          </cell>
          <cell r="AW40">
            <v>195660.01919179084</v>
          </cell>
          <cell r="AX40">
            <v>208070.80460500403</v>
          </cell>
          <cell r="AY40">
            <v>247061.09574116397</v>
          </cell>
          <cell r="AZ40">
            <v>172278.99538405921</v>
          </cell>
          <cell r="BA40">
            <v>159607.81410342053</v>
          </cell>
          <cell r="BB40">
            <v>142789.28409335119</v>
          </cell>
          <cell r="BC40">
            <v>188819.25611096391</v>
          </cell>
          <cell r="BD40">
            <v>214752.71591523575</v>
          </cell>
          <cell r="BE40">
            <v>219013.24781218739</v>
          </cell>
          <cell r="BF40">
            <v>284884.17314253765</v>
          </cell>
          <cell r="BG40">
            <v>351886.18786386208</v>
          </cell>
          <cell r="BH40">
            <v>359051.16516854963</v>
          </cell>
        </row>
        <row r="48">
          <cell r="J48">
            <v>108564.63407926296</v>
          </cell>
          <cell r="K48">
            <v>34368.396118477191</v>
          </cell>
          <cell r="L48">
            <v>211171.25054323932</v>
          </cell>
          <cell r="M48">
            <v>193881.72861403675</v>
          </cell>
          <cell r="N48">
            <v>371902.25301921013</v>
          </cell>
          <cell r="O48">
            <v>438513.77119911846</v>
          </cell>
          <cell r="P48">
            <v>642173.672439549</v>
          </cell>
          <cell r="Q48">
            <v>615816.88768482255</v>
          </cell>
          <cell r="R48">
            <v>667159.73083527386</v>
          </cell>
          <cell r="S48">
            <v>1090825.3737662726</v>
          </cell>
          <cell r="T48">
            <v>1167966.4541437719</v>
          </cell>
          <cell r="U48">
            <v>1163172.2653222342</v>
          </cell>
          <cell r="V48">
            <v>1457522.413583138</v>
          </cell>
          <cell r="W48">
            <v>1489200.3179880371</v>
          </cell>
          <cell r="X48">
            <v>1227045.4282502008</v>
          </cell>
          <cell r="Y48">
            <v>1203271.9850172629</v>
          </cell>
          <cell r="Z48">
            <v>1010665.0301633968</v>
          </cell>
          <cell r="AA48">
            <v>1118502.5221572591</v>
          </cell>
          <cell r="AB48">
            <v>1288013.8179797474</v>
          </cell>
          <cell r="AC48">
            <v>1427656.9491401017</v>
          </cell>
          <cell r="AD48">
            <v>1483763.0989612942</v>
          </cell>
          <cell r="AE48">
            <v>1529852.8471639666</v>
          </cell>
          <cell r="AL48">
            <v>107270.85409189999</v>
          </cell>
          <cell r="AM48">
            <v>74629.472567069315</v>
          </cell>
          <cell r="AN48">
            <v>152168.90223631213</v>
          </cell>
          <cell r="AO48">
            <v>173412.91524443484</v>
          </cell>
          <cell r="AP48">
            <v>285318.89944166667</v>
          </cell>
          <cell r="AQ48">
            <v>533547.74926153047</v>
          </cell>
          <cell r="AR48">
            <v>634725.36698635423</v>
          </cell>
          <cell r="AS48">
            <v>564303.39396952256</v>
          </cell>
          <cell r="AT48">
            <v>751067.37707924144</v>
          </cell>
          <cell r="AU48">
            <v>919723.93397888518</v>
          </cell>
          <cell r="AV48">
            <v>1007107.5806313555</v>
          </cell>
          <cell r="AW48">
            <v>1165430.9821265705</v>
          </cell>
          <cell r="AX48">
            <v>1491512.3695184826</v>
          </cell>
          <cell r="AY48">
            <v>1434156.871598416</v>
          </cell>
          <cell r="AZ48">
            <v>1269196.8755131613</v>
          </cell>
          <cell r="BA48">
            <v>1241655.5161049864</v>
          </cell>
          <cell r="BB48">
            <v>789703.5277377594</v>
          </cell>
          <cell r="BC48">
            <v>1093946.7560661449</v>
          </cell>
          <cell r="BD48">
            <v>1205639.9671787533</v>
          </cell>
          <cell r="BE48">
            <v>1356717.2973515512</v>
          </cell>
          <cell r="BF48">
            <v>1457256.1493976277</v>
          </cell>
          <cell r="BG48">
            <v>1504866.2280321838</v>
          </cell>
          <cell r="BH48">
            <v>1546232.0873925162</v>
          </cell>
        </row>
        <row r="82">
          <cell r="W82">
            <v>57098397.420132577</v>
          </cell>
          <cell r="X82">
            <v>66193720.627851292</v>
          </cell>
        </row>
        <row r="188">
          <cell r="K188">
            <v>0.26134329141333157</v>
          </cell>
          <cell r="L188">
            <v>0.31154506120044395</v>
          </cell>
          <cell r="M188">
            <v>0.38684040303338851</v>
          </cell>
          <cell r="N188">
            <v>0.16556439911746579</v>
          </cell>
          <cell r="O188">
            <v>-0.87575163039727211</v>
          </cell>
          <cell r="P188">
            <v>0.18543244410615767</v>
          </cell>
          <cell r="Q188">
            <v>0.14982914649379639</v>
          </cell>
          <cell r="R188">
            <v>9.7736131202967924E-2</v>
          </cell>
          <cell r="S188">
            <v>0.18719691280238748</v>
          </cell>
          <cell r="T188">
            <v>0.29871687501244054</v>
          </cell>
          <cell r="U188">
            <v>0.17750644175767893</v>
          </cell>
          <cell r="V188">
            <v>0.11183711077545355</v>
          </cell>
          <cell r="W188">
            <v>0.12759590288836553</v>
          </cell>
          <cell r="X188">
            <v>0.12011589079459811</v>
          </cell>
          <cell r="Y188">
            <v>0.10550273650572711</v>
          </cell>
          <cell r="Z188">
            <v>0.10986156230103433</v>
          </cell>
          <cell r="AA188">
            <v>9.344178407596701E-2</v>
          </cell>
          <cell r="AB188">
            <v>8.6667203078466523E-2</v>
          </cell>
          <cell r="AC188">
            <v>9.2747379368363997E-2</v>
          </cell>
          <cell r="AL188">
            <v>0.29574231134086432</v>
          </cell>
          <cell r="AM188">
            <v>0.25121247418859532</v>
          </cell>
          <cell r="AN188">
            <v>0.27082337261469175</v>
          </cell>
          <cell r="AO188">
            <v>0.31329559732025536</v>
          </cell>
          <cell r="AP188">
            <v>0.63793410022729968</v>
          </cell>
          <cell r="AQ188">
            <v>4.5607348347994918</v>
          </cell>
          <cell r="AR188">
            <v>0.21570861792896312</v>
          </cell>
          <cell r="AS188">
            <v>0.15888934926358109</v>
          </cell>
          <cell r="AT188">
            <v>0.13598468454587942</v>
          </cell>
          <cell r="AU188">
            <v>7.7613914307184187E-2</v>
          </cell>
          <cell r="AV188">
            <v>0.34082179999868079</v>
          </cell>
          <cell r="AW188">
            <v>0.25746682959977485</v>
          </cell>
          <cell r="AX188">
            <v>0.11328240339422946</v>
          </cell>
          <cell r="AY188">
            <v>0.11074393945499257</v>
          </cell>
          <cell r="AZ188">
            <v>0.15160838123601625</v>
          </cell>
          <cell r="BA188">
            <v>9.89145187342617E-2</v>
          </cell>
          <cell r="BB188">
            <v>0.11190757209624921</v>
          </cell>
          <cell r="BC188">
            <v>0.10796905381290774</v>
          </cell>
        </row>
      </sheetData>
      <sheetData sheetId="6">
        <row r="6">
          <cell r="U6">
            <v>4661540.33</v>
          </cell>
        </row>
      </sheetData>
      <sheetData sheetId="7">
        <row r="10">
          <cell r="AB10">
            <v>-24446186.602517959</v>
          </cell>
        </row>
        <row r="24">
          <cell r="K24">
            <v>5874.7305340000003</v>
          </cell>
          <cell r="L24">
            <v>8003.5701292396188</v>
          </cell>
          <cell r="M24">
            <v>7374.0821011904773</v>
          </cell>
          <cell r="N24">
            <v>6790.7215000000006</v>
          </cell>
          <cell r="O24">
            <v>7887.9141034000004</v>
          </cell>
          <cell r="P24">
            <v>10140.654835581681</v>
          </cell>
          <cell r="Q24">
            <v>11011.363165001301</v>
          </cell>
          <cell r="R24">
            <v>6368.6783357380127</v>
          </cell>
          <cell r="S24">
            <v>11857.143326092475</v>
          </cell>
          <cell r="T24">
            <v>10022.912284998069</v>
          </cell>
          <cell r="U24">
            <v>15822.160503831097</v>
          </cell>
          <cell r="V24">
            <v>23936.556361690164</v>
          </cell>
          <cell r="W24">
            <v>39357.93888561058</v>
          </cell>
          <cell r="X24">
            <v>44955.113746432398</v>
          </cell>
          <cell r="Y24">
            <v>47920.137361369969</v>
          </cell>
          <cell r="Z24">
            <v>53647.640770398953</v>
          </cell>
          <cell r="AA24">
            <v>66596.103308485835</v>
          </cell>
          <cell r="AB24">
            <v>69464.178303576497</v>
          </cell>
          <cell r="AC24">
            <v>72152.81945173601</v>
          </cell>
          <cell r="AD24">
            <v>75447.277292882296</v>
          </cell>
          <cell r="AE24">
            <v>78284.387453862641</v>
          </cell>
          <cell r="AL24">
            <v>7579.9598534999996</v>
          </cell>
          <cell r="AM24">
            <v>5365.2984740000002</v>
          </cell>
          <cell r="AN24">
            <v>6434.4728792788392</v>
          </cell>
          <cell r="AO24">
            <v>8685.6730111512552</v>
          </cell>
          <cell r="AP24">
            <v>6759.86</v>
          </cell>
          <cell r="AQ24">
            <v>7280.6526200000008</v>
          </cell>
          <cell r="AR24">
            <v>8713.438510127271</v>
          </cell>
          <cell r="AS24">
            <v>11580.477031854409</v>
          </cell>
          <cell r="AT24">
            <v>7921.0939989249009</v>
          </cell>
          <cell r="AU24">
            <v>7496.7838654178431</v>
          </cell>
          <cell r="AV24">
            <v>11042.7873943875</v>
          </cell>
          <cell r="AW24">
            <v>14880.556650492474</v>
          </cell>
          <cell r="AX24">
            <v>17152.665332377965</v>
          </cell>
          <cell r="AY24">
            <v>38344.249284821861</v>
          </cell>
          <cell r="AZ24">
            <v>33690.629639084029</v>
          </cell>
          <cell r="BA24">
            <v>48213.453769351428</v>
          </cell>
          <cell r="BB24">
            <v>52559.633712530536</v>
          </cell>
          <cell r="BC24">
            <v>61413.498699311902</v>
          </cell>
          <cell r="BD24">
            <v>68209.071922579184</v>
          </cell>
          <cell r="BE24">
            <v>70772.743737153389</v>
          </cell>
          <cell r="BF24">
            <v>73875.578092982338</v>
          </cell>
          <cell r="BG24">
            <v>76764.762421065199</v>
          </cell>
          <cell r="BH24">
            <v>79122.532632746137</v>
          </cell>
        </row>
        <row r="28">
          <cell r="J28">
            <v>-10877.697234031253</v>
          </cell>
          <cell r="K28">
            <v>-14792.531051850001</v>
          </cell>
          <cell r="L28">
            <v>-17444.65022995578</v>
          </cell>
          <cell r="M28">
            <v>-20838.057940799048</v>
          </cell>
          <cell r="N28">
            <v>-18162.018760625</v>
          </cell>
          <cell r="O28">
            <v>-23015.63383254478</v>
          </cell>
          <cell r="P28">
            <v>-35470.0398668056</v>
          </cell>
          <cell r="Q28">
            <v>-20661.59499092614</v>
          </cell>
          <cell r="R28">
            <v>-36782.26682357039</v>
          </cell>
          <cell r="S28">
            <v>-38577.74937301359</v>
          </cell>
          <cell r="T28">
            <v>-44378.762338347042</v>
          </cell>
          <cell r="U28">
            <v>-51273.653636195362</v>
          </cell>
          <cell r="V28">
            <v>-57197.119211148653</v>
          </cell>
          <cell r="W28">
            <v>-81173.258321532689</v>
          </cell>
          <cell r="X28">
            <v>-102922.31382842702</v>
          </cell>
          <cell r="Y28">
            <v>-96904.696342408497</v>
          </cell>
          <cell r="Z28">
            <v>-71629.409733865032</v>
          </cell>
          <cell r="AA28">
            <v>-88917.97480858471</v>
          </cell>
          <cell r="AB28">
            <v>-92747.379345683323</v>
          </cell>
          <cell r="AC28">
            <v>-96337.206888204251</v>
          </cell>
          <cell r="AD28">
            <v>-100735.91048757329</v>
          </cell>
          <cell r="AE28">
            <v>-104523.97130931036</v>
          </cell>
          <cell r="AL28">
            <v>-10989.165942531255</v>
          </cell>
          <cell r="AM28">
            <v>-11539.329358712501</v>
          </cell>
          <cell r="AN28">
            <v>-16279.791213928262</v>
          </cell>
          <cell r="AO28">
            <v>-19325.99562246407</v>
          </cell>
          <cell r="AP28">
            <v>-20354.659793125</v>
          </cell>
          <cell r="AQ28">
            <v>-23357.2503115</v>
          </cell>
          <cell r="AR28">
            <v>-30309.077404453867</v>
          </cell>
          <cell r="AS28">
            <v>-28108.404477742817</v>
          </cell>
          <cell r="AT28">
            <v>-29817.950991835842</v>
          </cell>
          <cell r="AU28">
            <v>-36023.738034724956</v>
          </cell>
          <cell r="AV28">
            <v>-33503.964418970936</v>
          </cell>
          <cell r="AW28">
            <v>-52007.669284244657</v>
          </cell>
          <cell r="AX28">
            <v>-61849.15526609576</v>
          </cell>
          <cell r="AY28">
            <v>-64011.426722161268</v>
          </cell>
          <cell r="AZ28">
            <v>-89503.021995415533</v>
          </cell>
          <cell r="BA28">
            <v>-108591.83843806593</v>
          </cell>
          <cell r="BB28">
            <v>-81111.446577719689</v>
          </cell>
          <cell r="BC28">
            <v>-81998.250032095239</v>
          </cell>
          <cell r="BD28">
            <v>-91071.582834727509</v>
          </cell>
          <cell r="BE28">
            <v>-94494.553466655459</v>
          </cell>
          <cell r="BF28">
            <v>-98637.404675363563</v>
          </cell>
          <cell r="BG28">
            <v>-102494.99403178308</v>
          </cell>
          <cell r="BH28">
            <v>-105643.04837537653</v>
          </cell>
        </row>
      </sheetData>
      <sheetData sheetId="8">
        <row r="5">
          <cell r="U5">
            <v>-2235.1638603608926</v>
          </cell>
        </row>
      </sheetData>
      <sheetData sheetId="9">
        <row r="4">
          <cell r="U4">
            <v>5265255.1320305197</v>
          </cell>
        </row>
      </sheetData>
      <sheetData sheetId="10" refreshError="1"/>
      <sheetData sheetId="11" refreshError="1"/>
      <sheetData sheetId="12" refreshError="1"/>
      <sheetData sheetId="13" refreshError="1"/>
      <sheetData sheetId="14">
        <row r="7">
          <cell r="AA7">
            <v>6.0000000000000053E-2</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hart2"/>
      <sheetName val="CashFlow"/>
      <sheetName val="Indicators"/>
      <sheetName val="Horizontal"/>
      <sheetName val="NA"/>
      <sheetName val="Gov"/>
      <sheetName val="MON"/>
      <sheetName val="BOP"/>
      <sheetName val="Prices"/>
      <sheetName val="FoFAll"/>
      <sheetName val="Help"/>
      <sheetName val="FoFBoxNew"/>
      <sheetName val="FoFBox"/>
      <sheetName val="BOT"/>
      <sheetName val="DMB"/>
      <sheetName val="BOP$"/>
      <sheetName val="NewFP2_CTR"/>
    </sheetNames>
    <sheetDataSet>
      <sheetData sheetId="0" refreshError="1"/>
      <sheetData sheetId="1" refreshError="1"/>
      <sheetData sheetId="2" refreshError="1"/>
      <sheetData sheetId="3" refreshError="1">
        <row r="2">
          <cell r="E2">
            <v>1</v>
          </cell>
        </row>
        <row r="39">
          <cell r="T39">
            <v>0.19456273432247562</v>
          </cell>
          <cell r="U39">
            <v>0.23909950432265448</v>
          </cell>
          <cell r="V39">
            <v>0.23730614320126708</v>
          </cell>
          <cell r="W39">
            <v>0.23622754652336653</v>
          </cell>
          <cell r="X39">
            <v>0.23890588526610279</v>
          </cell>
        </row>
        <row r="44">
          <cell r="T44">
            <v>0.1504854252977772</v>
          </cell>
          <cell r="U44">
            <v>0.10233388919401754</v>
          </cell>
          <cell r="V44">
            <v>0.17276542587638888</v>
          </cell>
          <cell r="W44">
            <v>8.1704546304704362E-2</v>
          </cell>
          <cell r="X44">
            <v>2.9079608891814601E-2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Tshs"/>
      <sheetName val="Table%"/>
    </sheetNames>
    <sheetDataSet>
      <sheetData sheetId="0" refreshError="1"/>
      <sheetData sheetId="1">
        <row r="77">
          <cell r="C77">
            <v>1.5999999999999943</v>
          </cell>
          <cell r="D77">
            <v>2.5374277708530713</v>
          </cell>
          <cell r="E77">
            <v>8.7136761729778414</v>
          </cell>
          <cell r="F77">
            <v>8.5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AH244"/>
  <sheetViews>
    <sheetView topLeftCell="A241" workbookViewId="0">
      <selection activeCell="L24" sqref="L24"/>
    </sheetView>
  </sheetViews>
  <sheetFormatPr defaultColWidth="9.28515625" defaultRowHeight="12.75" x14ac:dyDescent="0.2"/>
  <cols>
    <col min="1" max="1" width="39.140625" customWidth="1"/>
    <col min="2" max="2" width="22.42578125" customWidth="1"/>
    <col min="3" max="3" width="11.5703125" customWidth="1"/>
    <col min="4" max="7" width="12.7109375" customWidth="1"/>
    <col min="8" max="8" width="12.7109375" bestFit="1" customWidth="1"/>
    <col min="9" max="9" width="16.42578125" customWidth="1"/>
    <col min="10" max="11" width="16.42578125" bestFit="1" customWidth="1"/>
    <col min="12" max="12" width="16.42578125" customWidth="1"/>
    <col min="13" max="13" width="12.7109375" bestFit="1" customWidth="1"/>
    <col min="14" max="14" width="14.28515625" customWidth="1"/>
    <col min="15" max="15" width="12.7109375" bestFit="1" customWidth="1"/>
    <col min="16" max="16" width="12.85546875" bestFit="1" customWidth="1"/>
    <col min="17" max="17" width="12.7109375" bestFit="1" customWidth="1"/>
    <col min="18" max="18" width="13.85546875" customWidth="1"/>
    <col min="19" max="19" width="16" customWidth="1"/>
  </cols>
  <sheetData>
    <row r="2" spans="1:18" s="62" customFormat="1" ht="15" x14ac:dyDescent="0.25">
      <c r="A2" s="114" t="s">
        <v>160</v>
      </c>
      <c r="B2" s="114"/>
      <c r="C2" s="114"/>
      <c r="D2" s="114"/>
      <c r="E2" s="114"/>
      <c r="F2" s="114"/>
      <c r="G2" s="114"/>
      <c r="H2" s="114"/>
      <c r="I2" s="114"/>
      <c r="J2" s="114"/>
      <c r="K2" s="114"/>
      <c r="L2" s="114"/>
    </row>
    <row r="3" spans="1:18" s="62" customFormat="1" ht="15.75" thickBot="1" x14ac:dyDescent="0.3">
      <c r="A3" s="63"/>
      <c r="B3" s="63"/>
      <c r="C3" s="64"/>
      <c r="D3" s="64"/>
      <c r="E3" s="64"/>
      <c r="F3" s="64"/>
      <c r="G3" s="64"/>
      <c r="H3" s="64"/>
      <c r="I3" s="64"/>
      <c r="J3" s="64"/>
      <c r="K3" s="64"/>
      <c r="L3" s="65" t="s">
        <v>161</v>
      </c>
    </row>
    <row r="4" spans="1:18" s="62" customFormat="1" ht="15.75" thickBot="1" x14ac:dyDescent="0.3">
      <c r="A4" s="66" t="s">
        <v>162</v>
      </c>
      <c r="B4" s="66"/>
      <c r="C4" s="406">
        <v>1998</v>
      </c>
      <c r="D4" s="67">
        <v>1999</v>
      </c>
      <c r="E4" s="67">
        <v>2000</v>
      </c>
      <c r="F4" s="67">
        <v>2001</v>
      </c>
      <c r="G4" s="67">
        <v>2002</v>
      </c>
      <c r="H4" s="67">
        <v>2003</v>
      </c>
      <c r="I4" s="67">
        <v>2004</v>
      </c>
      <c r="J4" s="67">
        <v>2005</v>
      </c>
      <c r="K4" s="67">
        <v>2006</v>
      </c>
      <c r="L4" s="89">
        <v>2007</v>
      </c>
      <c r="M4" s="67">
        <v>2008</v>
      </c>
      <c r="N4" s="89">
        <v>2009</v>
      </c>
      <c r="O4" s="67">
        <v>2010</v>
      </c>
      <c r="P4" s="89">
        <v>2011</v>
      </c>
      <c r="Q4" s="67">
        <v>2012</v>
      </c>
      <c r="R4" s="89">
        <v>2013</v>
      </c>
    </row>
    <row r="5" spans="1:18" s="62" customFormat="1" ht="15" x14ac:dyDescent="0.25">
      <c r="A5" s="69"/>
      <c r="B5" s="69"/>
      <c r="C5" s="145"/>
      <c r="D5" s="70"/>
      <c r="E5" s="70"/>
      <c r="F5" s="71"/>
      <c r="G5" s="71"/>
      <c r="H5" s="71"/>
      <c r="I5" s="71"/>
      <c r="J5" s="71"/>
      <c r="K5" s="71"/>
      <c r="L5" s="101"/>
      <c r="M5" s="85"/>
      <c r="N5" s="85"/>
      <c r="O5" s="92"/>
    </row>
    <row r="6" spans="1:18" s="62" customFormat="1" ht="15" x14ac:dyDescent="0.25">
      <c r="A6" s="72" t="s">
        <v>165</v>
      </c>
      <c r="B6" s="72"/>
      <c r="C6" s="407">
        <f>C7+C10+C13+C16</f>
        <v>6283972</v>
      </c>
      <c r="D6" s="73">
        <f t="shared" ref="D6:R6" si="0">D7+D10+D13+D16</f>
        <v>7222560</v>
      </c>
      <c r="E6" s="73">
        <f t="shared" si="0"/>
        <v>8152789</v>
      </c>
      <c r="F6" s="73">
        <f t="shared" si="0"/>
        <v>9100274</v>
      </c>
      <c r="G6" s="73">
        <f t="shared" si="0"/>
        <v>10444508</v>
      </c>
      <c r="H6" s="73">
        <f t="shared" si="0"/>
        <v>12107061</v>
      </c>
      <c r="I6" s="73">
        <f t="shared" si="0"/>
        <v>13971593</v>
      </c>
      <c r="J6" s="73">
        <f t="shared" si="0"/>
        <v>15965296</v>
      </c>
      <c r="K6" s="73">
        <f t="shared" si="0"/>
        <v>17941268</v>
      </c>
      <c r="L6" s="73">
        <f t="shared" si="0"/>
        <v>20948403.293170113</v>
      </c>
      <c r="M6" s="73">
        <f t="shared" si="0"/>
        <v>24781679.366264731</v>
      </c>
      <c r="N6" s="73">
        <f t="shared" si="0"/>
        <v>28212646.493003681</v>
      </c>
      <c r="O6" s="73">
        <f t="shared" si="0"/>
        <v>32293479.172637232</v>
      </c>
      <c r="P6" s="73">
        <f t="shared" si="0"/>
        <v>37532962.199909337</v>
      </c>
      <c r="Q6" s="73">
        <f t="shared" si="0"/>
        <v>44717663.347013317</v>
      </c>
      <c r="R6" s="73">
        <f t="shared" si="0"/>
        <v>53174678.343542308</v>
      </c>
    </row>
    <row r="7" spans="1:18" s="62" customFormat="1" ht="15" x14ac:dyDescent="0.25">
      <c r="A7" s="75" t="s">
        <v>166</v>
      </c>
      <c r="B7" s="75"/>
      <c r="C7" s="408">
        <f t="shared" ref="C7:L7" si="1">C8+C9</f>
        <v>5819132</v>
      </c>
      <c r="D7" s="76">
        <f t="shared" si="1"/>
        <v>6701473</v>
      </c>
      <c r="E7" s="76">
        <f t="shared" si="1"/>
        <v>7333064</v>
      </c>
      <c r="F7" s="76">
        <f t="shared" si="1"/>
        <v>7901761</v>
      </c>
      <c r="G7" s="76">
        <f t="shared" si="1"/>
        <v>8885098</v>
      </c>
      <c r="H7" s="76">
        <f t="shared" si="1"/>
        <v>10300882</v>
      </c>
      <c r="I7" s="76">
        <f t="shared" si="1"/>
        <v>11714438</v>
      </c>
      <c r="J7" s="76">
        <f t="shared" si="1"/>
        <v>13386429</v>
      </c>
      <c r="K7" s="76">
        <f t="shared" si="1"/>
        <v>15340093</v>
      </c>
      <c r="L7" s="76">
        <f t="shared" si="1"/>
        <v>17969783.69263817</v>
      </c>
      <c r="M7" s="76">
        <v>21846582.173601776</v>
      </c>
      <c r="N7" s="76">
        <v>22976560.542627398</v>
      </c>
      <c r="O7" s="76">
        <v>25417627.078630414</v>
      </c>
      <c r="P7" s="76">
        <v>30961306.199909337</v>
      </c>
      <c r="Q7" s="76">
        <v>34612554.347013317</v>
      </c>
      <c r="R7" s="76">
        <v>43006680.270353578</v>
      </c>
    </row>
    <row r="8" spans="1:18" s="62" customFormat="1" ht="15" x14ac:dyDescent="0.25">
      <c r="A8" s="78" t="s">
        <v>167</v>
      </c>
      <c r="B8" s="78"/>
      <c r="C8" s="408">
        <v>5058804</v>
      </c>
      <c r="D8" s="76">
        <v>5861115</v>
      </c>
      <c r="E8" s="76">
        <v>6380790</v>
      </c>
      <c r="F8" s="76">
        <v>6822466</v>
      </c>
      <c r="G8" s="76">
        <v>7512354</v>
      </c>
      <c r="H8" s="76">
        <v>8442113</v>
      </c>
      <c r="I8" s="76">
        <v>9352717</v>
      </c>
      <c r="J8" s="76">
        <v>10581908</v>
      </c>
      <c r="K8" s="76">
        <v>12195212</v>
      </c>
      <c r="L8" s="76">
        <v>13930794.69263817</v>
      </c>
      <c r="M8" s="76">
        <v>17524864.173601776</v>
      </c>
      <c r="N8" s="76">
        <v>18049802.022627398</v>
      </c>
      <c r="O8" s="76">
        <v>20209449.240142595</v>
      </c>
      <c r="P8" s="76">
        <v>24815656.199909337</v>
      </c>
      <c r="Q8" s="76">
        <v>27394327.347013317</v>
      </c>
      <c r="R8" s="76">
        <v>32763083.760353576</v>
      </c>
    </row>
    <row r="9" spans="1:18" s="62" customFormat="1" ht="15" x14ac:dyDescent="0.25">
      <c r="A9" s="78" t="s">
        <v>168</v>
      </c>
      <c r="B9" s="78"/>
      <c r="C9" s="408">
        <v>760328</v>
      </c>
      <c r="D9" s="76">
        <v>840358</v>
      </c>
      <c r="E9" s="76">
        <v>952274</v>
      </c>
      <c r="F9" s="76">
        <v>1079295</v>
      </c>
      <c r="G9" s="76">
        <v>1372744</v>
      </c>
      <c r="H9" s="76">
        <v>1858769</v>
      </c>
      <c r="I9" s="76">
        <v>2361721</v>
      </c>
      <c r="J9" s="76">
        <v>2804521</v>
      </c>
      <c r="K9" s="76">
        <v>3144881</v>
      </c>
      <c r="L9" s="76">
        <v>4038989</v>
      </c>
      <c r="M9" s="76">
        <v>4321718</v>
      </c>
      <c r="N9" s="76">
        <v>4926758.5199999996</v>
      </c>
      <c r="O9" s="76">
        <v>5208177.8384878198</v>
      </c>
      <c r="P9" s="76">
        <v>6145650</v>
      </c>
      <c r="Q9" s="76">
        <v>7218227</v>
      </c>
      <c r="R9" s="76">
        <v>10243596.51</v>
      </c>
    </row>
    <row r="10" spans="1:18" s="62" customFormat="1" ht="15" x14ac:dyDescent="0.25">
      <c r="A10" s="75" t="s">
        <v>169</v>
      </c>
      <c r="B10" s="75"/>
      <c r="C10" s="408">
        <f t="shared" ref="C10:K10" si="2">C11+C12</f>
        <v>1248862</v>
      </c>
      <c r="D10" s="76">
        <f t="shared" si="2"/>
        <v>1266793</v>
      </c>
      <c r="E10" s="76">
        <f t="shared" si="2"/>
        <v>1370938</v>
      </c>
      <c r="F10" s="76">
        <f t="shared" si="2"/>
        <v>1587743</v>
      </c>
      <c r="G10" s="76">
        <f t="shared" si="2"/>
        <v>1795412</v>
      </c>
      <c r="H10" s="76">
        <f t="shared" si="2"/>
        <v>2320538</v>
      </c>
      <c r="I10" s="76">
        <f t="shared" si="2"/>
        <v>3153367</v>
      </c>
      <c r="J10" s="76">
        <f t="shared" si="2"/>
        <v>4001088</v>
      </c>
      <c r="K10" s="76">
        <f t="shared" si="2"/>
        <v>4957782</v>
      </c>
      <c r="L10" s="76">
        <v>5335226.6005319441</v>
      </c>
      <c r="M10" s="76">
        <v>6624524.3605982792</v>
      </c>
      <c r="N10" s="76">
        <v>8302551.6667375173</v>
      </c>
      <c r="O10" s="76">
        <v>10342536.08063828</v>
      </c>
      <c r="P10" s="76">
        <v>13762066</v>
      </c>
      <c r="Q10" s="76">
        <v>15351608</v>
      </c>
      <c r="R10" s="76">
        <v>17302217.246281523</v>
      </c>
    </row>
    <row r="11" spans="1:18" s="62" customFormat="1" ht="15" x14ac:dyDescent="0.25">
      <c r="A11" s="78" t="s">
        <v>55</v>
      </c>
      <c r="B11" s="78"/>
      <c r="C11" s="408">
        <v>1214495</v>
      </c>
      <c r="D11" s="76">
        <v>1231517</v>
      </c>
      <c r="E11" s="76">
        <v>1333362</v>
      </c>
      <c r="F11" s="76">
        <v>1547100</v>
      </c>
      <c r="G11" s="76">
        <v>1750816</v>
      </c>
      <c r="H11" s="76">
        <v>2277151</v>
      </c>
      <c r="I11" s="76">
        <v>3095522</v>
      </c>
      <c r="J11" s="76">
        <v>3936683</v>
      </c>
      <c r="K11" s="76">
        <v>4883490</v>
      </c>
      <c r="L11" s="76">
        <v>5244498.6005319441</v>
      </c>
      <c r="M11" s="76">
        <v>6517581.6733276248</v>
      </c>
      <c r="N11" s="76">
        <v>8150299.8767486727</v>
      </c>
      <c r="O11" s="76">
        <v>10177693</v>
      </c>
      <c r="P11" s="76">
        <v>13534066</v>
      </c>
      <c r="Q11" s="76">
        <v>15118447</v>
      </c>
      <c r="R11" s="76">
        <v>17058361.778181523</v>
      </c>
    </row>
    <row r="12" spans="1:18" s="62" customFormat="1" ht="15" x14ac:dyDescent="0.25">
      <c r="A12" s="78" t="s">
        <v>170</v>
      </c>
      <c r="B12" s="78"/>
      <c r="C12" s="408">
        <v>34367</v>
      </c>
      <c r="D12" s="76">
        <v>35276</v>
      </c>
      <c r="E12" s="76">
        <v>37576</v>
      </c>
      <c r="F12" s="76">
        <v>40643</v>
      </c>
      <c r="G12" s="76">
        <v>44596</v>
      </c>
      <c r="H12" s="76">
        <v>43387</v>
      </c>
      <c r="I12" s="76">
        <v>57845</v>
      </c>
      <c r="J12" s="76">
        <v>64405</v>
      </c>
      <c r="K12" s="76">
        <v>74292</v>
      </c>
      <c r="L12" s="76">
        <v>90728</v>
      </c>
      <c r="M12" s="76">
        <v>106942.68727065432</v>
      </c>
      <c r="N12" s="76">
        <v>152251.78998884425</v>
      </c>
      <c r="O12" s="76">
        <v>164843.08063827999</v>
      </c>
      <c r="P12" s="76">
        <v>228000</v>
      </c>
      <c r="Q12" s="76">
        <v>233161</v>
      </c>
      <c r="R12" s="76">
        <v>243855.4681</v>
      </c>
    </row>
    <row r="13" spans="1:18" s="62" customFormat="1" ht="15" x14ac:dyDescent="0.25">
      <c r="A13" s="75" t="s">
        <v>171</v>
      </c>
      <c r="B13" s="75"/>
      <c r="C13" s="408">
        <f t="shared" ref="C13:R13" si="3">C14+C15</f>
        <v>770081</v>
      </c>
      <c r="D13" s="76">
        <f t="shared" si="3"/>
        <v>904962</v>
      </c>
      <c r="E13" s="76">
        <f t="shared" si="3"/>
        <v>1089613</v>
      </c>
      <c r="F13" s="76">
        <f t="shared" si="3"/>
        <v>1547644</v>
      </c>
      <c r="G13" s="76">
        <f t="shared" si="3"/>
        <v>1836223</v>
      </c>
      <c r="H13" s="76">
        <f t="shared" si="3"/>
        <v>2247385</v>
      </c>
      <c r="I13" s="76">
        <f t="shared" si="3"/>
        <v>2745596</v>
      </c>
      <c r="J13" s="76">
        <f t="shared" si="3"/>
        <v>3324425</v>
      </c>
      <c r="K13" s="76">
        <f t="shared" si="3"/>
        <v>4047990</v>
      </c>
      <c r="L13" s="76">
        <f t="shared" si="3"/>
        <v>4047990</v>
      </c>
      <c r="M13" s="76">
        <f t="shared" si="3"/>
        <v>6669602.7796376646</v>
      </c>
      <c r="N13" s="76">
        <f t="shared" si="3"/>
        <v>6889488.8060702682</v>
      </c>
      <c r="O13" s="76">
        <f t="shared" si="3"/>
        <v>8988306.2077441849</v>
      </c>
      <c r="P13" s="76">
        <f t="shared" si="3"/>
        <v>11656769</v>
      </c>
      <c r="Q13" s="76">
        <f t="shared" si="3"/>
        <v>15118447</v>
      </c>
      <c r="R13" s="76">
        <f t="shared" si="3"/>
        <v>15584207.55909609</v>
      </c>
    </row>
    <row r="14" spans="1:18" s="62" customFormat="1" ht="15" x14ac:dyDescent="0.25">
      <c r="A14" s="78" t="s">
        <v>172</v>
      </c>
      <c r="B14" s="78"/>
      <c r="C14" s="408">
        <v>423424</v>
      </c>
      <c r="D14" s="76">
        <v>455657</v>
      </c>
      <c r="E14" s="76">
        <v>587442</v>
      </c>
      <c r="F14" s="76">
        <v>746080</v>
      </c>
      <c r="G14" s="76">
        <v>946834</v>
      </c>
      <c r="H14" s="76">
        <v>1263064</v>
      </c>
      <c r="I14" s="76">
        <v>1551554</v>
      </c>
      <c r="J14" s="76">
        <v>1891705</v>
      </c>
      <c r="K14" s="76">
        <v>2176987</v>
      </c>
      <c r="L14" s="76">
        <v>2176987</v>
      </c>
      <c r="M14" s="76">
        <v>4280582.4806297477</v>
      </c>
      <c r="N14" s="76">
        <v>4440838.9468928948</v>
      </c>
      <c r="O14" s="76">
        <v>6003331.9146236824</v>
      </c>
      <c r="P14" s="76">
        <v>7962151</v>
      </c>
      <c r="Q14" s="76">
        <v>11417914</v>
      </c>
      <c r="R14" s="76">
        <v>11534045.7768967</v>
      </c>
    </row>
    <row r="15" spans="1:18" s="62" customFormat="1" ht="15" x14ac:dyDescent="0.25">
      <c r="A15" s="78" t="s">
        <v>173</v>
      </c>
      <c r="B15" s="78"/>
      <c r="C15" s="408">
        <v>346657</v>
      </c>
      <c r="D15" s="76">
        <v>449305</v>
      </c>
      <c r="E15" s="76">
        <v>502171</v>
      </c>
      <c r="F15" s="76">
        <v>801564</v>
      </c>
      <c r="G15" s="76">
        <v>889389</v>
      </c>
      <c r="H15" s="76">
        <v>984321</v>
      </c>
      <c r="I15" s="76">
        <v>1194042</v>
      </c>
      <c r="J15" s="76">
        <v>1432720</v>
      </c>
      <c r="K15" s="76">
        <v>1871003</v>
      </c>
      <c r="L15" s="76">
        <v>1871003</v>
      </c>
      <c r="M15" s="76">
        <v>2389020.2990079164</v>
      </c>
      <c r="N15" s="76">
        <v>2448649.8591773738</v>
      </c>
      <c r="O15" s="76">
        <v>2984974.2931205025</v>
      </c>
      <c r="P15" s="76">
        <v>3694618</v>
      </c>
      <c r="Q15" s="76">
        <v>3700533</v>
      </c>
      <c r="R15" s="76">
        <v>4050161.7821993902</v>
      </c>
    </row>
    <row r="16" spans="1:18" s="62" customFormat="1" ht="15" x14ac:dyDescent="0.25">
      <c r="A16" s="75" t="s">
        <v>174</v>
      </c>
      <c r="B16" s="75"/>
      <c r="C16" s="408">
        <f t="shared" ref="C16:R16" si="4">C18+C17</f>
        <v>-1554103</v>
      </c>
      <c r="D16" s="76">
        <f t="shared" si="4"/>
        <v>-1650668</v>
      </c>
      <c r="E16" s="76">
        <f t="shared" si="4"/>
        <v>-1640826</v>
      </c>
      <c r="F16" s="76">
        <f t="shared" si="4"/>
        <v>-1936874</v>
      </c>
      <c r="G16" s="76">
        <f t="shared" si="4"/>
        <v>-2072225</v>
      </c>
      <c r="H16" s="76">
        <f t="shared" si="4"/>
        <v>-2761744</v>
      </c>
      <c r="I16" s="76">
        <f t="shared" si="4"/>
        <v>-3641808</v>
      </c>
      <c r="J16" s="76">
        <f t="shared" si="4"/>
        <v>-4746646</v>
      </c>
      <c r="K16" s="76">
        <f t="shared" si="4"/>
        <v>-6404597</v>
      </c>
      <c r="L16" s="76">
        <f t="shared" si="4"/>
        <v>-6404597</v>
      </c>
      <c r="M16" s="76">
        <f t="shared" si="4"/>
        <v>-10359029.947572991</v>
      </c>
      <c r="N16" s="76">
        <f t="shared" si="4"/>
        <v>-9955954.5224315003</v>
      </c>
      <c r="O16" s="76">
        <f t="shared" si="4"/>
        <v>-12454990.194375644</v>
      </c>
      <c r="P16" s="76">
        <f t="shared" si="4"/>
        <v>-18847179</v>
      </c>
      <c r="Q16" s="76">
        <f t="shared" si="4"/>
        <v>-20364946</v>
      </c>
      <c r="R16" s="76">
        <f t="shared" si="4"/>
        <v>-22718426.73218888</v>
      </c>
    </row>
    <row r="17" spans="1:18" s="62" customFormat="1" ht="15" x14ac:dyDescent="0.25">
      <c r="A17" s="78" t="s">
        <v>175</v>
      </c>
      <c r="B17" s="78"/>
      <c r="C17" s="408">
        <v>-918375</v>
      </c>
      <c r="D17" s="76">
        <v>-1061252</v>
      </c>
      <c r="E17" s="76">
        <v>-1094638</v>
      </c>
      <c r="F17" s="76">
        <v>-1367474</v>
      </c>
      <c r="G17" s="76">
        <v>-1460825</v>
      </c>
      <c r="H17" s="76">
        <v>-2008052</v>
      </c>
      <c r="I17" s="76">
        <v>-2615149</v>
      </c>
      <c r="J17" s="76">
        <v>-3383801</v>
      </c>
      <c r="K17" s="76">
        <v>-4837467</v>
      </c>
      <c r="L17" s="76">
        <v>-4837467</v>
      </c>
      <c r="M17" s="76">
        <v>-8385697.5899449904</v>
      </c>
      <c r="N17" s="76">
        <v>-7700050.5057519088</v>
      </c>
      <c r="O17" s="76">
        <v>-9898942.9637941122</v>
      </c>
      <c r="P17" s="76">
        <v>-15383213</v>
      </c>
      <c r="Q17" s="76">
        <v>-16227332</v>
      </c>
      <c r="R17" s="76">
        <v>-17677416.38156398</v>
      </c>
    </row>
    <row r="18" spans="1:18" s="62" customFormat="1" ht="15.75" thickBot="1" x14ac:dyDescent="0.3">
      <c r="A18" s="81" t="s">
        <v>176</v>
      </c>
      <c r="B18" s="81"/>
      <c r="C18" s="409">
        <v>-635728</v>
      </c>
      <c r="D18" s="82">
        <v>-589416</v>
      </c>
      <c r="E18" s="82">
        <v>-546188</v>
      </c>
      <c r="F18" s="82">
        <v>-569400</v>
      </c>
      <c r="G18" s="82">
        <v>-611400</v>
      </c>
      <c r="H18" s="82">
        <v>-753692</v>
      </c>
      <c r="I18" s="82">
        <v>-1026659</v>
      </c>
      <c r="J18" s="82">
        <v>-1362845</v>
      </c>
      <c r="K18" s="82">
        <v>-1567130</v>
      </c>
      <c r="L18" s="82">
        <v>-1567130</v>
      </c>
      <c r="M18" s="82">
        <v>-1973332.3576280014</v>
      </c>
      <c r="N18" s="82">
        <v>-2255904.016679591</v>
      </c>
      <c r="O18" s="82">
        <v>-2556047.2305815318</v>
      </c>
      <c r="P18" s="82">
        <v>-3463966</v>
      </c>
      <c r="Q18" s="82">
        <v>-4137614</v>
      </c>
      <c r="R18" s="82">
        <v>-5041010.3506249003</v>
      </c>
    </row>
    <row r="19" spans="1:18" s="62" customFormat="1" ht="15" x14ac:dyDescent="0.25">
      <c r="A19" s="63"/>
      <c r="B19" s="63"/>
      <c r="C19" s="64"/>
      <c r="D19" s="64"/>
      <c r="E19" s="64"/>
      <c r="F19" s="83"/>
      <c r="G19" s="83"/>
      <c r="H19" s="83"/>
      <c r="I19" s="83"/>
      <c r="J19" s="83"/>
      <c r="K19" s="83"/>
      <c r="L19" s="83"/>
      <c r="M19" s="84"/>
      <c r="N19" s="85"/>
      <c r="O19" s="85"/>
      <c r="P19" s="85"/>
      <c r="Q19" s="85"/>
    </row>
    <row r="20" spans="1:18" s="62" customFormat="1" ht="15" x14ac:dyDescent="0.25">
      <c r="A20" s="114" t="s">
        <v>177</v>
      </c>
      <c r="B20" s="114"/>
      <c r="C20" s="114"/>
      <c r="D20" s="114"/>
      <c r="E20" s="114"/>
      <c r="F20" s="114"/>
      <c r="G20" s="114"/>
      <c r="H20" s="114"/>
      <c r="I20" s="114"/>
      <c r="J20" s="114"/>
      <c r="K20" s="114"/>
      <c r="L20" s="114"/>
    </row>
    <row r="21" spans="1:18" s="62" customFormat="1" ht="15.75" thickBot="1" x14ac:dyDescent="0.3">
      <c r="A21" s="86"/>
      <c r="B21" s="86"/>
      <c r="E21" s="86"/>
      <c r="F21" s="86"/>
      <c r="G21" s="86"/>
      <c r="H21" s="86"/>
      <c r="I21" s="86"/>
      <c r="J21" s="86"/>
      <c r="K21" s="86"/>
      <c r="L21" s="65" t="s">
        <v>178</v>
      </c>
      <c r="N21" s="87"/>
    </row>
    <row r="22" spans="1:18" s="62" customFormat="1" ht="15.75" thickBot="1" x14ac:dyDescent="0.3">
      <c r="A22" s="88" t="s">
        <v>162</v>
      </c>
      <c r="B22" s="158"/>
      <c r="C22" s="89">
        <v>1998</v>
      </c>
      <c r="D22" s="89">
        <v>1999</v>
      </c>
      <c r="E22" s="89">
        <v>2000</v>
      </c>
      <c r="F22" s="89">
        <v>2001</v>
      </c>
      <c r="G22" s="89">
        <v>2002</v>
      </c>
      <c r="H22" s="89">
        <v>2003</v>
      </c>
      <c r="I22" s="89">
        <v>2004</v>
      </c>
      <c r="J22" s="89">
        <v>2005</v>
      </c>
      <c r="K22" s="89">
        <v>2006</v>
      </c>
      <c r="L22" s="89">
        <v>2007</v>
      </c>
      <c r="M22" s="89">
        <v>2008</v>
      </c>
      <c r="N22" s="89">
        <v>2009</v>
      </c>
      <c r="O22" s="89">
        <v>2010</v>
      </c>
      <c r="P22" s="89">
        <v>2011</v>
      </c>
      <c r="Q22" s="89">
        <v>2012</v>
      </c>
      <c r="R22" s="89">
        <v>2013</v>
      </c>
    </row>
    <row r="23" spans="1:18" s="62" customFormat="1" ht="15" x14ac:dyDescent="0.25">
      <c r="A23" s="90"/>
      <c r="B23" s="365"/>
      <c r="C23" s="91"/>
      <c r="D23" s="91"/>
      <c r="E23" s="91"/>
      <c r="F23" s="91"/>
      <c r="G23" s="91"/>
      <c r="H23" s="91"/>
      <c r="I23" s="91"/>
      <c r="J23" s="91"/>
      <c r="K23" s="91"/>
      <c r="L23" s="365"/>
      <c r="M23" s="85"/>
    </row>
    <row r="24" spans="1:18" s="62" customFormat="1" ht="15" x14ac:dyDescent="0.25">
      <c r="A24" s="72" t="s">
        <v>165</v>
      </c>
      <c r="B24" s="136"/>
      <c r="C24" s="579">
        <f>C6/$C$38</f>
        <v>9453.8468482021963</v>
      </c>
      <c r="D24" s="579">
        <f>D6/$D$38</f>
        <v>9654.5381633471461</v>
      </c>
      <c r="E24" s="579">
        <f>E6/$E$38</f>
        <v>10182.076932683902</v>
      </c>
      <c r="F24" s="579">
        <f t="shared" ref="F24:F36" si="5">F6/$F$38</f>
        <v>10383.786115712552</v>
      </c>
      <c r="G24" s="579">
        <f>G6/$G$38</f>
        <v>10804.290886521154</v>
      </c>
      <c r="H24" s="579">
        <f>H6/$H$38</f>
        <v>11663.835260115608</v>
      </c>
      <c r="I24" s="579">
        <f>I6/$I$38</f>
        <v>12829.745638200184</v>
      </c>
      <c r="J24" s="579">
        <f>J6/$J$38</f>
        <v>14216.648263579697</v>
      </c>
      <c r="K24" s="579">
        <f>K6/$K$38</f>
        <v>14331.230928987938</v>
      </c>
      <c r="L24" s="579">
        <f>L6/$L$38</f>
        <v>15412.303776611325</v>
      </c>
      <c r="M24" s="579">
        <f>M6/$M$38</f>
        <v>20704.932133136022</v>
      </c>
      <c r="N24" s="579">
        <f>N6/$N$38</f>
        <v>21602.367619462828</v>
      </c>
      <c r="O24" s="579">
        <f>O6/$O$38</f>
        <v>23138.101372574107</v>
      </c>
      <c r="P24" s="579">
        <f>P6/$P$38</f>
        <v>24099.241004900723</v>
      </c>
      <c r="Q24" s="579">
        <f>Q6/$Q$38</f>
        <v>28451.644092450908</v>
      </c>
      <c r="R24" s="579">
        <f>R6/$R$38</f>
        <v>33263.292327280302</v>
      </c>
    </row>
    <row r="25" spans="1:18" s="62" customFormat="1" ht="15" x14ac:dyDescent="0.25">
      <c r="A25" s="75" t="s">
        <v>166</v>
      </c>
      <c r="B25" s="85"/>
      <c r="C25" s="579">
        <f t="shared" ref="C25:K25" si="6">C26+C27</f>
        <v>8754.5238453437632</v>
      </c>
      <c r="D25" s="579">
        <f t="shared" si="6"/>
        <v>8957.9909103061091</v>
      </c>
      <c r="E25" s="579">
        <f t="shared" si="6"/>
        <v>9158.3164730860499</v>
      </c>
      <c r="F25" s="579">
        <f t="shared" si="6"/>
        <v>9016.2335948872442</v>
      </c>
      <c r="G25" s="579">
        <f t="shared" si="6"/>
        <v>9191.1637529740347</v>
      </c>
      <c r="H25" s="579">
        <f t="shared" si="6"/>
        <v>9923.7784200385358</v>
      </c>
      <c r="I25" s="579">
        <f t="shared" si="6"/>
        <v>10757.059687786961</v>
      </c>
      <c r="J25" s="579">
        <f t="shared" si="6"/>
        <v>11920.239536954585</v>
      </c>
      <c r="K25" s="579">
        <f t="shared" si="6"/>
        <v>12253.449157280933</v>
      </c>
      <c r="L25" s="579">
        <f t="shared" ref="L25:L36" si="7">L7/$L$38</f>
        <v>13220.853217067517</v>
      </c>
      <c r="M25" s="579">
        <f t="shared" ref="M25:M36" si="8">M7/$M$38</f>
        <v>18252.677494535055</v>
      </c>
      <c r="N25" s="579">
        <f t="shared" ref="N25:N36" si="9">N7/$N$38</f>
        <v>17593.10696342395</v>
      </c>
      <c r="O25" s="579">
        <f t="shared" ref="O25:O36" si="10">O7/$O$38</f>
        <v>18211.590917523521</v>
      </c>
      <c r="P25" s="579">
        <f t="shared" ref="P25:P36" si="11">P7/$P$38</f>
        <v>19879.698702276804</v>
      </c>
      <c r="Q25" s="579">
        <f t="shared" ref="Q25:Q36" si="12">Q7/$Q$38</f>
        <v>22022.261533877998</v>
      </c>
      <c r="R25" s="579">
        <f t="shared" ref="R25:R36" si="13">R7/$R$38</f>
        <v>26902.725553249707</v>
      </c>
    </row>
    <row r="26" spans="1:18" s="62" customFormat="1" ht="15" x14ac:dyDescent="0.25">
      <c r="A26" s="78" t="s">
        <v>167</v>
      </c>
      <c r="B26" s="537"/>
      <c r="C26" s="579">
        <f t="shared" ref="C26:C36" si="14">C8/$C$38</f>
        <v>7610.657439446366</v>
      </c>
      <c r="D26" s="579">
        <f t="shared" ref="D26:D36" si="15">D8/$D$38</f>
        <v>7834.6678251570647</v>
      </c>
      <c r="E26" s="579">
        <f>E8/$E$38</f>
        <v>7969.0146122143124</v>
      </c>
      <c r="F26" s="579">
        <f t="shared" si="5"/>
        <v>7784.7137048533859</v>
      </c>
      <c r="G26" s="579">
        <f t="shared" ref="G26:G36" si="16">G8/$G$38</f>
        <v>7771.132719561394</v>
      </c>
      <c r="H26" s="579">
        <f>H8/$H$38</f>
        <v>8133.0568400770717</v>
      </c>
      <c r="I26" s="579">
        <f>I8/$I$38</f>
        <v>8588.3535353535353</v>
      </c>
      <c r="J26" s="579">
        <f t="shared" ref="J26:J36" si="17">J8/$J$38</f>
        <v>9422.8922528940329</v>
      </c>
      <c r="K26" s="579">
        <f t="shared" ref="K26:K36" si="18">K8/$K$38</f>
        <v>9741.3627286524479</v>
      </c>
      <c r="L26" s="579">
        <f>L8/$L$38</f>
        <v>10249.260368332967</v>
      </c>
      <c r="M26" s="579">
        <f t="shared" si="8"/>
        <v>14641.910178645941</v>
      </c>
      <c r="N26" s="579">
        <f t="shared" si="9"/>
        <v>13820.69770902261</v>
      </c>
      <c r="O26" s="579">
        <f t="shared" si="10"/>
        <v>14479.959954222644</v>
      </c>
      <c r="P26" s="579">
        <f t="shared" si="11"/>
        <v>15933.687201960802</v>
      </c>
      <c r="Q26" s="579">
        <f t="shared" si="12"/>
        <v>17429.659635410593</v>
      </c>
      <c r="R26" s="579">
        <f t="shared" si="13"/>
        <v>20494.868358637861</v>
      </c>
    </row>
    <row r="27" spans="1:18" s="62" customFormat="1" ht="15" x14ac:dyDescent="0.25">
      <c r="A27" s="78" t="s">
        <v>168</v>
      </c>
      <c r="B27" s="537"/>
      <c r="C27" s="579">
        <f t="shared" si="14"/>
        <v>1143.8664058973973</v>
      </c>
      <c r="D27" s="579">
        <f t="shared" si="15"/>
        <v>1123.3230851490441</v>
      </c>
      <c r="E27" s="579">
        <f>E9/$E$38</f>
        <v>1189.3018608717371</v>
      </c>
      <c r="F27" s="579">
        <f t="shared" si="5"/>
        <v>1231.519890033858</v>
      </c>
      <c r="G27" s="579">
        <f t="shared" si="16"/>
        <v>1420.0310334126409</v>
      </c>
      <c r="H27" s="579">
        <f>H9/$H$38</f>
        <v>1790.7215799614644</v>
      </c>
      <c r="I27" s="579">
        <f>I9/$I$38</f>
        <v>2168.7061524334254</v>
      </c>
      <c r="J27" s="579">
        <f t="shared" si="17"/>
        <v>2497.3472840605523</v>
      </c>
      <c r="K27" s="579">
        <f t="shared" si="18"/>
        <v>2512.0864286284846</v>
      </c>
      <c r="L27" s="579">
        <f t="shared" si="7"/>
        <v>2971.5928487345495</v>
      </c>
      <c r="M27" s="579">
        <f t="shared" si="8"/>
        <v>3610.7673158891139</v>
      </c>
      <c r="N27" s="579">
        <f t="shared" si="9"/>
        <v>3772.4092544013397</v>
      </c>
      <c r="O27" s="579">
        <f t="shared" si="10"/>
        <v>3731.6309633008764</v>
      </c>
      <c r="P27" s="579">
        <f t="shared" si="11"/>
        <v>3946.0115003160045</v>
      </c>
      <c r="Q27" s="579">
        <f t="shared" si="12"/>
        <v>4592.6018984674047</v>
      </c>
      <c r="R27" s="579">
        <f t="shared" si="13"/>
        <v>6407.8571946118464</v>
      </c>
    </row>
    <row r="28" spans="1:18" s="62" customFormat="1" ht="15" x14ac:dyDescent="0.25">
      <c r="A28" s="75" t="s">
        <v>169</v>
      </c>
      <c r="B28" s="85"/>
      <c r="C28" s="579">
        <f t="shared" ref="C28:K28" si="19">C29+C30</f>
        <v>1878.8355649165035</v>
      </c>
      <c r="D28" s="579">
        <f t="shared" si="19"/>
        <v>1693.3471461034621</v>
      </c>
      <c r="E28" s="579">
        <f t="shared" si="19"/>
        <v>1712.1743474459847</v>
      </c>
      <c r="F28" s="579">
        <f t="shared" si="19"/>
        <v>1811.6799251011334</v>
      </c>
      <c r="G28" s="579">
        <f t="shared" si="19"/>
        <v>1857.2587152167166</v>
      </c>
      <c r="H28" s="579">
        <f t="shared" si="19"/>
        <v>2235.5857418111755</v>
      </c>
      <c r="I28" s="579">
        <f>I10/$I$38</f>
        <v>2895.653810835629</v>
      </c>
      <c r="J28" s="579">
        <f t="shared" si="19"/>
        <v>3562.8566340160287</v>
      </c>
      <c r="K28" s="579">
        <f t="shared" si="19"/>
        <v>3960.2060867481428</v>
      </c>
      <c r="L28" s="579">
        <f t="shared" si="7"/>
        <v>3925.2697178722365</v>
      </c>
      <c r="M28" s="579">
        <f t="shared" si="8"/>
        <v>5534.7470715487443</v>
      </c>
      <c r="N28" s="579">
        <f t="shared" si="9"/>
        <v>6357.2473900640625</v>
      </c>
      <c r="O28" s="579">
        <f t="shared" si="10"/>
        <v>7410.3705891832815</v>
      </c>
      <c r="P28" s="579">
        <f t="shared" si="11"/>
        <v>8836.3754369526214</v>
      </c>
      <c r="Q28" s="579">
        <f t="shared" si="12"/>
        <v>9767.4711595142962</v>
      </c>
      <c r="R28" s="579">
        <f t="shared" si="13"/>
        <v>10823.360443384179</v>
      </c>
    </row>
    <row r="29" spans="1:18" s="62" customFormat="1" ht="15" x14ac:dyDescent="0.25">
      <c r="A29" s="78" t="s">
        <v>55</v>
      </c>
      <c r="B29" s="537"/>
      <c r="C29" s="579">
        <f t="shared" si="14"/>
        <v>1827.1325409959379</v>
      </c>
      <c r="D29" s="579">
        <f t="shared" si="15"/>
        <v>1646.1930223232189</v>
      </c>
      <c r="E29" s="579">
        <f>E11/$E$38</f>
        <v>1665.2454102660172</v>
      </c>
      <c r="F29" s="579">
        <f t="shared" si="5"/>
        <v>1765.3045940835284</v>
      </c>
      <c r="G29" s="579">
        <f t="shared" si="16"/>
        <v>1811.1265128788662</v>
      </c>
      <c r="H29" s="579">
        <f>H11/$H$38</f>
        <v>2193.787090558767</v>
      </c>
      <c r="I29" s="579">
        <f>I11/$I$38</f>
        <v>2842.5362718089991</v>
      </c>
      <c r="J29" s="579">
        <f t="shared" si="17"/>
        <v>3505.5057880676759</v>
      </c>
      <c r="K29" s="579">
        <f t="shared" si="18"/>
        <v>3900.8626887131559</v>
      </c>
      <c r="L29" s="579">
        <f t="shared" si="7"/>
        <v>3858.5186878545792</v>
      </c>
      <c r="M29" s="579">
        <f t="shared" si="8"/>
        <v>5445.397151014774</v>
      </c>
      <c r="N29" s="579">
        <f t="shared" si="9"/>
        <v>6240.6684955999826</v>
      </c>
      <c r="O29" s="579">
        <f t="shared" si="10"/>
        <v>7292.2614226241167</v>
      </c>
      <c r="P29" s="579">
        <f t="shared" si="11"/>
        <v>8689.9807314174777</v>
      </c>
      <c r="Q29" s="579">
        <f t="shared" si="12"/>
        <v>9619.1223127339781</v>
      </c>
      <c r="R29" s="579">
        <f t="shared" si="13"/>
        <v>10670.817240986018</v>
      </c>
    </row>
    <row r="30" spans="1:18" s="62" customFormat="1" ht="15" x14ac:dyDescent="0.25">
      <c r="A30" s="78" t="s">
        <v>170</v>
      </c>
      <c r="B30" s="537"/>
      <c r="C30" s="579">
        <f t="shared" si="14"/>
        <v>51.703023920565663</v>
      </c>
      <c r="D30" s="579">
        <f t="shared" si="15"/>
        <v>47.154123780243282</v>
      </c>
      <c r="E30" s="579">
        <f>E12/$E$38</f>
        <v>46.928937179967527</v>
      </c>
      <c r="F30" s="579">
        <f t="shared" si="5"/>
        <v>46.375331017605099</v>
      </c>
      <c r="G30" s="579">
        <f t="shared" si="16"/>
        <v>46.132202337850416</v>
      </c>
      <c r="H30" s="579">
        <f>H12/$H$38</f>
        <v>41.798651252408476</v>
      </c>
      <c r="I30" s="579">
        <f>I12/$I$38</f>
        <v>53.117539026629935</v>
      </c>
      <c r="J30" s="579">
        <f>J12/$J$38</f>
        <v>57.350845948352628</v>
      </c>
      <c r="K30" s="579">
        <f t="shared" si="18"/>
        <v>59.343398034986812</v>
      </c>
      <c r="L30" s="579">
        <f t="shared" si="7"/>
        <v>66.751030017657442</v>
      </c>
      <c r="M30" s="579">
        <f t="shared" si="8"/>
        <v>89.349920533970391</v>
      </c>
      <c r="N30" s="579">
        <f t="shared" si="9"/>
        <v>116.57889446407967</v>
      </c>
      <c r="O30" s="579">
        <f t="shared" si="10"/>
        <v>118.10916655916481</v>
      </c>
      <c r="P30" s="579">
        <f t="shared" si="11"/>
        <v>146.39470553514258</v>
      </c>
      <c r="Q30" s="579">
        <f t="shared" si="12"/>
        <v>148.34884678031855</v>
      </c>
      <c r="R30" s="579">
        <f t="shared" si="13"/>
        <v>152.5432023981609</v>
      </c>
    </row>
    <row r="31" spans="1:18" s="62" customFormat="1" ht="15" x14ac:dyDescent="0.25">
      <c r="A31" s="75" t="s">
        <v>171</v>
      </c>
      <c r="B31" s="85"/>
      <c r="C31" s="579">
        <f t="shared" ref="C31:K31" si="20">C32+C33</f>
        <v>1158.5391906123064</v>
      </c>
      <c r="D31" s="579">
        <f t="shared" si="20"/>
        <v>1209.6805239941184</v>
      </c>
      <c r="E31" s="579">
        <f t="shared" si="20"/>
        <v>1360.8255276632945</v>
      </c>
      <c r="F31" s="579">
        <f t="shared" si="20"/>
        <v>1765.9253204096749</v>
      </c>
      <c r="G31" s="579">
        <f t="shared" si="20"/>
        <v>1899.4755353263681</v>
      </c>
      <c r="H31" s="579">
        <f t="shared" si="20"/>
        <v>2165.1107899807321</v>
      </c>
      <c r="I31" s="579">
        <f t="shared" si="20"/>
        <v>2521.2084481175389</v>
      </c>
      <c r="J31" s="579">
        <f t="shared" si="20"/>
        <v>2960.3072128227959</v>
      </c>
      <c r="K31" s="579">
        <f t="shared" si="20"/>
        <v>3233.4771147855254</v>
      </c>
      <c r="L31" s="579">
        <f t="shared" si="7"/>
        <v>2978.2151265450266</v>
      </c>
      <c r="M31" s="579">
        <f t="shared" si="8"/>
        <v>5572.4097978347645</v>
      </c>
      <c r="N31" s="579">
        <f t="shared" si="9"/>
        <v>5275.2679524698769</v>
      </c>
      <c r="O31" s="579">
        <f t="shared" si="10"/>
        <v>6440.0722848946016</v>
      </c>
      <c r="P31" s="579">
        <f t="shared" si="11"/>
        <v>7484.6020405534136</v>
      </c>
      <c r="Q31" s="579">
        <f t="shared" si="12"/>
        <v>9619.1223127339781</v>
      </c>
      <c r="R31" s="579">
        <f t="shared" si="13"/>
        <v>9748.6636097381979</v>
      </c>
    </row>
    <row r="32" spans="1:18" s="62" customFormat="1" ht="15" x14ac:dyDescent="0.25">
      <c r="A32" s="78" t="s">
        <v>172</v>
      </c>
      <c r="B32" s="537"/>
      <c r="C32" s="579">
        <f t="shared" si="14"/>
        <v>637.01519482473293</v>
      </c>
      <c r="D32" s="579">
        <f t="shared" si="15"/>
        <v>609.08568373212131</v>
      </c>
      <c r="E32" s="579">
        <f>E14/$E$38</f>
        <v>733.66054702135625</v>
      </c>
      <c r="F32" s="579">
        <f t="shared" si="5"/>
        <v>851.30789965344115</v>
      </c>
      <c r="G32" s="579">
        <f t="shared" si="16"/>
        <v>979.44967414916721</v>
      </c>
      <c r="H32" s="579">
        <f>H14/$H$38</f>
        <v>1216.8246628131021</v>
      </c>
      <c r="I32" s="579">
        <f>I14/$I$38</f>
        <v>1424.751147842057</v>
      </c>
      <c r="J32" s="579">
        <f t="shared" si="17"/>
        <v>1684.5102404274264</v>
      </c>
      <c r="K32" s="579">
        <f>K14/$K$38</f>
        <v>1738.9464014697658</v>
      </c>
      <c r="L32" s="579">
        <f t="shared" si="7"/>
        <v>1601.6678928781637</v>
      </c>
      <c r="M32" s="579">
        <f t="shared" si="8"/>
        <v>3576.3988566642802</v>
      </c>
      <c r="N32" s="579">
        <f t="shared" si="9"/>
        <v>3400.3415983466261</v>
      </c>
      <c r="O32" s="579">
        <f t="shared" si="10"/>
        <v>4301.3545140552442</v>
      </c>
      <c r="P32" s="579">
        <f t="shared" si="11"/>
        <v>5112.3541713655304</v>
      </c>
      <c r="Q32" s="579">
        <f t="shared" si="12"/>
        <v>7264.6556436833525</v>
      </c>
      <c r="R32" s="579">
        <f t="shared" si="13"/>
        <v>7215.0946342252901</v>
      </c>
    </row>
    <row r="33" spans="1:18" s="62" customFormat="1" ht="15" x14ac:dyDescent="0.25">
      <c r="A33" s="78" t="s">
        <v>173</v>
      </c>
      <c r="B33" s="537"/>
      <c r="C33" s="579">
        <f t="shared" si="14"/>
        <v>521.52399578757331</v>
      </c>
      <c r="D33" s="579">
        <f t="shared" si="15"/>
        <v>600.59484026199709</v>
      </c>
      <c r="E33" s="579">
        <f>E15/$E$38</f>
        <v>627.16498064193831</v>
      </c>
      <c r="F33" s="579">
        <f t="shared" si="5"/>
        <v>914.61742075623386</v>
      </c>
      <c r="G33" s="579">
        <f>G15/$G$38</f>
        <v>920.0258611772008</v>
      </c>
      <c r="H33" s="579">
        <f>H15/$H$38</f>
        <v>948.28612716763007</v>
      </c>
      <c r="I33" s="579">
        <f>I15/$I$38</f>
        <v>1096.4573002754821</v>
      </c>
      <c r="J33" s="579">
        <f t="shared" si="17"/>
        <v>1275.7969723953695</v>
      </c>
      <c r="K33" s="579">
        <f t="shared" si="18"/>
        <v>1494.5307133157598</v>
      </c>
      <c r="L33" s="579">
        <f>L15/$L$38</f>
        <v>1376.5472336668629</v>
      </c>
      <c r="M33" s="579">
        <f t="shared" si="8"/>
        <v>1996.0109411704843</v>
      </c>
      <c r="N33" s="579">
        <f t="shared" si="9"/>
        <v>1874.9263541232508</v>
      </c>
      <c r="O33" s="579">
        <f t="shared" si="10"/>
        <v>2138.7177708393574</v>
      </c>
      <c r="P33" s="579">
        <f t="shared" si="11"/>
        <v>2372.2478691878832</v>
      </c>
      <c r="Q33" s="579">
        <f t="shared" si="12"/>
        <v>2354.4666690506242</v>
      </c>
      <c r="R33" s="579">
        <f t="shared" si="13"/>
        <v>2533.5689755129079</v>
      </c>
    </row>
    <row r="34" spans="1:18" s="62" customFormat="1" ht="15" x14ac:dyDescent="0.25">
      <c r="A34" s="75" t="s">
        <v>174</v>
      </c>
      <c r="B34" s="85"/>
      <c r="C34" s="579">
        <f t="shared" ref="C34:K34" si="21">C35+C36</f>
        <v>-2338.0517526703775</v>
      </c>
      <c r="D34" s="579">
        <f t="shared" si="21"/>
        <v>-2206.480417056543</v>
      </c>
      <c r="E34" s="579">
        <f t="shared" si="21"/>
        <v>-2049.2394155114271</v>
      </c>
      <c r="F34" s="579">
        <f t="shared" si="21"/>
        <v>-2210.0527246855017</v>
      </c>
      <c r="G34" s="579">
        <f t="shared" si="21"/>
        <v>-2143.6071169959655</v>
      </c>
      <c r="H34" s="579">
        <f t="shared" si="21"/>
        <v>-2660.6396917148363</v>
      </c>
      <c r="I34" s="579">
        <f t="shared" si="21"/>
        <v>-3344.1763085399452</v>
      </c>
      <c r="J34" s="579">
        <f t="shared" si="21"/>
        <v>-4226.7551202137138</v>
      </c>
      <c r="K34" s="579">
        <f t="shared" si="21"/>
        <v>-5115.9014298266629</v>
      </c>
      <c r="L34" s="579">
        <f t="shared" si="7"/>
        <v>-4712.0342848734545</v>
      </c>
      <c r="M34" s="579">
        <f t="shared" si="8"/>
        <v>-8654.9022307825453</v>
      </c>
      <c r="N34" s="579">
        <f t="shared" si="9"/>
        <v>-7623.25468649506</v>
      </c>
      <c r="O34" s="579">
        <f t="shared" si="10"/>
        <v>-8923.9324190272946</v>
      </c>
      <c r="P34" s="579">
        <f t="shared" si="11"/>
        <v>-12101.435174882119</v>
      </c>
      <c r="Q34" s="579">
        <f t="shared" si="12"/>
        <v>-12957.210913675364</v>
      </c>
      <c r="R34" s="579">
        <f t="shared" si="13"/>
        <v>-14211.457279091775</v>
      </c>
    </row>
    <row r="35" spans="1:18" s="62" customFormat="1" ht="15" x14ac:dyDescent="0.25">
      <c r="A35" s="78" t="s">
        <v>175</v>
      </c>
      <c r="B35" s="537"/>
      <c r="C35" s="579">
        <f t="shared" si="14"/>
        <v>-1381.6383330825936</v>
      </c>
      <c r="D35" s="579">
        <f t="shared" si="15"/>
        <v>-1418.5964443256248</v>
      </c>
      <c r="E35" s="579">
        <f>E17/$E$38</f>
        <v>-1367.1012863744222</v>
      </c>
      <c r="F35" s="579">
        <f t="shared" si="5"/>
        <v>-1560.3439561048276</v>
      </c>
      <c r="G35" s="579">
        <f t="shared" si="16"/>
        <v>-1511.1461673735387</v>
      </c>
      <c r="H35" s="579">
        <f>H17/$H$38</f>
        <v>-1934.539499036609</v>
      </c>
      <c r="I35" s="579">
        <f>I17/$I$38</f>
        <v>-2401.4224058769514</v>
      </c>
      <c r="J35" s="579">
        <f t="shared" si="17"/>
        <v>-3013.1798753339272</v>
      </c>
      <c r="K35" s="579">
        <f t="shared" si="18"/>
        <v>-3864.1001677450272</v>
      </c>
      <c r="L35" s="579">
        <f t="shared" si="7"/>
        <v>-3559.0545909358443</v>
      </c>
      <c r="M35" s="579">
        <f t="shared" si="8"/>
        <v>-7006.1958644001033</v>
      </c>
      <c r="N35" s="579">
        <f t="shared" si="9"/>
        <v>-5895.9134427510407</v>
      </c>
      <c r="O35" s="579">
        <f t="shared" si="10"/>
        <v>-7092.5385447991257</v>
      </c>
      <c r="P35" s="579">
        <f t="shared" si="11"/>
        <v>-9877.284812804286</v>
      </c>
      <c r="Q35" s="579">
        <f t="shared" si="12"/>
        <v>-10324.651157446402</v>
      </c>
      <c r="R35" s="579">
        <f t="shared" si="13"/>
        <v>-11058.065361338024</v>
      </c>
    </row>
    <row r="36" spans="1:18" s="62" customFormat="1" ht="15" x14ac:dyDescent="0.25">
      <c r="A36" s="78" t="s">
        <v>176</v>
      </c>
      <c r="B36" s="537"/>
      <c r="C36" s="579">
        <f t="shared" si="14"/>
        <v>-956.41341958778389</v>
      </c>
      <c r="D36" s="579">
        <f t="shared" si="15"/>
        <v>-787.88397273091834</v>
      </c>
      <c r="E36" s="579">
        <f>E18/$E$38</f>
        <v>-682.13812913700508</v>
      </c>
      <c r="F36" s="579">
        <f t="shared" si="5"/>
        <v>-649.70876858067425</v>
      </c>
      <c r="G36" s="579">
        <f t="shared" si="16"/>
        <v>-632.46094962242682</v>
      </c>
      <c r="H36" s="579">
        <f>H18/$H$38</f>
        <v>-726.10019267822736</v>
      </c>
      <c r="I36" s="579">
        <f>I18/$I$38</f>
        <v>-942.7539026629936</v>
      </c>
      <c r="J36" s="579">
        <f t="shared" si="17"/>
        <v>-1213.5752448797864</v>
      </c>
      <c r="K36" s="579">
        <f t="shared" si="18"/>
        <v>-1251.8012620816357</v>
      </c>
      <c r="L36" s="579">
        <f t="shared" si="7"/>
        <v>-1152.9796939376104</v>
      </c>
      <c r="M36" s="579">
        <f t="shared" si="8"/>
        <v>-1648.7063663824422</v>
      </c>
      <c r="N36" s="579">
        <f t="shared" si="9"/>
        <v>-1727.3412437440195</v>
      </c>
      <c r="O36" s="579">
        <f t="shared" si="10"/>
        <v>-1831.3938742281689</v>
      </c>
      <c r="P36" s="579">
        <f t="shared" si="11"/>
        <v>-2224.1503620778321</v>
      </c>
      <c r="Q36" s="579">
        <f t="shared" si="12"/>
        <v>-2632.5597562289622</v>
      </c>
      <c r="R36" s="579">
        <f t="shared" si="13"/>
        <v>-3153.3919177537532</v>
      </c>
    </row>
    <row r="37" spans="1:18" s="62" customFormat="1" ht="15" x14ac:dyDescent="0.25">
      <c r="A37" s="75"/>
      <c r="B37" s="85"/>
      <c r="C37" s="579"/>
      <c r="D37" s="579"/>
      <c r="E37" s="579"/>
      <c r="F37" s="579"/>
      <c r="G37" s="579"/>
      <c r="H37" s="579"/>
      <c r="I37" s="579"/>
      <c r="J37" s="579"/>
      <c r="K37" s="579"/>
      <c r="L37" s="132"/>
      <c r="M37" s="132"/>
      <c r="N37" s="96"/>
      <c r="O37" s="96"/>
      <c r="P37" s="96"/>
      <c r="Q37" s="96"/>
      <c r="R37" s="96"/>
    </row>
    <row r="38" spans="1:18" s="62" customFormat="1" ht="15.75" thickBot="1" x14ac:dyDescent="0.3">
      <c r="A38" s="93" t="s">
        <v>179</v>
      </c>
      <c r="B38" s="94"/>
      <c r="C38" s="580">
        <v>664.7</v>
      </c>
      <c r="D38" s="580">
        <v>748.1</v>
      </c>
      <c r="E38" s="581">
        <v>800.7</v>
      </c>
      <c r="F38" s="581">
        <v>876.39266627705626</v>
      </c>
      <c r="G38" s="581">
        <v>966.7</v>
      </c>
      <c r="H38" s="581">
        <v>1038</v>
      </c>
      <c r="I38" s="581">
        <v>1089</v>
      </c>
      <c r="J38" s="581">
        <v>1123</v>
      </c>
      <c r="K38" s="581">
        <v>1251.9000000000001</v>
      </c>
      <c r="L38" s="581">
        <v>1359.2</v>
      </c>
      <c r="M38" s="581">
        <v>1196.8973965678599</v>
      </c>
      <c r="N38" s="581">
        <v>1305.9978882863409</v>
      </c>
      <c r="O38" s="581">
        <v>1395.6840560356052</v>
      </c>
      <c r="P38" s="581">
        <v>1557.4333727886612</v>
      </c>
      <c r="Q38" s="581">
        <v>1571.7075330236639</v>
      </c>
      <c r="R38" s="581">
        <v>1598.5993755624734</v>
      </c>
    </row>
    <row r="39" spans="1:18" s="62" customFormat="1" ht="15" x14ac:dyDescent="0.25">
      <c r="C39" s="96"/>
      <c r="D39" s="96"/>
      <c r="E39" s="96"/>
      <c r="F39" s="96"/>
      <c r="G39" s="96"/>
      <c r="H39" s="96"/>
      <c r="I39" s="96"/>
      <c r="J39" s="96"/>
      <c r="K39" s="97"/>
      <c r="L39" s="97"/>
    </row>
    <row r="40" spans="1:18" s="62" customFormat="1" ht="15" x14ac:dyDescent="0.25">
      <c r="A40" s="98"/>
      <c r="B40" s="98"/>
      <c r="C40" s="99"/>
      <c r="D40" s="99"/>
      <c r="E40" s="99"/>
      <c r="F40" s="99"/>
      <c r="G40" s="99"/>
      <c r="H40" s="99"/>
      <c r="I40" s="100"/>
      <c r="J40" s="100"/>
      <c r="K40" s="100"/>
      <c r="L40" s="100"/>
    </row>
    <row r="41" spans="1:18" s="62" customFormat="1" ht="15" x14ac:dyDescent="0.25">
      <c r="A41" s="114" t="s">
        <v>180</v>
      </c>
      <c r="B41" s="114"/>
      <c r="C41" s="114"/>
      <c r="D41" s="114"/>
      <c r="E41" s="114"/>
      <c r="F41" s="114"/>
      <c r="G41" s="114"/>
      <c r="H41" s="114"/>
      <c r="I41" s="114"/>
      <c r="J41" s="114"/>
      <c r="K41" s="114"/>
      <c r="L41" s="114"/>
    </row>
    <row r="42" spans="1:18" s="62" customFormat="1" ht="15.75" thickBot="1" x14ac:dyDescent="0.3">
      <c r="A42" s="63"/>
      <c r="B42" s="63"/>
      <c r="C42" s="101"/>
      <c r="D42" s="101"/>
      <c r="E42" s="101"/>
      <c r="F42" s="101"/>
      <c r="G42" s="101"/>
      <c r="H42" s="101"/>
      <c r="I42" s="101"/>
      <c r="J42" s="101"/>
      <c r="K42" s="65"/>
      <c r="L42" s="65" t="s">
        <v>161</v>
      </c>
      <c r="M42" s="102"/>
      <c r="N42" s="102"/>
      <c r="O42" s="102"/>
      <c r="P42" s="102"/>
    </row>
    <row r="43" spans="1:18" s="62" customFormat="1" ht="15.75" thickBot="1" x14ac:dyDescent="0.3">
      <c r="A43" s="103" t="s">
        <v>162</v>
      </c>
      <c r="B43" s="538"/>
      <c r="C43" s="67">
        <v>1998</v>
      </c>
      <c r="D43" s="67">
        <v>1999</v>
      </c>
      <c r="E43" s="67">
        <v>2000</v>
      </c>
      <c r="F43" s="67">
        <v>2001</v>
      </c>
      <c r="G43" s="67">
        <v>2002</v>
      </c>
      <c r="H43" s="67">
        <v>2003</v>
      </c>
      <c r="I43" s="67">
        <v>2004</v>
      </c>
      <c r="J43" s="67">
        <v>2005</v>
      </c>
      <c r="K43" s="67">
        <v>2006</v>
      </c>
      <c r="L43" s="67">
        <v>2007</v>
      </c>
      <c r="M43" s="67">
        <v>2008</v>
      </c>
      <c r="N43" s="67">
        <v>2009</v>
      </c>
      <c r="O43" s="67">
        <v>2010</v>
      </c>
      <c r="P43" s="67">
        <v>2011</v>
      </c>
      <c r="Q43" s="67">
        <v>2012</v>
      </c>
      <c r="R43" s="67">
        <v>2013</v>
      </c>
    </row>
    <row r="44" spans="1:18" s="62" customFormat="1" ht="15" x14ac:dyDescent="0.25">
      <c r="A44" s="104"/>
      <c r="B44" s="539"/>
      <c r="C44" s="105"/>
      <c r="D44" s="105"/>
      <c r="E44" s="105"/>
      <c r="F44" s="105"/>
      <c r="G44" s="105"/>
      <c r="H44" s="105"/>
      <c r="I44" s="105"/>
      <c r="J44" s="105"/>
      <c r="K44" s="105"/>
      <c r="L44" s="106"/>
      <c r="M44" s="102"/>
      <c r="N44" s="102"/>
      <c r="O44" s="102"/>
      <c r="P44" s="102"/>
      <c r="Q44" s="102"/>
      <c r="R44" s="102"/>
    </row>
    <row r="45" spans="1:18" s="62" customFormat="1" ht="15" x14ac:dyDescent="0.25">
      <c r="A45" s="107" t="s">
        <v>181</v>
      </c>
      <c r="B45" s="362"/>
      <c r="C45" s="73">
        <f>C46+C49+C52+C55</f>
        <v>7803927</v>
      </c>
      <c r="D45" s="73">
        <f t="shared" ref="D45:I45" si="22">D46+D49+D52+D55</f>
        <v>8181672</v>
      </c>
      <c r="E45" s="73">
        <f t="shared" si="22"/>
        <v>8585339</v>
      </c>
      <c r="F45" s="73">
        <f t="shared" si="22"/>
        <v>9100274</v>
      </c>
      <c r="G45" s="73">
        <f t="shared" si="22"/>
        <v>9752178</v>
      </c>
      <c r="H45" s="73">
        <f t="shared" si="22"/>
        <v>10423735</v>
      </c>
      <c r="I45" s="73">
        <f t="shared" si="22"/>
        <v>11239734</v>
      </c>
      <c r="J45" s="73">
        <v>12068090</v>
      </c>
      <c r="K45" s="73">
        <v>12881163</v>
      </c>
      <c r="L45" s="73">
        <v>13801920.844000001</v>
      </c>
      <c r="M45" s="73">
        <v>14828344.807299001</v>
      </c>
      <c r="N45" s="73">
        <v>15721300.631256266</v>
      </c>
      <c r="O45" s="73">
        <v>16828563.208131555</v>
      </c>
      <c r="P45" s="73">
        <v>17913803.121302921</v>
      </c>
      <c r="Q45" s="73">
        <v>19155764.91571046</v>
      </c>
      <c r="R45" s="73">
        <v>20489149.64366718</v>
      </c>
    </row>
    <row r="46" spans="1:18" s="62" customFormat="1" ht="15" x14ac:dyDescent="0.25">
      <c r="A46" s="108" t="s">
        <v>166</v>
      </c>
      <c r="B46" s="121"/>
      <c r="C46" s="76">
        <f>C47+C48</f>
        <v>7238972</v>
      </c>
      <c r="D46" s="76">
        <f t="shared" ref="D46:R46" si="23">D47+D48</f>
        <v>7499228</v>
      </c>
      <c r="E46" s="76">
        <f t="shared" si="23"/>
        <v>7630259</v>
      </c>
      <c r="F46" s="76">
        <f t="shared" si="23"/>
        <v>7901761</v>
      </c>
      <c r="G46" s="76">
        <f t="shared" si="23"/>
        <v>8486320</v>
      </c>
      <c r="H46" s="76">
        <f t="shared" si="23"/>
        <v>9052080</v>
      </c>
      <c r="I46" s="76">
        <f t="shared" si="23"/>
        <v>9748544</v>
      </c>
      <c r="J46" s="76">
        <f t="shared" si="23"/>
        <v>10855260</v>
      </c>
      <c r="K46" s="76">
        <f t="shared" si="23"/>
        <v>11735476</v>
      </c>
      <c r="L46" s="76">
        <f t="shared" si="23"/>
        <v>12517665.122000001</v>
      </c>
      <c r="M46" s="76">
        <f t="shared" si="23"/>
        <v>13337233.282608047</v>
      </c>
      <c r="N46" s="76">
        <f t="shared" si="23"/>
        <v>13838779.421807434</v>
      </c>
      <c r="O46" s="76">
        <f t="shared" si="23"/>
        <v>15010200.061216321</v>
      </c>
      <c r="P46" s="76">
        <f t="shared" si="23"/>
        <v>16876871.722307567</v>
      </c>
      <c r="Q46" s="76">
        <f t="shared" si="23"/>
        <v>17177192.096641559</v>
      </c>
      <c r="R46" s="76">
        <f t="shared" si="23"/>
        <v>19983691.773915593</v>
      </c>
    </row>
    <row r="47" spans="1:18" s="62" customFormat="1" ht="15" x14ac:dyDescent="0.25">
      <c r="A47" s="109" t="s">
        <v>167</v>
      </c>
      <c r="B47" s="112"/>
      <c r="C47" s="76">
        <v>6230680</v>
      </c>
      <c r="D47" s="76">
        <v>6506480</v>
      </c>
      <c r="E47" s="76">
        <v>6615765</v>
      </c>
      <c r="F47" s="76">
        <v>6826396</v>
      </c>
      <c r="G47" s="76">
        <v>7213608</v>
      </c>
      <c r="H47" s="76">
        <v>7410284</v>
      </c>
      <c r="I47" s="76">
        <v>7866521</v>
      </c>
      <c r="J47" s="76">
        <v>8748590</v>
      </c>
      <c r="K47" s="76">
        <v>9456059</v>
      </c>
      <c r="L47" s="76">
        <v>10021703.507000001</v>
      </c>
      <c r="M47" s="76">
        <v>10512580.844699547</v>
      </c>
      <c r="N47" s="76">
        <v>10870069.709565602</v>
      </c>
      <c r="O47" s="76">
        <v>11538081.502224442</v>
      </c>
      <c r="P47" s="76">
        <v>12911936.335587807</v>
      </c>
      <c r="Q47" s="76">
        <v>12728299.976571169</v>
      </c>
      <c r="R47" s="76">
        <v>13925158.403205773</v>
      </c>
    </row>
    <row r="48" spans="1:18" s="62" customFormat="1" ht="15" x14ac:dyDescent="0.25">
      <c r="A48" s="109" t="s">
        <v>168</v>
      </c>
      <c r="B48" s="112"/>
      <c r="C48" s="76">
        <v>1008292</v>
      </c>
      <c r="D48" s="76">
        <v>992748</v>
      </c>
      <c r="E48" s="76">
        <v>1014494</v>
      </c>
      <c r="F48" s="76">
        <v>1075365</v>
      </c>
      <c r="G48" s="76">
        <v>1272712</v>
      </c>
      <c r="H48" s="76">
        <v>1641796</v>
      </c>
      <c r="I48" s="76">
        <v>1882023</v>
      </c>
      <c r="J48" s="76">
        <v>2106670</v>
      </c>
      <c r="K48" s="76">
        <v>2279417</v>
      </c>
      <c r="L48" s="76">
        <v>2495961.6149999998</v>
      </c>
      <c r="M48" s="76">
        <v>2824652.4379085</v>
      </c>
      <c r="N48" s="76">
        <v>2968709.7122418331</v>
      </c>
      <c r="O48" s="76">
        <v>3472118.5589918797</v>
      </c>
      <c r="P48" s="76">
        <v>3964935.3867197596</v>
      </c>
      <c r="Q48" s="76">
        <v>4448892.1200703904</v>
      </c>
      <c r="R48" s="76">
        <v>6058533.3707098207</v>
      </c>
    </row>
    <row r="49" spans="1:34" s="62" customFormat="1" ht="15" x14ac:dyDescent="0.25">
      <c r="A49" s="108" t="s">
        <v>169</v>
      </c>
      <c r="B49" s="121"/>
      <c r="C49" s="76">
        <f>C50+C51</f>
        <v>1266799</v>
      </c>
      <c r="D49" s="76">
        <f t="shared" ref="D49:R49" si="24">D50+D51</f>
        <v>1343727</v>
      </c>
      <c r="E49" s="76">
        <f t="shared" si="24"/>
        <v>1421461</v>
      </c>
      <c r="F49" s="76">
        <f t="shared" si="24"/>
        <v>1587743</v>
      </c>
      <c r="G49" s="76">
        <f t="shared" si="24"/>
        <v>1711262</v>
      </c>
      <c r="H49" s="76">
        <f t="shared" si="24"/>
        <v>1945657</v>
      </c>
      <c r="I49" s="76">
        <f t="shared" si="24"/>
        <v>2144198</v>
      </c>
      <c r="J49" s="76">
        <f t="shared" si="24"/>
        <v>2535317</v>
      </c>
      <c r="K49" s="76">
        <f t="shared" si="24"/>
        <v>2938619</v>
      </c>
      <c r="L49" s="76">
        <f t="shared" si="24"/>
        <v>3358304.58</v>
      </c>
      <c r="M49" s="76">
        <f t="shared" si="24"/>
        <v>3616866.0902931252</v>
      </c>
      <c r="N49" s="76">
        <f t="shared" si="24"/>
        <v>3982283.077230284</v>
      </c>
      <c r="O49" s="76">
        <f t="shared" si="24"/>
        <v>4385837.127031697</v>
      </c>
      <c r="P49" s="76">
        <f t="shared" si="24"/>
        <v>5762293.7827310078</v>
      </c>
      <c r="Q49" s="76">
        <f t="shared" si="24"/>
        <v>6107144.0579490503</v>
      </c>
      <c r="R49" s="76">
        <f t="shared" si="24"/>
        <v>6074774.1950811446</v>
      </c>
    </row>
    <row r="50" spans="1:34" s="62" customFormat="1" ht="15" x14ac:dyDescent="0.25">
      <c r="A50" s="109" t="s">
        <v>55</v>
      </c>
      <c r="B50" s="112"/>
      <c r="C50" s="76">
        <v>1228372</v>
      </c>
      <c r="D50" s="76">
        <v>1304531</v>
      </c>
      <c r="E50" s="76">
        <v>1381486</v>
      </c>
      <c r="F50" s="76">
        <v>1547100</v>
      </c>
      <c r="G50" s="76">
        <v>1669823</v>
      </c>
      <c r="H50" s="76">
        <v>1903295</v>
      </c>
      <c r="I50" s="76">
        <v>2100914</v>
      </c>
      <c r="J50" s="76">
        <v>2493633</v>
      </c>
      <c r="K50" s="76">
        <v>2893604</v>
      </c>
      <c r="L50" s="76">
        <v>3313176.58</v>
      </c>
      <c r="M50" s="76">
        <v>3571629.0902931252</v>
      </c>
      <c r="N50" s="76">
        <v>3928805.1039289688</v>
      </c>
      <c r="O50" s="76">
        <v>4332959.8435214479</v>
      </c>
      <c r="P50" s="76">
        <v>5694293.7827310078</v>
      </c>
      <c r="Q50" s="76">
        <v>6035423.9936415143</v>
      </c>
      <c r="R50" s="76">
        <v>6000763.1950811446</v>
      </c>
    </row>
    <row r="51" spans="1:34" s="62" customFormat="1" ht="15" x14ac:dyDescent="0.25">
      <c r="A51" s="109" t="s">
        <v>170</v>
      </c>
      <c r="B51" s="112"/>
      <c r="C51" s="76">
        <v>38427</v>
      </c>
      <c r="D51" s="76">
        <v>39196</v>
      </c>
      <c r="E51" s="76">
        <v>39975</v>
      </c>
      <c r="F51" s="76">
        <v>40643</v>
      </c>
      <c r="G51" s="76">
        <v>41439</v>
      </c>
      <c r="H51" s="76">
        <v>42362</v>
      </c>
      <c r="I51" s="76">
        <v>43284</v>
      </c>
      <c r="J51" s="76">
        <v>41684</v>
      </c>
      <c r="K51" s="76">
        <v>45015</v>
      </c>
      <c r="L51" s="76">
        <v>45128</v>
      </c>
      <c r="M51" s="76">
        <v>45237</v>
      </c>
      <c r="N51" s="76">
        <v>53477.973301315156</v>
      </c>
      <c r="O51" s="76">
        <v>52877.283510249494</v>
      </c>
      <c r="P51" s="76">
        <v>68000</v>
      </c>
      <c r="Q51" s="76">
        <v>71720.064307535838</v>
      </c>
      <c r="R51" s="76">
        <v>74011</v>
      </c>
    </row>
    <row r="52" spans="1:34" s="62" customFormat="1" ht="15" x14ac:dyDescent="0.25">
      <c r="A52" s="108" t="s">
        <v>171</v>
      </c>
      <c r="B52" s="121"/>
      <c r="C52" s="76">
        <f t="shared" ref="C52:R52" si="25">C53+C54</f>
        <v>936744</v>
      </c>
      <c r="D52" s="76">
        <f t="shared" si="25"/>
        <v>1123820</v>
      </c>
      <c r="E52" s="76">
        <f t="shared" si="25"/>
        <v>1321129</v>
      </c>
      <c r="F52" s="76">
        <f t="shared" si="25"/>
        <v>1547644</v>
      </c>
      <c r="G52" s="76">
        <f t="shared" si="25"/>
        <v>1666860</v>
      </c>
      <c r="H52" s="76">
        <f t="shared" si="25"/>
        <v>1991479</v>
      </c>
      <c r="I52" s="76">
        <f t="shared" si="25"/>
        <v>2157615</v>
      </c>
      <c r="J52" s="76">
        <f t="shared" si="25"/>
        <v>2449820</v>
      </c>
      <c r="K52" s="76">
        <f t="shared" si="25"/>
        <v>2369701</v>
      </c>
      <c r="L52" s="76">
        <f t="shared" si="25"/>
        <v>2768705</v>
      </c>
      <c r="M52" s="76">
        <f t="shared" si="25"/>
        <v>3311235.9607086126</v>
      </c>
      <c r="N52" s="76">
        <f t="shared" si="25"/>
        <v>3479705.8939560652</v>
      </c>
      <c r="O52" s="76">
        <f t="shared" si="25"/>
        <v>4533457.2609355468</v>
      </c>
      <c r="P52" s="76">
        <f t="shared" si="25"/>
        <v>5779880</v>
      </c>
      <c r="Q52" s="76">
        <f t="shared" si="25"/>
        <v>7185287.4182955027</v>
      </c>
      <c r="R52" s="76">
        <f t="shared" si="25"/>
        <v>6597966.3423849195</v>
      </c>
    </row>
    <row r="53" spans="1:34" s="62" customFormat="1" ht="15" x14ac:dyDescent="0.25">
      <c r="A53" s="109" t="s">
        <v>172</v>
      </c>
      <c r="B53" s="112"/>
      <c r="C53" s="76">
        <v>445469</v>
      </c>
      <c r="D53" s="76">
        <v>465870</v>
      </c>
      <c r="E53" s="76">
        <v>596796</v>
      </c>
      <c r="F53" s="76">
        <v>746080</v>
      </c>
      <c r="G53" s="76">
        <v>814494</v>
      </c>
      <c r="H53" s="76">
        <v>1049683</v>
      </c>
      <c r="I53" s="76">
        <v>1120049</v>
      </c>
      <c r="J53" s="76">
        <v>1256370</v>
      </c>
      <c r="K53" s="76">
        <v>1004797</v>
      </c>
      <c r="L53" s="76">
        <v>1089513</v>
      </c>
      <c r="M53" s="76">
        <v>1441642.1812751691</v>
      </c>
      <c r="N53" s="76">
        <v>1519800.200355577</v>
      </c>
      <c r="O53" s="76">
        <v>2401332.765849473</v>
      </c>
      <c r="P53" s="76">
        <v>3159584</v>
      </c>
      <c r="Q53" s="76">
        <v>4699074.0502583822</v>
      </c>
      <c r="R53" s="76">
        <v>4236765.3522741478</v>
      </c>
    </row>
    <row r="54" spans="1:34" s="62" customFormat="1" ht="15" x14ac:dyDescent="0.25">
      <c r="A54" s="109" t="s">
        <v>173</v>
      </c>
      <c r="B54" s="112"/>
      <c r="C54" s="76">
        <v>491275</v>
      </c>
      <c r="D54" s="76">
        <v>657950</v>
      </c>
      <c r="E54" s="76">
        <v>724333</v>
      </c>
      <c r="F54" s="76">
        <v>801564</v>
      </c>
      <c r="G54" s="76">
        <v>852366</v>
      </c>
      <c r="H54" s="76">
        <v>941796</v>
      </c>
      <c r="I54" s="76">
        <v>1037566</v>
      </c>
      <c r="J54" s="76">
        <v>1193450</v>
      </c>
      <c r="K54" s="76">
        <v>1364904</v>
      </c>
      <c r="L54" s="76">
        <v>1679192</v>
      </c>
      <c r="M54" s="76">
        <v>1869593.7794334432</v>
      </c>
      <c r="N54" s="76">
        <v>1959905.6936004881</v>
      </c>
      <c r="O54" s="76">
        <v>2132124.4950860734</v>
      </c>
      <c r="P54" s="76">
        <v>2620296</v>
      </c>
      <c r="Q54" s="76">
        <v>2486213.36803712</v>
      </c>
      <c r="R54" s="76">
        <v>2361200.9901107722</v>
      </c>
    </row>
    <row r="55" spans="1:34" s="62" customFormat="1" ht="15" x14ac:dyDescent="0.25">
      <c r="A55" s="108" t="s">
        <v>174</v>
      </c>
      <c r="B55" s="121"/>
      <c r="C55" s="76">
        <f t="shared" ref="C55:R55" si="26">C56+C57</f>
        <v>-1638588</v>
      </c>
      <c r="D55" s="76">
        <f t="shared" si="26"/>
        <v>-1785103</v>
      </c>
      <c r="E55" s="76">
        <f t="shared" si="26"/>
        <v>-1787510</v>
      </c>
      <c r="F55" s="76">
        <f t="shared" si="26"/>
        <v>-1936874</v>
      </c>
      <c r="G55" s="76">
        <f t="shared" si="26"/>
        <v>-2112264</v>
      </c>
      <c r="H55" s="76">
        <f t="shared" si="26"/>
        <v>-2565481</v>
      </c>
      <c r="I55" s="76">
        <f t="shared" si="26"/>
        <v>-2810623</v>
      </c>
      <c r="J55" s="76">
        <f t="shared" si="26"/>
        <v>-3772307</v>
      </c>
      <c r="K55" s="76">
        <f t="shared" si="26"/>
        <v>-4162633</v>
      </c>
      <c r="L55" s="76">
        <f t="shared" si="26"/>
        <v>-4842753.8580000009</v>
      </c>
      <c r="M55" s="76">
        <f t="shared" si="26"/>
        <v>-5436990.5263107838</v>
      </c>
      <c r="N55" s="76">
        <f t="shared" si="26"/>
        <v>-5579467.7617375199</v>
      </c>
      <c r="O55" s="76">
        <f t="shared" si="26"/>
        <v>-7100931.2410520082</v>
      </c>
      <c r="P55" s="76">
        <f t="shared" si="26"/>
        <v>-10505242.383735653</v>
      </c>
      <c r="Q55" s="76">
        <f t="shared" si="26"/>
        <v>-11313858.657175653</v>
      </c>
      <c r="R55" s="76">
        <f t="shared" si="26"/>
        <v>-12167282.667714478</v>
      </c>
    </row>
    <row r="56" spans="1:34" s="62" customFormat="1" ht="15" x14ac:dyDescent="0.25">
      <c r="A56" s="109" t="s">
        <v>175</v>
      </c>
      <c r="B56" s="112"/>
      <c r="C56" s="76">
        <v>-967544</v>
      </c>
      <c r="D56" s="76">
        <v>-1130465</v>
      </c>
      <c r="E56" s="76">
        <v>-1157440</v>
      </c>
      <c r="F56" s="76">
        <v>-1367474</v>
      </c>
      <c r="G56" s="76">
        <v>-1489051</v>
      </c>
      <c r="H56" s="76">
        <v>-1865350</v>
      </c>
      <c r="I56" s="76">
        <v>-2018283</v>
      </c>
      <c r="J56" s="76">
        <v>-2689212</v>
      </c>
      <c r="K56" s="76">
        <v>-3146854</v>
      </c>
      <c r="L56" s="76">
        <v>-3861189.8580000005</v>
      </c>
      <c r="M56" s="76">
        <v>-4499134.1085703773</v>
      </c>
      <c r="N56" s="76">
        <v>-4455067.6489684815</v>
      </c>
      <c r="O56" s="76">
        <v>-5822907.6257612426</v>
      </c>
      <c r="P56" s="76">
        <v>-8790407.5716456715</v>
      </c>
      <c r="Q56" s="76">
        <v>-9015184.2878925968</v>
      </c>
      <c r="R56" s="76">
        <v>-9555360.2062507998</v>
      </c>
    </row>
    <row r="57" spans="1:34" s="62" customFormat="1" ht="15.75" thickBot="1" x14ac:dyDescent="0.3">
      <c r="A57" s="111" t="s">
        <v>176</v>
      </c>
      <c r="B57" s="540"/>
      <c r="C57" s="82">
        <v>-671044</v>
      </c>
      <c r="D57" s="82">
        <v>-654638</v>
      </c>
      <c r="E57" s="82">
        <v>-630070</v>
      </c>
      <c r="F57" s="82">
        <v>-569400</v>
      </c>
      <c r="G57" s="82">
        <v>-623213</v>
      </c>
      <c r="H57" s="82">
        <v>-700131</v>
      </c>
      <c r="I57" s="82">
        <v>-792340</v>
      </c>
      <c r="J57" s="82">
        <v>-1083095</v>
      </c>
      <c r="K57" s="82">
        <v>-1015779</v>
      </c>
      <c r="L57" s="82">
        <v>-981564</v>
      </c>
      <c r="M57" s="82">
        <v>-937856.41774040624</v>
      </c>
      <c r="N57" s="82">
        <v>-1124400.1127690382</v>
      </c>
      <c r="O57" s="82">
        <v>-1278023.6152907659</v>
      </c>
      <c r="P57" s="82">
        <v>-1714834.812089982</v>
      </c>
      <c r="Q57" s="82">
        <v>-2298674.3692830554</v>
      </c>
      <c r="R57" s="82">
        <v>-2611922.4614636791</v>
      </c>
    </row>
    <row r="58" spans="1:34" s="62" customFormat="1" ht="15" x14ac:dyDescent="0.25">
      <c r="A58" s="112"/>
      <c r="B58" s="112"/>
      <c r="C58" s="76"/>
      <c r="D58" s="76"/>
      <c r="E58" s="76"/>
      <c r="F58" s="113"/>
      <c r="G58" s="113"/>
      <c r="H58" s="113"/>
      <c r="I58" s="113"/>
      <c r="J58" s="113"/>
      <c r="K58" s="113"/>
      <c r="L58" s="76"/>
      <c r="M58" s="102"/>
      <c r="N58" s="83"/>
      <c r="O58" s="102"/>
      <c r="P58" s="102"/>
      <c r="Q58" s="102"/>
      <c r="R58" s="102"/>
    </row>
    <row r="59" spans="1:34" s="62" customFormat="1" ht="15" x14ac:dyDescent="0.25">
      <c r="A59" s="102"/>
      <c r="B59" s="102"/>
      <c r="C59" s="102"/>
      <c r="D59" s="102"/>
      <c r="E59" s="102"/>
      <c r="L59" s="110"/>
      <c r="M59" s="102"/>
      <c r="N59" s="110"/>
      <c r="O59" s="102"/>
      <c r="P59" s="102"/>
      <c r="Q59" s="102"/>
      <c r="R59" s="102"/>
    </row>
    <row r="60" spans="1:34" s="62" customFormat="1" ht="15" x14ac:dyDescent="0.25">
      <c r="A60" s="114" t="s">
        <v>182</v>
      </c>
      <c r="B60" s="114"/>
      <c r="C60" s="114"/>
      <c r="D60" s="114"/>
      <c r="E60" s="114"/>
      <c r="F60" s="114"/>
      <c r="G60" s="114"/>
      <c r="H60" s="114"/>
      <c r="I60" s="114"/>
      <c r="J60" s="114"/>
      <c r="K60" s="114"/>
      <c r="L60" s="114"/>
      <c r="M60" s="98"/>
      <c r="N60" s="115"/>
      <c r="O60" s="98"/>
      <c r="P60" s="98"/>
      <c r="Q60" s="98"/>
      <c r="R60" s="98"/>
      <c r="S60" s="760"/>
      <c r="T60" s="760"/>
    </row>
    <row r="61" spans="1:34" s="62" customFormat="1" ht="15.75" thickBot="1" x14ac:dyDescent="0.3">
      <c r="A61" s="63"/>
      <c r="B61" s="63"/>
      <c r="C61" s="63"/>
      <c r="D61" s="63"/>
      <c r="E61" s="63"/>
      <c r="F61" s="63"/>
      <c r="G61" s="63"/>
      <c r="H61" s="63"/>
      <c r="I61" s="63"/>
      <c r="J61" s="63"/>
      <c r="K61" s="63"/>
      <c r="L61" s="116" t="s">
        <v>183</v>
      </c>
      <c r="M61" s="63"/>
      <c r="N61" s="117"/>
      <c r="O61" s="65"/>
      <c r="P61" s="65"/>
      <c r="Q61" s="65"/>
      <c r="R61" s="65"/>
      <c r="S61" s="102"/>
      <c r="T61" s="102"/>
    </row>
    <row r="62" spans="1:34" s="62" customFormat="1" ht="15" x14ac:dyDescent="0.25">
      <c r="A62" s="118" t="s">
        <v>162</v>
      </c>
      <c r="B62" s="366"/>
      <c r="C62" s="119">
        <v>1998</v>
      </c>
      <c r="D62" s="119">
        <v>1999</v>
      </c>
      <c r="E62" s="119">
        <v>2000</v>
      </c>
      <c r="F62" s="119">
        <v>2001</v>
      </c>
      <c r="G62" s="119">
        <v>2002</v>
      </c>
      <c r="H62" s="119">
        <v>2003</v>
      </c>
      <c r="I62" s="119">
        <v>2004</v>
      </c>
      <c r="J62" s="119">
        <v>2005</v>
      </c>
      <c r="K62" s="119">
        <v>2006</v>
      </c>
      <c r="L62" s="119">
        <v>2007</v>
      </c>
      <c r="M62" s="119">
        <v>2008</v>
      </c>
      <c r="N62" s="119">
        <v>2009</v>
      </c>
      <c r="O62" s="119">
        <v>2010</v>
      </c>
      <c r="P62" s="119">
        <v>2011</v>
      </c>
      <c r="Q62" s="119">
        <v>2012</v>
      </c>
      <c r="R62" s="119">
        <v>2013</v>
      </c>
    </row>
    <row r="63" spans="1:34" s="62" customFormat="1" ht="15" x14ac:dyDescent="0.25">
      <c r="A63" s="122"/>
      <c r="B63" s="367"/>
      <c r="C63" s="116"/>
      <c r="D63" s="116"/>
      <c r="E63" s="116"/>
      <c r="F63" s="116"/>
      <c r="G63" s="116"/>
      <c r="H63" s="116"/>
      <c r="I63" s="116"/>
      <c r="J63" s="116"/>
      <c r="K63" s="116"/>
      <c r="L63" s="123"/>
      <c r="M63" s="121"/>
      <c r="N63" s="121"/>
      <c r="O63" s="85"/>
      <c r="P63" s="85"/>
      <c r="Q63" s="85"/>
      <c r="R63" s="85"/>
      <c r="S63" s="85"/>
      <c r="T63" s="85"/>
      <c r="U63" s="85"/>
      <c r="V63" s="85"/>
      <c r="W63" s="85"/>
    </row>
    <row r="64" spans="1:34" s="62" customFormat="1" ht="15" x14ac:dyDescent="0.25">
      <c r="A64" s="107" t="s">
        <v>125</v>
      </c>
      <c r="B64" s="362"/>
      <c r="C64" s="124">
        <v>4.0999999999999996</v>
      </c>
      <c r="D64" s="124">
        <f>(D45/C45-1)*100</f>
        <v>4.8404476361708637</v>
      </c>
      <c r="E64" s="124">
        <f t="shared" ref="E64:I64" si="27">(E45/D45-1)*100</f>
        <v>4.933795928265039</v>
      </c>
      <c r="F64" s="124">
        <f t="shared" si="27"/>
        <v>5.9978412034749073</v>
      </c>
      <c r="G64" s="124">
        <f t="shared" si="27"/>
        <v>7.1635645256395541</v>
      </c>
      <c r="H64" s="124">
        <f t="shared" si="27"/>
        <v>6.8862258256565889</v>
      </c>
      <c r="I64" s="124">
        <f t="shared" si="27"/>
        <v>7.828278443379455</v>
      </c>
      <c r="J64" s="124">
        <f t="shared" ref="J64:J76" si="28">(J45/I45-1)*100</f>
        <v>7.3698897144719</v>
      </c>
      <c r="K64" s="124">
        <f t="shared" ref="K64:K76" si="29">(K45/J45-1)*100</f>
        <v>6.7373793201741083</v>
      </c>
      <c r="L64" s="124">
        <f t="shared" ref="L64:L76" si="30">(L45/K45-1)*100</f>
        <v>7.1480955873316709</v>
      </c>
      <c r="M64" s="124">
        <f t="shared" ref="M64:M76" si="31">(M45/L45-1)*100</f>
        <v>7.4368196637297102</v>
      </c>
      <c r="N64" s="124">
        <f t="shared" ref="N64:N76" si="32">(N45/M45-1)*100</f>
        <v>6.0219521164474266</v>
      </c>
      <c r="O64" s="124">
        <f t="shared" ref="O64:O76" si="33">(O45/N45-1)*100</f>
        <v>7.0430723439884435</v>
      </c>
      <c r="P64" s="124">
        <f t="shared" ref="P64:P76" si="34">(P45/O45-1)*100</f>
        <v>6.4487972012190475</v>
      </c>
      <c r="Q64" s="124">
        <f t="shared" ref="Q64:Q76" si="35">(Q45/P45-1)*100</f>
        <v>6.9329878529847733</v>
      </c>
      <c r="R64" s="124">
        <f t="shared" ref="R64:R76" si="36">(R45/Q45-1)*100</f>
        <v>6.9607490686167006</v>
      </c>
      <c r="S64" s="86"/>
      <c r="T64" s="86"/>
      <c r="U64" s="86"/>
      <c r="V64" s="86"/>
      <c r="W64" s="86"/>
      <c r="X64" s="117"/>
      <c r="Y64" s="86"/>
      <c r="Z64" s="86"/>
      <c r="AA64" s="86"/>
      <c r="AB64" s="86"/>
      <c r="AC64" s="86"/>
      <c r="AD64" s="86"/>
      <c r="AE64" s="86"/>
      <c r="AF64" s="86"/>
      <c r="AG64" s="86"/>
      <c r="AH64" s="86"/>
    </row>
    <row r="65" spans="1:34" s="62" customFormat="1" ht="15" x14ac:dyDescent="0.25">
      <c r="A65" s="108" t="s">
        <v>166</v>
      </c>
      <c r="B65" s="121"/>
      <c r="C65" s="125">
        <v>9.5</v>
      </c>
      <c r="D65" s="125">
        <f t="shared" ref="D65:I76" si="37">(D46/C46-1)*100</f>
        <v>3.5952066122095783</v>
      </c>
      <c r="E65" s="125">
        <f t="shared" si="37"/>
        <v>1.7472598512807025</v>
      </c>
      <c r="F65" s="125">
        <f t="shared" si="37"/>
        <v>3.5582278399723943</v>
      </c>
      <c r="G65" s="125">
        <f t="shared" si="37"/>
        <v>7.3978319516371016</v>
      </c>
      <c r="H65" s="125">
        <f t="shared" si="37"/>
        <v>6.6667295129101856</v>
      </c>
      <c r="I65" s="125">
        <f t="shared" si="37"/>
        <v>7.6939664695848897</v>
      </c>
      <c r="J65" s="125">
        <f t="shared" si="28"/>
        <v>11.352628659213115</v>
      </c>
      <c r="K65" s="125">
        <f t="shared" si="29"/>
        <v>8.1086588437310638</v>
      </c>
      <c r="L65" s="125">
        <f t="shared" si="30"/>
        <v>6.665167412041928</v>
      </c>
      <c r="M65" s="125">
        <f t="shared" si="31"/>
        <v>6.5472925870787346</v>
      </c>
      <c r="N65" s="125">
        <f t="shared" si="32"/>
        <v>3.760496113188716</v>
      </c>
      <c r="O65" s="125">
        <f t="shared" si="33"/>
        <v>8.4647684864673565</v>
      </c>
      <c r="P65" s="125">
        <f t="shared" si="34"/>
        <v>12.436021195442915</v>
      </c>
      <c r="Q65" s="125">
        <f t="shared" si="35"/>
        <v>1.7794789181044379</v>
      </c>
      <c r="R65" s="125">
        <f t="shared" si="36"/>
        <v>16.338524139942258</v>
      </c>
      <c r="S65" s="86"/>
      <c r="T65" s="86"/>
      <c r="U65" s="86"/>
      <c r="V65" s="86"/>
      <c r="W65" s="86"/>
      <c r="X65" s="126"/>
      <c r="Y65" s="86"/>
      <c r="Z65" s="86"/>
      <c r="AA65" s="86"/>
      <c r="AB65" s="86"/>
      <c r="AC65" s="86"/>
      <c r="AD65" s="86"/>
      <c r="AE65" s="86"/>
      <c r="AF65" s="86"/>
      <c r="AG65" s="86"/>
      <c r="AH65" s="86"/>
    </row>
    <row r="66" spans="1:34" s="62" customFormat="1" ht="15" x14ac:dyDescent="0.25">
      <c r="A66" s="109" t="s">
        <v>167</v>
      </c>
      <c r="B66" s="112"/>
      <c r="C66" s="125">
        <v>8.8000000000000007</v>
      </c>
      <c r="D66" s="125">
        <f t="shared" si="37"/>
        <v>4.4264831446968911</v>
      </c>
      <c r="E66" s="125">
        <f t="shared" si="37"/>
        <v>1.6796332271827419</v>
      </c>
      <c r="F66" s="125">
        <f t="shared" si="37"/>
        <v>3.1837739097443807</v>
      </c>
      <c r="G66" s="125">
        <f t="shared" si="37"/>
        <v>5.6722756781176997</v>
      </c>
      <c r="H66" s="125">
        <f t="shared" si="37"/>
        <v>2.7264581052921066</v>
      </c>
      <c r="I66" s="125">
        <f t="shared" si="37"/>
        <v>6.1568085649618798</v>
      </c>
      <c r="J66" s="125">
        <f t="shared" si="28"/>
        <v>11.21294915503308</v>
      </c>
      <c r="K66" s="125">
        <f t="shared" si="29"/>
        <v>8.0866631079979712</v>
      </c>
      <c r="L66" s="125">
        <f t="shared" si="30"/>
        <v>5.9818208304326381</v>
      </c>
      <c r="M66" s="125">
        <f t="shared" si="31"/>
        <v>4.8981426895804203</v>
      </c>
      <c r="N66" s="125">
        <f t="shared" si="32"/>
        <v>3.4005813619621517</v>
      </c>
      <c r="O66" s="125">
        <f t="shared" si="33"/>
        <v>6.145423263210481</v>
      </c>
      <c r="P66" s="125">
        <f t="shared" si="34"/>
        <v>11.907134068159419</v>
      </c>
      <c r="Q66" s="125">
        <f t="shared" si="35"/>
        <v>-1.4222216888608807</v>
      </c>
      <c r="R66" s="125">
        <f t="shared" si="36"/>
        <v>9.403128688337393</v>
      </c>
      <c r="S66" s="86"/>
      <c r="T66" s="86"/>
      <c r="U66" s="86"/>
      <c r="V66" s="86"/>
      <c r="W66" s="86"/>
      <c r="Y66" s="86"/>
      <c r="Z66" s="86"/>
      <c r="AA66" s="86"/>
      <c r="AB66" s="86"/>
      <c r="AC66" s="86"/>
      <c r="AD66" s="86"/>
      <c r="AE66" s="86"/>
      <c r="AF66" s="86"/>
      <c r="AG66" s="86"/>
      <c r="AH66" s="86"/>
    </row>
    <row r="67" spans="1:34" s="62" customFormat="1" ht="15" x14ac:dyDescent="0.25">
      <c r="A67" s="109" t="s">
        <v>168</v>
      </c>
      <c r="B67" s="112"/>
      <c r="C67" s="125">
        <v>13.9</v>
      </c>
      <c r="D67" s="125">
        <f t="shared" si="37"/>
        <v>-1.5416169125610391</v>
      </c>
      <c r="E67" s="125">
        <f t="shared" si="37"/>
        <v>2.1904854001216778</v>
      </c>
      <c r="F67" s="125">
        <f t="shared" si="37"/>
        <v>6.000134056978168</v>
      </c>
      <c r="G67" s="125">
        <f t="shared" si="37"/>
        <v>18.351629446745999</v>
      </c>
      <c r="H67" s="125">
        <f t="shared" si="37"/>
        <v>28.999805140518831</v>
      </c>
      <c r="I67" s="125">
        <f t="shared" si="37"/>
        <v>14.63196401989042</v>
      </c>
      <c r="J67" s="125">
        <f t="shared" si="28"/>
        <v>11.936464113350365</v>
      </c>
      <c r="K67" s="125">
        <f t="shared" si="29"/>
        <v>8.2000028480967657</v>
      </c>
      <c r="L67" s="125">
        <f t="shared" si="30"/>
        <v>9.4999999999999964</v>
      </c>
      <c r="M67" s="125">
        <f t="shared" si="31"/>
        <v>13.168905360289385</v>
      </c>
      <c r="N67" s="125">
        <f t="shared" si="32"/>
        <v>5.0999999999999934</v>
      </c>
      <c r="O67" s="125">
        <f t="shared" si="33"/>
        <v>16.9571596937949</v>
      </c>
      <c r="P67" s="125">
        <f t="shared" si="34"/>
        <v>14.193548387096788</v>
      </c>
      <c r="Q67" s="125">
        <f t="shared" si="35"/>
        <v>12.205917276019317</v>
      </c>
      <c r="R67" s="125">
        <f t="shared" si="36"/>
        <v>36.180721114315581</v>
      </c>
      <c r="S67" s="86"/>
      <c r="T67" s="86"/>
      <c r="U67" s="86"/>
      <c r="V67" s="86"/>
      <c r="W67" s="86"/>
      <c r="Y67" s="86"/>
      <c r="Z67" s="86"/>
      <c r="AA67" s="86"/>
      <c r="AB67" s="86"/>
      <c r="AC67" s="86"/>
      <c r="AD67" s="86"/>
      <c r="AE67" s="86"/>
      <c r="AF67" s="86"/>
      <c r="AG67" s="86"/>
      <c r="AH67" s="86"/>
    </row>
    <row r="68" spans="1:34" s="62" customFormat="1" ht="15" x14ac:dyDescent="0.25">
      <c r="A68" s="108" t="s">
        <v>169</v>
      </c>
      <c r="B68" s="121"/>
      <c r="C68" s="125">
        <v>5.9</v>
      </c>
      <c r="D68" s="125">
        <f t="shared" si="37"/>
        <v>6.0726287279986746</v>
      </c>
      <c r="E68" s="125">
        <f t="shared" si="37"/>
        <v>5.7849548308547716</v>
      </c>
      <c r="F68" s="125">
        <f t="shared" si="37"/>
        <v>11.697964277598881</v>
      </c>
      <c r="G68" s="125">
        <f t="shared" si="37"/>
        <v>7.7795335895040951</v>
      </c>
      <c r="H68" s="125">
        <f t="shared" si="37"/>
        <v>13.697201246799139</v>
      </c>
      <c r="I68" s="125">
        <f t="shared" si="37"/>
        <v>10.204316588175622</v>
      </c>
      <c r="J68" s="125">
        <f t="shared" si="28"/>
        <v>18.240806119584096</v>
      </c>
      <c r="K68" s="125">
        <f t="shared" si="29"/>
        <v>15.907359908050944</v>
      </c>
      <c r="L68" s="125">
        <f t="shared" si="30"/>
        <v>14.281728253985971</v>
      </c>
      <c r="M68" s="125">
        <f t="shared" si="31"/>
        <v>7.6991679621008391</v>
      </c>
      <c r="N68" s="125">
        <f t="shared" si="32"/>
        <v>10.103138402548485</v>
      </c>
      <c r="O68" s="125">
        <f t="shared" si="33"/>
        <v>10.13373589910862</v>
      </c>
      <c r="P68" s="125">
        <f t="shared" si="34"/>
        <v>31.384126127613101</v>
      </c>
      <c r="Q68" s="125">
        <f t="shared" si="35"/>
        <v>5.9846007201424412</v>
      </c>
      <c r="R68" s="125">
        <f t="shared" si="36"/>
        <v>-0.53003273806474516</v>
      </c>
      <c r="S68" s="86"/>
      <c r="T68" s="86"/>
      <c r="U68" s="86"/>
      <c r="V68" s="86"/>
      <c r="W68" s="86"/>
      <c r="Y68" s="86"/>
      <c r="Z68" s="86"/>
      <c r="AA68" s="86"/>
      <c r="AB68" s="86"/>
      <c r="AC68" s="86"/>
      <c r="AD68" s="86"/>
      <c r="AE68" s="86"/>
      <c r="AF68" s="86"/>
      <c r="AG68" s="86"/>
      <c r="AH68" s="86"/>
    </row>
    <row r="69" spans="1:34" s="62" customFormat="1" ht="15" x14ac:dyDescent="0.25">
      <c r="A69" s="109" t="s">
        <v>55</v>
      </c>
      <c r="B69" s="112"/>
      <c r="C69" s="125">
        <v>6</v>
      </c>
      <c r="D69" s="125">
        <f t="shared" si="37"/>
        <v>6.199994789851937</v>
      </c>
      <c r="E69" s="125">
        <f t="shared" si="37"/>
        <v>5.89905490938889</v>
      </c>
      <c r="F69" s="125">
        <f t="shared" si="37"/>
        <v>11.988105561692276</v>
      </c>
      <c r="G69" s="125">
        <f t="shared" si="37"/>
        <v>7.9324542692779998</v>
      </c>
      <c r="H69" s="125">
        <f t="shared" si="37"/>
        <v>13.981841189155976</v>
      </c>
      <c r="I69" s="125">
        <f t="shared" si="37"/>
        <v>10.382993703025534</v>
      </c>
      <c r="J69" s="125">
        <f t="shared" si="28"/>
        <v>18.692768956749294</v>
      </c>
      <c r="K69" s="125">
        <f t="shared" si="29"/>
        <v>16.039689882191976</v>
      </c>
      <c r="L69" s="125">
        <f t="shared" si="30"/>
        <v>14.500000000000002</v>
      </c>
      <c r="M69" s="125">
        <f t="shared" si="31"/>
        <v>7.8007466264633951</v>
      </c>
      <c r="N69" s="125">
        <f t="shared" si="32"/>
        <v>10.000366908382684</v>
      </c>
      <c r="O69" s="125">
        <f t="shared" si="33"/>
        <v>10.286963310761021</v>
      </c>
      <c r="P69" s="125">
        <f t="shared" si="34"/>
        <v>31.418106522380974</v>
      </c>
      <c r="Q69" s="125">
        <f t="shared" si="35"/>
        <v>5.9907378144950396</v>
      </c>
      <c r="R69" s="125">
        <f t="shared" si="36"/>
        <v>-0.57428937216151832</v>
      </c>
      <c r="S69" s="86"/>
      <c r="T69" s="86"/>
      <c r="U69" s="86"/>
      <c r="V69" s="86"/>
      <c r="W69" s="86"/>
      <c r="Y69" s="86"/>
      <c r="Z69" s="86"/>
      <c r="AA69" s="86"/>
      <c r="AB69" s="86"/>
      <c r="AC69" s="86"/>
      <c r="AD69" s="86"/>
      <c r="AE69" s="86"/>
      <c r="AF69" s="86"/>
      <c r="AG69" s="86"/>
      <c r="AH69" s="86"/>
    </row>
    <row r="70" spans="1:34" s="62" customFormat="1" ht="15" x14ac:dyDescent="0.25">
      <c r="A70" s="109" t="s">
        <v>170</v>
      </c>
      <c r="B70" s="112"/>
      <c r="C70" s="125">
        <v>1.5</v>
      </c>
      <c r="D70" s="125">
        <f t="shared" si="37"/>
        <v>2.0011970749733266</v>
      </c>
      <c r="E70" s="125">
        <f t="shared" si="37"/>
        <v>1.9874476987447709</v>
      </c>
      <c r="F70" s="125">
        <f t="shared" si="37"/>
        <v>1.6710444027517202</v>
      </c>
      <c r="G70" s="125">
        <f t="shared" si="37"/>
        <v>1.9585168417685761</v>
      </c>
      <c r="H70" s="125">
        <f t="shared" si="37"/>
        <v>2.2273703516011434</v>
      </c>
      <c r="I70" s="125">
        <f t="shared" si="37"/>
        <v>2.1764789197866063</v>
      </c>
      <c r="J70" s="125">
        <f t="shared" si="28"/>
        <v>-3.6965160336382974</v>
      </c>
      <c r="K70" s="125">
        <f t="shared" si="29"/>
        <v>7.9910757125035925</v>
      </c>
      <c r="L70" s="125">
        <f t="shared" si="30"/>
        <v>0.25102743529934468</v>
      </c>
      <c r="M70" s="125">
        <f t="shared" si="31"/>
        <v>0.24153518879630465</v>
      </c>
      <c r="N70" s="125">
        <f t="shared" si="32"/>
        <v>18.217329401408477</v>
      </c>
      <c r="O70" s="125">
        <f t="shared" si="33"/>
        <v>-1.1232471127526678</v>
      </c>
      <c r="P70" s="125">
        <f t="shared" si="34"/>
        <v>28.59964711844394</v>
      </c>
      <c r="Q70" s="125">
        <f t="shared" si="35"/>
        <v>5.4706828051997558</v>
      </c>
      <c r="R70" s="125">
        <f t="shared" si="36"/>
        <v>3.1942744538552281</v>
      </c>
      <c r="S70" s="86"/>
      <c r="T70" s="86"/>
      <c r="U70" s="86"/>
      <c r="V70" s="86"/>
      <c r="W70" s="86"/>
      <c r="Y70" s="86"/>
      <c r="Z70" s="86"/>
      <c r="AA70" s="86"/>
      <c r="AB70" s="86"/>
      <c r="AC70" s="86"/>
      <c r="AD70" s="86"/>
      <c r="AE70" s="86"/>
      <c r="AF70" s="86"/>
      <c r="AG70" s="86"/>
      <c r="AH70" s="86"/>
    </row>
    <row r="71" spans="1:34" s="62" customFormat="1" ht="15" x14ac:dyDescent="0.25">
      <c r="A71" s="108" t="s">
        <v>171</v>
      </c>
      <c r="B71" s="121"/>
      <c r="C71" s="125">
        <v>10</v>
      </c>
      <c r="D71" s="125">
        <f t="shared" si="37"/>
        <v>19.970877849230952</v>
      </c>
      <c r="E71" s="125">
        <f t="shared" si="37"/>
        <v>17.556993112776077</v>
      </c>
      <c r="F71" s="125">
        <f t="shared" si="37"/>
        <v>17.145562621061238</v>
      </c>
      <c r="G71" s="125">
        <f t="shared" si="37"/>
        <v>7.7030634952224064</v>
      </c>
      <c r="H71" s="125">
        <f t="shared" si="37"/>
        <v>19.474880913813998</v>
      </c>
      <c r="I71" s="125">
        <f t="shared" si="37"/>
        <v>8.3423425504361326</v>
      </c>
      <c r="J71" s="125">
        <f t="shared" si="28"/>
        <v>13.542962947513804</v>
      </c>
      <c r="K71" s="125">
        <f t="shared" si="29"/>
        <v>-3.2704035398519071</v>
      </c>
      <c r="L71" s="125">
        <f t="shared" si="30"/>
        <v>16.837736068812049</v>
      </c>
      <c r="M71" s="125">
        <f t="shared" si="31"/>
        <v>19.59511615389189</v>
      </c>
      <c r="N71" s="125">
        <f t="shared" si="32"/>
        <v>5.0878262753403902</v>
      </c>
      <c r="O71" s="125">
        <f t="shared" si="33"/>
        <v>30.282770989633146</v>
      </c>
      <c r="P71" s="125">
        <f t="shared" si="34"/>
        <v>27.493867645004233</v>
      </c>
      <c r="Q71" s="125">
        <f t="shared" si="35"/>
        <v>24.315512057265941</v>
      </c>
      <c r="R71" s="125">
        <f t="shared" si="36"/>
        <v>-8.1739399096982464</v>
      </c>
      <c r="S71" s="86"/>
      <c r="T71" s="86"/>
      <c r="U71" s="86"/>
      <c r="V71" s="86"/>
      <c r="W71" s="86"/>
      <c r="Y71" s="86"/>
      <c r="Z71" s="86"/>
      <c r="AA71" s="86"/>
      <c r="AB71" s="86"/>
      <c r="AC71" s="86"/>
      <c r="AD71" s="86"/>
      <c r="AE71" s="86"/>
      <c r="AF71" s="86"/>
      <c r="AG71" s="86"/>
      <c r="AH71" s="86"/>
    </row>
    <row r="72" spans="1:34" s="62" customFormat="1" ht="15" x14ac:dyDescent="0.25">
      <c r="A72" s="109" t="s">
        <v>172</v>
      </c>
      <c r="B72" s="112"/>
      <c r="C72" s="125">
        <v>-2.8</v>
      </c>
      <c r="D72" s="125">
        <f t="shared" si="37"/>
        <v>4.5796677209861913</v>
      </c>
      <c r="E72" s="125">
        <f t="shared" si="37"/>
        <v>28.10354820014167</v>
      </c>
      <c r="F72" s="125">
        <f t="shared" si="37"/>
        <v>25.014242722806458</v>
      </c>
      <c r="G72" s="125">
        <f t="shared" si="37"/>
        <v>9.1697941239545333</v>
      </c>
      <c r="H72" s="125">
        <f t="shared" si="37"/>
        <v>28.875473606926505</v>
      </c>
      <c r="I72" s="125">
        <f t="shared" si="37"/>
        <v>6.7035476424787355</v>
      </c>
      <c r="J72" s="125">
        <f t="shared" si="28"/>
        <v>12.170985376532627</v>
      </c>
      <c r="K72" s="125">
        <f t="shared" si="29"/>
        <v>-20.023798721714147</v>
      </c>
      <c r="L72" s="125">
        <f t="shared" si="30"/>
        <v>8.4311557458869757</v>
      </c>
      <c r="M72" s="125">
        <f t="shared" si="31"/>
        <v>32.319869636724775</v>
      </c>
      <c r="N72" s="125">
        <f t="shared" si="32"/>
        <v>5.4214575638509066</v>
      </c>
      <c r="O72" s="125">
        <f t="shared" si="33"/>
        <v>58.003187872172269</v>
      </c>
      <c r="P72" s="125">
        <f t="shared" si="34"/>
        <v>31.576266518909346</v>
      </c>
      <c r="Q72" s="125">
        <f t="shared" si="35"/>
        <v>48.724453923629895</v>
      </c>
      <c r="R72" s="125">
        <f t="shared" si="36"/>
        <v>-9.83829352420641</v>
      </c>
      <c r="S72" s="86"/>
      <c r="T72" s="86"/>
      <c r="U72" s="86"/>
      <c r="V72" s="86"/>
      <c r="W72" s="86"/>
      <c r="Y72" s="86"/>
      <c r="Z72" s="86"/>
      <c r="AA72" s="86"/>
      <c r="AB72" s="86"/>
      <c r="AC72" s="86"/>
      <c r="AD72" s="86"/>
      <c r="AE72" s="86"/>
      <c r="AF72" s="86"/>
      <c r="AG72" s="86"/>
      <c r="AH72" s="86"/>
    </row>
    <row r="73" spans="1:34" s="62" customFormat="1" ht="15" x14ac:dyDescent="0.25">
      <c r="A73" s="109" t="s">
        <v>173</v>
      </c>
      <c r="B73" s="112"/>
      <c r="C73" s="125">
        <v>28.1</v>
      </c>
      <c r="D73" s="125">
        <f t="shared" si="37"/>
        <v>33.927026614421663</v>
      </c>
      <c r="E73" s="125">
        <f t="shared" si="37"/>
        <v>10.08936849304658</v>
      </c>
      <c r="F73" s="125">
        <f t="shared" si="37"/>
        <v>10.662361096346572</v>
      </c>
      <c r="G73" s="125">
        <f t="shared" si="37"/>
        <v>6.3378594847073977</v>
      </c>
      <c r="H73" s="125">
        <f t="shared" si="37"/>
        <v>10.491971758610742</v>
      </c>
      <c r="I73" s="125">
        <f t="shared" si="37"/>
        <v>10.168868842084699</v>
      </c>
      <c r="J73" s="125">
        <f t="shared" si="28"/>
        <v>15.024008111291231</v>
      </c>
      <c r="K73" s="125">
        <f t="shared" si="29"/>
        <v>14.366249109723906</v>
      </c>
      <c r="L73" s="125">
        <f t="shared" si="30"/>
        <v>23.026381342570623</v>
      </c>
      <c r="M73" s="125">
        <f t="shared" si="31"/>
        <v>11.338892719441439</v>
      </c>
      <c r="N73" s="125">
        <f t="shared" si="32"/>
        <v>4.8305634710879675</v>
      </c>
      <c r="O73" s="125">
        <f t="shared" si="33"/>
        <v>8.7870963408043892</v>
      </c>
      <c r="P73" s="125">
        <f t="shared" si="34"/>
        <v>22.896013156784221</v>
      </c>
      <c r="Q73" s="125">
        <f t="shared" si="35"/>
        <v>-5.1170795956975823</v>
      </c>
      <c r="R73" s="125">
        <f t="shared" si="36"/>
        <v>-5.0282240266870453</v>
      </c>
      <c r="S73" s="86"/>
      <c r="T73" s="86"/>
      <c r="U73" s="86"/>
      <c r="V73" s="86"/>
      <c r="W73" s="86"/>
      <c r="Y73" s="86"/>
      <c r="Z73" s="86"/>
      <c r="AA73" s="86"/>
      <c r="AB73" s="86"/>
      <c r="AC73" s="86"/>
      <c r="AD73" s="86"/>
      <c r="AE73" s="86"/>
      <c r="AF73" s="86"/>
      <c r="AG73" s="86"/>
      <c r="AH73" s="86"/>
    </row>
    <row r="74" spans="1:34" s="62" customFormat="1" ht="15" x14ac:dyDescent="0.25">
      <c r="A74" s="108" t="s">
        <v>174</v>
      </c>
      <c r="B74" s="121"/>
      <c r="C74" s="125">
        <v>40.799999999999997</v>
      </c>
      <c r="D74" s="125">
        <f t="shared" si="37"/>
        <v>8.9415399111918212</v>
      </c>
      <c r="E74" s="125">
        <f t="shared" si="37"/>
        <v>0.13483815779817832</v>
      </c>
      <c r="F74" s="125">
        <f t="shared" si="37"/>
        <v>8.3559812252798515</v>
      </c>
      <c r="G74" s="125">
        <f t="shared" si="37"/>
        <v>9.0553128391418269</v>
      </c>
      <c r="H74" s="125">
        <f t="shared" si="37"/>
        <v>21.456456200550701</v>
      </c>
      <c r="I74" s="125">
        <f t="shared" si="37"/>
        <v>9.5554011119162396</v>
      </c>
      <c r="J74" s="125">
        <f t="shared" si="28"/>
        <v>34.216043916242064</v>
      </c>
      <c r="K74" s="125">
        <f t="shared" si="29"/>
        <v>10.34714300824402</v>
      </c>
      <c r="L74" s="125">
        <f t="shared" si="30"/>
        <v>16.338717777906453</v>
      </c>
      <c r="M74" s="125">
        <f t="shared" si="31"/>
        <v>12.270635380923434</v>
      </c>
      <c r="N74" s="125">
        <f t="shared" si="32"/>
        <v>2.6205165290845711</v>
      </c>
      <c r="O74" s="125">
        <f t="shared" si="33"/>
        <v>27.268971598837322</v>
      </c>
      <c r="P74" s="125">
        <f t="shared" si="34"/>
        <v>47.94175618829528</v>
      </c>
      <c r="Q74" s="125">
        <f t="shared" si="35"/>
        <v>7.6972643172128041</v>
      </c>
      <c r="R74" s="125">
        <f t="shared" si="36"/>
        <v>7.5431736987235043</v>
      </c>
      <c r="S74" s="86"/>
      <c r="T74" s="86"/>
      <c r="U74" s="86"/>
      <c r="V74" s="86"/>
      <c r="W74" s="86"/>
      <c r="Y74" s="86"/>
      <c r="Z74" s="86"/>
      <c r="AA74" s="86"/>
      <c r="AB74" s="86"/>
      <c r="AC74" s="86"/>
      <c r="AD74" s="86"/>
      <c r="AE74" s="86"/>
      <c r="AF74" s="86"/>
      <c r="AG74" s="86"/>
      <c r="AH74" s="86"/>
    </row>
    <row r="75" spans="1:34" s="62" customFormat="1" ht="15" x14ac:dyDescent="0.25">
      <c r="A75" s="109" t="s">
        <v>175</v>
      </c>
      <c r="B75" s="112"/>
      <c r="C75" s="125">
        <v>38.299999999999997</v>
      </c>
      <c r="D75" s="125">
        <f t="shared" si="37"/>
        <v>16.838614057861978</v>
      </c>
      <c r="E75" s="125">
        <f t="shared" si="37"/>
        <v>2.386186215406938</v>
      </c>
      <c r="F75" s="125">
        <f t="shared" si="37"/>
        <v>18.146426596627041</v>
      </c>
      <c r="G75" s="125">
        <f t="shared" si="37"/>
        <v>8.8906260740606378</v>
      </c>
      <c r="H75" s="125">
        <f t="shared" si="37"/>
        <v>25.271061904528459</v>
      </c>
      <c r="I75" s="125">
        <f t="shared" si="37"/>
        <v>8.198622242474606</v>
      </c>
      <c r="J75" s="125">
        <f t="shared" si="28"/>
        <v>33.242563109335997</v>
      </c>
      <c r="K75" s="125">
        <f t="shared" si="29"/>
        <v>17.017698864946308</v>
      </c>
      <c r="L75" s="125">
        <f t="shared" si="30"/>
        <v>22.70000000000001</v>
      </c>
      <c r="M75" s="125">
        <f t="shared" si="31"/>
        <v>16.521960173717432</v>
      </c>
      <c r="N75" s="125">
        <f t="shared" si="32"/>
        <v>-0.97944312257671751</v>
      </c>
      <c r="O75" s="125">
        <f t="shared" si="33"/>
        <v>30.703012492065483</v>
      </c>
      <c r="P75" s="125">
        <f t="shared" si="34"/>
        <v>50.9625111131053</v>
      </c>
      <c r="Q75" s="125">
        <f t="shared" si="35"/>
        <v>2.5570681952446161</v>
      </c>
      <c r="R75" s="125">
        <f t="shared" si="36"/>
        <v>5.9918455475575838</v>
      </c>
      <c r="S75" s="86"/>
      <c r="T75" s="86"/>
      <c r="U75" s="86"/>
      <c r="V75" s="86"/>
      <c r="W75" s="86"/>
      <c r="Y75" s="86"/>
      <c r="Z75" s="86"/>
      <c r="AA75" s="86"/>
      <c r="AB75" s="86"/>
      <c r="AC75" s="86"/>
      <c r="AD75" s="86"/>
      <c r="AE75" s="86"/>
      <c r="AF75" s="86"/>
      <c r="AG75" s="86"/>
      <c r="AH75" s="86"/>
    </row>
    <row r="76" spans="1:34" s="62" customFormat="1" ht="15.75" thickBot="1" x14ac:dyDescent="0.3">
      <c r="A76" s="111" t="s">
        <v>176</v>
      </c>
      <c r="B76" s="540"/>
      <c r="C76" s="127">
        <v>44.6</v>
      </c>
      <c r="D76" s="127">
        <f t="shared" si="37"/>
        <v>-2.4448471337199962</v>
      </c>
      <c r="E76" s="127">
        <f t="shared" si="37"/>
        <v>-3.7529138241287563</v>
      </c>
      <c r="F76" s="127">
        <f t="shared" si="37"/>
        <v>-9.6290888313996899</v>
      </c>
      <c r="G76" s="127">
        <f t="shared" si="37"/>
        <v>9.4508254302774866</v>
      </c>
      <c r="H76" s="127">
        <f t="shared" si="37"/>
        <v>12.342168728829472</v>
      </c>
      <c r="I76" s="127">
        <f t="shared" si="37"/>
        <v>13.170249567580928</v>
      </c>
      <c r="J76" s="127">
        <f t="shared" si="28"/>
        <v>36.695736678698545</v>
      </c>
      <c r="K76" s="127">
        <f t="shared" si="29"/>
        <v>-6.2151519488133573</v>
      </c>
      <c r="L76" s="127">
        <f t="shared" si="30"/>
        <v>-3.3683507928397804</v>
      </c>
      <c r="M76" s="127">
        <f t="shared" si="31"/>
        <v>-4.4528509867511223</v>
      </c>
      <c r="N76" s="127">
        <f t="shared" si="32"/>
        <v>19.890432213288566</v>
      </c>
      <c r="O76" s="127">
        <f t="shared" si="33"/>
        <v>13.662707854359969</v>
      </c>
      <c r="P76" s="127">
        <f t="shared" si="34"/>
        <v>34.178648310801066</v>
      </c>
      <c r="Q76" s="127">
        <f t="shared" si="35"/>
        <v>34.046402200192659</v>
      </c>
      <c r="R76" s="127">
        <f t="shared" si="36"/>
        <v>13.62733653650665</v>
      </c>
      <c r="S76" s="86"/>
      <c r="T76" s="86"/>
      <c r="U76" s="86"/>
      <c r="V76" s="86"/>
      <c r="W76" s="86"/>
      <c r="Y76" s="86"/>
      <c r="Z76" s="86"/>
      <c r="AA76" s="86"/>
      <c r="AB76" s="86"/>
      <c r="AC76" s="86"/>
      <c r="AD76" s="86"/>
      <c r="AE76" s="86"/>
      <c r="AF76" s="86"/>
      <c r="AG76" s="86"/>
      <c r="AH76" s="86"/>
    </row>
    <row r="79" spans="1:34" s="62" customFormat="1" ht="15" x14ac:dyDescent="0.25">
      <c r="A79" s="114" t="s">
        <v>184</v>
      </c>
      <c r="B79" s="114"/>
      <c r="C79" s="114"/>
      <c r="D79" s="114"/>
      <c r="E79" s="114"/>
      <c r="F79" s="114"/>
      <c r="G79" s="114"/>
      <c r="H79" s="114"/>
      <c r="I79" s="114"/>
      <c r="J79" s="114"/>
      <c r="K79" s="114"/>
    </row>
    <row r="80" spans="1:34" s="62" customFormat="1" ht="15.75" thickBot="1" x14ac:dyDescent="0.3">
      <c r="A80" s="63"/>
      <c r="B80" s="63"/>
      <c r="C80" s="63"/>
      <c r="D80" s="63"/>
      <c r="E80" s="63"/>
      <c r="F80" s="63"/>
      <c r="G80" s="63"/>
      <c r="H80" s="63"/>
      <c r="I80" s="63"/>
      <c r="K80" s="65"/>
      <c r="L80" s="65" t="s">
        <v>161</v>
      </c>
    </row>
    <row r="81" spans="1:18" s="62" customFormat="1" ht="15.75" thickBot="1" x14ac:dyDescent="0.3">
      <c r="A81" s="118" t="s">
        <v>185</v>
      </c>
      <c r="B81" s="366"/>
      <c r="C81" s="119">
        <v>1998</v>
      </c>
      <c r="D81" s="119">
        <v>1999</v>
      </c>
      <c r="E81" s="119">
        <v>2000</v>
      </c>
      <c r="F81" s="119">
        <v>2001</v>
      </c>
      <c r="G81" s="119">
        <v>2002</v>
      </c>
      <c r="H81" s="119">
        <v>2003</v>
      </c>
      <c r="I81" s="119">
        <v>2004</v>
      </c>
      <c r="J81" s="119">
        <v>2005</v>
      </c>
      <c r="K81" s="252">
        <v>2006</v>
      </c>
      <c r="L81" s="119">
        <v>2007</v>
      </c>
      <c r="M81" s="252">
        <v>2008</v>
      </c>
      <c r="N81" s="119">
        <v>2009</v>
      </c>
      <c r="O81" s="252">
        <v>2010</v>
      </c>
      <c r="P81" s="119">
        <v>2011</v>
      </c>
      <c r="Q81" s="252">
        <v>2012</v>
      </c>
      <c r="R81" s="119">
        <v>2013</v>
      </c>
    </row>
    <row r="82" spans="1:18" s="62" customFormat="1" ht="15" x14ac:dyDescent="0.25">
      <c r="A82" s="128"/>
      <c r="B82" s="129"/>
      <c r="C82" s="129"/>
      <c r="D82" s="129"/>
      <c r="E82" s="129"/>
      <c r="F82" s="129"/>
      <c r="G82" s="129"/>
      <c r="H82" s="129"/>
      <c r="I82" s="129"/>
      <c r="J82" s="129"/>
      <c r="K82" s="129"/>
      <c r="L82" s="70"/>
      <c r="M82" s="85"/>
    </row>
    <row r="83" spans="1:18" s="62" customFormat="1" ht="15" x14ac:dyDescent="0.25">
      <c r="A83" s="72" t="s">
        <v>186</v>
      </c>
      <c r="B83" s="136"/>
      <c r="C83" s="136"/>
      <c r="D83" s="73">
        <f>D84+D94</f>
        <v>1231517</v>
      </c>
      <c r="E83" s="73">
        <f t="shared" ref="E83:J83" si="38">E84+E94</f>
        <v>1333363</v>
      </c>
      <c r="F83" s="73">
        <f t="shared" si="38"/>
        <v>1547101</v>
      </c>
      <c r="G83" s="73">
        <f t="shared" si="38"/>
        <v>1750817</v>
      </c>
      <c r="H83" s="73">
        <f t="shared" si="38"/>
        <v>2288797</v>
      </c>
      <c r="I83" s="73">
        <f t="shared" si="38"/>
        <v>3095522</v>
      </c>
      <c r="J83" s="73">
        <f t="shared" si="38"/>
        <v>3959563</v>
      </c>
      <c r="K83" s="73">
        <f>K84+K94</f>
        <v>4883489</v>
      </c>
      <c r="L83" s="73">
        <f>L84+L94</f>
        <v>6119012.7657336853</v>
      </c>
      <c r="M83" s="73">
        <f t="shared" ref="M83:P83" si="39">M84+M94</f>
        <v>7544314</v>
      </c>
      <c r="N83" s="73">
        <f t="shared" si="39"/>
        <v>8020969</v>
      </c>
      <c r="O83" s="73">
        <f t="shared" si="39"/>
        <v>10177693</v>
      </c>
      <c r="P83" s="73">
        <f t="shared" si="39"/>
        <v>13534065</v>
      </c>
    </row>
    <row r="84" spans="1:18" s="62" customFormat="1" ht="15" x14ac:dyDescent="0.25">
      <c r="A84" s="72" t="s">
        <v>187</v>
      </c>
      <c r="B84" s="136"/>
      <c r="C84" s="136"/>
      <c r="D84" s="131">
        <f t="shared" ref="D84:J84" si="40">D85+D89</f>
        <v>860602</v>
      </c>
      <c r="E84" s="131">
        <f t="shared" si="40"/>
        <v>896120</v>
      </c>
      <c r="F84" s="131">
        <f t="shared" si="40"/>
        <v>980101</v>
      </c>
      <c r="G84" s="131">
        <f t="shared" si="40"/>
        <v>1156929</v>
      </c>
      <c r="H84" s="131">
        <f t="shared" si="40"/>
        <v>1598236</v>
      </c>
      <c r="I84" s="131">
        <f t="shared" si="40"/>
        <v>2249203</v>
      </c>
      <c r="J84" s="131">
        <f t="shared" si="40"/>
        <v>2883296</v>
      </c>
      <c r="K84" s="131">
        <f>K85+K89</f>
        <v>3152974</v>
      </c>
      <c r="L84" s="131">
        <f t="shared" ref="L84:P84" si="41">L85+L89</f>
        <v>3828840.7657336853</v>
      </c>
      <c r="M84" s="131">
        <f t="shared" si="41"/>
        <v>4820645</v>
      </c>
      <c r="N84" s="131">
        <f t="shared" si="41"/>
        <v>5459437</v>
      </c>
      <c r="O84" s="131">
        <f t="shared" si="41"/>
        <v>6553111</v>
      </c>
      <c r="P84" s="131">
        <f t="shared" si="41"/>
        <v>7822997</v>
      </c>
    </row>
    <row r="85" spans="1:18" s="62" customFormat="1" ht="15" x14ac:dyDescent="0.25">
      <c r="A85" s="72" t="s">
        <v>188</v>
      </c>
      <c r="B85" s="136"/>
      <c r="C85" s="136"/>
      <c r="D85" s="73">
        <f>D88+D87+D86</f>
        <v>601759</v>
      </c>
      <c r="E85" s="73">
        <f t="shared" ref="E85:P85" si="42">E88+E87+E86</f>
        <v>660467</v>
      </c>
      <c r="F85" s="73">
        <f t="shared" si="42"/>
        <v>693422</v>
      </c>
      <c r="G85" s="73">
        <f t="shared" si="42"/>
        <v>703009</v>
      </c>
      <c r="H85" s="73">
        <f t="shared" si="42"/>
        <v>1032053</v>
      </c>
      <c r="I85" s="73">
        <f t="shared" si="42"/>
        <v>1440216</v>
      </c>
      <c r="J85" s="73">
        <f t="shared" si="42"/>
        <v>1849109</v>
      </c>
      <c r="K85" s="73">
        <f t="shared" si="42"/>
        <v>2011176</v>
      </c>
      <c r="L85" s="73">
        <f t="shared" si="42"/>
        <v>2467984.7657336853</v>
      </c>
      <c r="M85" s="73">
        <f t="shared" si="42"/>
        <v>3210929</v>
      </c>
      <c r="N85" s="73">
        <f t="shared" si="42"/>
        <v>3538708</v>
      </c>
      <c r="O85" s="73">
        <f t="shared" si="42"/>
        <v>4260122</v>
      </c>
      <c r="P85" s="73">
        <f t="shared" si="42"/>
        <v>5131110</v>
      </c>
    </row>
    <row r="86" spans="1:18" s="62" customFormat="1" ht="15" x14ac:dyDescent="0.25">
      <c r="A86" s="75" t="s">
        <v>189</v>
      </c>
      <c r="B86" s="85"/>
      <c r="C86" s="85"/>
      <c r="D86" s="76">
        <v>164667</v>
      </c>
      <c r="E86" s="132">
        <v>136893</v>
      </c>
      <c r="F86" s="132">
        <v>145210</v>
      </c>
      <c r="G86" s="132">
        <v>150406</v>
      </c>
      <c r="H86" s="132">
        <v>173687</v>
      </c>
      <c r="I86" s="132">
        <v>266443</v>
      </c>
      <c r="J86" s="132">
        <v>349977</v>
      </c>
      <c r="K86" s="132">
        <v>390219</v>
      </c>
      <c r="L86" s="84">
        <v>484652.47984369693</v>
      </c>
      <c r="M86" s="516">
        <v>851583</v>
      </c>
      <c r="N86" s="516">
        <v>709531</v>
      </c>
      <c r="O86" s="516">
        <v>865628</v>
      </c>
      <c r="P86" s="517">
        <v>1056066</v>
      </c>
    </row>
    <row r="87" spans="1:18" s="62" customFormat="1" ht="15" x14ac:dyDescent="0.25">
      <c r="A87" s="75" t="s">
        <v>190</v>
      </c>
      <c r="B87" s="85"/>
      <c r="C87" s="85"/>
      <c r="D87" s="76">
        <v>289891</v>
      </c>
      <c r="E87" s="132">
        <v>288500</v>
      </c>
      <c r="F87" s="132">
        <v>302994</v>
      </c>
      <c r="G87" s="132">
        <v>292190</v>
      </c>
      <c r="H87" s="132">
        <v>348806</v>
      </c>
      <c r="I87" s="132">
        <v>467417</v>
      </c>
      <c r="J87" s="132">
        <v>552039</v>
      </c>
      <c r="K87" s="132">
        <v>585329</v>
      </c>
      <c r="L87" s="84">
        <v>701224.24016032473</v>
      </c>
      <c r="M87" s="516">
        <v>820432</v>
      </c>
      <c r="N87" s="516">
        <v>951702</v>
      </c>
      <c r="O87" s="516">
        <v>1103974</v>
      </c>
      <c r="P87" s="517">
        <v>1280610</v>
      </c>
    </row>
    <row r="88" spans="1:18" s="62" customFormat="1" ht="15" x14ac:dyDescent="0.25">
      <c r="A88" s="75" t="s">
        <v>191</v>
      </c>
      <c r="B88" s="85"/>
      <c r="C88" s="85"/>
      <c r="D88" s="76">
        <v>147201</v>
      </c>
      <c r="E88" s="132">
        <v>235074</v>
      </c>
      <c r="F88" s="132">
        <v>245218</v>
      </c>
      <c r="G88" s="132">
        <v>260413</v>
      </c>
      <c r="H88" s="132">
        <v>509560</v>
      </c>
      <c r="I88" s="132">
        <v>706356</v>
      </c>
      <c r="J88" s="132">
        <v>947093</v>
      </c>
      <c r="K88" s="132">
        <v>1035628</v>
      </c>
      <c r="L88" s="84">
        <v>1282108.0457296635</v>
      </c>
      <c r="M88" s="516">
        <v>1538914</v>
      </c>
      <c r="N88" s="516">
        <v>1877475</v>
      </c>
      <c r="O88" s="516">
        <v>2290520</v>
      </c>
      <c r="P88" s="517">
        <v>2794434</v>
      </c>
    </row>
    <row r="89" spans="1:18" s="62" customFormat="1" ht="15" x14ac:dyDescent="0.25">
      <c r="A89" s="72" t="s">
        <v>192</v>
      </c>
      <c r="B89" s="136"/>
      <c r="C89" s="136"/>
      <c r="D89" s="73">
        <f t="shared" ref="D89:L89" si="43">D90+D91+D92+D93</f>
        <v>258843</v>
      </c>
      <c r="E89" s="73">
        <f t="shared" si="43"/>
        <v>235653</v>
      </c>
      <c r="F89" s="73">
        <f t="shared" si="43"/>
        <v>286679</v>
      </c>
      <c r="G89" s="73">
        <f t="shared" si="43"/>
        <v>453920</v>
      </c>
      <c r="H89" s="73">
        <f t="shared" si="43"/>
        <v>566183</v>
      </c>
      <c r="I89" s="73">
        <f t="shared" si="43"/>
        <v>808987</v>
      </c>
      <c r="J89" s="73">
        <f t="shared" si="43"/>
        <v>1034187</v>
      </c>
      <c r="K89" s="73">
        <f t="shared" si="43"/>
        <v>1141798</v>
      </c>
      <c r="L89" s="73">
        <f t="shared" si="43"/>
        <v>1360856</v>
      </c>
      <c r="M89" s="514">
        <v>1609716</v>
      </c>
      <c r="N89" s="514">
        <v>1920729</v>
      </c>
      <c r="O89" s="514">
        <v>2292989</v>
      </c>
      <c r="P89" s="515">
        <v>2691887</v>
      </c>
    </row>
    <row r="90" spans="1:18" s="62" customFormat="1" ht="15" x14ac:dyDescent="0.25">
      <c r="A90" s="75" t="s">
        <v>193</v>
      </c>
      <c r="B90" s="85"/>
      <c r="C90" s="85"/>
      <c r="D90" s="76">
        <v>18993</v>
      </c>
      <c r="E90" s="132">
        <v>10969</v>
      </c>
      <c r="F90" s="132">
        <v>17013</v>
      </c>
      <c r="G90" s="132">
        <v>74044</v>
      </c>
      <c r="H90" s="132">
        <v>42408</v>
      </c>
      <c r="I90" s="132">
        <v>110434</v>
      </c>
      <c r="J90" s="132">
        <v>119416</v>
      </c>
      <c r="K90" s="132">
        <v>125256</v>
      </c>
      <c r="L90" s="84">
        <v>137170</v>
      </c>
      <c r="M90" s="516">
        <v>149515</v>
      </c>
      <c r="N90" s="516">
        <v>182409</v>
      </c>
      <c r="O90" s="516">
        <v>222539</v>
      </c>
      <c r="P90" s="520">
        <v>271479</v>
      </c>
    </row>
    <row r="91" spans="1:18" s="62" customFormat="1" ht="15" x14ac:dyDescent="0.25">
      <c r="A91" s="75" t="s">
        <v>194</v>
      </c>
      <c r="B91" s="85"/>
      <c r="C91" s="85"/>
      <c r="D91" s="76">
        <v>22285</v>
      </c>
      <c r="E91" s="132">
        <v>24946</v>
      </c>
      <c r="F91" s="132">
        <v>30600</v>
      </c>
      <c r="G91" s="132">
        <v>34259</v>
      </c>
      <c r="H91" s="132">
        <v>35589</v>
      </c>
      <c r="I91" s="132">
        <v>36920</v>
      </c>
      <c r="J91" s="132">
        <v>39580</v>
      </c>
      <c r="K91" s="132">
        <v>43239</v>
      </c>
      <c r="L91" s="84">
        <v>51455</v>
      </c>
      <c r="M91" s="516">
        <v>61797</v>
      </c>
      <c r="N91" s="516">
        <v>75393</v>
      </c>
      <c r="O91" s="516">
        <v>91979</v>
      </c>
      <c r="P91" s="517">
        <v>65314</v>
      </c>
    </row>
    <row r="92" spans="1:18" s="62" customFormat="1" ht="15" x14ac:dyDescent="0.25">
      <c r="A92" s="75" t="s">
        <v>195</v>
      </c>
      <c r="B92" s="85"/>
      <c r="C92" s="85"/>
      <c r="D92" s="76">
        <v>129147</v>
      </c>
      <c r="E92" s="132">
        <v>103114</v>
      </c>
      <c r="F92" s="132">
        <v>117056</v>
      </c>
      <c r="G92" s="132">
        <v>223668</v>
      </c>
      <c r="H92" s="132">
        <v>400163</v>
      </c>
      <c r="I92" s="132">
        <v>479828</v>
      </c>
      <c r="J92" s="132">
        <v>629842</v>
      </c>
      <c r="K92" s="132">
        <v>701791</v>
      </c>
      <c r="L92" s="84">
        <v>827411</v>
      </c>
      <c r="M92" s="516">
        <v>984619</v>
      </c>
      <c r="N92" s="516">
        <v>1153974</v>
      </c>
      <c r="O92" s="516">
        <v>1352457</v>
      </c>
      <c r="P92" s="517">
        <v>1585080</v>
      </c>
    </row>
    <row r="93" spans="1:18" s="62" customFormat="1" ht="15" x14ac:dyDescent="0.25">
      <c r="A93" s="75" t="s">
        <v>196</v>
      </c>
      <c r="B93" s="85"/>
      <c r="C93" s="85"/>
      <c r="D93" s="76">
        <v>88418</v>
      </c>
      <c r="E93" s="132">
        <v>96624</v>
      </c>
      <c r="F93" s="132">
        <v>122010</v>
      </c>
      <c r="G93" s="132">
        <v>121949</v>
      </c>
      <c r="H93" s="132">
        <v>88023</v>
      </c>
      <c r="I93" s="132">
        <v>181805</v>
      </c>
      <c r="J93" s="132">
        <v>245349</v>
      </c>
      <c r="K93" s="132">
        <v>271512</v>
      </c>
      <c r="L93" s="84">
        <v>344820</v>
      </c>
      <c r="M93" s="516">
        <v>413784</v>
      </c>
      <c r="N93" s="516">
        <v>508954</v>
      </c>
      <c r="O93" s="516">
        <v>626014</v>
      </c>
      <c r="P93" s="517">
        <v>769997</v>
      </c>
    </row>
    <row r="94" spans="1:18" s="62" customFormat="1" ht="15" x14ac:dyDescent="0.25">
      <c r="A94" s="72" t="s">
        <v>197</v>
      </c>
      <c r="B94" s="136"/>
      <c r="C94" s="136"/>
      <c r="D94" s="131">
        <f t="shared" ref="D94:J94" si="44">D95+D96</f>
        <v>370915</v>
      </c>
      <c r="E94" s="131">
        <f t="shared" si="44"/>
        <v>437243</v>
      </c>
      <c r="F94" s="131">
        <f t="shared" si="44"/>
        <v>567000</v>
      </c>
      <c r="G94" s="131">
        <f t="shared" si="44"/>
        <v>593888</v>
      </c>
      <c r="H94" s="131">
        <f t="shared" si="44"/>
        <v>690561</v>
      </c>
      <c r="I94" s="131">
        <f t="shared" si="44"/>
        <v>846319</v>
      </c>
      <c r="J94" s="131">
        <f t="shared" si="44"/>
        <v>1076267</v>
      </c>
      <c r="K94" s="131">
        <f>K95+K96</f>
        <v>1730515</v>
      </c>
      <c r="L94" s="131">
        <f>L95+L96</f>
        <v>2290172</v>
      </c>
      <c r="M94" s="514">
        <v>2723669</v>
      </c>
      <c r="N94" s="514">
        <v>2561532</v>
      </c>
      <c r="O94" s="514">
        <v>3624582</v>
      </c>
      <c r="P94" s="515">
        <v>5711068</v>
      </c>
    </row>
    <row r="95" spans="1:18" s="62" customFormat="1" ht="15" x14ac:dyDescent="0.25">
      <c r="A95" s="75" t="s">
        <v>198</v>
      </c>
      <c r="B95" s="85"/>
      <c r="C95" s="85"/>
      <c r="D95" s="76">
        <v>132122</v>
      </c>
      <c r="E95" s="132">
        <v>145094</v>
      </c>
      <c r="F95" s="132">
        <v>166000</v>
      </c>
      <c r="G95" s="132">
        <v>219771</v>
      </c>
      <c r="H95" s="132">
        <v>252439</v>
      </c>
      <c r="I95" s="132">
        <v>293604</v>
      </c>
      <c r="J95" s="132">
        <v>410919</v>
      </c>
      <c r="K95" s="132">
        <v>629648</v>
      </c>
      <c r="L95" s="84">
        <v>817913</v>
      </c>
      <c r="M95" s="516">
        <v>956958</v>
      </c>
      <c r="N95" s="516">
        <v>972933</v>
      </c>
      <c r="O95" s="516">
        <v>1613525</v>
      </c>
      <c r="P95" s="520">
        <v>1713512</v>
      </c>
    </row>
    <row r="96" spans="1:18" s="62" customFormat="1" ht="15" x14ac:dyDescent="0.25">
      <c r="A96" s="75" t="s">
        <v>199</v>
      </c>
      <c r="B96" s="85"/>
      <c r="C96" s="85"/>
      <c r="D96" s="76">
        <v>238793</v>
      </c>
      <c r="E96" s="132">
        <v>292149</v>
      </c>
      <c r="F96" s="132">
        <v>401000</v>
      </c>
      <c r="G96" s="132">
        <v>374117</v>
      </c>
      <c r="H96" s="132">
        <v>438122</v>
      </c>
      <c r="I96" s="132">
        <v>552715</v>
      </c>
      <c r="J96" s="132">
        <v>665348</v>
      </c>
      <c r="K96" s="132">
        <v>1100867</v>
      </c>
      <c r="L96" s="84">
        <v>1472259</v>
      </c>
      <c r="M96" s="516">
        <v>1766711</v>
      </c>
      <c r="N96" s="516">
        <v>1588599</v>
      </c>
      <c r="O96" s="516">
        <v>2011057</v>
      </c>
      <c r="P96" s="517">
        <v>3997556</v>
      </c>
    </row>
    <row r="97" spans="1:16" s="62" customFormat="1" ht="15" x14ac:dyDescent="0.25">
      <c r="A97" s="72" t="s">
        <v>200</v>
      </c>
      <c r="B97" s="136"/>
      <c r="C97" s="136"/>
      <c r="D97" s="73">
        <v>35276</v>
      </c>
      <c r="E97" s="131">
        <v>37576</v>
      </c>
      <c r="F97" s="131">
        <v>40643</v>
      </c>
      <c r="G97" s="131">
        <v>44596</v>
      </c>
      <c r="H97" s="131">
        <v>43387</v>
      </c>
      <c r="I97" s="131">
        <v>57845</v>
      </c>
      <c r="J97" s="131">
        <v>64405</v>
      </c>
      <c r="K97" s="131">
        <v>74292</v>
      </c>
      <c r="L97" s="150">
        <v>90728</v>
      </c>
      <c r="M97" s="514">
        <v>106943</v>
      </c>
      <c r="N97" s="514">
        <v>152252</v>
      </c>
      <c r="O97" s="514">
        <v>164843</v>
      </c>
      <c r="P97" s="515">
        <v>228000</v>
      </c>
    </row>
    <row r="98" spans="1:16" s="62" customFormat="1" ht="15.75" thickBot="1" x14ac:dyDescent="0.3">
      <c r="A98" s="93" t="s">
        <v>201</v>
      </c>
      <c r="B98" s="94"/>
      <c r="C98" s="94"/>
      <c r="D98" s="134">
        <f>D83+D97</f>
        <v>1266793</v>
      </c>
      <c r="E98" s="134">
        <f t="shared" ref="E98:J98" si="45">E83+E97</f>
        <v>1370939</v>
      </c>
      <c r="F98" s="134">
        <f t="shared" si="45"/>
        <v>1587744</v>
      </c>
      <c r="G98" s="134">
        <f t="shared" si="45"/>
        <v>1795413</v>
      </c>
      <c r="H98" s="134">
        <f t="shared" si="45"/>
        <v>2332184</v>
      </c>
      <c r="I98" s="134">
        <f t="shared" si="45"/>
        <v>3153367</v>
      </c>
      <c r="J98" s="134">
        <f t="shared" si="45"/>
        <v>4023968</v>
      </c>
      <c r="K98" s="134">
        <f>K83+K97</f>
        <v>4957781</v>
      </c>
      <c r="L98" s="134">
        <f>L83+L97</f>
        <v>6209740.7657336853</v>
      </c>
      <c r="M98" s="518">
        <v>7381257</v>
      </c>
      <c r="N98" s="518">
        <v>8173221</v>
      </c>
      <c r="O98" s="518">
        <v>10342536</v>
      </c>
      <c r="P98" s="519">
        <v>13762066</v>
      </c>
    </row>
    <row r="99" spans="1:16" s="62" customFormat="1" ht="15" x14ac:dyDescent="0.25">
      <c r="A99" s="136"/>
      <c r="B99" s="136"/>
      <c r="C99" s="136"/>
      <c r="D99" s="73"/>
      <c r="E99" s="73"/>
      <c r="F99" s="73"/>
      <c r="G99" s="73"/>
      <c r="H99" s="73"/>
      <c r="I99" s="73"/>
      <c r="J99" s="73"/>
      <c r="K99" s="73"/>
      <c r="L99" s="73"/>
      <c r="P99" s="62">
        <v>0.28970062933746432</v>
      </c>
    </row>
    <row r="100" spans="1:16" s="62" customFormat="1" ht="15" x14ac:dyDescent="0.25">
      <c r="A100" s="114" t="s">
        <v>202</v>
      </c>
      <c r="B100" s="114"/>
      <c r="C100" s="114"/>
      <c r="D100" s="114"/>
      <c r="E100" s="114"/>
      <c r="F100" s="114"/>
      <c r="G100" s="114"/>
      <c r="H100" s="114"/>
      <c r="I100" s="114"/>
      <c r="J100" s="114"/>
      <c r="K100" s="114"/>
      <c r="L100" s="114"/>
    </row>
    <row r="101" spans="1:16" s="62" customFormat="1" ht="15.75" thickBot="1" x14ac:dyDescent="0.3">
      <c r="A101" s="61"/>
      <c r="B101" s="61"/>
      <c r="C101" s="61"/>
      <c r="D101" s="61"/>
      <c r="E101" s="61"/>
      <c r="F101" s="61"/>
      <c r="G101" s="61"/>
      <c r="H101" s="61"/>
      <c r="I101" s="61"/>
      <c r="J101" s="61"/>
      <c r="K101" s="61"/>
      <c r="L101" s="65" t="s">
        <v>178</v>
      </c>
    </row>
    <row r="102" spans="1:16" s="62" customFormat="1" ht="15.75" thickBot="1" x14ac:dyDescent="0.3">
      <c r="A102" s="66" t="s">
        <v>203</v>
      </c>
      <c r="B102" s="364"/>
      <c r="C102" s="67">
        <v>1998</v>
      </c>
      <c r="D102" s="67">
        <v>1999</v>
      </c>
      <c r="E102" s="67">
        <v>2000</v>
      </c>
      <c r="F102" s="67">
        <v>2001</v>
      </c>
      <c r="G102" s="67">
        <v>2002</v>
      </c>
      <c r="H102" s="67">
        <v>2003</v>
      </c>
      <c r="I102" s="67">
        <v>2004</v>
      </c>
      <c r="J102" s="67">
        <v>2005</v>
      </c>
      <c r="K102" s="67">
        <v>2006</v>
      </c>
      <c r="L102" s="67">
        <v>2007</v>
      </c>
      <c r="M102" s="67">
        <v>2008</v>
      </c>
      <c r="N102" s="67">
        <v>2009</v>
      </c>
      <c r="O102" s="67">
        <v>2010</v>
      </c>
      <c r="P102" s="67">
        <v>2011</v>
      </c>
    </row>
    <row r="103" spans="1:16" s="62" customFormat="1" ht="17.25" customHeight="1" x14ac:dyDescent="0.25">
      <c r="A103" s="118" t="s">
        <v>204</v>
      </c>
      <c r="B103" s="366"/>
      <c r="C103" s="366"/>
      <c r="D103" s="137">
        <f t="shared" ref="D103:P103" si="46">D83/D$38</f>
        <v>1646.1930223232189</v>
      </c>
      <c r="E103" s="137">
        <f t="shared" si="46"/>
        <v>1665.2466591732234</v>
      </c>
      <c r="F103" s="137">
        <f t="shared" si="46"/>
        <v>1765.3057351245691</v>
      </c>
      <c r="G103" s="137">
        <f t="shared" si="46"/>
        <v>1811.1275473259541</v>
      </c>
      <c r="H103" s="137">
        <f t="shared" si="46"/>
        <v>2205.0067437379575</v>
      </c>
      <c r="I103" s="137">
        <f t="shared" si="46"/>
        <v>2842.5362718089991</v>
      </c>
      <c r="J103" s="137">
        <f t="shared" si="46"/>
        <v>3525.8797862867318</v>
      </c>
      <c r="K103" s="137">
        <f t="shared" si="46"/>
        <v>3900.8618899273101</v>
      </c>
      <c r="L103" s="137">
        <f t="shared" si="46"/>
        <v>4501.9222820289033</v>
      </c>
      <c r="M103" s="137">
        <f t="shared" si="46"/>
        <v>6303.2253404791027</v>
      </c>
      <c r="N103" s="137">
        <f t="shared" si="46"/>
        <v>6141.6400990698976</v>
      </c>
      <c r="O103" s="137">
        <f t="shared" si="46"/>
        <v>7292.2614226241167</v>
      </c>
      <c r="P103" s="137">
        <f t="shared" si="46"/>
        <v>8689.9800893354368</v>
      </c>
    </row>
    <row r="104" spans="1:16" s="62" customFormat="1" ht="15" x14ac:dyDescent="0.25">
      <c r="A104" s="122" t="s">
        <v>187</v>
      </c>
      <c r="B104" s="367"/>
      <c r="C104" s="367"/>
      <c r="D104" s="84">
        <f>D84/D$38</f>
        <v>1150.3836385509958</v>
      </c>
      <c r="E104" s="84">
        <f t="shared" ref="E104:P118" si="47">E84/E$38</f>
        <v>1119.1707256150867</v>
      </c>
      <c r="F104" s="84">
        <f t="shared" si="47"/>
        <v>1118.3354650416006</v>
      </c>
      <c r="G104" s="84">
        <f t="shared" si="47"/>
        <v>1196.7818351091341</v>
      </c>
      <c r="H104" s="84">
        <f t="shared" si="47"/>
        <v>1539.7263969171483</v>
      </c>
      <c r="I104" s="84">
        <f t="shared" si="47"/>
        <v>2065.3838383838383</v>
      </c>
      <c r="J104" s="84">
        <f t="shared" si="47"/>
        <v>2567.4942119323241</v>
      </c>
      <c r="K104" s="84">
        <f t="shared" si="47"/>
        <v>2518.5510024762361</v>
      </c>
      <c r="L104" s="84">
        <f t="shared" si="47"/>
        <v>2816.9811401807574</v>
      </c>
      <c r="M104" s="84">
        <f t="shared" si="47"/>
        <v>4027.6175834481282</v>
      </c>
      <c r="N104" s="84">
        <f t="shared" si="47"/>
        <v>4180.2801129820928</v>
      </c>
      <c r="O104" s="84">
        <f t="shared" si="47"/>
        <v>4695.2682246825234</v>
      </c>
      <c r="P104" s="84">
        <f t="shared" si="47"/>
        <v>5023.0058869179993</v>
      </c>
    </row>
    <row r="105" spans="1:16" s="62" customFormat="1" ht="15" x14ac:dyDescent="0.25">
      <c r="A105" s="138" t="s">
        <v>188</v>
      </c>
      <c r="B105" s="63"/>
      <c r="C105" s="63"/>
      <c r="D105" s="84">
        <f t="shared" ref="D105:D118" si="48">D85/D$38</f>
        <v>804.38310386311991</v>
      </c>
      <c r="E105" s="84">
        <f t="shared" si="47"/>
        <v>824.86199575371541</v>
      </c>
      <c r="F105" s="84">
        <f t="shared" si="47"/>
        <v>791.22296053169703</v>
      </c>
      <c r="G105" s="84">
        <f t="shared" si="47"/>
        <v>727.22561290989961</v>
      </c>
      <c r="H105" s="84">
        <f t="shared" si="47"/>
        <v>994.27071290944127</v>
      </c>
      <c r="I105" s="84">
        <f t="shared" si="47"/>
        <v>1322.5123966942149</v>
      </c>
      <c r="J105" s="84">
        <f t="shared" si="47"/>
        <v>1646.5796972395369</v>
      </c>
      <c r="K105" s="84">
        <f t="shared" si="47"/>
        <v>1606.4989216391084</v>
      </c>
      <c r="L105" s="84">
        <f t="shared" si="47"/>
        <v>1815.7627764373788</v>
      </c>
      <c r="M105" s="84">
        <f t="shared" si="47"/>
        <v>2682.7103218767438</v>
      </c>
      <c r="N105" s="84">
        <f t="shared" si="47"/>
        <v>2709.5817165855447</v>
      </c>
      <c r="O105" s="84">
        <f t="shared" si="47"/>
        <v>3052.3541352910033</v>
      </c>
      <c r="P105" s="84">
        <f t="shared" si="47"/>
        <v>3294.5935856071292</v>
      </c>
    </row>
    <row r="106" spans="1:16" s="62" customFormat="1" ht="15" x14ac:dyDescent="0.25">
      <c r="A106" s="138" t="s">
        <v>189</v>
      </c>
      <c r="B106" s="63"/>
      <c r="C106" s="63"/>
      <c r="D106" s="84">
        <f t="shared" si="48"/>
        <v>220.11362117363987</v>
      </c>
      <c r="E106" s="84">
        <f t="shared" si="47"/>
        <v>170.96665417759459</v>
      </c>
      <c r="F106" s="84">
        <f t="shared" si="47"/>
        <v>165.69056952160116</v>
      </c>
      <c r="G106" s="84">
        <f t="shared" si="47"/>
        <v>155.58704872245784</v>
      </c>
      <c r="H106" s="84">
        <f t="shared" si="47"/>
        <v>167.32851637764932</v>
      </c>
      <c r="I106" s="84">
        <f t="shared" si="47"/>
        <v>244.66758494031222</v>
      </c>
      <c r="J106" s="84">
        <f t="shared" si="47"/>
        <v>311.64470169189673</v>
      </c>
      <c r="K106" s="84">
        <f t="shared" si="47"/>
        <v>311.70141385094655</v>
      </c>
      <c r="L106" s="84">
        <f t="shared" si="47"/>
        <v>356.5718656884174</v>
      </c>
      <c r="M106" s="84">
        <f t="shared" si="47"/>
        <v>711.49206476840914</v>
      </c>
      <c r="N106" s="84">
        <f t="shared" si="47"/>
        <v>543.2864833579539</v>
      </c>
      <c r="O106" s="84">
        <f t="shared" si="47"/>
        <v>620.21773212684536</v>
      </c>
      <c r="P106" s="84">
        <f t="shared" si="47"/>
        <v>678.08101357752582</v>
      </c>
    </row>
    <row r="107" spans="1:16" s="62" customFormat="1" ht="15" x14ac:dyDescent="0.25">
      <c r="A107" s="138" t="s">
        <v>190</v>
      </c>
      <c r="B107" s="63"/>
      <c r="C107" s="63"/>
      <c r="D107" s="84">
        <f t="shared" si="48"/>
        <v>387.5030076193022</v>
      </c>
      <c r="E107" s="84">
        <f t="shared" si="47"/>
        <v>360.30972898713622</v>
      </c>
      <c r="F107" s="84">
        <f t="shared" si="47"/>
        <v>345.7285890890987</v>
      </c>
      <c r="G107" s="84">
        <f t="shared" si="47"/>
        <v>302.25509465190856</v>
      </c>
      <c r="H107" s="84">
        <f t="shared" si="47"/>
        <v>336.03660886319847</v>
      </c>
      <c r="I107" s="84">
        <f t="shared" si="47"/>
        <v>429.21671258034894</v>
      </c>
      <c r="J107" s="84">
        <f t="shared" si="47"/>
        <v>491.57524487978628</v>
      </c>
      <c r="K107" s="84">
        <f t="shared" si="47"/>
        <v>467.55252016934259</v>
      </c>
      <c r="L107" s="84">
        <f t="shared" si="47"/>
        <v>515.9095351385555</v>
      </c>
      <c r="M107" s="84">
        <f t="shared" si="47"/>
        <v>685.46560661976036</v>
      </c>
      <c r="N107" s="84">
        <f t="shared" si="47"/>
        <v>728.71633908135288</v>
      </c>
      <c r="O107" s="84">
        <f t="shared" si="47"/>
        <v>790.9913387817885</v>
      </c>
      <c r="P107" s="84">
        <f t="shared" si="47"/>
        <v>822.25668357613574</v>
      </c>
    </row>
    <row r="108" spans="1:16" s="62" customFormat="1" ht="15" x14ac:dyDescent="0.25">
      <c r="A108" s="138" t="s">
        <v>191</v>
      </c>
      <c r="B108" s="63"/>
      <c r="C108" s="63"/>
      <c r="D108" s="84">
        <f t="shared" si="48"/>
        <v>196.76647507017779</v>
      </c>
      <c r="E108" s="84">
        <f t="shared" si="47"/>
        <v>293.58561258898465</v>
      </c>
      <c r="F108" s="84">
        <f t="shared" si="47"/>
        <v>279.80380192099716</v>
      </c>
      <c r="G108" s="84">
        <f t="shared" si="47"/>
        <v>269.38346953553327</v>
      </c>
      <c r="H108" s="84">
        <f t="shared" si="47"/>
        <v>490.90558766859345</v>
      </c>
      <c r="I108" s="84">
        <f t="shared" si="47"/>
        <v>648.62809917355366</v>
      </c>
      <c r="J108" s="84">
        <f t="shared" si="47"/>
        <v>843.35975066785397</v>
      </c>
      <c r="K108" s="84">
        <f t="shared" si="47"/>
        <v>827.24498761881932</v>
      </c>
      <c r="L108" s="84">
        <f t="shared" si="47"/>
        <v>943.28137561040569</v>
      </c>
      <c r="M108" s="84">
        <f t="shared" si="47"/>
        <v>1285.7526504885743</v>
      </c>
      <c r="N108" s="84">
        <f t="shared" si="47"/>
        <v>1437.5788941462381</v>
      </c>
      <c r="O108" s="84">
        <f t="shared" si="47"/>
        <v>1641.1450643823696</v>
      </c>
      <c r="P108" s="84">
        <f t="shared" si="47"/>
        <v>1794.2558884534676</v>
      </c>
    </row>
    <row r="109" spans="1:16" s="62" customFormat="1" ht="15" x14ac:dyDescent="0.25">
      <c r="A109" s="138" t="s">
        <v>192</v>
      </c>
      <c r="B109" s="63"/>
      <c r="C109" s="63"/>
      <c r="D109" s="84">
        <f t="shared" si="48"/>
        <v>346.00053468787593</v>
      </c>
      <c r="E109" s="84">
        <f t="shared" si="47"/>
        <v>294.30872986137126</v>
      </c>
      <c r="F109" s="84">
        <f t="shared" si="47"/>
        <v>327.1125045099036</v>
      </c>
      <c r="G109" s="84">
        <f t="shared" si="47"/>
        <v>469.55622219923447</v>
      </c>
      <c r="H109" s="84">
        <f t="shared" si="47"/>
        <v>545.45568400770708</v>
      </c>
      <c r="I109" s="84">
        <f t="shared" si="47"/>
        <v>742.87144168962345</v>
      </c>
      <c r="J109" s="84">
        <f t="shared" si="47"/>
        <v>920.91451469278718</v>
      </c>
      <c r="K109" s="84">
        <f t="shared" si="47"/>
        <v>912.05208083712751</v>
      </c>
      <c r="L109" s="84">
        <f t="shared" si="47"/>
        <v>1001.2183637433784</v>
      </c>
      <c r="M109" s="84">
        <f t="shared" si="47"/>
        <v>1344.9072615713847</v>
      </c>
      <c r="N109" s="84">
        <f t="shared" si="47"/>
        <v>1470.6983963965483</v>
      </c>
      <c r="O109" s="84">
        <f t="shared" si="47"/>
        <v>1642.9140893915203</v>
      </c>
      <c r="P109" s="84">
        <f t="shared" si="47"/>
        <v>1728.4123013108699</v>
      </c>
    </row>
    <row r="110" spans="1:16" s="62" customFormat="1" ht="15" x14ac:dyDescent="0.25">
      <c r="A110" s="138" t="s">
        <v>193</v>
      </c>
      <c r="B110" s="63"/>
      <c r="C110" s="63"/>
      <c r="D110" s="84">
        <f t="shared" si="48"/>
        <v>25.388317069910439</v>
      </c>
      <c r="E110" s="84">
        <f t="shared" si="47"/>
        <v>13.699263144748345</v>
      </c>
      <c r="F110" s="84">
        <f t="shared" si="47"/>
        <v>19.41253122561119</v>
      </c>
      <c r="G110" s="84">
        <f t="shared" si="47"/>
        <v>76.594600186200466</v>
      </c>
      <c r="H110" s="84">
        <f t="shared" si="47"/>
        <v>40.855491329479769</v>
      </c>
      <c r="I110" s="84">
        <f t="shared" si="47"/>
        <v>101.40863177226814</v>
      </c>
      <c r="J110" s="84">
        <f t="shared" si="47"/>
        <v>106.3365983971505</v>
      </c>
      <c r="K110" s="84">
        <f t="shared" si="47"/>
        <v>100.05271986580397</v>
      </c>
      <c r="L110" s="84">
        <f t="shared" si="47"/>
        <v>100.91965862271924</v>
      </c>
      <c r="M110" s="84">
        <f t="shared" si="47"/>
        <v>124.91881127717285</v>
      </c>
      <c r="N110" s="84">
        <f t="shared" si="47"/>
        <v>139.67021052334712</v>
      </c>
      <c r="O110" s="84">
        <f t="shared" si="47"/>
        <v>159.44797752588414</v>
      </c>
      <c r="P110" s="84">
        <f t="shared" si="47"/>
        <v>174.31179063146917</v>
      </c>
    </row>
    <row r="111" spans="1:16" s="62" customFormat="1" ht="15" x14ac:dyDescent="0.25">
      <c r="A111" s="138" t="s">
        <v>194</v>
      </c>
      <c r="B111" s="63"/>
      <c r="C111" s="63"/>
      <c r="D111" s="84">
        <f t="shared" si="48"/>
        <v>29.788798288998795</v>
      </c>
      <c r="E111" s="84">
        <f t="shared" si="47"/>
        <v>31.155239165729984</v>
      </c>
      <c r="F111" s="84">
        <f t="shared" si="47"/>
        <v>34.915855845747508</v>
      </c>
      <c r="G111" s="84">
        <f t="shared" si="47"/>
        <v>35.439122788869348</v>
      </c>
      <c r="H111" s="84">
        <f t="shared" si="47"/>
        <v>34.286127167630056</v>
      </c>
      <c r="I111" s="84">
        <f t="shared" si="47"/>
        <v>33.902662993572086</v>
      </c>
      <c r="J111" s="84">
        <f t="shared" si="47"/>
        <v>35.244879786286731</v>
      </c>
      <c r="K111" s="84">
        <f t="shared" si="47"/>
        <v>34.538701174215191</v>
      </c>
      <c r="L111" s="84">
        <f t="shared" si="47"/>
        <v>37.856827545615069</v>
      </c>
      <c r="M111" s="84">
        <f t="shared" si="47"/>
        <v>51.630992077687523</v>
      </c>
      <c r="N111" s="84">
        <f t="shared" si="47"/>
        <v>57.728270984363213</v>
      </c>
      <c r="O111" s="84">
        <f t="shared" si="47"/>
        <v>65.902450918056147</v>
      </c>
      <c r="P111" s="84">
        <f t="shared" si="47"/>
        <v>41.93694647948378</v>
      </c>
    </row>
    <row r="112" spans="1:16" s="62" customFormat="1" ht="15" x14ac:dyDescent="0.25">
      <c r="A112" s="138" t="s">
        <v>195</v>
      </c>
      <c r="B112" s="63"/>
      <c r="C112" s="63"/>
      <c r="D112" s="84">
        <f t="shared" si="48"/>
        <v>172.63333778906562</v>
      </c>
      <c r="E112" s="84">
        <f t="shared" si="47"/>
        <v>128.77981765954789</v>
      </c>
      <c r="F112" s="84">
        <f t="shared" si="47"/>
        <v>133.56570006143204</v>
      </c>
      <c r="G112" s="84">
        <f t="shared" si="47"/>
        <v>231.37271128581773</v>
      </c>
      <c r="H112" s="84">
        <f t="shared" si="47"/>
        <v>385.51348747591521</v>
      </c>
      <c r="I112" s="84">
        <f t="shared" si="47"/>
        <v>440.61340679522499</v>
      </c>
      <c r="J112" s="84">
        <f t="shared" si="47"/>
        <v>560.85663401602847</v>
      </c>
      <c r="K112" s="84">
        <f t="shared" si="47"/>
        <v>560.58071730968925</v>
      </c>
      <c r="L112" s="84">
        <f t="shared" si="47"/>
        <v>608.7485285462036</v>
      </c>
      <c r="M112" s="84">
        <f t="shared" si="47"/>
        <v>822.64277859023275</v>
      </c>
      <c r="N112" s="84">
        <f t="shared" si="47"/>
        <v>883.59560941877305</v>
      </c>
      <c r="O112" s="84">
        <f t="shared" si="47"/>
        <v>969.02805054720602</v>
      </c>
      <c r="P112" s="84">
        <f t="shared" si="47"/>
        <v>1017.7514028493149</v>
      </c>
    </row>
    <row r="113" spans="1:18" s="62" customFormat="1" ht="15" x14ac:dyDescent="0.25">
      <c r="A113" s="138" t="s">
        <v>196</v>
      </c>
      <c r="B113" s="63"/>
      <c r="C113" s="63"/>
      <c r="D113" s="84">
        <f t="shared" si="48"/>
        <v>118.19008153990107</v>
      </c>
      <c r="E113" s="84">
        <f t="shared" si="47"/>
        <v>120.67440989134506</v>
      </c>
      <c r="F113" s="84">
        <f t="shared" si="47"/>
        <v>139.21841737711287</v>
      </c>
      <c r="G113" s="84">
        <f t="shared" si="47"/>
        <v>126.14978793834695</v>
      </c>
      <c r="H113" s="84">
        <f t="shared" si="47"/>
        <v>84.800578034682076</v>
      </c>
      <c r="I113" s="84">
        <f t="shared" si="47"/>
        <v>166.9467401285583</v>
      </c>
      <c r="J113" s="84">
        <f t="shared" si="47"/>
        <v>218.47640249332147</v>
      </c>
      <c r="K113" s="84">
        <f t="shared" si="47"/>
        <v>216.8799424874191</v>
      </c>
      <c r="L113" s="84">
        <f t="shared" si="47"/>
        <v>253.69334902884049</v>
      </c>
      <c r="M113" s="84">
        <f t="shared" si="47"/>
        <v>345.7138441327873</v>
      </c>
      <c r="N113" s="84">
        <f t="shared" si="47"/>
        <v>389.70507116808716</v>
      </c>
      <c r="O113" s="84">
        <f t="shared" si="47"/>
        <v>448.53561040037403</v>
      </c>
      <c r="P113" s="84">
        <f t="shared" si="47"/>
        <v>494.40124595589111</v>
      </c>
    </row>
    <row r="114" spans="1:18" s="62" customFormat="1" ht="15" x14ac:dyDescent="0.25">
      <c r="A114" s="138" t="s">
        <v>197</v>
      </c>
      <c r="B114" s="63"/>
      <c r="C114" s="63"/>
      <c r="D114" s="84">
        <f t="shared" si="48"/>
        <v>495.80938377222293</v>
      </c>
      <c r="E114" s="84">
        <f t="shared" si="47"/>
        <v>546.07593355813663</v>
      </c>
      <c r="F114" s="84">
        <f t="shared" si="47"/>
        <v>646.97027008296857</v>
      </c>
      <c r="G114" s="84">
        <f t="shared" si="47"/>
        <v>614.34571221682006</v>
      </c>
      <c r="H114" s="84">
        <f t="shared" si="47"/>
        <v>665.2803468208092</v>
      </c>
      <c r="I114" s="84">
        <f t="shared" si="47"/>
        <v>777.15243342516067</v>
      </c>
      <c r="J114" s="84">
        <f t="shared" si="47"/>
        <v>958.38557435440782</v>
      </c>
      <c r="K114" s="84">
        <f t="shared" si="47"/>
        <v>1382.3108874510742</v>
      </c>
      <c r="L114" s="84">
        <f t="shared" si="47"/>
        <v>1684.9411418481459</v>
      </c>
      <c r="M114" s="84">
        <f t="shared" si="47"/>
        <v>2275.607757030974</v>
      </c>
      <c r="N114" s="84">
        <f t="shared" si="47"/>
        <v>1961.3599860878048</v>
      </c>
      <c r="O114" s="84">
        <f t="shared" si="47"/>
        <v>2596.9931979415933</v>
      </c>
      <c r="P114" s="84">
        <f t="shared" si="47"/>
        <v>3666.974202417437</v>
      </c>
    </row>
    <row r="115" spans="1:18" s="62" customFormat="1" ht="15" x14ac:dyDescent="0.25">
      <c r="A115" s="138" t="s">
        <v>198</v>
      </c>
      <c r="B115" s="63"/>
      <c r="C115" s="63"/>
      <c r="D115" s="84">
        <f t="shared" si="48"/>
        <v>176.61007886646169</v>
      </c>
      <c r="E115" s="84">
        <f t="shared" si="47"/>
        <v>181.20894217559635</v>
      </c>
      <c r="F115" s="84">
        <f t="shared" si="47"/>
        <v>189.41281275797667</v>
      </c>
      <c r="G115" s="84">
        <f t="shared" si="47"/>
        <v>227.34147098375917</v>
      </c>
      <c r="H115" s="84">
        <f t="shared" si="47"/>
        <v>243.19749518304431</v>
      </c>
      <c r="I115" s="84">
        <f t="shared" si="47"/>
        <v>269.60881542699724</v>
      </c>
      <c r="J115" s="84">
        <f t="shared" si="47"/>
        <v>365.91184327693679</v>
      </c>
      <c r="K115" s="84">
        <f t="shared" si="47"/>
        <v>502.95391005671377</v>
      </c>
      <c r="L115" s="84">
        <f t="shared" si="47"/>
        <v>601.7605944673337</v>
      </c>
      <c r="M115" s="84">
        <f t="shared" si="47"/>
        <v>799.53219277116523</v>
      </c>
      <c r="N115" s="84">
        <f t="shared" si="47"/>
        <v>744.97287378973454</v>
      </c>
      <c r="O115" s="84">
        <f t="shared" si="47"/>
        <v>1156.081846046995</v>
      </c>
      <c r="P115" s="84">
        <f t="shared" si="47"/>
        <v>1100.2152836444441</v>
      </c>
    </row>
    <row r="116" spans="1:18" s="62" customFormat="1" ht="15" x14ac:dyDescent="0.25">
      <c r="A116" s="138" t="s">
        <v>199</v>
      </c>
      <c r="B116" s="63"/>
      <c r="C116" s="63"/>
      <c r="D116" s="84">
        <f t="shared" si="48"/>
        <v>319.19930490576127</v>
      </c>
      <c r="E116" s="84">
        <f t="shared" si="47"/>
        <v>364.86699138254028</v>
      </c>
      <c r="F116" s="84">
        <f t="shared" si="47"/>
        <v>457.55745732499184</v>
      </c>
      <c r="G116" s="84">
        <f t="shared" si="47"/>
        <v>387.0042412330609</v>
      </c>
      <c r="H116" s="84">
        <f t="shared" si="47"/>
        <v>422.08285163776492</v>
      </c>
      <c r="I116" s="84">
        <f t="shared" si="47"/>
        <v>507.54361799816343</v>
      </c>
      <c r="J116" s="84">
        <f t="shared" si="47"/>
        <v>592.47373107747103</v>
      </c>
      <c r="K116" s="84">
        <f t="shared" si="47"/>
        <v>879.35697739436046</v>
      </c>
      <c r="L116" s="84">
        <f t="shared" si="47"/>
        <v>1083.1805473808122</v>
      </c>
      <c r="M116" s="84">
        <f t="shared" si="47"/>
        <v>1476.0755642598087</v>
      </c>
      <c r="N116" s="84">
        <f t="shared" si="47"/>
        <v>1216.3871122980704</v>
      </c>
      <c r="O116" s="84">
        <f t="shared" si="47"/>
        <v>1440.9113518945983</v>
      </c>
      <c r="P116" s="84">
        <f t="shared" si="47"/>
        <v>2566.7589187729932</v>
      </c>
    </row>
    <row r="117" spans="1:18" s="62" customFormat="1" ht="15" x14ac:dyDescent="0.25">
      <c r="A117" s="122" t="s">
        <v>200</v>
      </c>
      <c r="B117" s="367"/>
      <c r="C117" s="367"/>
      <c r="D117" s="84">
        <f t="shared" si="48"/>
        <v>47.154123780243282</v>
      </c>
      <c r="E117" s="84">
        <f t="shared" si="47"/>
        <v>46.928937179967527</v>
      </c>
      <c r="F117" s="84">
        <f t="shared" si="47"/>
        <v>46.375331017605099</v>
      </c>
      <c r="G117" s="84">
        <f t="shared" si="47"/>
        <v>46.132202337850416</v>
      </c>
      <c r="H117" s="84">
        <f t="shared" si="47"/>
        <v>41.798651252408476</v>
      </c>
      <c r="I117" s="84">
        <f t="shared" si="47"/>
        <v>53.117539026629935</v>
      </c>
      <c r="J117" s="84">
        <f t="shared" si="47"/>
        <v>57.350845948352628</v>
      </c>
      <c r="K117" s="84">
        <f t="shared" si="47"/>
        <v>59.343398034986812</v>
      </c>
      <c r="L117" s="84">
        <f t="shared" si="47"/>
        <v>66.751030017657442</v>
      </c>
      <c r="M117" s="84">
        <f t="shared" si="47"/>
        <v>89.350181817307259</v>
      </c>
      <c r="N117" s="84">
        <f t="shared" si="47"/>
        <v>116.57905526920626</v>
      </c>
      <c r="O117" s="84">
        <f t="shared" si="47"/>
        <v>118.1091087822778</v>
      </c>
      <c r="P117" s="84">
        <f t="shared" si="47"/>
        <v>146.39470553514258</v>
      </c>
    </row>
    <row r="118" spans="1:18" s="62" customFormat="1" ht="15" x14ac:dyDescent="0.25">
      <c r="A118" s="122" t="s">
        <v>201</v>
      </c>
      <c r="B118" s="367"/>
      <c r="C118" s="367"/>
      <c r="D118" s="84">
        <f t="shared" si="48"/>
        <v>1693.3471461034621</v>
      </c>
      <c r="E118" s="84">
        <f t="shared" si="47"/>
        <v>1712.1755963531909</v>
      </c>
      <c r="F118" s="84">
        <f t="shared" si="47"/>
        <v>1811.6810661421741</v>
      </c>
      <c r="G118" s="84">
        <f t="shared" si="47"/>
        <v>1857.2597496638045</v>
      </c>
      <c r="H118" s="84">
        <f t="shared" si="47"/>
        <v>2246.805394990366</v>
      </c>
      <c r="I118" s="84">
        <f t="shared" si="47"/>
        <v>2895.653810835629</v>
      </c>
      <c r="J118" s="84">
        <f t="shared" si="47"/>
        <v>3583.2306322350846</v>
      </c>
      <c r="K118" s="84">
        <f t="shared" si="47"/>
        <v>3960.205287962297</v>
      </c>
      <c r="L118" s="84">
        <f t="shared" si="47"/>
        <v>4568.6733120465606</v>
      </c>
      <c r="M118" s="84">
        <f t="shared" si="47"/>
        <v>6166.9922761683511</v>
      </c>
      <c r="N118" s="84">
        <f t="shared" si="47"/>
        <v>6258.2191543391045</v>
      </c>
      <c r="O118" s="84">
        <f t="shared" si="47"/>
        <v>7410.3705314063945</v>
      </c>
      <c r="P118" s="84">
        <f t="shared" si="47"/>
        <v>8836.3754369526214</v>
      </c>
    </row>
    <row r="119" spans="1:18" s="62" customFormat="1" ht="15" x14ac:dyDescent="0.25">
      <c r="A119" s="138"/>
      <c r="B119" s="63"/>
      <c r="C119" s="63"/>
      <c r="D119" s="84"/>
      <c r="E119" s="63"/>
      <c r="F119" s="63"/>
      <c r="G119" s="63"/>
      <c r="H119" s="63"/>
      <c r="I119" s="63"/>
      <c r="J119" s="63"/>
      <c r="K119" s="63"/>
      <c r="L119" s="85"/>
      <c r="M119" s="85"/>
      <c r="N119" s="85"/>
      <c r="O119" s="85"/>
      <c r="P119" s="85"/>
    </row>
    <row r="120" spans="1:18" s="62" customFormat="1" ht="15.75" thickBot="1" x14ac:dyDescent="0.3">
      <c r="A120" s="139" t="s">
        <v>205</v>
      </c>
      <c r="B120" s="368"/>
      <c r="C120" s="368"/>
      <c r="D120" s="94">
        <v>748.1</v>
      </c>
      <c r="E120" s="94">
        <v>800.7</v>
      </c>
      <c r="F120" s="140">
        <v>876.39266627705626</v>
      </c>
      <c r="G120" s="140">
        <v>966.7</v>
      </c>
      <c r="H120" s="140">
        <v>1038</v>
      </c>
      <c r="I120" s="140">
        <v>1089</v>
      </c>
      <c r="J120" s="140">
        <v>1123</v>
      </c>
      <c r="K120" s="140">
        <v>1251.9000000000001</v>
      </c>
      <c r="L120" s="95">
        <v>1359.2</v>
      </c>
      <c r="M120" s="85"/>
      <c r="N120" s="85"/>
      <c r="O120" s="85"/>
      <c r="P120" s="85"/>
    </row>
    <row r="121" spans="1:18" s="62" customFormat="1" ht="15" x14ac:dyDescent="0.25">
      <c r="A121" s="141"/>
      <c r="B121" s="141"/>
      <c r="C121" s="141"/>
      <c r="D121" s="141"/>
      <c r="E121" s="141"/>
      <c r="F121" s="142"/>
      <c r="G121" s="142"/>
      <c r="H121" s="142"/>
      <c r="I121" s="142"/>
      <c r="J121" s="142"/>
      <c r="K121" s="142"/>
      <c r="L121" s="86"/>
    </row>
    <row r="122" spans="1:18" s="62" customFormat="1" ht="15" x14ac:dyDescent="0.25">
      <c r="A122" s="141"/>
      <c r="B122" s="141"/>
      <c r="C122" s="141"/>
      <c r="D122" s="141"/>
      <c r="E122" s="141"/>
      <c r="F122" s="141"/>
      <c r="G122" s="141"/>
      <c r="H122" s="141"/>
      <c r="I122" s="141"/>
      <c r="J122" s="96"/>
      <c r="K122" s="86"/>
      <c r="L122" s="96"/>
    </row>
    <row r="123" spans="1:18" s="62" customFormat="1" ht="15" x14ac:dyDescent="0.25">
      <c r="A123" s="114" t="s">
        <v>206</v>
      </c>
      <c r="B123" s="114"/>
      <c r="C123" s="114"/>
      <c r="D123" s="114"/>
      <c r="E123" s="114"/>
      <c r="F123" s="114"/>
      <c r="G123" s="114"/>
      <c r="H123" s="114"/>
      <c r="I123" s="114"/>
      <c r="J123" s="114"/>
      <c r="K123" s="114"/>
      <c r="L123" s="114"/>
    </row>
    <row r="124" spans="1:18" s="62" customFormat="1" ht="15.75" thickBot="1" x14ac:dyDescent="0.3">
      <c r="A124" s="63"/>
      <c r="B124" s="63"/>
      <c r="C124" s="63"/>
      <c r="D124" s="63"/>
      <c r="E124" s="63"/>
      <c r="F124" s="63"/>
      <c r="G124" s="63"/>
      <c r="H124" s="63"/>
      <c r="I124" s="63"/>
      <c r="J124" s="65"/>
      <c r="L124" s="102" t="s">
        <v>161</v>
      </c>
    </row>
    <row r="125" spans="1:18" s="62" customFormat="1" ht="15.75" thickBot="1" x14ac:dyDescent="0.3">
      <c r="A125" s="66" t="s">
        <v>185</v>
      </c>
      <c r="B125" s="364"/>
      <c r="C125" s="67">
        <v>1998</v>
      </c>
      <c r="D125" s="67">
        <v>1999</v>
      </c>
      <c r="E125" s="67">
        <v>2000</v>
      </c>
      <c r="F125" s="67">
        <v>2001</v>
      </c>
      <c r="G125" s="67">
        <v>2002</v>
      </c>
      <c r="H125" s="67">
        <v>2003</v>
      </c>
      <c r="I125" s="67">
        <v>2004</v>
      </c>
      <c r="J125" s="67">
        <v>2005</v>
      </c>
      <c r="K125" s="67">
        <v>2006</v>
      </c>
      <c r="L125" s="67">
        <v>2007</v>
      </c>
      <c r="M125" s="67">
        <v>2008</v>
      </c>
      <c r="N125" s="67">
        <v>2009</v>
      </c>
      <c r="O125" s="67">
        <v>2010</v>
      </c>
      <c r="P125" s="67">
        <v>2011</v>
      </c>
      <c r="Q125" s="586" t="s">
        <v>485</v>
      </c>
      <c r="R125" s="587" t="s">
        <v>486</v>
      </c>
    </row>
    <row r="126" spans="1:18" s="62" customFormat="1" ht="15" x14ac:dyDescent="0.25">
      <c r="A126" s="90" t="s">
        <v>204</v>
      </c>
      <c r="B126" s="365"/>
      <c r="C126" s="365"/>
      <c r="D126" s="143">
        <v>1304531</v>
      </c>
      <c r="E126" s="143">
        <v>1381486</v>
      </c>
      <c r="F126" s="143">
        <v>1547100</v>
      </c>
      <c r="G126" s="143">
        <v>1669823</v>
      </c>
      <c r="H126" s="143">
        <v>1903295</v>
      </c>
      <c r="I126" s="143">
        <v>2100914</v>
      </c>
      <c r="J126" s="143">
        <v>2493633</v>
      </c>
      <c r="K126" s="143">
        <f>K127+K137</f>
        <v>2893605</v>
      </c>
      <c r="L126" s="588">
        <f t="shared" ref="L126:P126" si="49">L127+L137</f>
        <v>3313176.89973622</v>
      </c>
      <c r="M126" s="588">
        <f t="shared" si="49"/>
        <v>3571629.0902931252</v>
      </c>
      <c r="N126" s="588">
        <f t="shared" si="49"/>
        <v>3928805.1039289688</v>
      </c>
      <c r="O126" s="588">
        <f t="shared" si="49"/>
        <v>4332959.8435214479</v>
      </c>
      <c r="P126" s="588">
        <f t="shared" si="49"/>
        <v>5694293.7827310078</v>
      </c>
      <c r="Q126" s="589">
        <f>Q127+Q137</f>
        <v>5960046.0105329044</v>
      </c>
      <c r="R126" s="590">
        <f>R127+R137</f>
        <v>6000763.1950811455</v>
      </c>
    </row>
    <row r="127" spans="1:18" s="62" customFormat="1" ht="15" x14ac:dyDescent="0.25">
      <c r="A127" s="72" t="s">
        <v>187</v>
      </c>
      <c r="B127" s="136"/>
      <c r="C127" s="136"/>
      <c r="D127" s="73">
        <f t="shared" ref="D127:J127" si="50">D128+D132</f>
        <v>905897</v>
      </c>
      <c r="E127" s="73">
        <f t="shared" si="50"/>
        <v>914206</v>
      </c>
      <c r="F127" s="73">
        <f t="shared" si="50"/>
        <v>980101</v>
      </c>
      <c r="G127" s="73">
        <f t="shared" si="50"/>
        <v>1090022</v>
      </c>
      <c r="H127" s="73">
        <f t="shared" si="50"/>
        <v>1270396</v>
      </c>
      <c r="I127" s="73">
        <f t="shared" si="50"/>
        <v>1389837</v>
      </c>
      <c r="J127" s="73">
        <f t="shared" si="50"/>
        <v>1542767</v>
      </c>
      <c r="K127" s="73">
        <f>K128+K132</f>
        <v>1729932</v>
      </c>
      <c r="L127" s="589">
        <f t="shared" ref="L127:P127" si="51">L128+L132</f>
        <v>1928766.4813203635</v>
      </c>
      <c r="M127" s="589">
        <f t="shared" si="51"/>
        <v>2043709.4701995861</v>
      </c>
      <c r="N127" s="589">
        <f t="shared" si="51"/>
        <v>2163319.714812302</v>
      </c>
      <c r="O127" s="589">
        <f t="shared" si="51"/>
        <v>2289413.8095246619</v>
      </c>
      <c r="P127" s="589">
        <f t="shared" si="51"/>
        <v>2423738.0218141275</v>
      </c>
      <c r="Q127" s="589">
        <f>Q128+Q132</f>
        <v>2671182.4374343259</v>
      </c>
      <c r="R127" s="591">
        <f>R128+R132</f>
        <v>2861017.418551147</v>
      </c>
    </row>
    <row r="128" spans="1:18" s="62" customFormat="1" ht="15" x14ac:dyDescent="0.25">
      <c r="A128" s="72" t="s">
        <v>188</v>
      </c>
      <c r="B128" s="136"/>
      <c r="C128" s="136"/>
      <c r="D128" s="73">
        <f>SUM(D129:D131)</f>
        <v>633435</v>
      </c>
      <c r="E128" s="73">
        <f t="shared" ref="E128:K128" si="52">SUM(E129:E131)</f>
        <v>667451</v>
      </c>
      <c r="F128" s="73">
        <f t="shared" si="52"/>
        <v>693422</v>
      </c>
      <c r="G128" s="73">
        <f t="shared" si="52"/>
        <v>669461</v>
      </c>
      <c r="H128" s="73">
        <f t="shared" si="52"/>
        <v>829334</v>
      </c>
      <c r="I128" s="73">
        <f t="shared" si="52"/>
        <v>920052</v>
      </c>
      <c r="J128" s="73">
        <f t="shared" si="52"/>
        <v>955456</v>
      </c>
      <c r="K128" s="73">
        <f t="shared" si="52"/>
        <v>1012774</v>
      </c>
      <c r="L128" s="589">
        <f t="shared" ref="L128:P128" si="53">SUM(L129:L131)</f>
        <v>1076793.306302214</v>
      </c>
      <c r="M128" s="589">
        <f t="shared" si="53"/>
        <v>1141400.9046803471</v>
      </c>
      <c r="N128" s="589">
        <f t="shared" si="53"/>
        <v>1211007.6330592781</v>
      </c>
      <c r="O128" s="589">
        <f t="shared" si="53"/>
        <v>1284865.9385518203</v>
      </c>
      <c r="P128" s="589">
        <f t="shared" si="53"/>
        <v>1363255.1954938108</v>
      </c>
      <c r="Q128" s="589">
        <f>SUM(Q129:Q131)</f>
        <v>1475102.7493865998</v>
      </c>
      <c r="R128" s="591">
        <f>SUM(R129:R131)</f>
        <v>1571896.2632667122</v>
      </c>
    </row>
    <row r="129" spans="1:18" s="62" customFormat="1" ht="15" x14ac:dyDescent="0.25">
      <c r="A129" s="75" t="s">
        <v>189</v>
      </c>
      <c r="B129" s="85"/>
      <c r="C129" s="85"/>
      <c r="D129" s="76">
        <v>173336</v>
      </c>
      <c r="E129" s="76">
        <v>140249</v>
      </c>
      <c r="F129" s="76">
        <v>145210</v>
      </c>
      <c r="G129" s="76">
        <v>145986</v>
      </c>
      <c r="H129" s="76">
        <v>141750</v>
      </c>
      <c r="I129" s="76">
        <v>176418</v>
      </c>
      <c r="J129" s="76">
        <v>185882</v>
      </c>
      <c r="K129" s="76">
        <v>206555</v>
      </c>
      <c r="L129" s="592">
        <v>230059.377170769</v>
      </c>
      <c r="M129" s="592">
        <v>244362.93980101499</v>
      </c>
      <c r="N129" s="592">
        <v>260490.95800000001</v>
      </c>
      <c r="O129" s="593">
        <v>277683.36122800002</v>
      </c>
      <c r="P129" s="593">
        <v>296010.46306904801</v>
      </c>
      <c r="Q129" s="132">
        <v>315558.04227123217</v>
      </c>
      <c r="R129" s="594">
        <v>338877.78159507626</v>
      </c>
    </row>
    <row r="130" spans="1:18" s="62" customFormat="1" ht="15" x14ac:dyDescent="0.25">
      <c r="A130" s="75" t="s">
        <v>190</v>
      </c>
      <c r="B130" s="85"/>
      <c r="C130" s="85"/>
      <c r="D130" s="76">
        <v>305151</v>
      </c>
      <c r="E130" s="76">
        <v>290086</v>
      </c>
      <c r="F130" s="76">
        <v>302994</v>
      </c>
      <c r="G130" s="76">
        <v>270713</v>
      </c>
      <c r="H130" s="76">
        <v>271724</v>
      </c>
      <c r="I130" s="76">
        <v>283345</v>
      </c>
      <c r="J130" s="76">
        <v>295766</v>
      </c>
      <c r="K130" s="76">
        <v>314832</v>
      </c>
      <c r="L130" s="592">
        <v>321111.61588003201</v>
      </c>
      <c r="M130" s="592">
        <v>339078.31283283402</v>
      </c>
      <c r="N130" s="592">
        <v>357405.36268800002</v>
      </c>
      <c r="O130" s="593">
        <v>376705.25227315206</v>
      </c>
      <c r="P130" s="593">
        <v>397047.3358959023</v>
      </c>
      <c r="Q130" s="132">
        <v>422458.00800000003</v>
      </c>
      <c r="R130" s="594">
        <v>449495.32051200006</v>
      </c>
    </row>
    <row r="131" spans="1:18" s="62" customFormat="1" ht="15" x14ac:dyDescent="0.25">
      <c r="A131" s="75" t="s">
        <v>191</v>
      </c>
      <c r="B131" s="85"/>
      <c r="C131" s="85"/>
      <c r="D131" s="76">
        <v>154948</v>
      </c>
      <c r="E131" s="76">
        <v>237116</v>
      </c>
      <c r="F131" s="76">
        <v>245218</v>
      </c>
      <c r="G131" s="76">
        <v>252762</v>
      </c>
      <c r="H131" s="76">
        <v>415860</v>
      </c>
      <c r="I131" s="76">
        <v>460289</v>
      </c>
      <c r="J131" s="76">
        <v>473808</v>
      </c>
      <c r="K131" s="76">
        <v>491387</v>
      </c>
      <c r="L131" s="592">
        <v>525622.31325141306</v>
      </c>
      <c r="M131" s="592">
        <v>557959.65204649803</v>
      </c>
      <c r="N131" s="592">
        <v>593111.31237127795</v>
      </c>
      <c r="O131" s="593">
        <v>630477.32505066844</v>
      </c>
      <c r="P131" s="593">
        <v>670197.39652886055</v>
      </c>
      <c r="Q131" s="132">
        <v>737086.69911536772</v>
      </c>
      <c r="R131" s="594">
        <v>783523.16115963587</v>
      </c>
    </row>
    <row r="132" spans="1:18" s="62" customFormat="1" ht="15" x14ac:dyDescent="0.25">
      <c r="A132" s="72" t="s">
        <v>192</v>
      </c>
      <c r="B132" s="136"/>
      <c r="C132" s="136"/>
      <c r="D132" s="73">
        <f>SUM(D133:D136)</f>
        <v>272462</v>
      </c>
      <c r="E132" s="73">
        <f t="shared" ref="E132:K132" si="54">SUM(E133:E136)</f>
        <v>246755</v>
      </c>
      <c r="F132" s="73">
        <f t="shared" si="54"/>
        <v>286679</v>
      </c>
      <c r="G132" s="73">
        <f t="shared" si="54"/>
        <v>420561</v>
      </c>
      <c r="H132" s="73">
        <f t="shared" si="54"/>
        <v>441062</v>
      </c>
      <c r="I132" s="73">
        <f t="shared" si="54"/>
        <v>469785</v>
      </c>
      <c r="J132" s="73">
        <f t="shared" si="54"/>
        <v>587311</v>
      </c>
      <c r="K132" s="73">
        <f t="shared" si="54"/>
        <v>717158</v>
      </c>
      <c r="L132" s="589">
        <f t="shared" ref="L132:R132" si="55">SUM(L133:L136)</f>
        <v>851973.17501814954</v>
      </c>
      <c r="M132" s="589">
        <f t="shared" si="55"/>
        <v>902308.56551923905</v>
      </c>
      <c r="N132" s="589">
        <f t="shared" si="55"/>
        <v>952312.08175302413</v>
      </c>
      <c r="O132" s="589">
        <f t="shared" si="55"/>
        <v>1004547.8709728415</v>
      </c>
      <c r="P132" s="589">
        <f t="shared" si="55"/>
        <v>1060482.8263203169</v>
      </c>
      <c r="Q132" s="589">
        <f t="shared" si="55"/>
        <v>1196079.6880477259</v>
      </c>
      <c r="R132" s="591">
        <f t="shared" si="55"/>
        <v>1289121.1552844346</v>
      </c>
    </row>
    <row r="133" spans="1:18" s="62" customFormat="1" ht="15" x14ac:dyDescent="0.25">
      <c r="A133" s="75" t="s">
        <v>193</v>
      </c>
      <c r="B133" s="85"/>
      <c r="C133" s="85"/>
      <c r="D133" s="76">
        <v>19993</v>
      </c>
      <c r="E133" s="76">
        <v>12660</v>
      </c>
      <c r="F133" s="76">
        <v>17013</v>
      </c>
      <c r="G133" s="76">
        <v>68506</v>
      </c>
      <c r="H133" s="76">
        <v>32988</v>
      </c>
      <c r="I133" s="76">
        <v>46779</v>
      </c>
      <c r="J133" s="76">
        <v>75517</v>
      </c>
      <c r="K133" s="76">
        <v>111237</v>
      </c>
      <c r="L133" s="592">
        <v>143282</v>
      </c>
      <c r="M133" s="592">
        <v>151008.92000000001</v>
      </c>
      <c r="N133" s="592">
        <v>159012.68576778</v>
      </c>
      <c r="O133" s="593">
        <v>167440.35811347232</v>
      </c>
      <c r="P133" s="593">
        <v>176314.46560989294</v>
      </c>
      <c r="Q133" s="132">
        <v>187762.07378274036</v>
      </c>
      <c r="R133" s="155">
        <v>202970.80175914231</v>
      </c>
    </row>
    <row r="134" spans="1:18" s="62" customFormat="1" ht="15" x14ac:dyDescent="0.25">
      <c r="A134" s="75" t="s">
        <v>194</v>
      </c>
      <c r="B134" s="85"/>
      <c r="C134" s="85"/>
      <c r="D134" s="76">
        <v>23458</v>
      </c>
      <c r="E134" s="76">
        <v>25449</v>
      </c>
      <c r="F134" s="76">
        <v>30600</v>
      </c>
      <c r="G134" s="76">
        <v>32277</v>
      </c>
      <c r="H134" s="76">
        <v>28289</v>
      </c>
      <c r="I134" s="76">
        <v>22813</v>
      </c>
      <c r="J134" s="76">
        <v>21178</v>
      </c>
      <c r="K134" s="76">
        <v>23724</v>
      </c>
      <c r="L134" s="592">
        <v>26017.887916518899</v>
      </c>
      <c r="M134" s="592">
        <v>27665.961191509999</v>
      </c>
      <c r="N134" s="592">
        <v>25874.68607200414</v>
      </c>
      <c r="O134" s="593">
        <v>23234.346837718836</v>
      </c>
      <c r="P134" s="593">
        <v>21026.846680036066</v>
      </c>
      <c r="Q134" s="132">
        <v>61808.146304892965</v>
      </c>
      <c r="R134" s="155">
        <v>69225.123861480126</v>
      </c>
    </row>
    <row r="135" spans="1:18" s="62" customFormat="1" ht="15" x14ac:dyDescent="0.25">
      <c r="A135" s="75" t="s">
        <v>195</v>
      </c>
      <c r="B135" s="85"/>
      <c r="C135" s="85"/>
      <c r="D135" s="76">
        <v>135943</v>
      </c>
      <c r="E135" s="76">
        <v>105836</v>
      </c>
      <c r="F135" s="76">
        <v>117056</v>
      </c>
      <c r="G135" s="76">
        <v>206945</v>
      </c>
      <c r="H135" s="76">
        <v>311305</v>
      </c>
      <c r="I135" s="76">
        <v>311908</v>
      </c>
      <c r="J135" s="76">
        <v>359854</v>
      </c>
      <c r="K135" s="76">
        <v>396306</v>
      </c>
      <c r="L135" s="592">
        <v>439899.97924065433</v>
      </c>
      <c r="M135" s="592">
        <v>466693.97799509403</v>
      </c>
      <c r="N135" s="592">
        <v>496096.05046699999</v>
      </c>
      <c r="O135" s="593">
        <v>527350.10164642101</v>
      </c>
      <c r="P135" s="593">
        <v>560573.15805014549</v>
      </c>
      <c r="Q135" s="132">
        <v>596854.32930900459</v>
      </c>
      <c r="R135" s="155">
        <v>646990.09297096101</v>
      </c>
    </row>
    <row r="136" spans="1:18" s="62" customFormat="1" ht="15" x14ac:dyDescent="0.25">
      <c r="A136" s="75" t="s">
        <v>196</v>
      </c>
      <c r="B136" s="85"/>
      <c r="C136" s="85"/>
      <c r="D136" s="76">
        <v>93068</v>
      </c>
      <c r="E136" s="76">
        <v>102810</v>
      </c>
      <c r="F136" s="76">
        <v>122010</v>
      </c>
      <c r="G136" s="76">
        <v>112833</v>
      </c>
      <c r="H136" s="76">
        <v>68480</v>
      </c>
      <c r="I136" s="76">
        <v>88285</v>
      </c>
      <c r="J136" s="76">
        <v>130762</v>
      </c>
      <c r="K136" s="76">
        <v>185891</v>
      </c>
      <c r="L136" s="592">
        <v>242773.30786097632</v>
      </c>
      <c r="M136" s="592">
        <v>256939.70633263499</v>
      </c>
      <c r="N136" s="592">
        <v>271328.65944624</v>
      </c>
      <c r="O136" s="593">
        <v>286523.06437522947</v>
      </c>
      <c r="P136" s="593">
        <v>302568.35598024231</v>
      </c>
      <c r="Q136" s="132">
        <v>349655.13865108805</v>
      </c>
      <c r="R136" s="155">
        <v>369935.1366928512</v>
      </c>
    </row>
    <row r="137" spans="1:18" s="62" customFormat="1" ht="15" x14ac:dyDescent="0.25">
      <c r="A137" s="72" t="s">
        <v>197</v>
      </c>
      <c r="B137" s="136"/>
      <c r="C137" s="136"/>
      <c r="D137" s="73">
        <f t="shared" ref="D137:R137" si="56">D138+D139</f>
        <v>398634</v>
      </c>
      <c r="E137" s="73">
        <f t="shared" si="56"/>
        <v>467280</v>
      </c>
      <c r="F137" s="73">
        <f t="shared" si="56"/>
        <v>567000</v>
      </c>
      <c r="G137" s="73">
        <f t="shared" si="56"/>
        <v>579800</v>
      </c>
      <c r="H137" s="73">
        <f t="shared" si="56"/>
        <v>642156</v>
      </c>
      <c r="I137" s="73">
        <f t="shared" si="56"/>
        <v>711078</v>
      </c>
      <c r="J137" s="73">
        <f t="shared" si="56"/>
        <v>963108</v>
      </c>
      <c r="K137" s="73">
        <f t="shared" si="56"/>
        <v>1163673</v>
      </c>
      <c r="L137" s="589">
        <f t="shared" si="56"/>
        <v>1384410.4184158565</v>
      </c>
      <c r="M137" s="589">
        <f t="shared" si="56"/>
        <v>1527919.6200935391</v>
      </c>
      <c r="N137" s="589">
        <f t="shared" si="56"/>
        <v>1765485.3891166667</v>
      </c>
      <c r="O137" s="589">
        <f t="shared" si="56"/>
        <v>2043546.0339967865</v>
      </c>
      <c r="P137" s="589">
        <f t="shared" si="56"/>
        <v>3270555.7609168808</v>
      </c>
      <c r="Q137" s="589">
        <f t="shared" si="56"/>
        <v>3288863.5730985785</v>
      </c>
      <c r="R137" s="591">
        <f t="shared" si="56"/>
        <v>3139745.7765299985</v>
      </c>
    </row>
    <row r="138" spans="1:18" s="62" customFormat="1" ht="15" x14ac:dyDescent="0.25">
      <c r="A138" s="75" t="s">
        <v>198</v>
      </c>
      <c r="B138" s="85"/>
      <c r="C138" s="85"/>
      <c r="D138" s="76">
        <v>139076</v>
      </c>
      <c r="E138" s="76">
        <v>151477</v>
      </c>
      <c r="F138" s="76">
        <v>166000</v>
      </c>
      <c r="G138" s="76">
        <v>186549</v>
      </c>
      <c r="H138" s="76">
        <v>226955</v>
      </c>
      <c r="I138" s="76">
        <v>262150</v>
      </c>
      <c r="J138" s="76">
        <v>350639</v>
      </c>
      <c r="K138" s="76">
        <v>386998</v>
      </c>
      <c r="L138" s="592">
        <v>452400.97064440302</v>
      </c>
      <c r="M138" s="592">
        <v>484069.03858951124</v>
      </c>
      <c r="N138" s="592">
        <v>670407.16721794673</v>
      </c>
      <c r="O138" s="595">
        <v>855005.48050961702</v>
      </c>
      <c r="P138" s="593">
        <v>907988.16125368921</v>
      </c>
      <c r="Q138" s="132">
        <v>912816.85836473131</v>
      </c>
      <c r="R138" s="155">
        <v>924242.18239365926</v>
      </c>
    </row>
    <row r="139" spans="1:18" s="62" customFormat="1" ht="15" x14ac:dyDescent="0.25">
      <c r="A139" s="75" t="s">
        <v>199</v>
      </c>
      <c r="B139" s="85"/>
      <c r="C139" s="85"/>
      <c r="D139" s="76">
        <v>259558</v>
      </c>
      <c r="E139" s="76">
        <v>315803</v>
      </c>
      <c r="F139" s="76">
        <v>401000</v>
      </c>
      <c r="G139" s="76">
        <v>393251</v>
      </c>
      <c r="H139" s="76">
        <v>415201</v>
      </c>
      <c r="I139" s="76">
        <v>448928</v>
      </c>
      <c r="J139" s="76">
        <v>612469</v>
      </c>
      <c r="K139" s="76">
        <v>776675</v>
      </c>
      <c r="L139" s="592">
        <v>932009.44777145342</v>
      </c>
      <c r="M139" s="592">
        <v>1043850.5815040279</v>
      </c>
      <c r="N139" s="592">
        <v>1095078.2218987199</v>
      </c>
      <c r="O139" s="592">
        <v>1188540.5534871696</v>
      </c>
      <c r="P139" s="593">
        <v>2362567.5996631915</v>
      </c>
      <c r="Q139" s="132">
        <v>2376046.714733847</v>
      </c>
      <c r="R139" s="155">
        <v>2215503.5941363391</v>
      </c>
    </row>
    <row r="140" spans="1:18" s="62" customFormat="1" ht="15" x14ac:dyDescent="0.25">
      <c r="A140" s="72" t="s">
        <v>200</v>
      </c>
      <c r="B140" s="136"/>
      <c r="C140" s="136"/>
      <c r="D140" s="73">
        <v>39196</v>
      </c>
      <c r="E140" s="73">
        <v>39975</v>
      </c>
      <c r="F140" s="73">
        <v>40643</v>
      </c>
      <c r="G140" s="73">
        <v>41439</v>
      </c>
      <c r="H140" s="73">
        <v>42362</v>
      </c>
      <c r="I140" s="73">
        <v>43284</v>
      </c>
      <c r="J140" s="73">
        <v>41684</v>
      </c>
      <c r="K140" s="73">
        <v>45015</v>
      </c>
      <c r="L140" s="596">
        <v>45128</v>
      </c>
      <c r="M140" s="596">
        <v>45237</v>
      </c>
      <c r="N140" s="596">
        <v>53477.973301315156</v>
      </c>
      <c r="O140" s="596">
        <v>52877.283510249494</v>
      </c>
      <c r="P140" s="131">
        <v>68000</v>
      </c>
      <c r="Q140" s="131">
        <v>147098.04741614591</v>
      </c>
      <c r="R140" s="597">
        <v>74011</v>
      </c>
    </row>
    <row r="141" spans="1:18" s="62" customFormat="1" ht="15.75" thickBot="1" x14ac:dyDescent="0.3">
      <c r="A141" s="93" t="s">
        <v>201</v>
      </c>
      <c r="B141" s="94"/>
      <c r="C141" s="94"/>
      <c r="D141" s="134">
        <v>1343726</v>
      </c>
      <c r="E141" s="134">
        <v>1421461</v>
      </c>
      <c r="F141" s="134">
        <f t="shared" ref="F141:I141" si="57">F126+F140</f>
        <v>1587743</v>
      </c>
      <c r="G141" s="134">
        <f t="shared" si="57"/>
        <v>1711262</v>
      </c>
      <c r="H141" s="134">
        <f t="shared" si="57"/>
        <v>1945657</v>
      </c>
      <c r="I141" s="134">
        <f t="shared" si="57"/>
        <v>2144198</v>
      </c>
      <c r="J141" s="134">
        <f>J126+J140</f>
        <v>2535317</v>
      </c>
      <c r="K141" s="134">
        <f>K126+K140</f>
        <v>2938620</v>
      </c>
      <c r="L141" s="598">
        <f t="shared" ref="L141:R141" si="58">L126+L140</f>
        <v>3358304.89973622</v>
      </c>
      <c r="M141" s="598">
        <f t="shared" si="58"/>
        <v>3616866.0902931252</v>
      </c>
      <c r="N141" s="598">
        <f t="shared" si="58"/>
        <v>3982283.077230284</v>
      </c>
      <c r="O141" s="598">
        <f t="shared" si="58"/>
        <v>4385837.127031697</v>
      </c>
      <c r="P141" s="598">
        <f t="shared" si="58"/>
        <v>5762293.7827310078</v>
      </c>
      <c r="Q141" s="598">
        <f t="shared" si="58"/>
        <v>6107144.0579490503</v>
      </c>
      <c r="R141" s="599">
        <f t="shared" si="58"/>
        <v>6074774.1950811455</v>
      </c>
    </row>
    <row r="142" spans="1:18" s="62" customFormat="1" ht="15" x14ac:dyDescent="0.25">
      <c r="D142" s="96"/>
      <c r="E142" s="96"/>
      <c r="F142" s="96"/>
      <c r="G142" s="96"/>
      <c r="H142" s="96"/>
      <c r="I142" s="96"/>
      <c r="J142" s="96"/>
      <c r="K142" s="96"/>
      <c r="L142" s="96"/>
    </row>
    <row r="143" spans="1:18" s="62" customFormat="1" ht="15" x14ac:dyDescent="0.25">
      <c r="A143" s="98"/>
      <c r="B143" s="98"/>
      <c r="C143" s="98"/>
      <c r="D143" s="141"/>
      <c r="E143" s="141"/>
      <c r="F143" s="141"/>
      <c r="G143" s="141"/>
      <c r="H143" s="141"/>
      <c r="I143" s="141"/>
      <c r="J143" s="141"/>
      <c r="K143" s="141"/>
      <c r="L143" s="141"/>
    </row>
    <row r="144" spans="1:18" s="62" customFormat="1" ht="15" x14ac:dyDescent="0.25">
      <c r="A144" s="114" t="s">
        <v>207</v>
      </c>
      <c r="B144" s="114"/>
      <c r="C144" s="114"/>
      <c r="D144" s="114"/>
      <c r="E144" s="114"/>
      <c r="F144" s="114"/>
      <c r="G144" s="114"/>
      <c r="H144" s="114"/>
      <c r="I144" s="114"/>
      <c r="J144" s="114"/>
      <c r="K144" s="114"/>
      <c r="L144" s="114"/>
    </row>
    <row r="145" spans="1:18" s="62" customFormat="1" ht="15.75" thickBot="1" x14ac:dyDescent="0.3">
      <c r="A145" s="63"/>
      <c r="B145" s="63"/>
      <c r="C145" s="63"/>
      <c r="D145" s="63"/>
      <c r="E145" s="63"/>
      <c r="F145" s="63"/>
      <c r="G145" s="63"/>
      <c r="H145" s="63"/>
      <c r="I145" s="63"/>
      <c r="J145" s="63"/>
      <c r="K145" s="363" t="s">
        <v>161</v>
      </c>
      <c r="L145" s="363"/>
    </row>
    <row r="146" spans="1:18" s="62" customFormat="1" ht="15.75" thickBot="1" x14ac:dyDescent="0.3">
      <c r="A146" s="118" t="s">
        <v>185</v>
      </c>
      <c r="B146" s="366"/>
      <c r="C146" s="119">
        <v>1998</v>
      </c>
      <c r="D146" s="119">
        <v>1999</v>
      </c>
      <c r="E146" s="119">
        <v>2000</v>
      </c>
      <c r="F146" s="119">
        <v>2001</v>
      </c>
      <c r="G146" s="119">
        <v>2002</v>
      </c>
      <c r="H146" s="119">
        <v>2003</v>
      </c>
      <c r="I146" s="119">
        <v>2004</v>
      </c>
      <c r="J146" s="119">
        <v>2005</v>
      </c>
      <c r="K146" s="119">
        <v>2006</v>
      </c>
      <c r="L146" s="119">
        <v>2007</v>
      </c>
      <c r="M146" s="119">
        <v>2008</v>
      </c>
      <c r="N146" s="119">
        <v>2009</v>
      </c>
      <c r="O146" s="119">
        <v>2010</v>
      </c>
      <c r="P146" s="119">
        <v>2011</v>
      </c>
    </row>
    <row r="147" spans="1:18" s="62" customFormat="1" ht="15" x14ac:dyDescent="0.25">
      <c r="A147" s="90" t="s">
        <v>204</v>
      </c>
      <c r="B147" s="365"/>
      <c r="C147" s="365"/>
      <c r="D147" s="143">
        <f>SUM(D148:D151)</f>
        <v>1231517</v>
      </c>
      <c r="E147" s="143">
        <f t="shared" ref="E147:P147" si="59">SUM(E148:E151)</f>
        <v>1333363</v>
      </c>
      <c r="F147" s="143">
        <f t="shared" si="59"/>
        <v>1547100</v>
      </c>
      <c r="G147" s="143">
        <f t="shared" si="59"/>
        <v>1750817</v>
      </c>
      <c r="H147" s="143">
        <f t="shared" si="59"/>
        <v>2288796</v>
      </c>
      <c r="I147" s="143">
        <f t="shared" si="59"/>
        <v>3095522</v>
      </c>
      <c r="J147" s="143">
        <f t="shared" si="59"/>
        <v>3959563</v>
      </c>
      <c r="K147" s="143">
        <f>SUM(K148:K151)</f>
        <v>4883489</v>
      </c>
      <c r="L147" s="143">
        <f t="shared" si="59"/>
        <v>6119013</v>
      </c>
      <c r="M147" s="143">
        <f t="shared" si="59"/>
        <v>7274314</v>
      </c>
      <c r="N147" s="143">
        <f t="shared" si="59"/>
        <v>8020970</v>
      </c>
      <c r="O147" s="143">
        <f t="shared" si="59"/>
        <v>10177694</v>
      </c>
      <c r="P147" s="143">
        <f t="shared" si="59"/>
        <v>13534065</v>
      </c>
      <c r="Q147" s="327"/>
    </row>
    <row r="148" spans="1:18" s="62" customFormat="1" ht="15" x14ac:dyDescent="0.25">
      <c r="A148" s="109" t="s">
        <v>208</v>
      </c>
      <c r="B148" s="112"/>
      <c r="C148" s="112"/>
      <c r="D148" s="76">
        <v>169972</v>
      </c>
      <c r="E148" s="76">
        <v>373308</v>
      </c>
      <c r="F148" s="76">
        <v>413099</v>
      </c>
      <c r="G148" s="76">
        <v>568022</v>
      </c>
      <c r="H148" s="76">
        <v>753610</v>
      </c>
      <c r="I148" s="76">
        <v>953157</v>
      </c>
      <c r="J148" s="76">
        <v>1039910</v>
      </c>
      <c r="K148" s="76">
        <v>1134578</v>
      </c>
      <c r="L148" s="84">
        <v>1352763</v>
      </c>
      <c r="M148" s="516">
        <v>1628172</v>
      </c>
      <c r="N148" s="516">
        <v>1921243</v>
      </c>
      <c r="O148" s="521">
        <v>2267067</v>
      </c>
      <c r="P148" s="517">
        <v>2675139</v>
      </c>
      <c r="Q148" s="327"/>
    </row>
    <row r="149" spans="1:18" s="62" customFormat="1" ht="15" x14ac:dyDescent="0.25">
      <c r="A149" s="109" t="s">
        <v>209</v>
      </c>
      <c r="B149" s="112"/>
      <c r="C149" s="112"/>
      <c r="D149" s="76">
        <v>39680</v>
      </c>
      <c r="E149" s="76">
        <v>38137</v>
      </c>
      <c r="F149" s="76">
        <v>44896</v>
      </c>
      <c r="G149" s="76">
        <v>59405</v>
      </c>
      <c r="H149" s="76">
        <v>72745</v>
      </c>
      <c r="I149" s="76">
        <v>119245</v>
      </c>
      <c r="J149" s="76">
        <v>162413</v>
      </c>
      <c r="K149" s="76">
        <v>141822</v>
      </c>
      <c r="L149" s="84">
        <v>141570</v>
      </c>
      <c r="M149" s="516">
        <v>148299</v>
      </c>
      <c r="N149" s="516">
        <v>157197</v>
      </c>
      <c r="O149" s="521">
        <v>166629</v>
      </c>
      <c r="P149" s="517">
        <v>176626</v>
      </c>
      <c r="Q149" s="327"/>
    </row>
    <row r="150" spans="1:18" s="62" customFormat="1" ht="15" x14ac:dyDescent="0.25">
      <c r="A150" s="109" t="s">
        <v>210</v>
      </c>
      <c r="B150" s="112"/>
      <c r="C150" s="112"/>
      <c r="D150" s="76">
        <v>39139</v>
      </c>
      <c r="E150" s="76">
        <v>50049</v>
      </c>
      <c r="F150" s="76">
        <v>55642</v>
      </c>
      <c r="G150" s="76">
        <v>72900</v>
      </c>
      <c r="H150" s="76">
        <v>89624</v>
      </c>
      <c r="I150" s="76">
        <v>120042</v>
      </c>
      <c r="J150" s="76">
        <v>138362</v>
      </c>
      <c r="K150" s="76">
        <v>141822</v>
      </c>
      <c r="L150" s="84">
        <v>144659</v>
      </c>
      <c r="M150" s="516">
        <v>152971</v>
      </c>
      <c r="N150" s="516">
        <v>163067</v>
      </c>
      <c r="O150" s="521">
        <v>173830</v>
      </c>
      <c r="P150" s="517">
        <v>185302</v>
      </c>
      <c r="Q150" s="327"/>
    </row>
    <row r="151" spans="1:18" s="62" customFormat="1" ht="15" x14ac:dyDescent="0.25">
      <c r="A151" s="109" t="s">
        <v>211</v>
      </c>
      <c r="B151" s="112"/>
      <c r="C151" s="112"/>
      <c r="D151" s="76">
        <v>982726</v>
      </c>
      <c r="E151" s="76">
        <v>871869</v>
      </c>
      <c r="F151" s="76">
        <v>1033463</v>
      </c>
      <c r="G151" s="76">
        <v>1050490</v>
      </c>
      <c r="H151" s="76">
        <v>1372817</v>
      </c>
      <c r="I151" s="76">
        <v>1903078</v>
      </c>
      <c r="J151" s="76">
        <v>2618878</v>
      </c>
      <c r="K151" s="76">
        <v>3465267</v>
      </c>
      <c r="L151" s="84">
        <v>4480021</v>
      </c>
      <c r="M151" s="516">
        <v>5344872</v>
      </c>
      <c r="N151" s="516">
        <v>5779463</v>
      </c>
      <c r="O151" s="521">
        <v>7570168</v>
      </c>
      <c r="P151" s="517">
        <v>10496998</v>
      </c>
      <c r="Q151" s="327"/>
    </row>
    <row r="152" spans="1:18" s="62" customFormat="1" ht="15" x14ac:dyDescent="0.25">
      <c r="A152" s="72" t="s">
        <v>200</v>
      </c>
      <c r="B152" s="136"/>
      <c r="C152" s="136"/>
      <c r="D152" s="73">
        <v>35276</v>
      </c>
      <c r="E152" s="73">
        <v>37576</v>
      </c>
      <c r="F152" s="73">
        <v>40643</v>
      </c>
      <c r="G152" s="73">
        <v>44596</v>
      </c>
      <c r="H152" s="73">
        <v>43387</v>
      </c>
      <c r="I152" s="73">
        <v>57845</v>
      </c>
      <c r="J152" s="73">
        <v>64405</v>
      </c>
      <c r="K152" s="73">
        <v>74292</v>
      </c>
      <c r="L152" s="150">
        <v>90727.863412929306</v>
      </c>
      <c r="M152" s="514">
        <v>106943</v>
      </c>
      <c r="N152" s="514">
        <v>152252</v>
      </c>
      <c r="O152" s="522">
        <v>164843</v>
      </c>
      <c r="P152" s="515">
        <v>228000</v>
      </c>
      <c r="Q152" s="327"/>
    </row>
    <row r="153" spans="1:18" s="62" customFormat="1" ht="15.75" thickBot="1" x14ac:dyDescent="0.3">
      <c r="A153" s="93" t="s">
        <v>201</v>
      </c>
      <c r="B153" s="94"/>
      <c r="C153" s="94"/>
      <c r="D153" s="134">
        <f>D147+D152</f>
        <v>1266793</v>
      </c>
      <c r="E153" s="134">
        <f t="shared" ref="E153:L153" si="60">E147+E152</f>
        <v>1370939</v>
      </c>
      <c r="F153" s="134">
        <f t="shared" si="60"/>
        <v>1587743</v>
      </c>
      <c r="G153" s="134">
        <f t="shared" si="60"/>
        <v>1795413</v>
      </c>
      <c r="H153" s="134">
        <f t="shared" si="60"/>
        <v>2332183</v>
      </c>
      <c r="I153" s="134">
        <f t="shared" si="60"/>
        <v>3153367</v>
      </c>
      <c r="J153" s="134">
        <f t="shared" si="60"/>
        <v>4023968</v>
      </c>
      <c r="K153" s="134">
        <f t="shared" si="60"/>
        <v>4957781</v>
      </c>
      <c r="L153" s="134">
        <f t="shared" si="60"/>
        <v>6209740.8634129297</v>
      </c>
      <c r="M153" s="518">
        <v>7381257</v>
      </c>
      <c r="N153" s="518">
        <v>8173221</v>
      </c>
      <c r="O153" s="518">
        <v>10342536</v>
      </c>
      <c r="P153" s="519">
        <v>13762066</v>
      </c>
      <c r="Q153" s="327"/>
    </row>
    <row r="156" spans="1:18" s="62" customFormat="1" ht="15" x14ac:dyDescent="0.25">
      <c r="A156" s="114" t="s">
        <v>212</v>
      </c>
      <c r="B156" s="114"/>
      <c r="C156" s="114"/>
      <c r="D156" s="114"/>
      <c r="E156" s="114"/>
      <c r="F156" s="114"/>
      <c r="G156" s="114"/>
      <c r="H156" s="114"/>
      <c r="I156" s="114"/>
      <c r="J156" s="114"/>
      <c r="K156" s="144"/>
    </row>
    <row r="157" spans="1:18" s="62" customFormat="1" ht="15.75" thickBot="1" x14ac:dyDescent="0.3">
      <c r="A157" s="85"/>
      <c r="B157" s="85"/>
      <c r="C157" s="85"/>
      <c r="D157" s="85"/>
      <c r="E157" s="85"/>
      <c r="F157" s="85"/>
      <c r="G157" s="85"/>
      <c r="H157" s="85"/>
      <c r="K157" s="65" t="s">
        <v>161</v>
      </c>
    </row>
    <row r="158" spans="1:18" s="62" customFormat="1" ht="15.75" thickBot="1" x14ac:dyDescent="0.3">
      <c r="A158" s="88" t="s">
        <v>213</v>
      </c>
      <c r="B158" s="88"/>
      <c r="C158" s="67">
        <v>1998</v>
      </c>
      <c r="D158" s="67">
        <v>1999</v>
      </c>
      <c r="E158" s="67">
        <v>2000</v>
      </c>
      <c r="F158" s="67">
        <v>2001</v>
      </c>
      <c r="G158" s="67">
        <v>2002</v>
      </c>
      <c r="H158" s="67">
        <v>2003</v>
      </c>
      <c r="I158" s="67">
        <v>2004</v>
      </c>
      <c r="J158" s="67">
        <v>2005</v>
      </c>
      <c r="K158" s="67">
        <v>2006</v>
      </c>
      <c r="L158" s="67">
        <v>2007</v>
      </c>
      <c r="M158" s="251" t="s">
        <v>323</v>
      </c>
      <c r="N158" s="68" t="s">
        <v>322</v>
      </c>
      <c r="P158" s="133"/>
      <c r="R158" s="133"/>
    </row>
    <row r="159" spans="1:18" s="62" customFormat="1" ht="15" x14ac:dyDescent="0.25">
      <c r="A159" s="145" t="s">
        <v>214</v>
      </c>
      <c r="B159" s="85"/>
      <c r="C159" s="85"/>
      <c r="F159" s="105">
        <v>1440278</v>
      </c>
      <c r="G159" s="105">
        <v>1555625</v>
      </c>
      <c r="H159" s="105">
        <v>1680075</v>
      </c>
      <c r="I159" s="105">
        <v>1814481</v>
      </c>
      <c r="J159" s="105">
        <v>1959639</v>
      </c>
      <c r="K159" s="105">
        <v>2190876</v>
      </c>
      <c r="L159" s="137">
        <v>2504171.2680000002</v>
      </c>
      <c r="M159" s="133">
        <v>3443235.4935000003</v>
      </c>
      <c r="N159" s="133">
        <v>3601624.3262010007</v>
      </c>
      <c r="R159" s="133"/>
    </row>
    <row r="160" spans="1:18" s="62" customFormat="1" ht="15" x14ac:dyDescent="0.25">
      <c r="A160" s="75" t="s">
        <v>215</v>
      </c>
      <c r="B160" s="85"/>
      <c r="C160" s="85"/>
      <c r="F160" s="76">
        <f t="shared" ref="F160:L160" si="61">F161-F159</f>
        <v>6026708</v>
      </c>
      <c r="G160" s="76">
        <f t="shared" si="61"/>
        <v>7059182</v>
      </c>
      <c r="H160" s="76">
        <f t="shared" si="61"/>
        <v>8383991</v>
      </c>
      <c r="I160" s="76">
        <f t="shared" si="61"/>
        <v>9793469</v>
      </c>
      <c r="J160" s="76">
        <f t="shared" si="61"/>
        <v>11032412</v>
      </c>
      <c r="K160" s="76">
        <f t="shared" si="61"/>
        <v>12247730</v>
      </c>
      <c r="L160" s="76">
        <f t="shared" si="61"/>
        <v>14285488.701170113</v>
      </c>
      <c r="M160" s="77">
        <v>16679299.966855364</v>
      </c>
      <c r="N160" s="133">
        <v>19433632.756927446</v>
      </c>
      <c r="P160" s="133"/>
      <c r="R160" s="133"/>
    </row>
    <row r="161" spans="1:18" s="62" customFormat="1" ht="15" x14ac:dyDescent="0.25">
      <c r="A161" s="75" t="s">
        <v>216</v>
      </c>
      <c r="B161" s="85"/>
      <c r="C161" s="85"/>
      <c r="F161" s="76">
        <v>7466986</v>
      </c>
      <c r="G161" s="76">
        <v>8614807</v>
      </c>
      <c r="H161" s="76">
        <v>10064066</v>
      </c>
      <c r="I161" s="76">
        <v>11607950</v>
      </c>
      <c r="J161" s="76">
        <v>12992051</v>
      </c>
      <c r="K161" s="76">
        <v>14438606</v>
      </c>
      <c r="L161" s="84">
        <v>16789659.969170112</v>
      </c>
      <c r="M161" s="133">
        <v>20122535.460355364</v>
      </c>
      <c r="N161" s="133">
        <v>23035257.083128445</v>
      </c>
      <c r="P161" s="133"/>
      <c r="R161" s="133"/>
    </row>
    <row r="162" spans="1:18" s="62" customFormat="1" ht="15" x14ac:dyDescent="0.25">
      <c r="A162" s="75" t="s">
        <v>217</v>
      </c>
      <c r="B162" s="85"/>
      <c r="C162" s="85"/>
      <c r="F162" s="76">
        <v>-38939</v>
      </c>
      <c r="G162" s="76">
        <v>-21788</v>
      </c>
      <c r="H162" s="76">
        <v>-45340</v>
      </c>
      <c r="I162" s="76">
        <v>-193957</v>
      </c>
      <c r="J162" s="76">
        <v>-211431</v>
      </c>
      <c r="K162" s="76">
        <v>-80733</v>
      </c>
      <c r="L162" s="76">
        <v>-72884</v>
      </c>
      <c r="M162" s="133">
        <v>-141282</v>
      </c>
      <c r="N162" s="133">
        <v>-97865.574514966167</v>
      </c>
      <c r="P162" s="133"/>
      <c r="R162" s="133"/>
    </row>
    <row r="163" spans="1:18" s="62" customFormat="1" ht="15" x14ac:dyDescent="0.25">
      <c r="A163" s="75" t="s">
        <v>218</v>
      </c>
      <c r="B163" s="85"/>
      <c r="C163" s="85"/>
      <c r="F163" s="76">
        <v>7428047</v>
      </c>
      <c r="G163" s="76">
        <v>8593019</v>
      </c>
      <c r="H163" s="76">
        <v>10018726</v>
      </c>
      <c r="I163" s="76">
        <v>11413993</v>
      </c>
      <c r="J163" s="76">
        <v>12780620</v>
      </c>
      <c r="K163" s="76">
        <f>K161+K162</f>
        <v>14357873</v>
      </c>
      <c r="L163" s="76">
        <f>L161+L162</f>
        <v>16716775.969170112</v>
      </c>
      <c r="M163" s="133">
        <v>19981253.460355364</v>
      </c>
      <c r="N163" s="133">
        <v>22937391.508613478</v>
      </c>
      <c r="P163" s="133"/>
      <c r="R163" s="133"/>
    </row>
    <row r="164" spans="1:18" s="62" customFormat="1" ht="15" x14ac:dyDescent="0.25">
      <c r="A164" s="75" t="s">
        <v>219</v>
      </c>
      <c r="B164" s="85"/>
      <c r="C164" s="85"/>
      <c r="F164" s="76">
        <v>612000</v>
      </c>
      <c r="G164" s="76">
        <v>704574</v>
      </c>
      <c r="H164" s="76">
        <v>831707</v>
      </c>
      <c r="I164" s="76">
        <v>999001</v>
      </c>
      <c r="J164" s="76">
        <v>1367527</v>
      </c>
      <c r="K164" s="76">
        <v>1663043</v>
      </c>
      <c r="L164" s="84">
        <v>1958559</v>
      </c>
      <c r="M164" s="133">
        <v>2329620</v>
      </c>
      <c r="N164" s="133">
        <v>2702359.2</v>
      </c>
      <c r="P164" s="133"/>
      <c r="R164" s="133"/>
    </row>
    <row r="165" spans="1:18" s="62" customFormat="1" ht="15" x14ac:dyDescent="0.25">
      <c r="A165" s="75" t="s">
        <v>220</v>
      </c>
      <c r="B165" s="85"/>
      <c r="C165" s="85"/>
      <c r="F165" s="76">
        <v>8040047</v>
      </c>
      <c r="G165" s="76">
        <v>9297593</v>
      </c>
      <c r="H165" s="76">
        <v>10850433</v>
      </c>
      <c r="I165" s="76">
        <v>12412994</v>
      </c>
      <c r="J165" s="76">
        <v>14148147</v>
      </c>
      <c r="K165" s="76">
        <f>K163+K164</f>
        <v>16020916</v>
      </c>
      <c r="L165" s="76">
        <f>L163+L164</f>
        <v>18675334.969170112</v>
      </c>
      <c r="M165" s="133">
        <v>22310873.460355364</v>
      </c>
      <c r="N165" s="133">
        <v>25639750.708613478</v>
      </c>
      <c r="P165" s="133"/>
      <c r="R165" s="133"/>
    </row>
    <row r="166" spans="1:18" s="62" customFormat="1" ht="15" x14ac:dyDescent="0.25">
      <c r="A166" s="75" t="s">
        <v>221</v>
      </c>
      <c r="B166" s="85"/>
      <c r="C166" s="85"/>
      <c r="F166" s="76">
        <v>509384</v>
      </c>
      <c r="G166" s="76">
        <v>402071</v>
      </c>
      <c r="H166" s="76">
        <v>584611</v>
      </c>
      <c r="I166" s="76">
        <v>697093</v>
      </c>
      <c r="J166" s="76">
        <v>532359</v>
      </c>
      <c r="K166" s="76">
        <f>K197</f>
        <v>751840</v>
      </c>
      <c r="L166" s="76">
        <f>L197</f>
        <v>852988</v>
      </c>
      <c r="M166" s="133">
        <v>748946</v>
      </c>
      <c r="N166" s="133">
        <v>907682.80856449134</v>
      </c>
      <c r="P166" s="133"/>
      <c r="R166" s="133"/>
    </row>
    <row r="167" spans="1:18" s="62" customFormat="1" ht="15" x14ac:dyDescent="0.25">
      <c r="A167" s="72" t="s">
        <v>222</v>
      </c>
      <c r="B167" s="136"/>
      <c r="C167" s="136"/>
      <c r="F167" s="73">
        <v>8549431</v>
      </c>
      <c r="G167" s="73">
        <v>9699664</v>
      </c>
      <c r="H167" s="73">
        <v>11435044</v>
      </c>
      <c r="I167" s="73">
        <v>13110087</v>
      </c>
      <c r="J167" s="73">
        <v>14680507</v>
      </c>
      <c r="K167" s="73">
        <f>K165+K166</f>
        <v>16772756</v>
      </c>
      <c r="L167" s="73">
        <f>L165+L166</f>
        <v>19528322.969170112</v>
      </c>
      <c r="M167" s="73">
        <f>M165+M166</f>
        <v>23059819.460355364</v>
      </c>
      <c r="N167" s="73">
        <f>N165+N166</f>
        <v>26547433.517177969</v>
      </c>
      <c r="P167" s="133"/>
      <c r="R167" s="133"/>
    </row>
    <row r="168" spans="1:18" s="62" customFormat="1" ht="15" x14ac:dyDescent="0.25">
      <c r="A168" s="75" t="s">
        <v>223</v>
      </c>
      <c r="B168" s="85"/>
      <c r="C168" s="85"/>
      <c r="F168" s="76">
        <v>1079295</v>
      </c>
      <c r="G168" s="76">
        <v>1372744</v>
      </c>
      <c r="H168" s="76">
        <v>1858769</v>
      </c>
      <c r="I168" s="76">
        <v>2361721</v>
      </c>
      <c r="J168" s="76">
        <v>2804521</v>
      </c>
      <c r="K168" s="76">
        <v>3144881</v>
      </c>
      <c r="L168" s="76">
        <v>4038989</v>
      </c>
      <c r="M168" s="133">
        <v>4321718.2300000004</v>
      </c>
      <c r="N168" s="133">
        <v>4926758.5199999996</v>
      </c>
      <c r="P168" s="133"/>
      <c r="R168" s="133"/>
    </row>
    <row r="169" spans="1:18" s="62" customFormat="1" ht="15" x14ac:dyDescent="0.25">
      <c r="A169" s="75" t="s">
        <v>224</v>
      </c>
      <c r="B169" s="85"/>
      <c r="C169" s="85"/>
      <c r="F169" s="76">
        <v>6822466</v>
      </c>
      <c r="G169" s="76">
        <v>7512354</v>
      </c>
      <c r="H169" s="76">
        <v>8442113</v>
      </c>
      <c r="I169" s="76">
        <v>9352717</v>
      </c>
      <c r="J169" s="76">
        <v>10581908</v>
      </c>
      <c r="K169" s="76">
        <v>12195212</v>
      </c>
      <c r="L169" s="76">
        <v>14231135.030000001</v>
      </c>
      <c r="M169" s="133">
        <v>16432845.509386756</v>
      </c>
      <c r="N169" s="133">
        <v>18476811.103266954</v>
      </c>
      <c r="P169" s="133"/>
      <c r="R169" s="133"/>
    </row>
    <row r="170" spans="1:18" s="62" customFormat="1" ht="15" x14ac:dyDescent="0.25">
      <c r="A170" s="75" t="s">
        <v>225</v>
      </c>
      <c r="B170" s="85"/>
      <c r="C170" s="85"/>
      <c r="F170" s="113">
        <v>647670</v>
      </c>
      <c r="G170" s="113">
        <v>814566</v>
      </c>
      <c r="H170" s="113">
        <v>1134162</v>
      </c>
      <c r="I170" s="113">
        <v>1395649</v>
      </c>
      <c r="J170" s="113">
        <v>1294078</v>
      </c>
      <c r="K170" s="113">
        <v>1432663</v>
      </c>
      <c r="L170" s="113">
        <v>1258198.939170111</v>
      </c>
      <c r="M170" s="133">
        <v>2868999.260613244</v>
      </c>
      <c r="N170" s="133">
        <v>3143863.8939110152</v>
      </c>
      <c r="P170" s="133"/>
      <c r="R170" s="133"/>
    </row>
    <row r="171" spans="1:18" s="62" customFormat="1" ht="15.75" thickBot="1" x14ac:dyDescent="0.3">
      <c r="A171" s="93" t="s">
        <v>226</v>
      </c>
      <c r="B171" s="136"/>
      <c r="C171" s="136"/>
      <c r="F171" s="134">
        <f>F168+F169+F170</f>
        <v>8549431</v>
      </c>
      <c r="G171" s="134">
        <f t="shared" ref="G171:M171" si="62">G168+G169+G170</f>
        <v>9699664</v>
      </c>
      <c r="H171" s="134">
        <f t="shared" si="62"/>
        <v>11435044</v>
      </c>
      <c r="I171" s="134">
        <f t="shared" si="62"/>
        <v>13110087</v>
      </c>
      <c r="J171" s="134">
        <f t="shared" si="62"/>
        <v>14680507</v>
      </c>
      <c r="K171" s="134">
        <f t="shared" si="62"/>
        <v>16772756</v>
      </c>
      <c r="L171" s="134">
        <f t="shared" si="62"/>
        <v>19528322.969170112</v>
      </c>
      <c r="M171" s="134">
        <f t="shared" si="62"/>
        <v>23623563</v>
      </c>
      <c r="N171" s="134">
        <f>N168+N169+N170</f>
        <v>26547433.517177969</v>
      </c>
      <c r="P171" s="133"/>
      <c r="R171" s="133"/>
    </row>
    <row r="172" spans="1:18" s="62" customFormat="1" ht="15" x14ac:dyDescent="0.25">
      <c r="D172" s="146"/>
      <c r="E172" s="146"/>
      <c r="F172" s="146"/>
      <c r="G172" s="146"/>
      <c r="H172" s="146"/>
      <c r="I172" s="146"/>
      <c r="J172" s="146"/>
      <c r="K172" s="147"/>
    </row>
    <row r="173" spans="1:18" s="62" customFormat="1" ht="15" x14ac:dyDescent="0.25">
      <c r="A173" s="114"/>
      <c r="B173" s="114"/>
      <c r="C173" s="114"/>
      <c r="D173" s="148"/>
      <c r="E173" s="148"/>
      <c r="F173" s="148"/>
      <c r="G173" s="148"/>
      <c r="H173" s="148"/>
      <c r="I173" s="148"/>
      <c r="J173" s="148"/>
      <c r="K173" s="147"/>
    </row>
    <row r="174" spans="1:18" s="62" customFormat="1" ht="15" x14ac:dyDescent="0.25">
      <c r="A174" s="114" t="s">
        <v>227</v>
      </c>
      <c r="B174" s="114"/>
      <c r="C174" s="114"/>
      <c r="D174" s="114"/>
      <c r="E174" s="114"/>
      <c r="F174" s="114"/>
      <c r="G174" s="114"/>
      <c r="H174" s="114"/>
      <c r="I174" s="114"/>
      <c r="J174" s="114"/>
      <c r="M174" s="144"/>
      <c r="N174" s="144"/>
      <c r="O174" s="144"/>
      <c r="P174" s="144"/>
      <c r="Q174" s="144"/>
      <c r="R174" s="144"/>
    </row>
    <row r="175" spans="1:18" s="62" customFormat="1" ht="15.75" thickBot="1" x14ac:dyDescent="0.3">
      <c r="A175" s="136"/>
      <c r="B175" s="136"/>
      <c r="C175" s="136"/>
      <c r="D175" s="362"/>
      <c r="E175" s="362"/>
      <c r="F175" s="362"/>
      <c r="G175" s="85"/>
      <c r="H175" s="85"/>
      <c r="J175" s="65" t="s">
        <v>161</v>
      </c>
      <c r="M175" s="144"/>
      <c r="N175" s="144"/>
      <c r="O175" s="144"/>
      <c r="P175" s="144"/>
      <c r="Q175" s="144"/>
      <c r="R175" s="144"/>
    </row>
    <row r="176" spans="1:18" s="62" customFormat="1" ht="15.75" thickBot="1" x14ac:dyDescent="0.3">
      <c r="A176" s="88" t="s">
        <v>213</v>
      </c>
      <c r="B176" s="88"/>
      <c r="C176" s="67">
        <v>1998</v>
      </c>
      <c r="D176" s="67">
        <v>1999</v>
      </c>
      <c r="E176" s="67">
        <v>2000</v>
      </c>
      <c r="F176" s="67">
        <v>2001</v>
      </c>
      <c r="G176" s="67">
        <v>2002</v>
      </c>
      <c r="H176" s="67">
        <v>2003</v>
      </c>
      <c r="I176" s="67">
        <v>2004</v>
      </c>
      <c r="J176" s="67">
        <v>2005</v>
      </c>
      <c r="K176" s="67">
        <v>2006</v>
      </c>
      <c r="L176" s="67">
        <v>2007</v>
      </c>
      <c r="M176" s="67" t="s">
        <v>323</v>
      </c>
      <c r="N176" s="67" t="s">
        <v>322</v>
      </c>
      <c r="P176" s="144"/>
      <c r="Q176" s="144"/>
    </row>
    <row r="177" spans="1:18" s="62" customFormat="1" ht="15" x14ac:dyDescent="0.25">
      <c r="A177" s="145" t="s">
        <v>228</v>
      </c>
      <c r="B177" s="85"/>
      <c r="C177" s="85"/>
      <c r="F177" s="105">
        <f t="shared" ref="F177:K177" si="63">F170</f>
        <v>647670</v>
      </c>
      <c r="G177" s="105">
        <f t="shared" si="63"/>
        <v>814566</v>
      </c>
      <c r="H177" s="105">
        <f t="shared" si="63"/>
        <v>1134162</v>
      </c>
      <c r="I177" s="105">
        <f t="shared" si="63"/>
        <v>1395649</v>
      </c>
      <c r="J177" s="105">
        <f t="shared" si="63"/>
        <v>1294078</v>
      </c>
      <c r="K177" s="105">
        <f t="shared" si="63"/>
        <v>1432663</v>
      </c>
      <c r="L177" s="105">
        <v>1364933</v>
      </c>
      <c r="M177" s="105">
        <v>2868999.260613244</v>
      </c>
      <c r="N177" s="105">
        <v>3143863.8939110152</v>
      </c>
      <c r="P177" s="144"/>
      <c r="Q177" s="144"/>
    </row>
    <row r="178" spans="1:18" s="62" customFormat="1" ht="15" x14ac:dyDescent="0.25">
      <c r="A178" s="75" t="s">
        <v>229</v>
      </c>
      <c r="B178" s="85"/>
      <c r="C178" s="85"/>
      <c r="F178" s="76">
        <v>1021287</v>
      </c>
      <c r="G178" s="76">
        <v>1125127</v>
      </c>
      <c r="H178" s="76">
        <v>1211289</v>
      </c>
      <c r="I178" s="76">
        <v>1364642</v>
      </c>
      <c r="J178" s="76">
        <v>1605718</v>
      </c>
      <c r="K178" s="76">
        <v>1839619</v>
      </c>
      <c r="L178" s="76">
        <v>2053837</v>
      </c>
      <c r="M178" s="76">
        <v>2302301.5396446362</v>
      </c>
      <c r="N178" s="76">
        <v>2475029.9168715556</v>
      </c>
      <c r="P178" s="144"/>
      <c r="Q178" s="144"/>
    </row>
    <row r="179" spans="1:18" s="62" customFormat="1" ht="15" x14ac:dyDescent="0.25">
      <c r="A179" s="75" t="s">
        <v>230</v>
      </c>
      <c r="B179" s="85"/>
      <c r="C179" s="85"/>
      <c r="F179" s="76">
        <v>335078</v>
      </c>
      <c r="G179" s="76">
        <v>343458</v>
      </c>
      <c r="H179" s="76">
        <v>372019</v>
      </c>
      <c r="I179" s="76">
        <v>319852</v>
      </c>
      <c r="J179" s="76">
        <v>714892</v>
      </c>
      <c r="K179" s="76">
        <v>6635983</v>
      </c>
      <c r="L179" s="76">
        <v>1148994</v>
      </c>
      <c r="M179" s="76">
        <v>757533</v>
      </c>
      <c r="N179" s="76">
        <v>743501.1948434459</v>
      </c>
      <c r="P179" s="144"/>
      <c r="Q179" s="144"/>
    </row>
    <row r="180" spans="1:18" s="62" customFormat="1" ht="15" x14ac:dyDescent="0.25">
      <c r="A180" s="72" t="s">
        <v>231</v>
      </c>
      <c r="B180" s="136"/>
      <c r="C180" s="136"/>
      <c r="F180" s="73">
        <v>2004035</v>
      </c>
      <c r="G180" s="73">
        <v>2283151</v>
      </c>
      <c r="H180" s="73">
        <v>2717469</v>
      </c>
      <c r="I180" s="73">
        <v>3080143</v>
      </c>
      <c r="J180" s="73">
        <v>3614688</v>
      </c>
      <c r="K180" s="73">
        <v>8146371</v>
      </c>
      <c r="L180" s="73">
        <v>4567764</v>
      </c>
      <c r="M180" s="73">
        <v>5928833.8002578802</v>
      </c>
      <c r="N180" s="73">
        <v>6362395.0056260163</v>
      </c>
      <c r="P180" s="144"/>
      <c r="Q180" s="144"/>
    </row>
    <row r="181" spans="1:18" s="62" customFormat="1" ht="15" x14ac:dyDescent="0.25">
      <c r="A181" s="75" t="s">
        <v>232</v>
      </c>
      <c r="B181" s="85"/>
      <c r="C181" s="85"/>
      <c r="F181" s="76">
        <v>40643</v>
      </c>
      <c r="G181" s="76">
        <v>44596</v>
      </c>
      <c r="H181" s="76">
        <v>43387</v>
      </c>
      <c r="I181" s="76">
        <v>57845</v>
      </c>
      <c r="J181" s="76">
        <v>64405</v>
      </c>
      <c r="K181" s="76">
        <v>74292</v>
      </c>
      <c r="L181" s="76">
        <v>90728</v>
      </c>
      <c r="M181" s="76">
        <v>106943</v>
      </c>
      <c r="N181" s="76">
        <v>152251.78998884425</v>
      </c>
      <c r="P181" s="144"/>
      <c r="Q181" s="144"/>
    </row>
    <row r="182" spans="1:18" s="62" customFormat="1" ht="15" x14ac:dyDescent="0.25">
      <c r="A182" s="75" t="s">
        <v>233</v>
      </c>
      <c r="B182" s="85"/>
      <c r="C182" s="85"/>
      <c r="F182" s="76">
        <v>1547100</v>
      </c>
      <c r="G182" s="76">
        <v>1750816</v>
      </c>
      <c r="H182" s="76">
        <v>2277151</v>
      </c>
      <c r="I182" s="76">
        <v>3095522</v>
      </c>
      <c r="J182" s="76">
        <v>3936683</v>
      </c>
      <c r="K182" s="76">
        <v>4883490</v>
      </c>
      <c r="L182" s="76">
        <v>6119013</v>
      </c>
      <c r="M182" s="76">
        <v>7274314</v>
      </c>
      <c r="N182" s="76">
        <v>8020969.6543097291</v>
      </c>
      <c r="P182" s="144"/>
      <c r="Q182" s="144"/>
    </row>
    <row r="183" spans="1:18" s="62" customFormat="1" ht="15" x14ac:dyDescent="0.25">
      <c r="A183" s="75" t="s">
        <v>234</v>
      </c>
      <c r="B183" s="85"/>
      <c r="C183" s="85"/>
      <c r="F183" s="76">
        <v>416293</v>
      </c>
      <c r="G183" s="76">
        <v>487739</v>
      </c>
      <c r="H183" s="76">
        <v>396931</v>
      </c>
      <c r="I183" s="76">
        <v>-73224</v>
      </c>
      <c r="J183" s="76">
        <v>-386401</v>
      </c>
      <c r="K183" s="76">
        <v>3188589</v>
      </c>
      <c r="L183" s="76">
        <v>-1641977</v>
      </c>
      <c r="M183" s="76">
        <v>-1452423.1997421198</v>
      </c>
      <c r="N183" s="76">
        <v>-1810826.4386725575</v>
      </c>
      <c r="P183" s="144"/>
      <c r="Q183" s="144"/>
    </row>
    <row r="184" spans="1:18" s="62" customFormat="1" ht="15.75" thickBot="1" x14ac:dyDescent="0.3">
      <c r="A184" s="93" t="s">
        <v>235</v>
      </c>
      <c r="B184" s="136"/>
      <c r="C184" s="136"/>
      <c r="F184" s="134">
        <v>2004035</v>
      </c>
      <c r="G184" s="134">
        <v>2283151</v>
      </c>
      <c r="H184" s="134">
        <v>2717469</v>
      </c>
      <c r="I184" s="134">
        <v>3080143</v>
      </c>
      <c r="J184" s="134">
        <v>3614688</v>
      </c>
      <c r="K184" s="134">
        <v>8146371</v>
      </c>
      <c r="L184" s="134">
        <v>4567764</v>
      </c>
      <c r="M184" s="134">
        <v>5928833.8002578802</v>
      </c>
      <c r="N184" s="134">
        <v>6362395.0056260163</v>
      </c>
      <c r="P184" s="144"/>
      <c r="Q184" s="144"/>
    </row>
    <row r="185" spans="1:18" s="62" customFormat="1" ht="15" x14ac:dyDescent="0.25">
      <c r="E185" s="96"/>
      <c r="F185" s="96"/>
      <c r="G185" s="96"/>
      <c r="H185" s="80"/>
      <c r="I185" s="80"/>
      <c r="J185" s="80"/>
      <c r="M185" s="144"/>
      <c r="N185" s="144"/>
      <c r="O185" s="144"/>
      <c r="P185" s="144"/>
      <c r="Q185" s="144"/>
      <c r="R185" s="144"/>
    </row>
    <row r="186" spans="1:18" s="62" customFormat="1" ht="15" x14ac:dyDescent="0.25">
      <c r="A186" s="114"/>
      <c r="B186" s="114"/>
      <c r="C186" s="114"/>
      <c r="M186" s="144"/>
      <c r="N186" s="144"/>
      <c r="O186" s="144"/>
      <c r="P186" s="144"/>
      <c r="Q186" s="144"/>
      <c r="R186" s="144"/>
    </row>
    <row r="187" spans="1:18" s="62" customFormat="1" ht="15" x14ac:dyDescent="0.25">
      <c r="A187" s="61" t="s">
        <v>236</v>
      </c>
      <c r="B187" s="61"/>
      <c r="C187" s="61"/>
      <c r="D187" s="61"/>
      <c r="E187" s="61"/>
      <c r="F187" s="61"/>
      <c r="G187" s="61"/>
      <c r="H187" s="61"/>
      <c r="I187" s="61"/>
      <c r="J187" s="61"/>
    </row>
    <row r="188" spans="1:18" s="62" customFormat="1" ht="15.75" thickBot="1" x14ac:dyDescent="0.3">
      <c r="A188" s="85"/>
      <c r="B188" s="85"/>
      <c r="C188" s="85"/>
      <c r="L188" s="65" t="s">
        <v>161</v>
      </c>
    </row>
    <row r="189" spans="1:18" s="62" customFormat="1" ht="15.75" thickBot="1" x14ac:dyDescent="0.3">
      <c r="A189" s="90" t="s">
        <v>213</v>
      </c>
      <c r="B189" s="88"/>
      <c r="C189" s="67">
        <v>1998</v>
      </c>
      <c r="D189" s="67">
        <v>1999</v>
      </c>
      <c r="E189" s="67">
        <v>2000</v>
      </c>
      <c r="F189" s="119">
        <v>2001</v>
      </c>
      <c r="G189" s="119">
        <v>2002</v>
      </c>
      <c r="H189" s="119">
        <v>2003</v>
      </c>
      <c r="I189" s="119">
        <v>2004</v>
      </c>
      <c r="J189" s="119">
        <v>2005</v>
      </c>
      <c r="K189" s="119">
        <v>2006</v>
      </c>
      <c r="L189" s="119" t="s">
        <v>312</v>
      </c>
      <c r="M189" s="119" t="s">
        <v>323</v>
      </c>
      <c r="N189" s="119" t="s">
        <v>322</v>
      </c>
    </row>
    <row r="190" spans="1:18" s="62" customFormat="1" ht="15" x14ac:dyDescent="0.25">
      <c r="A190" s="145" t="s">
        <v>237</v>
      </c>
      <c r="B190" s="85"/>
      <c r="C190" s="85"/>
      <c r="F190" s="105">
        <v>8488274</v>
      </c>
      <c r="G190" s="105">
        <v>9739934</v>
      </c>
      <c r="H190" s="105">
        <v>11275355</v>
      </c>
      <c r="I190" s="105">
        <v>12972592</v>
      </c>
      <c r="J190" s="105">
        <v>14597768</v>
      </c>
      <c r="K190" s="105">
        <v>16278225</v>
      </c>
      <c r="L190" s="137">
        <v>18989844</v>
      </c>
      <c r="M190" s="113">
        <v>22424837</v>
      </c>
      <c r="N190" s="113">
        <v>25510287</v>
      </c>
    </row>
    <row r="191" spans="1:18" s="62" customFormat="1" ht="15" x14ac:dyDescent="0.25">
      <c r="A191" s="75" t="s">
        <v>238</v>
      </c>
      <c r="B191" s="85"/>
      <c r="C191" s="85"/>
      <c r="F191" s="76">
        <v>-38939</v>
      </c>
      <c r="G191" s="76">
        <v>-21788</v>
      </c>
      <c r="H191" s="76">
        <v>-45340</v>
      </c>
      <c r="I191" s="76">
        <v>-193957</v>
      </c>
      <c r="J191" s="76">
        <v>-211431</v>
      </c>
      <c r="K191" s="76">
        <f>K192-K193</f>
        <v>-80733.187341557379</v>
      </c>
      <c r="L191" s="76">
        <f>L192-L193</f>
        <v>-72884.280833499899</v>
      </c>
      <c r="M191" s="113">
        <v>-141282</v>
      </c>
      <c r="N191" s="113">
        <v>-97865.574514966167</v>
      </c>
    </row>
    <row r="192" spans="1:18" s="62" customFormat="1" ht="15" x14ac:dyDescent="0.25">
      <c r="A192" s="75" t="s">
        <v>239</v>
      </c>
      <c r="B192" s="85"/>
      <c r="C192" s="85"/>
      <c r="F192" s="76">
        <v>71925</v>
      </c>
      <c r="G192" s="76">
        <v>65570</v>
      </c>
      <c r="H192" s="76">
        <v>90725</v>
      </c>
      <c r="I192" s="76">
        <v>88631</v>
      </c>
      <c r="J192" s="76">
        <v>91323</v>
      </c>
      <c r="K192" s="113">
        <v>100754.93888764462</v>
      </c>
      <c r="L192" s="84">
        <v>109814.62072017511</v>
      </c>
      <c r="M192" s="113">
        <v>145481</v>
      </c>
      <c r="N192" s="113">
        <v>205069.85174096585</v>
      </c>
    </row>
    <row r="193" spans="1:18" s="62" customFormat="1" ht="15" x14ac:dyDescent="0.25">
      <c r="A193" s="75" t="s">
        <v>240</v>
      </c>
      <c r="B193" s="85"/>
      <c r="C193" s="85"/>
      <c r="F193" s="76">
        <v>110864</v>
      </c>
      <c r="G193" s="76">
        <v>87358</v>
      </c>
      <c r="H193" s="76">
        <v>136065</v>
      </c>
      <c r="I193" s="76">
        <v>282588</v>
      </c>
      <c r="J193" s="76">
        <v>302754</v>
      </c>
      <c r="K193" s="113">
        <v>181488.126229202</v>
      </c>
      <c r="L193" s="84">
        <v>182698.90155367501</v>
      </c>
      <c r="M193" s="113">
        <v>286763</v>
      </c>
      <c r="N193" s="113">
        <v>302935.42625593202</v>
      </c>
    </row>
    <row r="194" spans="1:18" s="62" customFormat="1" ht="15" x14ac:dyDescent="0.25">
      <c r="A194" s="72" t="s">
        <v>241</v>
      </c>
      <c r="B194" s="136"/>
      <c r="C194" s="136"/>
      <c r="F194" s="73">
        <v>8449335</v>
      </c>
      <c r="G194" s="73">
        <v>9718146</v>
      </c>
      <c r="H194" s="73">
        <v>11230015</v>
      </c>
      <c r="I194" s="73">
        <v>12778635</v>
      </c>
      <c r="J194" s="73">
        <v>14386337</v>
      </c>
      <c r="K194" s="149">
        <f>K190+K191</f>
        <v>16197491.812658442</v>
      </c>
      <c r="L194" s="149">
        <f>L190+L191</f>
        <v>18916959.719166499</v>
      </c>
      <c r="M194" s="149">
        <f>M190+M191</f>
        <v>22283555</v>
      </c>
      <c r="N194" s="149">
        <f>N190+N191</f>
        <v>25412421.425485034</v>
      </c>
    </row>
    <row r="195" spans="1:18" s="62" customFormat="1" ht="15" x14ac:dyDescent="0.25">
      <c r="A195" s="75" t="s">
        <v>242</v>
      </c>
      <c r="B195" s="85"/>
      <c r="C195" s="85"/>
      <c r="F195" s="76">
        <v>1021287</v>
      </c>
      <c r="G195" s="76">
        <v>1125127</v>
      </c>
      <c r="H195" s="76">
        <v>1211289</v>
      </c>
      <c r="I195" s="76">
        <v>1364642</v>
      </c>
      <c r="J195" s="76">
        <v>1605718</v>
      </c>
      <c r="K195" s="76">
        <v>1839619</v>
      </c>
      <c r="L195" s="84">
        <v>2053837</v>
      </c>
      <c r="M195" s="113">
        <v>2302301.5396446362</v>
      </c>
      <c r="N195" s="113">
        <v>2475029.9168715556</v>
      </c>
    </row>
    <row r="196" spans="1:18" s="62" customFormat="1" ht="15" x14ac:dyDescent="0.25">
      <c r="A196" s="72" t="s">
        <v>243</v>
      </c>
      <c r="B196" s="136"/>
      <c r="C196" s="136"/>
      <c r="F196" s="73">
        <v>7428048</v>
      </c>
      <c r="G196" s="73">
        <v>8593019</v>
      </c>
      <c r="H196" s="73">
        <v>10018726</v>
      </c>
      <c r="I196" s="73">
        <v>11413993</v>
      </c>
      <c r="J196" s="73">
        <v>12780619</v>
      </c>
      <c r="K196" s="73">
        <f>K194-K195</f>
        <v>14357872.812658442</v>
      </c>
      <c r="L196" s="73">
        <f>L194-L195</f>
        <v>16863122.719166499</v>
      </c>
      <c r="M196" s="73">
        <f>M194-M195</f>
        <v>19981253.460355364</v>
      </c>
      <c r="N196" s="73">
        <f>N194-N195</f>
        <v>22937391.508613478</v>
      </c>
    </row>
    <row r="197" spans="1:18" s="62" customFormat="1" ht="15" x14ac:dyDescent="0.25">
      <c r="A197" s="75" t="s">
        <v>244</v>
      </c>
      <c r="B197" s="85"/>
      <c r="C197" s="85"/>
      <c r="F197" s="76">
        <v>509384</v>
      </c>
      <c r="G197" s="76">
        <v>402071</v>
      </c>
      <c r="H197" s="76">
        <v>584611</v>
      </c>
      <c r="I197" s="76">
        <v>697093</v>
      </c>
      <c r="J197" s="76">
        <v>532359</v>
      </c>
      <c r="K197" s="84">
        <f>K198-K199</f>
        <v>751840</v>
      </c>
      <c r="L197" s="84">
        <f>L198-L199</f>
        <v>852988</v>
      </c>
      <c r="M197" s="113">
        <v>748946</v>
      </c>
      <c r="N197" s="113">
        <v>907682.80856449134</v>
      </c>
    </row>
    <row r="198" spans="1:18" s="62" customFormat="1" ht="15" x14ac:dyDescent="0.25">
      <c r="A198" s="75" t="s">
        <v>245</v>
      </c>
      <c r="B198" s="85"/>
      <c r="C198" s="85"/>
      <c r="F198" s="76">
        <v>574982</v>
      </c>
      <c r="G198" s="76">
        <v>461323</v>
      </c>
      <c r="H198" s="76">
        <v>650039</v>
      </c>
      <c r="I198" s="76">
        <v>767956</v>
      </c>
      <c r="J198" s="76">
        <v>608556</v>
      </c>
      <c r="K198" s="76">
        <v>834399</v>
      </c>
      <c r="L198" s="84">
        <v>950919</v>
      </c>
      <c r="M198" s="113">
        <v>844823</v>
      </c>
      <c r="N198" s="113">
        <v>1007751.2533638163</v>
      </c>
    </row>
    <row r="199" spans="1:18" s="62" customFormat="1" ht="15" x14ac:dyDescent="0.25">
      <c r="A199" s="75" t="s">
        <v>246</v>
      </c>
      <c r="B199" s="85"/>
      <c r="C199" s="85"/>
      <c r="F199" s="76">
        <v>65598</v>
      </c>
      <c r="G199" s="76">
        <v>59252</v>
      </c>
      <c r="H199" s="76">
        <v>65428</v>
      </c>
      <c r="I199" s="76">
        <v>70863</v>
      </c>
      <c r="J199" s="76">
        <v>76196</v>
      </c>
      <c r="K199" s="76">
        <v>82559</v>
      </c>
      <c r="L199" s="84">
        <v>97931</v>
      </c>
      <c r="M199" s="113">
        <v>95877</v>
      </c>
      <c r="N199" s="113">
        <v>100068.44479932501</v>
      </c>
    </row>
    <row r="200" spans="1:18" s="62" customFormat="1" ht="15" x14ac:dyDescent="0.25">
      <c r="A200" s="72" t="s">
        <v>247</v>
      </c>
      <c r="B200" s="136"/>
      <c r="C200" s="136"/>
      <c r="F200" s="73">
        <v>7937432</v>
      </c>
      <c r="G200" s="73">
        <v>8995090</v>
      </c>
      <c r="H200" s="73">
        <v>10603337</v>
      </c>
      <c r="I200" s="73">
        <v>12111086</v>
      </c>
      <c r="J200" s="73">
        <v>13312979</v>
      </c>
      <c r="K200" s="73">
        <f>K196+K197</f>
        <v>15109712.812658442</v>
      </c>
      <c r="L200" s="73">
        <f>L196+L197</f>
        <v>17716110.719166499</v>
      </c>
      <c r="M200" s="73">
        <f>M196+M197</f>
        <v>20730199.460355364</v>
      </c>
      <c r="N200" s="73">
        <f>N196+N197</f>
        <v>23845074.31717797</v>
      </c>
    </row>
    <row r="201" spans="1:18" s="62" customFormat="1" ht="15" x14ac:dyDescent="0.25">
      <c r="A201" s="72" t="s">
        <v>248</v>
      </c>
      <c r="B201" s="136"/>
      <c r="C201" s="136"/>
      <c r="F201" s="150">
        <f t="shared" ref="F201:L201" si="64">F200+F178</f>
        <v>8958719</v>
      </c>
      <c r="G201" s="150">
        <f t="shared" si="64"/>
        <v>10120217</v>
      </c>
      <c r="H201" s="150">
        <f t="shared" si="64"/>
        <v>11814626</v>
      </c>
      <c r="I201" s="150">
        <f t="shared" si="64"/>
        <v>13475728</v>
      </c>
      <c r="J201" s="150">
        <f t="shared" si="64"/>
        <v>14918697</v>
      </c>
      <c r="K201" s="150">
        <f t="shared" si="64"/>
        <v>16949331.812658444</v>
      </c>
      <c r="L201" s="150">
        <f t="shared" si="64"/>
        <v>19769947.719166499</v>
      </c>
      <c r="M201" s="150">
        <f>M200+M178</f>
        <v>23032501</v>
      </c>
      <c r="N201" s="150">
        <f>N200+N178</f>
        <v>26320104.234049525</v>
      </c>
    </row>
    <row r="202" spans="1:18" s="62" customFormat="1" ht="15.75" thickBot="1" x14ac:dyDescent="0.3">
      <c r="A202" s="93" t="s">
        <v>249</v>
      </c>
      <c r="B202" s="136"/>
      <c r="C202" s="136"/>
      <c r="F202" s="151">
        <f t="shared" ref="F202:L202" si="65">F194</f>
        <v>8449335</v>
      </c>
      <c r="G202" s="151">
        <f t="shared" si="65"/>
        <v>9718146</v>
      </c>
      <c r="H202" s="151">
        <f t="shared" si="65"/>
        <v>11230015</v>
      </c>
      <c r="I202" s="151">
        <f t="shared" si="65"/>
        <v>12778635</v>
      </c>
      <c r="J202" s="151">
        <f t="shared" si="65"/>
        <v>14386337</v>
      </c>
      <c r="K202" s="151">
        <f t="shared" si="65"/>
        <v>16197491.812658442</v>
      </c>
      <c r="L202" s="151">
        <f t="shared" si="65"/>
        <v>18916959.719166499</v>
      </c>
      <c r="M202" s="151">
        <f>M194</f>
        <v>22283555</v>
      </c>
      <c r="N202" s="151">
        <f>N194</f>
        <v>25412421.425485034</v>
      </c>
    </row>
    <row r="203" spans="1:18" s="62" customFormat="1" ht="15" x14ac:dyDescent="0.25">
      <c r="A203" s="152"/>
      <c r="B203" s="152"/>
      <c r="C203" s="152"/>
      <c r="D203" s="153"/>
      <c r="E203" s="153"/>
      <c r="F203" s="153"/>
      <c r="G203" s="153"/>
      <c r="H203" s="153"/>
      <c r="I203" s="153"/>
      <c r="J203" s="153"/>
    </row>
    <row r="204" spans="1:18" s="62" customFormat="1" ht="15" x14ac:dyDescent="0.25">
      <c r="A204" s="114"/>
      <c r="B204" s="114"/>
      <c r="C204" s="114"/>
      <c r="D204" s="154"/>
      <c r="E204" s="154"/>
      <c r="F204" s="154"/>
      <c r="G204" s="144"/>
      <c r="H204" s="144"/>
      <c r="I204" s="144"/>
      <c r="J204" s="144"/>
    </row>
    <row r="205" spans="1:18" s="62" customFormat="1" ht="15" x14ac:dyDescent="0.25">
      <c r="A205" s="114" t="s">
        <v>250</v>
      </c>
      <c r="B205" s="114"/>
      <c r="C205" s="114"/>
      <c r="D205" s="114"/>
      <c r="E205" s="114"/>
      <c r="F205" s="114"/>
      <c r="G205" s="114"/>
      <c r="H205" s="114"/>
      <c r="I205" s="114"/>
      <c r="J205" s="114"/>
    </row>
    <row r="206" spans="1:18" s="62" customFormat="1" ht="15.75" thickBot="1" x14ac:dyDescent="0.3">
      <c r="A206" s="85"/>
      <c r="B206" s="85"/>
      <c r="C206" s="85"/>
      <c r="F206" s="85"/>
      <c r="G206" s="85"/>
      <c r="H206" s="85"/>
      <c r="I206" s="85"/>
      <c r="J206" s="85"/>
      <c r="K206" s="65"/>
      <c r="L206" s="65" t="s">
        <v>161</v>
      </c>
    </row>
    <row r="207" spans="1:18" s="62" customFormat="1" ht="16.5" thickBot="1" x14ac:dyDescent="0.3">
      <c r="A207" s="90" t="s">
        <v>213</v>
      </c>
      <c r="B207" s="88"/>
      <c r="C207" s="67">
        <v>1998</v>
      </c>
      <c r="D207" s="67">
        <v>1999</v>
      </c>
      <c r="E207" s="67">
        <v>2000</v>
      </c>
      <c r="F207" s="119">
        <v>2001</v>
      </c>
      <c r="G207" s="119">
        <v>2002</v>
      </c>
      <c r="H207" s="119">
        <v>2003</v>
      </c>
      <c r="I207" s="119">
        <v>2004</v>
      </c>
      <c r="J207" s="119">
        <v>2005</v>
      </c>
      <c r="K207" s="119">
        <v>2006</v>
      </c>
      <c r="L207" s="119" t="s">
        <v>312</v>
      </c>
      <c r="M207" s="345" t="s">
        <v>323</v>
      </c>
      <c r="N207" s="345" t="s">
        <v>322</v>
      </c>
      <c r="Q207" s="338"/>
      <c r="R207" s="339"/>
    </row>
    <row r="208" spans="1:18" s="62" customFormat="1" ht="15" x14ac:dyDescent="0.25">
      <c r="A208" s="145" t="s">
        <v>251</v>
      </c>
      <c r="B208" s="85"/>
      <c r="C208" s="85"/>
      <c r="F208" s="105">
        <v>1547643</v>
      </c>
      <c r="G208" s="105">
        <v>1836223</v>
      </c>
      <c r="H208" s="105">
        <v>2247385</v>
      </c>
      <c r="I208" s="105">
        <v>2745597</v>
      </c>
      <c r="J208" s="105">
        <v>3324424</v>
      </c>
      <c r="K208" s="105">
        <f>K210+K209</f>
        <v>4047990</v>
      </c>
      <c r="L208" s="105">
        <f>L210+L209</f>
        <v>5095773</v>
      </c>
      <c r="M208" s="105">
        <f>M210+M209</f>
        <v>6230730</v>
      </c>
      <c r="N208" s="105">
        <f>N210+N209</f>
        <v>6553198.2323983535</v>
      </c>
      <c r="Q208" s="341"/>
      <c r="R208" s="340"/>
    </row>
    <row r="209" spans="1:18" s="62" customFormat="1" ht="15" x14ac:dyDescent="0.25">
      <c r="A209" s="75" t="s">
        <v>252</v>
      </c>
      <c r="B209" s="85"/>
      <c r="C209" s="85"/>
      <c r="F209" s="76">
        <v>746080</v>
      </c>
      <c r="G209" s="76">
        <v>946834</v>
      </c>
      <c r="H209" s="76">
        <v>1263064</v>
      </c>
      <c r="I209" s="76">
        <v>1551554</v>
      </c>
      <c r="J209" s="76">
        <v>1891705</v>
      </c>
      <c r="K209" s="76">
        <v>2176987</v>
      </c>
      <c r="L209" s="84">
        <v>2762367</v>
      </c>
      <c r="M209" s="238">
        <v>3636824</v>
      </c>
      <c r="N209" s="84">
        <v>3833992.3698745281</v>
      </c>
      <c r="Q209" s="346"/>
      <c r="R209" s="340"/>
    </row>
    <row r="210" spans="1:18" s="62" customFormat="1" ht="15" x14ac:dyDescent="0.25">
      <c r="A210" s="75" t="s">
        <v>253</v>
      </c>
      <c r="B210" s="85"/>
      <c r="C210" s="85"/>
      <c r="F210" s="76">
        <v>801564</v>
      </c>
      <c r="G210" s="76">
        <v>889389</v>
      </c>
      <c r="H210" s="76">
        <v>984321</v>
      </c>
      <c r="I210" s="76">
        <v>1194042</v>
      </c>
      <c r="J210" s="76">
        <v>1432720</v>
      </c>
      <c r="K210" s="76">
        <v>1871003</v>
      </c>
      <c r="L210" s="84">
        <v>2333406</v>
      </c>
      <c r="M210" s="238">
        <v>2593906</v>
      </c>
      <c r="N210" s="84">
        <v>2719205.8625238249</v>
      </c>
      <c r="Q210" s="346"/>
      <c r="R210" s="340"/>
    </row>
    <row r="211" spans="1:18" s="62" customFormat="1" ht="15" x14ac:dyDescent="0.25">
      <c r="A211" s="75" t="s">
        <v>254</v>
      </c>
      <c r="B211" s="85"/>
      <c r="C211" s="85"/>
      <c r="F211" s="76">
        <v>71925</v>
      </c>
      <c r="G211" s="76">
        <v>65570</v>
      </c>
      <c r="H211" s="76">
        <v>90725</v>
      </c>
      <c r="I211" s="76">
        <v>88631</v>
      </c>
      <c r="J211" s="76">
        <v>91323</v>
      </c>
      <c r="K211" s="76">
        <v>100755</v>
      </c>
      <c r="L211" s="84">
        <v>109815</v>
      </c>
      <c r="M211" s="84">
        <v>145481</v>
      </c>
      <c r="N211" s="84">
        <v>205069.85174096585</v>
      </c>
      <c r="Q211" s="346"/>
      <c r="R211" s="340"/>
    </row>
    <row r="212" spans="1:18" s="62" customFormat="1" ht="15" x14ac:dyDescent="0.25">
      <c r="A212" s="75" t="s">
        <v>255</v>
      </c>
      <c r="B212" s="85"/>
      <c r="C212" s="85"/>
      <c r="F212" s="76">
        <v>574982</v>
      </c>
      <c r="G212" s="76">
        <v>461323</v>
      </c>
      <c r="H212" s="76">
        <v>650039</v>
      </c>
      <c r="I212" s="76">
        <v>767956</v>
      </c>
      <c r="J212" s="76">
        <v>608556</v>
      </c>
      <c r="K212" s="76">
        <v>834399</v>
      </c>
      <c r="L212" s="84">
        <v>950919</v>
      </c>
      <c r="M212" s="84">
        <v>844823</v>
      </c>
      <c r="N212" s="84">
        <v>1007751.2533638163</v>
      </c>
      <c r="Q212" s="346"/>
      <c r="R212" s="340"/>
    </row>
    <row r="213" spans="1:18" s="62" customFormat="1" ht="15" x14ac:dyDescent="0.25">
      <c r="A213" s="72" t="s">
        <v>256</v>
      </c>
      <c r="B213" s="136"/>
      <c r="C213" s="136"/>
      <c r="F213" s="73">
        <v>2194550</v>
      </c>
      <c r="G213" s="73">
        <v>2363116</v>
      </c>
      <c r="H213" s="73">
        <v>2988149</v>
      </c>
      <c r="I213" s="73">
        <v>3602183</v>
      </c>
      <c r="J213" s="73">
        <v>4024303</v>
      </c>
      <c r="K213" s="73">
        <f>K208+K211+K212</f>
        <v>4983144</v>
      </c>
      <c r="L213" s="73">
        <f>L208+L211+L212</f>
        <v>6156507</v>
      </c>
      <c r="M213" s="73">
        <f>M208+M211+M212</f>
        <v>7221034</v>
      </c>
      <c r="N213" s="73">
        <f>N208+N211+N212</f>
        <v>7766019.3375031352</v>
      </c>
      <c r="Q213" s="342"/>
      <c r="R213" s="339"/>
    </row>
    <row r="214" spans="1:18" s="62" customFormat="1" ht="15" x14ac:dyDescent="0.25">
      <c r="A214" s="75" t="s">
        <v>257</v>
      </c>
      <c r="B214" s="85"/>
      <c r="C214" s="85"/>
      <c r="F214" s="76">
        <v>1936873</v>
      </c>
      <c r="G214" s="76">
        <v>2072225</v>
      </c>
      <c r="H214" s="76">
        <v>2761744</v>
      </c>
      <c r="I214" s="76">
        <v>3641808</v>
      </c>
      <c r="J214" s="76">
        <v>4746645</v>
      </c>
      <c r="K214" s="76">
        <f>K215+K216</f>
        <v>6404597</v>
      </c>
      <c r="L214" s="76">
        <f>L215+L216</f>
        <v>7783703</v>
      </c>
      <c r="M214" s="76">
        <f>M215+M216</f>
        <v>9612093</v>
      </c>
      <c r="N214" s="76">
        <f>N215+N216</f>
        <v>9917342.8069601897</v>
      </c>
      <c r="Q214" s="341"/>
      <c r="R214" s="340"/>
    </row>
    <row r="215" spans="1:18" s="62" customFormat="1" ht="15" x14ac:dyDescent="0.25">
      <c r="A215" s="75" t="s">
        <v>258</v>
      </c>
      <c r="B215" s="85"/>
      <c r="C215" s="85"/>
      <c r="F215" s="76">
        <v>1367474</v>
      </c>
      <c r="G215" s="76">
        <v>1460825</v>
      </c>
      <c r="H215" s="76">
        <v>2008052</v>
      </c>
      <c r="I215" s="76">
        <v>2615149</v>
      </c>
      <c r="J215" s="76">
        <v>3383801</v>
      </c>
      <c r="K215" s="76">
        <v>4837467</v>
      </c>
      <c r="L215" s="84">
        <v>6025489</v>
      </c>
      <c r="M215" s="238">
        <v>7698354</v>
      </c>
      <c r="N215" s="84">
        <v>7622953.2202719701</v>
      </c>
      <c r="Q215" s="346"/>
      <c r="R215" s="340"/>
    </row>
    <row r="216" spans="1:18" s="62" customFormat="1" ht="15" x14ac:dyDescent="0.25">
      <c r="A216" s="75" t="s">
        <v>259</v>
      </c>
      <c r="B216" s="85"/>
      <c r="C216" s="85"/>
      <c r="F216" s="76">
        <v>569400</v>
      </c>
      <c r="G216" s="76">
        <v>611400</v>
      </c>
      <c r="H216" s="76">
        <v>753692</v>
      </c>
      <c r="I216" s="76">
        <v>1026659</v>
      </c>
      <c r="J216" s="76">
        <v>1362845</v>
      </c>
      <c r="K216" s="76">
        <v>1567130</v>
      </c>
      <c r="L216" s="84">
        <v>1758214</v>
      </c>
      <c r="M216" s="113">
        <v>1913739</v>
      </c>
      <c r="N216" s="84">
        <v>2294389.58668822</v>
      </c>
      <c r="Q216" s="346"/>
      <c r="R216" s="340"/>
    </row>
    <row r="217" spans="1:18" s="62" customFormat="1" ht="15" x14ac:dyDescent="0.25">
      <c r="A217" s="75" t="s">
        <v>260</v>
      </c>
      <c r="B217" s="85"/>
      <c r="C217" s="85"/>
      <c r="F217" s="76">
        <v>110864</v>
      </c>
      <c r="G217" s="76">
        <v>87358</v>
      </c>
      <c r="H217" s="76">
        <v>136065</v>
      </c>
      <c r="I217" s="76">
        <v>282588</v>
      </c>
      <c r="J217" s="76">
        <v>302754</v>
      </c>
      <c r="K217" s="113">
        <v>181488</v>
      </c>
      <c r="L217" s="84">
        <v>182699</v>
      </c>
      <c r="M217" s="84">
        <v>286763</v>
      </c>
      <c r="N217" s="84">
        <v>302935.42625593202</v>
      </c>
      <c r="Q217" s="346"/>
      <c r="R217" s="340"/>
    </row>
    <row r="218" spans="1:18" s="62" customFormat="1" ht="15" x14ac:dyDescent="0.25">
      <c r="A218" s="75" t="s">
        <v>261</v>
      </c>
      <c r="B218" s="85"/>
      <c r="C218" s="85"/>
      <c r="F218" s="132">
        <v>65598</v>
      </c>
      <c r="G218" s="132">
        <v>59252</v>
      </c>
      <c r="H218" s="132">
        <v>65428</v>
      </c>
      <c r="I218" s="132">
        <v>70863</v>
      </c>
      <c r="J218" s="132">
        <v>76196</v>
      </c>
      <c r="K218" s="132">
        <v>82559</v>
      </c>
      <c r="L218" s="84">
        <v>97931</v>
      </c>
      <c r="M218" s="84">
        <v>95877</v>
      </c>
      <c r="N218" s="84">
        <v>100068.44479932501</v>
      </c>
      <c r="Q218" s="346"/>
      <c r="R218" s="340"/>
    </row>
    <row r="219" spans="1:18" s="62" customFormat="1" ht="15.75" x14ac:dyDescent="0.25">
      <c r="A219" s="75" t="s">
        <v>262</v>
      </c>
      <c r="B219" s="85"/>
      <c r="C219" s="85"/>
      <c r="F219" s="132">
        <v>81215</v>
      </c>
      <c r="G219" s="132">
        <v>144281</v>
      </c>
      <c r="H219" s="132">
        <v>24912</v>
      </c>
      <c r="I219" s="132">
        <v>-393076</v>
      </c>
      <c r="J219" s="132">
        <v>-1101293</v>
      </c>
      <c r="K219" s="132">
        <v>-1685500</v>
      </c>
      <c r="L219" s="132">
        <v>-1907826</v>
      </c>
      <c r="M219" s="84">
        <v>-2773699</v>
      </c>
      <c r="N219" s="238">
        <v>-2554327.3405123116</v>
      </c>
      <c r="Q219" s="337"/>
      <c r="R219" s="340"/>
    </row>
    <row r="220" spans="1:18" s="62" customFormat="1" ht="15" x14ac:dyDescent="0.25">
      <c r="A220" s="72" t="s">
        <v>263</v>
      </c>
      <c r="B220" s="136"/>
      <c r="C220" s="136"/>
      <c r="F220" s="131">
        <v>2194550</v>
      </c>
      <c r="G220" s="131">
        <v>2363116</v>
      </c>
      <c r="H220" s="131">
        <v>2988149</v>
      </c>
      <c r="I220" s="131">
        <v>3602183</v>
      </c>
      <c r="J220" s="131">
        <v>4024303</v>
      </c>
      <c r="K220" s="131">
        <f>K214+K217+K218+K219</f>
        <v>4983144</v>
      </c>
      <c r="L220" s="131">
        <f>L214+L217+L218+L219</f>
        <v>6156507</v>
      </c>
      <c r="M220" s="131">
        <f>M214+M217+M218+M219</f>
        <v>7221034</v>
      </c>
      <c r="N220" s="131">
        <f>N214+N217+N218+N219</f>
        <v>7766019.3375031352</v>
      </c>
      <c r="Q220" s="343"/>
      <c r="R220" s="339"/>
    </row>
    <row r="221" spans="1:18" s="62" customFormat="1" ht="15.75" x14ac:dyDescent="0.25">
      <c r="A221" s="75" t="s">
        <v>264</v>
      </c>
      <c r="B221" s="85"/>
      <c r="C221" s="85"/>
      <c r="F221" s="132">
        <v>81215</v>
      </c>
      <c r="G221" s="132">
        <v>144281</v>
      </c>
      <c r="H221" s="132">
        <v>24912</v>
      </c>
      <c r="I221" s="132">
        <v>-393076</v>
      </c>
      <c r="J221" s="132">
        <v>-1101293</v>
      </c>
      <c r="K221" s="132">
        <v>-1685500</v>
      </c>
      <c r="L221" s="132">
        <v>-1907826</v>
      </c>
      <c r="M221" s="84">
        <v>-2773699</v>
      </c>
      <c r="N221" s="238">
        <v>-2554327.3405123116</v>
      </c>
      <c r="Q221" s="337"/>
      <c r="R221" s="340"/>
    </row>
    <row r="222" spans="1:18" s="62" customFormat="1" ht="15.75" x14ac:dyDescent="0.25">
      <c r="A222" s="75" t="s">
        <v>265</v>
      </c>
      <c r="B222" s="85"/>
      <c r="C222" s="85"/>
      <c r="F222" s="132">
        <v>335078</v>
      </c>
      <c r="G222" s="132">
        <v>343458</v>
      </c>
      <c r="H222" s="132">
        <v>372019</v>
      </c>
      <c r="I222" s="132">
        <v>319852</v>
      </c>
      <c r="J222" s="132">
        <v>714892</v>
      </c>
      <c r="K222" s="132">
        <v>5225180</v>
      </c>
      <c r="L222" s="84">
        <v>265849</v>
      </c>
      <c r="M222" s="84">
        <v>1321275.8002578802</v>
      </c>
      <c r="N222" s="238">
        <v>743500.90183975408</v>
      </c>
      <c r="Q222" s="337"/>
      <c r="R222" s="340"/>
    </row>
    <row r="223" spans="1:18" s="62" customFormat="1" ht="16.5" thickBot="1" x14ac:dyDescent="0.3">
      <c r="A223" s="93" t="s">
        <v>266</v>
      </c>
      <c r="B223" s="136"/>
      <c r="C223" s="136"/>
      <c r="F223" s="151">
        <v>416293</v>
      </c>
      <c r="G223" s="151">
        <v>487739</v>
      </c>
      <c r="H223" s="151">
        <v>396931</v>
      </c>
      <c r="I223" s="151">
        <v>-73224</v>
      </c>
      <c r="J223" s="151">
        <v>-386401</v>
      </c>
      <c r="K223" s="151">
        <v>3188589</v>
      </c>
      <c r="L223" s="151">
        <v>-1641977</v>
      </c>
      <c r="M223" s="150">
        <v>-1452423.1997421198</v>
      </c>
      <c r="N223" s="150">
        <v>-1810826.4386725575</v>
      </c>
      <c r="Q223" s="344"/>
      <c r="R223" s="339"/>
    </row>
    <row r="224" spans="1:18" s="62" customFormat="1" ht="15" x14ac:dyDescent="0.25">
      <c r="F224" s="96"/>
      <c r="G224" s="96"/>
      <c r="H224" s="96"/>
      <c r="I224" s="96"/>
      <c r="J224" s="96"/>
    </row>
    <row r="225" spans="1:14" s="62" customFormat="1" ht="15" x14ac:dyDescent="0.25">
      <c r="A225" s="114"/>
      <c r="B225" s="114"/>
      <c r="C225" s="114"/>
      <c r="G225" s="144"/>
      <c r="H225" s="144"/>
      <c r="I225" s="144"/>
      <c r="J225" s="144"/>
    </row>
    <row r="226" spans="1:14" s="62" customFormat="1" ht="15" x14ac:dyDescent="0.25">
      <c r="A226" s="114" t="s">
        <v>325</v>
      </c>
      <c r="B226" s="114"/>
      <c r="C226" s="114"/>
      <c r="D226" s="114"/>
      <c r="E226" s="114"/>
      <c r="F226" s="114"/>
      <c r="G226" s="114"/>
      <c r="H226" s="114"/>
      <c r="I226" s="114"/>
    </row>
    <row r="227" spans="1:14" s="62" customFormat="1" ht="15.75" thickBot="1" x14ac:dyDescent="0.3">
      <c r="A227" s="85"/>
      <c r="B227" s="85"/>
      <c r="C227" s="85"/>
      <c r="F227" s="85"/>
      <c r="G227" s="85"/>
      <c r="H227" s="85"/>
      <c r="I227" s="85"/>
      <c r="J227" s="85"/>
      <c r="K227" s="65"/>
      <c r="L227" s="65" t="s">
        <v>161</v>
      </c>
    </row>
    <row r="228" spans="1:14" s="62" customFormat="1" ht="15.75" thickBot="1" x14ac:dyDescent="0.3">
      <c r="A228" s="90" t="s">
        <v>213</v>
      </c>
      <c r="B228" s="88"/>
      <c r="C228" s="67">
        <v>1998</v>
      </c>
      <c r="D228" s="67">
        <v>1999</v>
      </c>
      <c r="E228" s="67">
        <v>2000</v>
      </c>
      <c r="F228" s="119">
        <v>2001</v>
      </c>
      <c r="G228" s="119">
        <v>2002</v>
      </c>
      <c r="H228" s="119">
        <v>2003</v>
      </c>
      <c r="I228" s="119">
        <v>2004</v>
      </c>
      <c r="J228" s="119">
        <v>2005</v>
      </c>
      <c r="K228" s="119">
        <v>2006</v>
      </c>
      <c r="L228" s="119" t="s">
        <v>312</v>
      </c>
      <c r="M228" s="120" t="s">
        <v>311</v>
      </c>
      <c r="N228" s="120" t="s">
        <v>322</v>
      </c>
    </row>
    <row r="229" spans="1:14" s="62" customFormat="1" ht="15" x14ac:dyDescent="0.25">
      <c r="A229" s="145" t="s">
        <v>267</v>
      </c>
      <c r="B229" s="85"/>
      <c r="C229" s="85"/>
      <c r="F229" s="156">
        <v>9100274</v>
      </c>
      <c r="G229" s="156">
        <v>10444508</v>
      </c>
      <c r="H229" s="156">
        <v>12107062</v>
      </c>
      <c r="I229" s="156">
        <v>13971593</v>
      </c>
      <c r="J229" s="156">
        <v>15965296</v>
      </c>
      <c r="K229" s="156">
        <v>17941268</v>
      </c>
      <c r="L229" s="156">
        <v>20948403</v>
      </c>
      <c r="M229" s="130">
        <v>24754457</v>
      </c>
      <c r="N229" s="76">
        <v>28212646</v>
      </c>
    </row>
    <row r="230" spans="1:14" s="62" customFormat="1" ht="15" x14ac:dyDescent="0.25">
      <c r="A230" s="75" t="s">
        <v>268</v>
      </c>
      <c r="B230" s="85"/>
      <c r="C230" s="85"/>
      <c r="F230" s="76">
        <v>-38939</v>
      </c>
      <c r="G230" s="76">
        <v>-21788</v>
      </c>
      <c r="H230" s="76">
        <v>-45340</v>
      </c>
      <c r="I230" s="76">
        <v>-193957</v>
      </c>
      <c r="J230" s="76">
        <v>-211431</v>
      </c>
      <c r="K230" s="76">
        <v>-80733.187341557379</v>
      </c>
      <c r="L230" s="76">
        <v>-72884.280833499899</v>
      </c>
      <c r="M230" s="92">
        <v>-141283</v>
      </c>
      <c r="N230" s="76">
        <v>-97865.574514966167</v>
      </c>
    </row>
    <row r="231" spans="1:14" s="62" customFormat="1" ht="15" x14ac:dyDescent="0.25">
      <c r="A231" s="72" t="s">
        <v>269</v>
      </c>
      <c r="B231" s="136"/>
      <c r="C231" s="136"/>
      <c r="F231" s="73">
        <v>9061335</v>
      </c>
      <c r="G231" s="73">
        <v>10422720</v>
      </c>
      <c r="H231" s="73">
        <v>12061722</v>
      </c>
      <c r="I231" s="73">
        <v>13777636</v>
      </c>
      <c r="J231" s="73">
        <v>15753865</v>
      </c>
      <c r="K231" s="73">
        <f>K229+K230</f>
        <v>17860534.812658444</v>
      </c>
      <c r="L231" s="73">
        <f>L229+L230</f>
        <v>20875518.719166499</v>
      </c>
      <c r="M231" s="74">
        <f>M229+M230</f>
        <v>24613174</v>
      </c>
      <c r="N231" s="74">
        <f>N229+N230</f>
        <v>28114780.425485034</v>
      </c>
    </row>
    <row r="232" spans="1:14" s="62" customFormat="1" ht="15" x14ac:dyDescent="0.25">
      <c r="A232" s="75" t="s">
        <v>242</v>
      </c>
      <c r="B232" s="85"/>
      <c r="C232" s="85"/>
      <c r="F232" s="132">
        <v>1021287</v>
      </c>
      <c r="G232" s="132">
        <v>1125127</v>
      </c>
      <c r="H232" s="132">
        <v>1211289</v>
      </c>
      <c r="I232" s="132">
        <v>1364642</v>
      </c>
      <c r="J232" s="132">
        <v>1605718</v>
      </c>
      <c r="K232" s="132">
        <v>1839619</v>
      </c>
      <c r="L232" s="79">
        <v>2053837</v>
      </c>
      <c r="M232" s="155">
        <v>2302301.5396446362</v>
      </c>
      <c r="N232" s="76">
        <v>2475029.9168715556</v>
      </c>
    </row>
    <row r="233" spans="1:14" s="62" customFormat="1" ht="15" x14ac:dyDescent="0.25">
      <c r="A233" s="72" t="s">
        <v>270</v>
      </c>
      <c r="B233" s="136"/>
      <c r="C233" s="136"/>
      <c r="F233" s="73">
        <v>8040047</v>
      </c>
      <c r="G233" s="73">
        <v>9297593</v>
      </c>
      <c r="H233" s="73">
        <v>10850433</v>
      </c>
      <c r="I233" s="73">
        <v>12412994</v>
      </c>
      <c r="J233" s="73">
        <v>14148147</v>
      </c>
      <c r="K233" s="73">
        <v>16020915.812658444</v>
      </c>
      <c r="L233" s="73">
        <v>18821681.719166499</v>
      </c>
      <c r="M233" s="74">
        <f>M231-M232</f>
        <v>22310872.460355364</v>
      </c>
      <c r="N233" s="74">
        <f>N231-N232</f>
        <v>25639750.508613478</v>
      </c>
    </row>
    <row r="234" spans="1:14" s="62" customFormat="1" ht="15" x14ac:dyDescent="0.25">
      <c r="A234" s="75" t="s">
        <v>271</v>
      </c>
      <c r="B234" s="85"/>
      <c r="C234" s="85"/>
      <c r="F234" s="76">
        <v>509384</v>
      </c>
      <c r="G234" s="76">
        <v>402071</v>
      </c>
      <c r="H234" s="76">
        <v>584611</v>
      </c>
      <c r="I234" s="76">
        <v>697093</v>
      </c>
      <c r="J234" s="76">
        <v>532360</v>
      </c>
      <c r="K234" s="132">
        <f>K235-K236</f>
        <v>751840</v>
      </c>
      <c r="L234" s="132">
        <f>L235-L236</f>
        <v>852988</v>
      </c>
      <c r="M234" s="77">
        <f>M235-M236</f>
        <v>738117</v>
      </c>
      <c r="N234" s="132">
        <f>N235-N236</f>
        <v>907682.80856449134</v>
      </c>
    </row>
    <row r="235" spans="1:14" s="62" customFormat="1" ht="15" x14ac:dyDescent="0.25">
      <c r="A235" s="75" t="s">
        <v>245</v>
      </c>
      <c r="B235" s="85"/>
      <c r="C235" s="85"/>
      <c r="F235" s="76">
        <v>574982</v>
      </c>
      <c r="G235" s="76">
        <v>461323</v>
      </c>
      <c r="H235" s="76">
        <v>650039</v>
      </c>
      <c r="I235" s="76">
        <v>767956</v>
      </c>
      <c r="J235" s="76">
        <v>608556</v>
      </c>
      <c r="K235" s="76">
        <v>834399</v>
      </c>
      <c r="L235" s="76">
        <v>950919</v>
      </c>
      <c r="M235" s="155">
        <v>834060</v>
      </c>
      <c r="N235" s="132">
        <v>1007751.2533638163</v>
      </c>
    </row>
    <row r="236" spans="1:14" s="62" customFormat="1" ht="15" x14ac:dyDescent="0.25">
      <c r="A236" s="75" t="s">
        <v>246</v>
      </c>
      <c r="B236" s="85"/>
      <c r="C236" s="85"/>
      <c r="F236" s="76">
        <v>65598</v>
      </c>
      <c r="G236" s="76">
        <v>59252</v>
      </c>
      <c r="H236" s="76">
        <v>65428</v>
      </c>
      <c r="I236" s="76">
        <v>70863</v>
      </c>
      <c r="J236" s="76">
        <v>76196</v>
      </c>
      <c r="K236" s="113">
        <v>82559</v>
      </c>
      <c r="L236" s="113">
        <v>97931</v>
      </c>
      <c r="M236" s="155">
        <v>95943</v>
      </c>
      <c r="N236" s="132">
        <v>100068.44479932501</v>
      </c>
    </row>
    <row r="237" spans="1:14" s="62" customFormat="1" ht="15.75" thickBot="1" x14ac:dyDescent="0.3">
      <c r="A237" s="93" t="s">
        <v>272</v>
      </c>
      <c r="B237" s="136"/>
      <c r="C237" s="136"/>
      <c r="F237" s="134">
        <v>8549431</v>
      </c>
      <c r="G237" s="134">
        <v>9699664</v>
      </c>
      <c r="H237" s="134">
        <v>11435044</v>
      </c>
      <c r="I237" s="134">
        <v>13110087</v>
      </c>
      <c r="J237" s="134">
        <v>14680507</v>
      </c>
      <c r="K237" s="134">
        <f>K233+K234</f>
        <v>16772755.812658444</v>
      </c>
      <c r="L237" s="134">
        <f>L233+L234</f>
        <v>19674669.719166499</v>
      </c>
      <c r="M237" s="135">
        <f>M233+M234</f>
        <v>23048989.460355364</v>
      </c>
      <c r="N237" s="135">
        <f>N233+N234</f>
        <v>26547433.31717797</v>
      </c>
    </row>
    <row r="238" spans="1:14" s="62" customFormat="1" ht="15" x14ac:dyDescent="0.25">
      <c r="A238" s="136"/>
      <c r="B238" s="136"/>
      <c r="C238" s="136"/>
      <c r="D238" s="73"/>
      <c r="E238" s="73"/>
      <c r="F238" s="73"/>
      <c r="G238" s="73"/>
      <c r="H238" s="73"/>
      <c r="I238" s="73"/>
      <c r="J238" s="73"/>
    </row>
    <row r="239" spans="1:14" s="62" customFormat="1" ht="15" x14ac:dyDescent="0.25">
      <c r="A239" s="136" t="s">
        <v>273</v>
      </c>
      <c r="B239" s="136"/>
      <c r="C239" s="136"/>
      <c r="D239" s="73"/>
      <c r="E239" s="73"/>
      <c r="F239" s="73"/>
      <c r="G239" s="73"/>
      <c r="H239" s="73"/>
      <c r="I239" s="73"/>
      <c r="J239" s="73"/>
    </row>
    <row r="240" spans="1:14" s="62" customFormat="1" ht="15.75" thickBot="1" x14ac:dyDescent="0.3">
      <c r="D240" s="85"/>
      <c r="E240" s="85"/>
      <c r="F240" s="157"/>
      <c r="G240" s="157"/>
      <c r="H240" s="157"/>
      <c r="I240" s="157"/>
      <c r="J240" s="157"/>
    </row>
    <row r="241" spans="1:10" s="62" customFormat="1" ht="15.75" thickBot="1" x14ac:dyDescent="0.3">
      <c r="A241" s="88" t="s">
        <v>213</v>
      </c>
      <c r="B241" s="158"/>
      <c r="C241" s="158"/>
      <c r="D241" s="158">
        <v>2001</v>
      </c>
      <c r="E241" s="158">
        <v>2002</v>
      </c>
      <c r="F241" s="158">
        <v>2003</v>
      </c>
      <c r="G241" s="158">
        <v>2004</v>
      </c>
      <c r="H241" s="158">
        <v>2005</v>
      </c>
      <c r="I241" s="67" t="s">
        <v>163</v>
      </c>
      <c r="J241" s="68" t="s">
        <v>164</v>
      </c>
    </row>
    <row r="242" spans="1:10" s="62" customFormat="1" ht="15" x14ac:dyDescent="0.25">
      <c r="A242" s="145" t="s">
        <v>274</v>
      </c>
      <c r="B242" s="70"/>
      <c r="C242" s="70"/>
      <c r="D242" s="159">
        <f t="shared" ref="D242:J242" si="66">F202/D244</f>
        <v>9641.0380017133666</v>
      </c>
      <c r="E242" s="159">
        <f t="shared" si="66"/>
        <v>10052.907830764456</v>
      </c>
      <c r="F242" s="159">
        <f t="shared" si="66"/>
        <v>10818.896917148362</v>
      </c>
      <c r="G242" s="159">
        <f t="shared" si="66"/>
        <v>11734.283746556473</v>
      </c>
      <c r="H242" s="159">
        <f t="shared" si="66"/>
        <v>12810.629563668745</v>
      </c>
      <c r="I242" s="159">
        <f t="shared" si="66"/>
        <v>12938.389573146025</v>
      </c>
      <c r="J242" s="160">
        <f t="shared" si="66"/>
        <v>13917.716097091303</v>
      </c>
    </row>
    <row r="243" spans="1:10" s="62" customFormat="1" ht="15" x14ac:dyDescent="0.25">
      <c r="A243" s="161" t="s">
        <v>275</v>
      </c>
      <c r="B243" s="369"/>
      <c r="C243" s="369"/>
      <c r="D243" s="162">
        <f t="shared" ref="D243:J243" si="67">F201/D244</f>
        <v>10222.266051194747</v>
      </c>
      <c r="E243" s="162">
        <f t="shared" si="67"/>
        <v>10468.829005896348</v>
      </c>
      <c r="F243" s="162">
        <f t="shared" si="67"/>
        <v>11382.105973025049</v>
      </c>
      <c r="G243" s="162">
        <f t="shared" si="67"/>
        <v>12374.405876951332</v>
      </c>
      <c r="H243" s="162">
        <f t="shared" si="67"/>
        <v>13284.681211041852</v>
      </c>
      <c r="I243" s="162">
        <f t="shared" si="67"/>
        <v>13538.951618750638</v>
      </c>
      <c r="J243" s="163">
        <f t="shared" si="67"/>
        <v>14545.282312512138</v>
      </c>
    </row>
    <row r="244" spans="1:10" s="62" customFormat="1" ht="15.75" thickBot="1" x14ac:dyDescent="0.3">
      <c r="A244" s="164" t="s">
        <v>276</v>
      </c>
      <c r="B244" s="253"/>
      <c r="C244" s="253"/>
      <c r="D244" s="165">
        <v>876.39266627705626</v>
      </c>
      <c r="E244" s="165">
        <v>966.7</v>
      </c>
      <c r="F244" s="165">
        <v>1038</v>
      </c>
      <c r="G244" s="165">
        <v>1089</v>
      </c>
      <c r="H244" s="165">
        <v>1123</v>
      </c>
      <c r="I244" s="165">
        <v>1251.8939641666666</v>
      </c>
      <c r="J244" s="166">
        <v>1359.2</v>
      </c>
    </row>
  </sheetData>
  <mergeCells count="1">
    <mergeCell ref="S60:T60"/>
  </mergeCells>
  <phoneticPr fontId="1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2:LD91"/>
  <sheetViews>
    <sheetView topLeftCell="E1" zoomScale="118" zoomScaleNormal="118" workbookViewId="0">
      <pane xSplit="1" ySplit="4" topLeftCell="IK5" activePane="bottomRight" state="frozen"/>
      <selection activeCell="R57" sqref="R57"/>
      <selection pane="topRight" activeCell="R57" sqref="R57"/>
      <selection pane="bottomLeft" activeCell="R57" sqref="R57"/>
      <selection pane="bottomRight" activeCell="IP20" sqref="IP20"/>
    </sheetView>
  </sheetViews>
  <sheetFormatPr defaultRowHeight="12.75" x14ac:dyDescent="0.2"/>
  <cols>
    <col min="5" max="5" width="29" customWidth="1"/>
    <col min="6" max="10" width="7.5703125" hidden="1" customWidth="1"/>
    <col min="11" max="18" width="7.5703125" bestFit="1" customWidth="1"/>
    <col min="19" max="19" width="7.7109375" bestFit="1" customWidth="1"/>
    <col min="20" max="21" width="7.5703125" bestFit="1" customWidth="1"/>
    <col min="24" max="25" width="9.140625" style="28"/>
    <col min="34" max="37" width="7" bestFit="1" customWidth="1"/>
    <col min="38" max="38" width="8.28515625" bestFit="1" customWidth="1"/>
    <col min="39" max="41" width="7" bestFit="1" customWidth="1"/>
    <col min="42" max="44" width="10.42578125" bestFit="1" customWidth="1"/>
    <col min="45" max="45" width="11.28515625" bestFit="1" customWidth="1"/>
    <col min="46" max="47" width="10.42578125" bestFit="1" customWidth="1"/>
    <col min="48" max="48" width="8.7109375" customWidth="1"/>
    <col min="49" max="52" width="11.5703125" bestFit="1" customWidth="1"/>
    <col min="53" max="54" width="9.28515625" customWidth="1"/>
    <col min="65" max="65" width="6.42578125" hidden="1" customWidth="1"/>
    <col min="66" max="67" width="6.7109375" hidden="1" customWidth="1"/>
    <col min="68" max="68" width="6.42578125" hidden="1" customWidth="1"/>
    <col min="69" max="69" width="7.140625" hidden="1" customWidth="1"/>
    <col min="70" max="70" width="6.42578125" hidden="1" customWidth="1"/>
    <col min="71" max="71" width="6.28515625" hidden="1" customWidth="1"/>
    <col min="72" max="73" width="6.85546875" hidden="1" customWidth="1"/>
    <col min="74" max="75" width="6.5703125" hidden="1" customWidth="1"/>
    <col min="76" max="76" width="6.85546875" hidden="1" customWidth="1"/>
    <col min="77" max="83" width="7.140625" hidden="1" customWidth="1"/>
    <col min="84" max="85" width="6.85546875" hidden="1" customWidth="1"/>
    <col min="86" max="87" width="6.5703125" hidden="1" customWidth="1"/>
    <col min="88" max="88" width="6.85546875" hidden="1" customWidth="1"/>
    <col min="89" max="92" width="7" hidden="1" customWidth="1"/>
    <col min="93" max="93" width="7.28515625" hidden="1" customWidth="1"/>
    <col min="94" max="99" width="7" hidden="1" customWidth="1"/>
    <col min="100" max="100" width="7.42578125" hidden="1" customWidth="1"/>
    <col min="101" max="111" width="9.140625" bestFit="1" customWidth="1"/>
    <col min="112" max="112" width="7.7109375" customWidth="1"/>
    <col min="113" max="113" width="9.85546875" bestFit="1" customWidth="1"/>
    <col min="114" max="148" width="9.140625" bestFit="1" customWidth="1"/>
    <col min="149" max="154" width="9.85546875" bestFit="1" customWidth="1"/>
    <col min="155" max="155" width="9.7109375" bestFit="1" customWidth="1"/>
    <col min="156" max="156" width="9.85546875" bestFit="1" customWidth="1"/>
    <col min="157" max="162" width="9.7109375" bestFit="1" customWidth="1"/>
    <col min="163" max="163" width="10.140625" bestFit="1" customWidth="1"/>
    <col min="164" max="169" width="9.7109375" bestFit="1" customWidth="1"/>
    <col min="170" max="170" width="10" bestFit="1" customWidth="1"/>
    <col min="171" max="171" width="9.7109375" bestFit="1" customWidth="1"/>
    <col min="172" max="172" width="10" bestFit="1" customWidth="1"/>
    <col min="173" max="181" width="12.140625" bestFit="1" customWidth="1"/>
    <col min="182" max="192" width="8.42578125" bestFit="1" customWidth="1"/>
    <col min="193" max="194" width="9.85546875" bestFit="1" customWidth="1"/>
    <col min="195" max="203" width="8.42578125" bestFit="1" customWidth="1"/>
    <col min="204" max="207" width="12.28515625" bestFit="1" customWidth="1"/>
    <col min="208" max="217" width="8.42578125" bestFit="1" customWidth="1"/>
    <col min="218" max="218" width="8.5703125" bestFit="1" customWidth="1"/>
    <col min="219" max="233" width="8.42578125" bestFit="1" customWidth="1"/>
    <col min="234" max="235" width="8.5703125" bestFit="1" customWidth="1"/>
    <col min="236" max="236" width="9" bestFit="1" customWidth="1"/>
    <col min="237" max="237" width="8.5703125" bestFit="1" customWidth="1"/>
    <col min="238" max="238" width="8.85546875" bestFit="1" customWidth="1"/>
    <col min="239" max="246" width="9.28515625" bestFit="1" customWidth="1"/>
    <col min="247" max="247" width="9.7109375" bestFit="1" customWidth="1"/>
  </cols>
  <sheetData>
    <row r="2" spans="1:316" x14ac:dyDescent="0.2">
      <c r="AT2" s="11"/>
      <c r="BA2" s="422" t="s">
        <v>383</v>
      </c>
      <c r="DG2" s="10"/>
      <c r="HG2" s="444"/>
      <c r="HH2" s="466"/>
      <c r="HI2" s="466"/>
      <c r="HJ2" s="466"/>
      <c r="HK2" s="466"/>
      <c r="HL2" s="466"/>
      <c r="ID2" s="10">
        <f t="shared" ref="ID2:IF2" si="0">ID6/IC6-1</f>
        <v>-6.0661326329120024E-3</v>
      </c>
      <c r="IE2" s="10">
        <f t="shared" si="0"/>
        <v>1.2262361750043915E-3</v>
      </c>
      <c r="IF2" s="10">
        <f t="shared" si="0"/>
        <v>1.0345824649162783E-3</v>
      </c>
      <c r="IG2" s="10">
        <f>IG6/HU6-1</f>
        <v>6.627436760832417E-2</v>
      </c>
      <c r="IH2" s="10">
        <f t="shared" ref="IH2:IK2" si="1">IH6/HV6-1</f>
        <v>5.8761008135839621E-2</v>
      </c>
      <c r="II2" s="10">
        <f t="shared" si="1"/>
        <v>5.8432305080861946E-2</v>
      </c>
      <c r="IJ2" s="10">
        <f t="shared" si="1"/>
        <v>4.7506950866802011E-2</v>
      </c>
      <c r="IK2" s="10">
        <f t="shared" si="1"/>
        <v>3.9757076730748242E-2</v>
      </c>
      <c r="IL2" s="10">
        <f t="shared" ref="IL2" si="2">IL6/HZ6-1</f>
        <v>4.1794408188346122E-2</v>
      </c>
      <c r="IM2" s="10">
        <f t="shared" ref="IM2" si="3">IM6/IA6-1</f>
        <v>4.2780008508283673E-2</v>
      </c>
      <c r="IN2" s="10">
        <f t="shared" ref="IN2:IO2" si="4">IN6/IB6-1</f>
        <v>4.4552761051545042E-2</v>
      </c>
      <c r="IO2" s="10">
        <f t="shared" si="4"/>
        <v>5.3215590913413546E-2</v>
      </c>
      <c r="IP2" s="10">
        <f t="shared" ref="IP2" si="5">IP6/ID6-1</f>
        <v>6.1389634784596803E-2</v>
      </c>
      <c r="IQ2" s="10"/>
      <c r="IR2" s="10"/>
      <c r="IS2" s="10"/>
      <c r="IT2" s="10"/>
      <c r="IU2" s="10"/>
    </row>
    <row r="3" spans="1:316" ht="15" x14ac:dyDescent="0.2">
      <c r="BB3" t="s">
        <v>386</v>
      </c>
      <c r="CK3" t="s">
        <v>97</v>
      </c>
      <c r="HG3" s="467"/>
      <c r="HH3" s="467"/>
      <c r="HI3" s="467"/>
      <c r="HJ3" s="467"/>
      <c r="HK3" s="467"/>
      <c r="HL3" s="467"/>
      <c r="HM3" s="467"/>
    </row>
    <row r="4" spans="1:316" x14ac:dyDescent="0.2">
      <c r="A4" t="s">
        <v>44</v>
      </c>
      <c r="B4" t="s">
        <v>45</v>
      </c>
      <c r="C4" t="s">
        <v>46</v>
      </c>
      <c r="D4" t="s">
        <v>47</v>
      </c>
      <c r="F4" s="1" t="s">
        <v>56</v>
      </c>
      <c r="G4" s="1" t="s">
        <v>57</v>
      </c>
      <c r="H4" s="1" t="s">
        <v>58</v>
      </c>
      <c r="I4" s="1" t="s">
        <v>59</v>
      </c>
      <c r="J4" s="1" t="s">
        <v>60</v>
      </c>
      <c r="K4" s="1" t="s">
        <v>61</v>
      </c>
      <c r="L4" s="1" t="s">
        <v>62</v>
      </c>
      <c r="M4" s="1" t="s">
        <v>63</v>
      </c>
      <c r="N4" s="1" t="s">
        <v>64</v>
      </c>
      <c r="O4" s="1" t="s">
        <v>65</v>
      </c>
      <c r="P4" s="14" t="s">
        <v>66</v>
      </c>
      <c r="Q4" s="14" t="s">
        <v>67</v>
      </c>
      <c r="R4" s="14" t="s">
        <v>68</v>
      </c>
      <c r="S4" s="14" t="s">
        <v>69</v>
      </c>
      <c r="T4" s="31" t="s">
        <v>70</v>
      </c>
      <c r="U4" s="31" t="s">
        <v>71</v>
      </c>
      <c r="V4" s="31" t="s">
        <v>142</v>
      </c>
      <c r="W4" s="31" t="s">
        <v>300</v>
      </c>
      <c r="X4" s="649" t="s">
        <v>317</v>
      </c>
      <c r="Y4" s="649" t="s">
        <v>329</v>
      </c>
      <c r="Z4" s="31" t="s">
        <v>342</v>
      </c>
      <c r="AA4" s="21" t="s">
        <v>343</v>
      </c>
      <c r="AB4" s="21" t="s">
        <v>344</v>
      </c>
      <c r="AC4" s="21" t="s">
        <v>345</v>
      </c>
      <c r="AD4" s="21" t="s">
        <v>346</v>
      </c>
      <c r="AE4" s="21" t="s">
        <v>347</v>
      </c>
      <c r="AF4" s="21" t="s">
        <v>348</v>
      </c>
      <c r="AG4" s="31"/>
      <c r="AH4" s="6">
        <v>1994</v>
      </c>
      <c r="AI4" s="6">
        <v>1995</v>
      </c>
      <c r="AJ4" s="6">
        <v>1996</v>
      </c>
      <c r="AK4" s="6">
        <v>1997</v>
      </c>
      <c r="AL4" s="6">
        <v>1998</v>
      </c>
      <c r="AM4" s="6">
        <v>1999</v>
      </c>
      <c r="AN4" s="6">
        <v>2000</v>
      </c>
      <c r="AO4" s="6">
        <v>2001</v>
      </c>
      <c r="AP4" s="6">
        <v>2002</v>
      </c>
      <c r="AQ4" s="6">
        <v>2003</v>
      </c>
      <c r="AR4" s="6">
        <v>2004</v>
      </c>
      <c r="AS4" s="6">
        <v>2005</v>
      </c>
      <c r="AT4" s="6">
        <v>2006</v>
      </c>
      <c r="AU4" s="6">
        <v>2007</v>
      </c>
      <c r="AV4" s="6">
        <v>2008</v>
      </c>
      <c r="AW4" s="6">
        <v>2009</v>
      </c>
      <c r="AX4" s="6">
        <v>2010</v>
      </c>
      <c r="AY4" s="6">
        <v>2011</v>
      </c>
      <c r="AZ4" s="6">
        <v>2012</v>
      </c>
      <c r="BA4" s="6">
        <v>2013</v>
      </c>
      <c r="BB4" s="6">
        <v>2014</v>
      </c>
      <c r="BC4" s="6">
        <v>2015</v>
      </c>
      <c r="BD4" s="6">
        <v>2016</v>
      </c>
      <c r="BE4" s="6">
        <v>2017</v>
      </c>
      <c r="BF4" s="6">
        <v>2018</v>
      </c>
      <c r="BG4" s="6">
        <v>2019</v>
      </c>
      <c r="BH4" s="6">
        <v>2020</v>
      </c>
      <c r="BM4" s="18">
        <v>36526</v>
      </c>
      <c r="BN4" s="18">
        <v>36557</v>
      </c>
      <c r="BO4" s="18">
        <v>36586</v>
      </c>
      <c r="BP4" s="18">
        <v>36617</v>
      </c>
      <c r="BQ4" s="18">
        <v>36647</v>
      </c>
      <c r="BR4" s="18">
        <v>36678</v>
      </c>
      <c r="BS4" s="18">
        <v>36708</v>
      </c>
      <c r="BT4" s="18">
        <v>36739</v>
      </c>
      <c r="BU4" s="18">
        <v>36770</v>
      </c>
      <c r="BV4" s="18">
        <v>36800</v>
      </c>
      <c r="BW4" s="18">
        <v>36831</v>
      </c>
      <c r="BX4" s="18">
        <v>36861</v>
      </c>
      <c r="BY4" s="18">
        <v>36892</v>
      </c>
      <c r="BZ4" s="18">
        <v>36923</v>
      </c>
      <c r="CA4" s="18">
        <v>36951</v>
      </c>
      <c r="CB4" s="18">
        <v>36982</v>
      </c>
      <c r="CC4" s="18">
        <v>37012</v>
      </c>
      <c r="CD4" s="18">
        <v>37043</v>
      </c>
      <c r="CE4" s="18">
        <v>37073</v>
      </c>
      <c r="CF4" s="18">
        <v>37104</v>
      </c>
      <c r="CG4" s="18">
        <v>37135</v>
      </c>
      <c r="CH4" s="18">
        <v>37165</v>
      </c>
      <c r="CI4" s="18">
        <v>37196</v>
      </c>
      <c r="CJ4" s="18">
        <v>37226</v>
      </c>
      <c r="CK4" s="18">
        <v>37257</v>
      </c>
      <c r="CL4" s="18">
        <v>37288</v>
      </c>
      <c r="CM4" s="18">
        <v>37316</v>
      </c>
      <c r="CN4" s="18">
        <v>37347</v>
      </c>
      <c r="CO4" s="18">
        <v>37377</v>
      </c>
      <c r="CP4" s="18">
        <v>37408</v>
      </c>
      <c r="CQ4" s="18">
        <v>37438</v>
      </c>
      <c r="CR4" s="18">
        <v>37469</v>
      </c>
      <c r="CS4" s="18">
        <v>37500</v>
      </c>
      <c r="CT4" s="18">
        <v>37530</v>
      </c>
      <c r="CU4" s="18">
        <v>37561</v>
      </c>
      <c r="CV4" s="18">
        <v>37591</v>
      </c>
      <c r="CW4" s="18">
        <v>37622</v>
      </c>
      <c r="CX4" s="18">
        <v>37653</v>
      </c>
      <c r="CY4" s="18">
        <v>37681</v>
      </c>
      <c r="CZ4" s="18">
        <v>37712</v>
      </c>
      <c r="DA4" s="18">
        <v>37742</v>
      </c>
      <c r="DB4" s="18">
        <v>37773</v>
      </c>
      <c r="DC4" s="18">
        <v>37803</v>
      </c>
      <c r="DD4" s="18">
        <v>37834</v>
      </c>
      <c r="DE4" s="18">
        <v>37865</v>
      </c>
      <c r="DF4" s="18">
        <v>37895</v>
      </c>
      <c r="DG4" s="18">
        <v>37926</v>
      </c>
      <c r="DH4" s="18">
        <v>37956</v>
      </c>
      <c r="DI4" s="18">
        <v>37987</v>
      </c>
      <c r="DJ4" s="18">
        <v>38018</v>
      </c>
      <c r="DK4" s="18">
        <v>38047</v>
      </c>
      <c r="DL4" s="18">
        <v>38078</v>
      </c>
      <c r="DM4" s="18">
        <v>38108</v>
      </c>
      <c r="DN4" s="18">
        <v>38139</v>
      </c>
      <c r="DO4" s="18">
        <v>38169</v>
      </c>
      <c r="DP4" s="18">
        <v>38200</v>
      </c>
      <c r="DQ4" s="18">
        <v>38231</v>
      </c>
      <c r="DR4" s="18">
        <v>38261</v>
      </c>
      <c r="DS4" s="18">
        <v>38292</v>
      </c>
      <c r="DT4" s="18">
        <v>38322</v>
      </c>
      <c r="DU4" s="18">
        <v>38353</v>
      </c>
      <c r="DV4" s="18">
        <v>38384</v>
      </c>
      <c r="DW4" s="18">
        <v>38412</v>
      </c>
      <c r="DX4" s="18">
        <v>38443</v>
      </c>
      <c r="DY4" s="18">
        <v>38473</v>
      </c>
      <c r="DZ4" s="18">
        <v>38504</v>
      </c>
      <c r="EA4" s="18">
        <v>38534</v>
      </c>
      <c r="EB4" s="18">
        <v>38565</v>
      </c>
      <c r="EC4" s="18">
        <v>38596</v>
      </c>
      <c r="ED4" s="18">
        <v>38626</v>
      </c>
      <c r="EE4" s="18">
        <v>38657</v>
      </c>
      <c r="EF4" s="18">
        <v>38687</v>
      </c>
      <c r="EG4" s="18">
        <v>38718</v>
      </c>
      <c r="EH4" s="18">
        <v>38749</v>
      </c>
      <c r="EI4" s="18">
        <v>38777</v>
      </c>
      <c r="EJ4" s="18">
        <v>38808</v>
      </c>
      <c r="EK4" s="18">
        <v>38838</v>
      </c>
      <c r="EL4" s="18">
        <v>38869</v>
      </c>
      <c r="EM4" s="18">
        <v>38899</v>
      </c>
      <c r="EN4" s="18">
        <v>38930</v>
      </c>
      <c r="EO4" s="18">
        <v>38961</v>
      </c>
      <c r="EP4" s="18">
        <v>38991</v>
      </c>
      <c r="EQ4" s="18">
        <v>39022</v>
      </c>
      <c r="ER4" s="18">
        <v>39052</v>
      </c>
      <c r="ES4" s="18">
        <v>39083</v>
      </c>
      <c r="ET4" s="18">
        <v>39114</v>
      </c>
      <c r="EU4" s="18">
        <v>39142</v>
      </c>
      <c r="EV4" s="18">
        <v>39173</v>
      </c>
      <c r="EW4" s="18">
        <v>39203</v>
      </c>
      <c r="EX4" s="18">
        <v>39234</v>
      </c>
      <c r="EY4" s="18">
        <v>39264</v>
      </c>
      <c r="EZ4" s="18">
        <v>39295</v>
      </c>
      <c r="FA4" s="18">
        <v>39326</v>
      </c>
      <c r="FB4" s="18">
        <v>39356</v>
      </c>
      <c r="FC4" s="18">
        <v>39387</v>
      </c>
      <c r="FD4" s="18">
        <v>39417</v>
      </c>
      <c r="FE4" s="18">
        <v>39448</v>
      </c>
      <c r="FF4" s="18">
        <v>39479</v>
      </c>
      <c r="FG4" s="18">
        <v>39508</v>
      </c>
      <c r="FH4" s="18">
        <v>39539</v>
      </c>
      <c r="FI4" s="18">
        <v>39569</v>
      </c>
      <c r="FJ4" s="18">
        <v>39600</v>
      </c>
      <c r="FK4" s="18">
        <v>39630</v>
      </c>
      <c r="FL4" s="18">
        <v>39661</v>
      </c>
      <c r="FM4" s="18">
        <v>39692</v>
      </c>
      <c r="FN4" s="18">
        <v>39722</v>
      </c>
      <c r="FO4" s="18">
        <v>39753</v>
      </c>
      <c r="FP4" s="18">
        <v>39783</v>
      </c>
      <c r="FQ4" s="18">
        <v>39814</v>
      </c>
      <c r="FR4" s="18">
        <v>39845</v>
      </c>
      <c r="FS4" s="18">
        <v>39873</v>
      </c>
      <c r="FT4" s="18">
        <v>39904</v>
      </c>
      <c r="FU4" s="18">
        <v>39934</v>
      </c>
      <c r="FV4" s="18">
        <v>39965</v>
      </c>
      <c r="FW4" s="18">
        <v>39995</v>
      </c>
      <c r="FX4" s="18">
        <v>40026</v>
      </c>
      <c r="FY4" s="18">
        <v>40057</v>
      </c>
      <c r="FZ4" s="18">
        <v>40087</v>
      </c>
      <c r="GA4" s="18">
        <v>40118</v>
      </c>
      <c r="GB4" s="18">
        <v>40148</v>
      </c>
      <c r="GC4" s="18">
        <v>40179</v>
      </c>
      <c r="GD4" s="18">
        <v>40210</v>
      </c>
      <c r="GE4" s="18">
        <v>40238</v>
      </c>
      <c r="GF4" s="18">
        <v>40269</v>
      </c>
      <c r="GG4" s="18">
        <v>40299</v>
      </c>
      <c r="GH4" s="18">
        <v>40330</v>
      </c>
      <c r="GI4" s="18">
        <v>40360</v>
      </c>
      <c r="GJ4" s="18">
        <v>40391</v>
      </c>
      <c r="GK4" s="18">
        <v>40422</v>
      </c>
      <c r="GL4" s="384">
        <v>40452</v>
      </c>
      <c r="GM4" s="384">
        <v>40483</v>
      </c>
      <c r="GN4" s="384">
        <v>40513</v>
      </c>
      <c r="GO4" s="384">
        <v>40544</v>
      </c>
      <c r="GP4" s="384">
        <v>40575</v>
      </c>
      <c r="GQ4" s="384">
        <v>40603</v>
      </c>
      <c r="GR4" s="384">
        <v>40634</v>
      </c>
      <c r="GS4" s="384">
        <v>40664</v>
      </c>
      <c r="GT4" s="384">
        <v>40695</v>
      </c>
      <c r="GU4" s="384">
        <v>40725</v>
      </c>
      <c r="GV4" s="384">
        <v>40756</v>
      </c>
      <c r="GW4" s="384">
        <v>40787</v>
      </c>
      <c r="GX4" s="384">
        <v>40817</v>
      </c>
      <c r="GY4" s="384">
        <v>40848</v>
      </c>
      <c r="GZ4" s="384">
        <v>40878</v>
      </c>
      <c r="HA4" s="384">
        <v>40909</v>
      </c>
      <c r="HB4" s="384">
        <v>40940</v>
      </c>
      <c r="HC4" s="384">
        <v>40969</v>
      </c>
      <c r="HD4" s="384">
        <v>41000</v>
      </c>
      <c r="HE4" s="384">
        <v>41030</v>
      </c>
      <c r="HF4" s="384">
        <v>41061</v>
      </c>
      <c r="HG4" s="384">
        <v>41091</v>
      </c>
      <c r="HH4" s="384">
        <v>41122</v>
      </c>
      <c r="HI4" s="384">
        <v>41153</v>
      </c>
      <c r="HJ4" s="384">
        <v>41183</v>
      </c>
      <c r="HK4" s="384">
        <v>41214</v>
      </c>
      <c r="HL4" s="384">
        <v>41244</v>
      </c>
      <c r="HM4" s="384">
        <v>41275</v>
      </c>
      <c r="HN4" s="384">
        <v>41306</v>
      </c>
      <c r="HO4" s="384">
        <v>41334</v>
      </c>
      <c r="HP4" s="384">
        <v>41365</v>
      </c>
      <c r="HQ4" s="384">
        <v>41395</v>
      </c>
      <c r="HR4" s="384">
        <v>41426</v>
      </c>
      <c r="HS4" s="384">
        <v>41456</v>
      </c>
      <c r="HT4" s="384">
        <v>41487</v>
      </c>
      <c r="HU4" s="384">
        <v>41518</v>
      </c>
      <c r="HV4" s="384">
        <v>41548</v>
      </c>
      <c r="HW4" s="384">
        <v>41579</v>
      </c>
      <c r="HX4" s="384">
        <v>41609</v>
      </c>
      <c r="HY4" s="384">
        <v>41640</v>
      </c>
      <c r="HZ4" s="384">
        <v>41671</v>
      </c>
      <c r="IA4" s="384">
        <v>41699</v>
      </c>
      <c r="IB4" s="384">
        <v>41730</v>
      </c>
      <c r="IC4" s="384">
        <v>41760</v>
      </c>
      <c r="ID4" s="384">
        <v>41791</v>
      </c>
      <c r="IE4" s="384">
        <v>41821</v>
      </c>
      <c r="IF4" s="384">
        <v>41852</v>
      </c>
      <c r="IG4" s="384">
        <v>41883</v>
      </c>
      <c r="IH4" s="384">
        <v>41913</v>
      </c>
      <c r="II4" s="384">
        <v>41944</v>
      </c>
      <c r="IJ4" s="384">
        <v>41974</v>
      </c>
      <c r="IK4" s="384">
        <v>42005</v>
      </c>
      <c r="IL4" s="384">
        <v>42036</v>
      </c>
      <c r="IM4" s="384">
        <v>42064</v>
      </c>
      <c r="IN4" s="384">
        <v>42095</v>
      </c>
      <c r="IO4" s="384">
        <v>42125</v>
      </c>
      <c r="IP4" s="384">
        <v>42156</v>
      </c>
      <c r="IQ4" s="384">
        <v>42186</v>
      </c>
      <c r="IR4" s="384">
        <v>42217</v>
      </c>
      <c r="IS4" s="384">
        <v>42248</v>
      </c>
      <c r="IT4" s="384">
        <v>42278</v>
      </c>
      <c r="IU4" s="384">
        <v>42309</v>
      </c>
      <c r="IV4" s="384">
        <v>42339</v>
      </c>
      <c r="IW4" s="384">
        <v>42370</v>
      </c>
      <c r="IX4" s="384">
        <v>42401</v>
      </c>
      <c r="IY4" s="384">
        <v>42430</v>
      </c>
      <c r="IZ4" s="384">
        <v>42461</v>
      </c>
      <c r="JA4" s="384">
        <v>42491</v>
      </c>
      <c r="JB4" s="384">
        <v>42522</v>
      </c>
      <c r="JC4" s="384">
        <v>42552</v>
      </c>
      <c r="JD4" s="384">
        <v>42583</v>
      </c>
      <c r="JE4" s="384">
        <v>42614</v>
      </c>
      <c r="JF4" s="384">
        <v>42644</v>
      </c>
      <c r="JG4" s="384">
        <v>42675</v>
      </c>
      <c r="JH4" s="384">
        <v>42705</v>
      </c>
      <c r="JI4" s="384">
        <v>42736</v>
      </c>
      <c r="JJ4" s="384">
        <v>42767</v>
      </c>
      <c r="JK4" s="384">
        <v>42795</v>
      </c>
      <c r="JL4" s="384">
        <v>42826</v>
      </c>
      <c r="JM4" s="384">
        <v>42856</v>
      </c>
      <c r="JN4" s="384">
        <v>42887</v>
      </c>
      <c r="JO4" s="384">
        <v>42917</v>
      </c>
      <c r="JP4" s="384">
        <v>42948</v>
      </c>
      <c r="JQ4" s="384">
        <v>42979</v>
      </c>
      <c r="JR4" s="384">
        <v>43009</v>
      </c>
      <c r="JS4" s="384">
        <v>43040</v>
      </c>
      <c r="JT4" s="384">
        <v>43070</v>
      </c>
      <c r="JU4" s="384">
        <v>43101</v>
      </c>
      <c r="JV4" s="384">
        <v>43132</v>
      </c>
      <c r="JW4" s="384">
        <v>43160</v>
      </c>
      <c r="JX4" s="384">
        <v>43191</v>
      </c>
      <c r="JY4" s="384">
        <v>43221</v>
      </c>
      <c r="JZ4" s="384">
        <v>43252</v>
      </c>
      <c r="KA4" s="384">
        <v>43282</v>
      </c>
      <c r="KB4" s="384">
        <v>43313</v>
      </c>
      <c r="KC4" s="384">
        <v>43344</v>
      </c>
      <c r="KD4" s="384">
        <v>43374</v>
      </c>
      <c r="KE4" s="384">
        <v>43405</v>
      </c>
      <c r="KF4" s="384">
        <v>43435</v>
      </c>
      <c r="KG4" s="384">
        <v>43466</v>
      </c>
      <c r="KH4" s="384">
        <v>43497</v>
      </c>
      <c r="KI4" s="384">
        <v>43525</v>
      </c>
      <c r="KJ4" s="384">
        <v>43556</v>
      </c>
      <c r="KK4" s="384">
        <v>43586</v>
      </c>
      <c r="KL4" s="384">
        <v>43617</v>
      </c>
      <c r="KM4" s="384">
        <v>43647</v>
      </c>
      <c r="KN4" s="384">
        <v>43678</v>
      </c>
      <c r="KO4" s="384">
        <v>43709</v>
      </c>
      <c r="KP4" s="384">
        <v>43739</v>
      </c>
      <c r="KQ4" s="384">
        <v>43770</v>
      </c>
      <c r="KR4" s="384">
        <v>43800</v>
      </c>
      <c r="KS4" s="384">
        <v>43831</v>
      </c>
      <c r="KT4" s="384">
        <v>43862</v>
      </c>
      <c r="KU4" s="384">
        <v>43891</v>
      </c>
      <c r="KV4" s="384">
        <v>43922</v>
      </c>
      <c r="KW4" s="384">
        <v>43952</v>
      </c>
      <c r="KX4" s="384">
        <v>43983</v>
      </c>
      <c r="KY4" s="384">
        <v>44013</v>
      </c>
      <c r="KZ4" s="384">
        <v>44044</v>
      </c>
      <c r="LA4" s="384">
        <v>44075</v>
      </c>
      <c r="LB4" s="384">
        <v>44105</v>
      </c>
      <c r="LC4" s="384">
        <v>44136</v>
      </c>
      <c r="LD4" s="384">
        <v>44166</v>
      </c>
    </row>
    <row r="5" spans="1:316" x14ac:dyDescent="0.2">
      <c r="E5" s="9" t="s">
        <v>77</v>
      </c>
      <c r="AG5" s="31"/>
      <c r="AH5" s="10"/>
      <c r="AI5" s="10"/>
      <c r="AJ5" s="10"/>
      <c r="AK5" s="10"/>
      <c r="AL5" s="10"/>
      <c r="AM5" s="10"/>
      <c r="AN5" s="10"/>
      <c r="AO5" s="10"/>
      <c r="AP5" s="10"/>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DH5" s="10"/>
      <c r="EF5" s="422"/>
      <c r="EG5" s="422"/>
      <c r="EH5" s="422"/>
      <c r="EI5" s="422"/>
      <c r="EJ5" s="422"/>
      <c r="EK5" s="422"/>
      <c r="EL5" s="422"/>
      <c r="EM5" s="422"/>
      <c r="EN5" s="422"/>
      <c r="EO5" s="422"/>
      <c r="EP5" s="422"/>
      <c r="EQ5" s="422"/>
      <c r="FE5" s="13"/>
      <c r="FF5" s="13"/>
      <c r="FG5" s="13"/>
      <c r="FH5" s="13"/>
      <c r="FI5" s="13"/>
      <c r="FJ5" s="13"/>
      <c r="FK5" s="13"/>
      <c r="FL5" s="13"/>
      <c r="FM5" s="13"/>
      <c r="FN5" s="13"/>
      <c r="FO5" s="13"/>
      <c r="FP5" s="13"/>
      <c r="FQ5" s="13"/>
      <c r="FR5" s="13"/>
      <c r="FS5" s="13"/>
      <c r="FT5" s="13"/>
      <c r="FU5" s="13"/>
      <c r="FV5" s="13"/>
      <c r="FW5" s="13"/>
      <c r="FZ5" s="370" t="s">
        <v>330</v>
      </c>
    </row>
    <row r="6" spans="1:316" x14ac:dyDescent="0.2">
      <c r="E6" s="422" t="s">
        <v>75</v>
      </c>
      <c r="K6" s="13">
        <f>BR6</f>
        <v>94.034383296060923</v>
      </c>
      <c r="L6" s="13">
        <f>CD6</f>
        <v>98.830136844160023</v>
      </c>
      <c r="M6" s="16">
        <f>CP6</f>
        <v>103.27749300214721</v>
      </c>
      <c r="N6" s="13">
        <f>DB6</f>
        <v>109.30571996068767</v>
      </c>
      <c r="O6" s="13">
        <f>DN6</f>
        <v>112.97132598302602</v>
      </c>
      <c r="P6" s="38">
        <f>DZ6</f>
        <v>120.55736603313282</v>
      </c>
      <c r="Q6" s="38">
        <f>EL6</f>
        <v>131.34608177181428</v>
      </c>
      <c r="R6" s="38">
        <f>EX6</f>
        <v>139</v>
      </c>
      <c r="S6" s="38">
        <f>FJ6</f>
        <v>151.9</v>
      </c>
      <c r="T6" s="38">
        <f>FV6</f>
        <v>168.1</v>
      </c>
      <c r="U6" s="38">
        <f t="shared" ref="U6:U13" si="6">GH6</f>
        <v>99.89</v>
      </c>
      <c r="V6" s="38">
        <f>GT6</f>
        <v>110.7</v>
      </c>
      <c r="W6" s="38">
        <f>HF6</f>
        <v>130.06</v>
      </c>
      <c r="X6" s="38">
        <f>HR6</f>
        <v>140</v>
      </c>
      <c r="Y6" s="38">
        <f>ID6</f>
        <v>148.97756509130676</v>
      </c>
      <c r="Z6" s="38">
        <f>IP6</f>
        <v>158.12324340336056</v>
      </c>
      <c r="AA6" s="20">
        <f>Z6*(1+AA7)</f>
        <v>167.61063800756222</v>
      </c>
      <c r="AB6" s="20">
        <f>AA6*(1+AB7)</f>
        <v>175.15311671790249</v>
      </c>
      <c r="AC6" s="20">
        <f>AB6*(1+AC7)</f>
        <v>183.91077255379761</v>
      </c>
      <c r="AD6" s="20">
        <f t="shared" ref="AD6:AE6" si="7">AC6*(1+AD7)</f>
        <v>193.10631118148751</v>
      </c>
      <c r="AE6" s="20">
        <f t="shared" si="7"/>
        <v>202.76162674056189</v>
      </c>
      <c r="AF6" s="20"/>
      <c r="AG6" s="31"/>
      <c r="AH6" s="13">
        <f t="shared" ref="AH6:AM6" si="8">AI6/(1+AI7)</f>
        <v>42.201245199396304</v>
      </c>
      <c r="AI6" s="13">
        <f t="shared" si="8"/>
        <v>54.178538737140705</v>
      </c>
      <c r="AJ6" s="13">
        <f t="shared" si="8"/>
        <v>65.547610337421531</v>
      </c>
      <c r="AK6" s="13">
        <f t="shared" si="8"/>
        <v>76.074528485829703</v>
      </c>
      <c r="AL6" s="13">
        <f t="shared" si="8"/>
        <v>85.829472636687925</v>
      </c>
      <c r="AM6" s="13">
        <f t="shared" si="8"/>
        <v>92.60178997883051</v>
      </c>
      <c r="AN6" s="13">
        <f>BX6</f>
        <v>98.157897377560346</v>
      </c>
      <c r="AO6" s="13">
        <f>CJ6</f>
        <v>103.16395014381592</v>
      </c>
      <c r="AP6" s="13">
        <f>CV6</f>
        <v>107.6</v>
      </c>
      <c r="AQ6" s="13">
        <f>DH6</f>
        <v>113.30747559028654</v>
      </c>
      <c r="AR6" s="13">
        <f>DT6</f>
        <v>118.5</v>
      </c>
      <c r="AS6" s="13">
        <f>EF6</f>
        <v>125.5</v>
      </c>
      <c r="AT6" s="13">
        <f>ER6</f>
        <v>133.9</v>
      </c>
      <c r="AU6" s="13">
        <f>FD6</f>
        <v>142.5</v>
      </c>
      <c r="AV6" s="13">
        <f>FP6</f>
        <v>161.69999999999999</v>
      </c>
      <c r="AW6" s="13">
        <f t="shared" ref="AW6:AW11" si="9">GB6</f>
        <v>96.35</v>
      </c>
      <c r="AX6" s="38">
        <f>GN6</f>
        <v>101.7</v>
      </c>
      <c r="AY6" s="38">
        <f>GZ6</f>
        <v>121.79</v>
      </c>
      <c r="AZ6" s="38">
        <f>HL6</f>
        <v>136.47684365874696</v>
      </c>
      <c r="BA6" s="38">
        <f>HX6</f>
        <v>144.07239061477983</v>
      </c>
      <c r="BB6" s="38">
        <f>IJ6</f>
        <v>150.91683059697888</v>
      </c>
      <c r="BC6" s="20">
        <f t="shared" ref="BC6:BF6" si="10">BB6*(1+BC7)</f>
        <v>162.99017704473721</v>
      </c>
      <c r="BD6" s="20">
        <f t="shared" si="10"/>
        <v>169.50978412652671</v>
      </c>
      <c r="BE6" s="20">
        <f t="shared" si="10"/>
        <v>177.98527333285304</v>
      </c>
      <c r="BF6" s="20">
        <f t="shared" si="10"/>
        <v>186.88453699949571</v>
      </c>
      <c r="BG6" s="20">
        <f t="shared" ref="BG6" si="11">BF6*(1+BG7)</f>
        <v>196.22876384947051</v>
      </c>
      <c r="BH6" s="20">
        <f t="shared" ref="BH6" si="12">BG6*(1+BH7)</f>
        <v>206.04020204194404</v>
      </c>
      <c r="BM6" s="47">
        <f t="shared" ref="BM6:CU6" si="13">BY6/(BY7+1)</f>
        <v>92.981399736203912</v>
      </c>
      <c r="BN6" s="47">
        <f t="shared" si="13"/>
        <v>94.345395292994596</v>
      </c>
      <c r="BO6" s="47">
        <f t="shared" si="13"/>
        <v>94.346522691651018</v>
      </c>
      <c r="BP6" s="47">
        <f t="shared" si="13"/>
        <v>94.888848611669445</v>
      </c>
      <c r="BQ6" s="47">
        <f t="shared" si="13"/>
        <v>94.770095654627625</v>
      </c>
      <c r="BR6" s="47">
        <f t="shared" si="13"/>
        <v>94.034383296060923</v>
      </c>
      <c r="BS6" s="47">
        <f t="shared" si="13"/>
        <v>94.395951169126178</v>
      </c>
      <c r="BT6" s="47">
        <f t="shared" si="13"/>
        <v>94.08271883504419</v>
      </c>
      <c r="BU6" s="47">
        <f t="shared" si="13"/>
        <v>95.136801289960516</v>
      </c>
      <c r="BV6" s="47">
        <f t="shared" si="13"/>
        <v>95.824445504900226</v>
      </c>
      <c r="BW6" s="47">
        <f t="shared" si="13"/>
        <v>96.101690833513501</v>
      </c>
      <c r="BX6" s="47">
        <f t="shared" si="13"/>
        <v>98.157897377560346</v>
      </c>
      <c r="BY6" s="47">
        <f t="shared" si="13"/>
        <v>98.002395321958929</v>
      </c>
      <c r="BZ6" s="47">
        <f t="shared" si="13"/>
        <v>99.440046638816312</v>
      </c>
      <c r="CA6" s="47">
        <f t="shared" si="13"/>
        <v>99.158195348925219</v>
      </c>
      <c r="CB6" s="47">
        <f t="shared" si="13"/>
        <v>99.917957588087916</v>
      </c>
      <c r="CC6" s="47">
        <f t="shared" si="13"/>
        <v>99.79291072432288</v>
      </c>
      <c r="CD6" s="47">
        <f t="shared" si="13"/>
        <v>98.830136844160023</v>
      </c>
      <c r="CE6" s="47">
        <f t="shared" si="13"/>
        <v>99.210144678751604</v>
      </c>
      <c r="CF6" s="47">
        <f t="shared" si="13"/>
        <v>98.975020214466497</v>
      </c>
      <c r="CG6" s="47">
        <f t="shared" si="13"/>
        <v>99.988778155748491</v>
      </c>
      <c r="CH6" s="47">
        <f t="shared" si="13"/>
        <v>100.61566778014524</v>
      </c>
      <c r="CI6" s="47">
        <f t="shared" si="13"/>
        <v>100.81067368435566</v>
      </c>
      <c r="CJ6" s="47">
        <f t="shared" si="13"/>
        <v>103.16395014381592</v>
      </c>
      <c r="CK6" s="47">
        <f t="shared" si="13"/>
        <v>102.60850790209099</v>
      </c>
      <c r="CL6" s="47">
        <f t="shared" si="13"/>
        <v>104.11372883084067</v>
      </c>
      <c r="CM6" s="47">
        <f t="shared" si="13"/>
        <v>103.8186305303247</v>
      </c>
      <c r="CN6" s="47">
        <f t="shared" si="13"/>
        <v>104.71401955231615</v>
      </c>
      <c r="CO6" s="47">
        <f t="shared" si="13"/>
        <v>104.38338461764174</v>
      </c>
      <c r="CP6" s="47">
        <f t="shared" si="13"/>
        <v>103.27749300214721</v>
      </c>
      <c r="CQ6" s="47">
        <f t="shared" si="13"/>
        <v>103.67460118929542</v>
      </c>
      <c r="CR6" s="47">
        <f t="shared" si="13"/>
        <v>103.32992110390303</v>
      </c>
      <c r="CS6" s="47">
        <f t="shared" si="13"/>
        <v>104.38828439460143</v>
      </c>
      <c r="CT6" s="47">
        <f t="shared" si="13"/>
        <v>105.14337283025178</v>
      </c>
      <c r="CU6" s="47">
        <f t="shared" si="13"/>
        <v>105.34715400015166</v>
      </c>
      <c r="CV6" s="47">
        <v>107.6</v>
      </c>
      <c r="CW6" s="423">
        <v>107.271619835097</v>
      </c>
      <c r="CX6" s="423">
        <v>108.91597466966158</v>
      </c>
      <c r="CY6" s="423">
        <v>109.39319552923294</v>
      </c>
      <c r="CZ6" s="423">
        <v>109.89568568211286</v>
      </c>
      <c r="DA6" s="423">
        <v>110.35887527536583</v>
      </c>
      <c r="DB6" s="423">
        <v>109.30571996068767</v>
      </c>
      <c r="DC6" s="423">
        <v>108.73370885922068</v>
      </c>
      <c r="DD6" s="423">
        <v>109.35159967637354</v>
      </c>
      <c r="DE6" s="423">
        <v>109.28805965636937</v>
      </c>
      <c r="DF6" s="423">
        <v>111.24076103006865</v>
      </c>
      <c r="DG6" s="423">
        <v>111.46701334569435</v>
      </c>
      <c r="DH6" s="423">
        <v>113.30747559028654</v>
      </c>
      <c r="DI6" s="423">
        <v>114.51938955434871</v>
      </c>
      <c r="DJ6" s="423">
        <v>113.28805124791262</v>
      </c>
      <c r="DK6" s="423">
        <v>114.02147033197052</v>
      </c>
      <c r="DL6" s="423">
        <v>114.7325521385783</v>
      </c>
      <c r="DM6" s="423">
        <v>114.36344669016735</v>
      </c>
      <c r="DN6" s="423">
        <v>112.97132598302602</v>
      </c>
      <c r="DO6" s="423">
        <v>112.92073280492963</v>
      </c>
      <c r="DP6" s="423">
        <v>114.35077855177587</v>
      </c>
      <c r="DQ6" s="423">
        <v>115.43715954143099</v>
      </c>
      <c r="DR6" s="423">
        <v>117.76437025278028</v>
      </c>
      <c r="DS6" s="423">
        <v>118.07589120869915</v>
      </c>
      <c r="DT6" s="423">
        <v>118.5</v>
      </c>
      <c r="DU6" s="423">
        <v>118.85187533175838</v>
      </c>
      <c r="DV6" s="423">
        <v>118.62825710585199</v>
      </c>
      <c r="DW6" s="423">
        <v>118.64499634737382</v>
      </c>
      <c r="DX6" s="423">
        <v>119.53696280366727</v>
      </c>
      <c r="DY6" s="423">
        <v>120.59332872625164</v>
      </c>
      <c r="DZ6" s="424">
        <v>120.55736603313282</v>
      </c>
      <c r="EA6" s="424">
        <v>119.90557842325762</v>
      </c>
      <c r="EB6" s="424">
        <v>121.16614739966957</v>
      </c>
      <c r="EC6" s="424">
        <v>120.982116472455</v>
      </c>
      <c r="ED6" s="424">
        <v>122.64669426419069</v>
      </c>
      <c r="EE6" s="424">
        <v>123.445638036197</v>
      </c>
      <c r="EF6" s="424">
        <v>125.5</v>
      </c>
      <c r="EG6" s="424">
        <v>126.81642995924541</v>
      </c>
      <c r="EH6" s="424">
        <v>127.87356907454063</v>
      </c>
      <c r="EI6" s="424">
        <v>128.87623739453247</v>
      </c>
      <c r="EJ6" s="424">
        <v>130.08571127321619</v>
      </c>
      <c r="EK6" s="424">
        <v>132.31981870168272</v>
      </c>
      <c r="EL6" s="424">
        <v>131.34608177181428</v>
      </c>
      <c r="EM6" s="424">
        <v>127.55829465132987</v>
      </c>
      <c r="EN6" s="424">
        <v>127.79779126375368</v>
      </c>
      <c r="EO6" s="424">
        <v>128</v>
      </c>
      <c r="EP6" s="424">
        <v>130</v>
      </c>
      <c r="EQ6" s="424">
        <v>131.1</v>
      </c>
      <c r="ER6" s="44">
        <v>133.9</v>
      </c>
      <c r="ES6" s="8">
        <v>135.69999999999999</v>
      </c>
      <c r="ET6" s="8">
        <v>137.19999999999999</v>
      </c>
      <c r="EU6" s="8">
        <v>138.19999999999999</v>
      </c>
      <c r="EV6" s="8">
        <v>138.1</v>
      </c>
      <c r="EW6" s="8">
        <v>138.9</v>
      </c>
      <c r="EX6" s="8">
        <v>139</v>
      </c>
      <c r="EY6" s="8">
        <v>139.1</v>
      </c>
      <c r="EZ6" s="8">
        <v>137.80000000000001</v>
      </c>
      <c r="FA6" s="8">
        <v>138.6</v>
      </c>
      <c r="FB6" s="8">
        <v>139.19999999999999</v>
      </c>
      <c r="FC6" s="8">
        <v>140.69999999999999</v>
      </c>
      <c r="FD6" s="8">
        <v>142.5</v>
      </c>
      <c r="FE6" s="8">
        <v>147.4</v>
      </c>
      <c r="FF6" s="8">
        <v>149.4</v>
      </c>
      <c r="FG6" s="8">
        <v>150.69999999999999</v>
      </c>
      <c r="FH6" s="8">
        <v>151.5</v>
      </c>
      <c r="FI6" s="8">
        <v>151.6</v>
      </c>
      <c r="FJ6" s="8">
        <v>151.9</v>
      </c>
      <c r="FK6" s="241">
        <v>152.30000000000001</v>
      </c>
      <c r="FL6" s="242">
        <v>151.30000000000001</v>
      </c>
      <c r="FM6" s="243">
        <v>154.69999999999999</v>
      </c>
      <c r="FN6" s="242">
        <v>155.6</v>
      </c>
      <c r="FO6" s="242">
        <v>158</v>
      </c>
      <c r="FP6" s="242">
        <v>161.69999999999999</v>
      </c>
      <c r="FQ6" s="242">
        <v>166.4</v>
      </c>
      <c r="FR6" s="242">
        <v>169.3</v>
      </c>
      <c r="FS6" s="242">
        <v>170.3</v>
      </c>
      <c r="FT6" s="242">
        <v>169.7</v>
      </c>
      <c r="FU6" s="242">
        <v>168.8</v>
      </c>
      <c r="FV6" s="242">
        <v>168.1</v>
      </c>
      <c r="FW6" s="242">
        <v>168.9</v>
      </c>
      <c r="FX6" s="242" t="s">
        <v>318</v>
      </c>
      <c r="FY6" s="242" t="s">
        <v>319</v>
      </c>
      <c r="FZ6" s="385">
        <v>95.88</v>
      </c>
      <c r="GA6" s="242">
        <v>94.96</v>
      </c>
      <c r="GB6" s="242">
        <v>96.35</v>
      </c>
      <c r="GC6" s="379">
        <v>97.82</v>
      </c>
      <c r="GD6" s="379">
        <v>98.99</v>
      </c>
      <c r="GE6" s="379">
        <v>99.9</v>
      </c>
      <c r="GF6" s="379">
        <v>100.47</v>
      </c>
      <c r="GG6" s="379">
        <v>100.12</v>
      </c>
      <c r="GH6" s="379">
        <v>99.89</v>
      </c>
      <c r="GI6" s="379">
        <v>99.56</v>
      </c>
      <c r="GJ6" s="379">
        <v>99.94</v>
      </c>
      <c r="GK6" s="379">
        <v>100</v>
      </c>
      <c r="GL6" s="379">
        <v>99.9</v>
      </c>
      <c r="GM6" s="379">
        <v>100.2</v>
      </c>
      <c r="GN6" s="379">
        <v>101.7</v>
      </c>
      <c r="GO6" s="379">
        <v>104.1</v>
      </c>
      <c r="GP6" s="38">
        <v>106.41</v>
      </c>
      <c r="GQ6" s="38">
        <v>107.9</v>
      </c>
      <c r="GR6" s="38">
        <v>109.1</v>
      </c>
      <c r="GS6" s="38">
        <v>109.8</v>
      </c>
      <c r="GT6" s="38">
        <v>110.7</v>
      </c>
      <c r="GU6" s="38">
        <v>112.5</v>
      </c>
      <c r="GV6" s="38">
        <v>114.08</v>
      </c>
      <c r="GW6" s="38">
        <v>116.8</v>
      </c>
      <c r="GX6" s="38">
        <v>117.8</v>
      </c>
      <c r="GY6" s="38">
        <v>119.41</v>
      </c>
      <c r="GZ6" s="38">
        <v>121.79</v>
      </c>
      <c r="HA6" s="38">
        <v>124.64</v>
      </c>
      <c r="HB6" s="38">
        <v>127.05</v>
      </c>
      <c r="HC6" s="38">
        <v>128.38999999999999</v>
      </c>
      <c r="HD6" s="38">
        <v>129.44999999999999</v>
      </c>
      <c r="HE6" s="38">
        <v>129.91999999999999</v>
      </c>
      <c r="HF6" s="38">
        <v>130.06</v>
      </c>
      <c r="HG6" s="38">
        <v>130.19117413660433</v>
      </c>
      <c r="HH6" s="38">
        <v>131.09</v>
      </c>
      <c r="HI6" s="38">
        <v>132.58000000000001</v>
      </c>
      <c r="HJ6" s="38">
        <v>132.98277868402221</v>
      </c>
      <c r="HK6" s="38">
        <v>133.87</v>
      </c>
      <c r="HL6" s="38">
        <v>136.47684365874696</v>
      </c>
      <c r="HM6" s="38">
        <v>138.26</v>
      </c>
      <c r="HN6" s="38">
        <v>140.22999999999999</v>
      </c>
      <c r="HO6" s="38">
        <v>140.92772174826379</v>
      </c>
      <c r="HP6" s="38">
        <v>141.59</v>
      </c>
      <c r="HQ6" s="38">
        <v>140.76</v>
      </c>
      <c r="HR6" s="38">
        <v>140</v>
      </c>
      <c r="HS6" s="38">
        <v>140.01</v>
      </c>
      <c r="HT6" s="38">
        <v>139.93</v>
      </c>
      <c r="HU6" s="38">
        <v>140.61000000000001</v>
      </c>
      <c r="HV6" s="38">
        <v>141.38999999999999</v>
      </c>
      <c r="HW6" s="38">
        <v>142.22999999999999</v>
      </c>
      <c r="HX6" s="421">
        <f>HX37</f>
        <v>144.07239061477983</v>
      </c>
      <c r="HY6" s="421">
        <v>146.6021994098414</v>
      </c>
      <c r="HZ6" s="421">
        <v>148.61781658187223</v>
      </c>
      <c r="IA6" s="421">
        <v>149.48596909913482</v>
      </c>
      <c r="IB6" s="421">
        <v>150.5</v>
      </c>
      <c r="IC6" s="421">
        <v>149.88679828965434</v>
      </c>
      <c r="ID6" s="421">
        <v>148.97756509130676</v>
      </c>
      <c r="IE6" s="421">
        <v>149.16024677088581</v>
      </c>
      <c r="IF6" s="421">
        <v>149.31456534665756</v>
      </c>
      <c r="IG6" s="421">
        <v>149.92883882940649</v>
      </c>
      <c r="IH6" s="421">
        <v>149.69821894032634</v>
      </c>
      <c r="II6" s="421">
        <v>150.540826751651</v>
      </c>
      <c r="IJ6" s="421">
        <v>150.91683059697888</v>
      </c>
      <c r="IK6" s="421">
        <v>152.43067430067492</v>
      </c>
      <c r="IL6" s="421">
        <f>IL37</f>
        <v>154.82921027215576</v>
      </c>
      <c r="IM6" s="421">
        <v>155.88098012906485</v>
      </c>
      <c r="IN6" s="421">
        <v>157.20519053825754</v>
      </c>
      <c r="IO6" s="421">
        <v>157.8631128307579</v>
      </c>
      <c r="IP6" s="421">
        <v>158.12324340336056</v>
      </c>
      <c r="IQ6" s="553">
        <v>158.77921600119367</v>
      </c>
      <c r="IR6" s="553">
        <v>158.80590423521019</v>
      </c>
      <c r="IS6" s="553">
        <v>159.04</v>
      </c>
      <c r="IT6" s="257">
        <f t="shared" ref="IT6:JI6" si="14">IH6*(1+IT7)</f>
        <v>160.1770942661492</v>
      </c>
      <c r="IU6" s="257">
        <f t="shared" si="14"/>
        <v>161.07868462426657</v>
      </c>
      <c r="IV6" s="257">
        <f t="shared" si="14"/>
        <v>162.99017704473721</v>
      </c>
      <c r="IW6" s="257">
        <f t="shared" si="14"/>
        <v>163.10082150172218</v>
      </c>
      <c r="IX6" s="257">
        <f t="shared" si="14"/>
        <v>165.35759657066237</v>
      </c>
      <c r="IY6" s="257">
        <f t="shared" si="14"/>
        <v>166.01324383745407</v>
      </c>
      <c r="IZ6" s="257">
        <f t="shared" si="14"/>
        <v>167.42352792324428</v>
      </c>
      <c r="JA6" s="257">
        <f t="shared" si="14"/>
        <v>167.80848893909564</v>
      </c>
      <c r="JB6" s="257">
        <f t="shared" si="14"/>
        <v>167.61063800756222</v>
      </c>
      <c r="JC6" s="257">
        <f t="shared" si="14"/>
        <v>166.71817680125338</v>
      </c>
      <c r="JD6" s="257">
        <f t="shared" si="14"/>
        <v>166.74619944697071</v>
      </c>
      <c r="JE6" s="257">
        <f t="shared" si="14"/>
        <v>166.99199999999999</v>
      </c>
      <c r="JF6" s="257">
        <f t="shared" si="14"/>
        <v>168.18594897945667</v>
      </c>
      <c r="JG6" s="257">
        <f t="shared" si="14"/>
        <v>169.1326188554799</v>
      </c>
      <c r="JH6" s="257">
        <f t="shared" si="14"/>
        <v>169.50978412652671</v>
      </c>
      <c r="JI6" s="257">
        <f t="shared" si="14"/>
        <v>169.62485436179108</v>
      </c>
      <c r="JJ6" s="257">
        <f t="shared" ref="JJ6" si="15">IX6*(1+JJ7)</f>
        <v>173.62547639919549</v>
      </c>
      <c r="JK6" s="257">
        <f t="shared" ref="JK6" si="16">IY6*(1+JK7)</f>
        <v>174.31390602932677</v>
      </c>
      <c r="JL6" s="257">
        <f t="shared" ref="JL6" si="17">IZ6*(1+JL7)</f>
        <v>175.79470431940649</v>
      </c>
      <c r="JM6" s="257">
        <f t="shared" ref="JM6" si="18">JA6*(1+JM7)</f>
        <v>176.19891338605044</v>
      </c>
      <c r="JN6" s="257">
        <f t="shared" ref="JN6" si="19">JB6*(1+JN7)</f>
        <v>175.99116990794033</v>
      </c>
      <c r="JO6" s="257">
        <f t="shared" ref="JO6" si="20">JC6*(1+JO7)</f>
        <v>175.05408564131605</v>
      </c>
      <c r="JP6" s="257">
        <f t="shared" ref="JP6" si="21">JD6*(1+JP7)</f>
        <v>175.08350941931926</v>
      </c>
      <c r="JQ6" s="257">
        <f t="shared" ref="JQ6" si="22">JE6*(1+JQ7)</f>
        <v>175.3416</v>
      </c>
      <c r="JR6" s="257">
        <f t="shared" ref="JR6" si="23">JF6*(1+JR7)</f>
        <v>176.5952464284295</v>
      </c>
      <c r="JS6" s="257">
        <f t="shared" ref="JS6" si="24">JG6*(1+JS7)</f>
        <v>177.58924979825392</v>
      </c>
      <c r="JT6" s="257">
        <f t="shared" ref="JT6" si="25">JH6*(1+JT7)</f>
        <v>177.98527333285304</v>
      </c>
      <c r="JU6" s="257">
        <f t="shared" ref="JU6" si="26">JI6*(1+JU7)</f>
        <v>178.10609707988064</v>
      </c>
      <c r="KF6" s="257">
        <f t="shared" ref="KF6" si="27">JT6*(1+KF7)</f>
        <v>186.88453699949571</v>
      </c>
      <c r="KR6" s="257">
        <f t="shared" ref="KR6" si="28">KF6*(1+KR7)</f>
        <v>196.22876384947051</v>
      </c>
      <c r="LD6" s="257">
        <f t="shared" ref="LD6" si="29">KR6*(1+LD7)</f>
        <v>206.04020204194404</v>
      </c>
    </row>
    <row r="7" spans="1:316" x14ac:dyDescent="0.2">
      <c r="E7" t="s">
        <v>78</v>
      </c>
      <c r="K7" s="10"/>
      <c r="L7" s="10">
        <f t="shared" ref="L7:T7" si="30">L6/K6-1</f>
        <v>5.0999999999999934E-2</v>
      </c>
      <c r="M7" s="10">
        <f t="shared" si="30"/>
        <v>4.4999999999999929E-2</v>
      </c>
      <c r="N7" s="10">
        <f t="shared" si="30"/>
        <v>5.8369222405651566E-2</v>
      </c>
      <c r="O7" s="10">
        <f t="shared" si="30"/>
        <v>3.3535354084458735E-2</v>
      </c>
      <c r="P7" s="10">
        <f t="shared" si="30"/>
        <v>6.7150137294543333E-2</v>
      </c>
      <c r="Q7" s="10">
        <f t="shared" si="30"/>
        <v>8.9490307342285469E-2</v>
      </c>
      <c r="R7" s="10">
        <f t="shared" si="30"/>
        <v>5.8272908677114321E-2</v>
      </c>
      <c r="S7" s="10">
        <f t="shared" si="30"/>
        <v>9.2805755395683587E-2</v>
      </c>
      <c r="T7" s="10">
        <f t="shared" si="30"/>
        <v>0.10664911125740617</v>
      </c>
      <c r="U7" s="10">
        <f t="shared" si="6"/>
        <v>7.1980963712076074E-2</v>
      </c>
      <c r="V7" s="10">
        <f>V6/U6-1</f>
        <v>0.10821904094503965</v>
      </c>
      <c r="W7" s="30">
        <f>W6/V6-1</f>
        <v>0.17488708220415528</v>
      </c>
      <c r="X7" s="30">
        <f>X6/W6-1</f>
        <v>7.6426264800861121E-2</v>
      </c>
      <c r="Y7" s="30">
        <f>Y6/X6-1</f>
        <v>6.4125464937905496E-2</v>
      </c>
      <c r="Z7" s="30">
        <f>Z6/Y6-1</f>
        <v>6.1389634784596803E-2</v>
      </c>
      <c r="AA7" s="21">
        <f>AVERAGE(BC7:BD7)</f>
        <v>0.06</v>
      </c>
      <c r="AB7" s="21">
        <f>AVERAGE(BD7:BE7)</f>
        <v>4.4999999999999998E-2</v>
      </c>
      <c r="AC7" s="21">
        <f>AVERAGE(BE7:BF7)</f>
        <v>0.05</v>
      </c>
      <c r="AD7" s="21">
        <f t="shared" ref="AD7:AE7" si="31">AVERAGE(BF7:BG7)</f>
        <v>0.05</v>
      </c>
      <c r="AE7" s="21">
        <f t="shared" si="31"/>
        <v>0.05</v>
      </c>
      <c r="AF7" s="21"/>
      <c r="AG7" s="31"/>
      <c r="AH7" s="12">
        <v>0.3303834808259587</v>
      </c>
      <c r="AI7" s="12">
        <v>0.28381374722838126</v>
      </c>
      <c r="AJ7" s="12">
        <v>0.20984455958549231</v>
      </c>
      <c r="AK7" s="12">
        <v>0.16059957173447548</v>
      </c>
      <c r="AL7" s="12">
        <v>0.12822878228782275</v>
      </c>
      <c r="AM7" s="12">
        <v>7.8904333605887222E-2</v>
      </c>
      <c r="AN7" s="10">
        <f>BX7</f>
        <v>0.06</v>
      </c>
      <c r="AO7" s="10">
        <f t="shared" ref="AO7:BB7" si="32">AO6/AN6-1</f>
        <v>5.0999999999999934E-2</v>
      </c>
      <c r="AP7" s="10">
        <f t="shared" si="32"/>
        <v>4.2999999999999927E-2</v>
      </c>
      <c r="AQ7" s="10">
        <f t="shared" si="32"/>
        <v>5.3043453441324884E-2</v>
      </c>
      <c r="AR7" s="10">
        <f t="shared" si="32"/>
        <v>4.5826847546134752E-2</v>
      </c>
      <c r="AS7" s="10">
        <f t="shared" si="32"/>
        <v>5.9071729957805852E-2</v>
      </c>
      <c r="AT7" s="10">
        <f t="shared" si="32"/>
        <v>6.6932270916334691E-2</v>
      </c>
      <c r="AU7" s="10">
        <f t="shared" si="32"/>
        <v>6.4227035100821395E-2</v>
      </c>
      <c r="AV7" s="10">
        <f t="shared" si="32"/>
        <v>0.13473684210526304</v>
      </c>
      <c r="AW7" s="10">
        <f t="shared" si="9"/>
        <v>0.12244897959183687</v>
      </c>
      <c r="AX7" s="30">
        <f>GN7</f>
        <v>5.5526725480020911E-2</v>
      </c>
      <c r="AY7" s="10">
        <f t="shared" si="32"/>
        <v>0.19754178957718782</v>
      </c>
      <c r="AZ7" s="10">
        <f t="shared" si="32"/>
        <v>0.12059154001762828</v>
      </c>
      <c r="BA7" s="10">
        <f t="shared" si="32"/>
        <v>5.5654474066129112E-2</v>
      </c>
      <c r="BB7" s="10">
        <f t="shared" si="32"/>
        <v>4.7506950866802011E-2</v>
      </c>
      <c r="BC7" s="21">
        <f>IV7</f>
        <v>0.08</v>
      </c>
      <c r="BD7" s="21">
        <f>JH7</f>
        <v>0.04</v>
      </c>
      <c r="BE7" s="21">
        <f>JT7</f>
        <v>0.05</v>
      </c>
      <c r="BF7" s="21">
        <f>KF7</f>
        <v>0.05</v>
      </c>
      <c r="BG7" s="21">
        <f>KR7</f>
        <v>0.05</v>
      </c>
      <c r="BH7" s="21">
        <f>LD7</f>
        <v>0.05</v>
      </c>
      <c r="BM7" s="12">
        <v>6.5641025641025835E-2</v>
      </c>
      <c r="BN7" s="12">
        <v>6.2933597621407392E-2</v>
      </c>
      <c r="BO7" s="12">
        <v>6.19554695062925E-2</v>
      </c>
      <c r="BP7" s="12">
        <v>6.0098522167487685E-2</v>
      </c>
      <c r="BQ7" s="12">
        <v>5.958291956305857E-2</v>
      </c>
      <c r="BR7" s="12">
        <v>5.8943089430894276E-2</v>
      </c>
      <c r="BS7" s="12">
        <v>5.7859703020993296E-2</v>
      </c>
      <c r="BT7" s="12">
        <v>5.6906363166063158E-2</v>
      </c>
      <c r="BU7" s="12">
        <v>5.6682267290691472E-2</v>
      </c>
      <c r="BV7" s="12">
        <v>5.8001035732780933E-2</v>
      </c>
      <c r="BW7" s="12">
        <v>5.734767025089596E-2</v>
      </c>
      <c r="BX7" s="12">
        <v>0.06</v>
      </c>
      <c r="BY7" s="425">
        <v>5.3999999999999999E-2</v>
      </c>
      <c r="BZ7" s="425">
        <v>5.3999999999999999E-2</v>
      </c>
      <c r="CA7" s="425">
        <v>5.0999999999999997E-2</v>
      </c>
      <c r="CB7" s="425">
        <v>5.2999999999999999E-2</v>
      </c>
      <c r="CC7" s="425">
        <v>5.2999999999999999E-2</v>
      </c>
      <c r="CD7" s="425">
        <v>5.0999999999999997E-2</v>
      </c>
      <c r="CE7" s="425">
        <v>5.0999999999999997E-2</v>
      </c>
      <c r="CF7" s="425">
        <v>5.1999999999999998E-2</v>
      </c>
      <c r="CG7" s="425">
        <v>5.0999999999999997E-2</v>
      </c>
      <c r="CH7" s="425">
        <v>0.05</v>
      </c>
      <c r="CI7" s="425">
        <v>4.9000000000000002E-2</v>
      </c>
      <c r="CJ7" s="425">
        <v>5.0999999999999997E-2</v>
      </c>
      <c r="CK7" s="12">
        <v>4.7E-2</v>
      </c>
      <c r="CL7" s="12">
        <v>4.7E-2</v>
      </c>
      <c r="CM7" s="12">
        <v>4.7E-2</v>
      </c>
      <c r="CN7" s="12">
        <v>4.8000000000000001E-2</v>
      </c>
      <c r="CO7" s="12">
        <v>4.5999999999999999E-2</v>
      </c>
      <c r="CP7" s="12">
        <v>4.4999999999999998E-2</v>
      </c>
      <c r="CQ7" s="12">
        <v>4.4999999999999998E-2</v>
      </c>
      <c r="CR7" s="12">
        <v>4.3999999999999997E-2</v>
      </c>
      <c r="CS7" s="12">
        <v>4.3999999999999997E-2</v>
      </c>
      <c r="CT7" s="12">
        <v>4.4999999999999998E-2</v>
      </c>
      <c r="CU7" s="12">
        <v>4.4999999999999998E-2</v>
      </c>
      <c r="CV7" s="12">
        <v>4.2999999999999997E-2</v>
      </c>
      <c r="CW7" s="426">
        <v>4.5445665552953374E-2</v>
      </c>
      <c r="CX7" s="425">
        <v>4.6125000926855453E-2</v>
      </c>
      <c r="CY7" s="425">
        <v>5.3695227633347997E-2</v>
      </c>
      <c r="CZ7" s="425">
        <v>4.9483976949312947E-2</v>
      </c>
      <c r="DA7" s="425">
        <v>5.7245611259037377E-2</v>
      </c>
      <c r="DB7" s="425">
        <v>5.8369222405651566E-2</v>
      </c>
      <c r="DC7" s="425">
        <v>4.8797946767000777E-2</v>
      </c>
      <c r="DD7" s="425">
        <v>5.8276233138854661E-2</v>
      </c>
      <c r="DE7" s="425">
        <v>4.6937980542396396E-2</v>
      </c>
      <c r="DF7" s="425">
        <v>5.7991179431353901E-2</v>
      </c>
      <c r="DG7" s="425">
        <v>5.8092308269987791E-2</v>
      </c>
      <c r="DH7" s="425">
        <f>DH6/CV6-1</f>
        <v>5.3043453441324884E-2</v>
      </c>
      <c r="DI7" s="427">
        <f t="shared" ref="DI7:ER7" si="33">DI6/CW6-1</f>
        <v>6.7564652518469659E-2</v>
      </c>
      <c r="DJ7" s="427">
        <f t="shared" si="33"/>
        <v>4.0141738542132099E-2</v>
      </c>
      <c r="DK7" s="427">
        <f t="shared" si="33"/>
        <v>4.2308616914849884E-2</v>
      </c>
      <c r="DL7" s="427">
        <f t="shared" si="33"/>
        <v>4.4013251534338549E-2</v>
      </c>
      <c r="DM7" s="427">
        <f t="shared" si="33"/>
        <v>3.6286808875220622E-2</v>
      </c>
      <c r="DN7" s="427">
        <f t="shared" si="33"/>
        <v>3.3535354084458735E-2</v>
      </c>
      <c r="DO7" s="427">
        <f t="shared" si="33"/>
        <v>3.8507138123375917E-2</v>
      </c>
      <c r="DP7" s="427">
        <f t="shared" si="33"/>
        <v>4.5716559155946745E-2</v>
      </c>
      <c r="DQ7" s="427">
        <f t="shared" si="33"/>
        <v>5.6265065958678528E-2</v>
      </c>
      <c r="DR7" s="427">
        <f t="shared" si="33"/>
        <v>5.86440542324973E-2</v>
      </c>
      <c r="DS7" s="427">
        <f t="shared" si="33"/>
        <v>5.9289987814678202E-2</v>
      </c>
      <c r="DT7" s="427">
        <f>DT6/DH6-1</f>
        <v>4.5826847546134752E-2</v>
      </c>
      <c r="DU7" s="427">
        <f t="shared" si="33"/>
        <v>3.7831897238271184E-2</v>
      </c>
      <c r="DV7" s="427">
        <f t="shared" si="33"/>
        <v>4.7138297456041478E-2</v>
      </c>
      <c r="DW7" s="427">
        <f t="shared" si="33"/>
        <v>4.0549608788081892E-2</v>
      </c>
      <c r="DX7" s="427">
        <f t="shared" si="33"/>
        <v>4.1874869647160029E-2</v>
      </c>
      <c r="DY7" s="427">
        <f t="shared" si="33"/>
        <v>5.4474416576148155E-2</v>
      </c>
      <c r="DZ7" s="427">
        <f t="shared" si="33"/>
        <v>6.7150137294543333E-2</v>
      </c>
      <c r="EA7" s="427">
        <f t="shared" si="33"/>
        <v>6.1856183933860054E-2</v>
      </c>
      <c r="EB7" s="427">
        <f t="shared" si="33"/>
        <v>5.9600546093421025E-2</v>
      </c>
      <c r="EC7" s="427">
        <f t="shared" si="33"/>
        <v>4.8034419358992553E-2</v>
      </c>
      <c r="ED7" s="427">
        <f t="shared" si="33"/>
        <v>4.145841395772365E-2</v>
      </c>
      <c r="EE7" s="427">
        <f t="shared" si="33"/>
        <v>4.5477080651517676E-2</v>
      </c>
      <c r="EF7" s="427">
        <f t="shared" si="33"/>
        <v>5.9071729957805852E-2</v>
      </c>
      <c r="EG7" s="427">
        <f t="shared" si="33"/>
        <v>6.701244389501726E-2</v>
      </c>
      <c r="EH7" s="427">
        <f t="shared" si="33"/>
        <v>7.7935158066421373E-2</v>
      </c>
      <c r="EI7" s="427">
        <f t="shared" si="33"/>
        <v>8.6234071070331542E-2</v>
      </c>
      <c r="EJ7" s="427">
        <f t="shared" si="33"/>
        <v>8.8246749977031413E-2</v>
      </c>
      <c r="EK7" s="427">
        <f t="shared" si="33"/>
        <v>9.723995596846291E-2</v>
      </c>
      <c r="EL7" s="427">
        <f t="shared" si="33"/>
        <v>8.9490307342285469E-2</v>
      </c>
      <c r="EM7" s="427">
        <f t="shared" si="33"/>
        <v>6.3822854021509778E-2</v>
      </c>
      <c r="EN7" s="427">
        <f t="shared" si="33"/>
        <v>5.4731820780019369E-2</v>
      </c>
      <c r="EO7" s="427">
        <f t="shared" si="33"/>
        <v>5.8007610811989796E-2</v>
      </c>
      <c r="EP7" s="427">
        <f t="shared" si="33"/>
        <v>5.9955189007945942E-2</v>
      </c>
      <c r="EQ7" s="427">
        <f t="shared" si="33"/>
        <v>6.2005933020967241E-2</v>
      </c>
      <c r="ER7" s="427">
        <f t="shared" si="33"/>
        <v>6.6932270916334691E-2</v>
      </c>
      <c r="ES7" s="30">
        <f t="shared" ref="ES7:FY7" si="34">(ES6/EG6-1)</f>
        <v>7.0050623910556942E-2</v>
      </c>
      <c r="ET7" s="30">
        <f t="shared" si="34"/>
        <v>7.2934782324115544E-2</v>
      </c>
      <c r="EU7" s="30">
        <f t="shared" si="34"/>
        <v>7.234663886814463E-2</v>
      </c>
      <c r="EV7" s="30">
        <f t="shared" si="34"/>
        <v>6.1607755750757054E-2</v>
      </c>
      <c r="EW7" s="30">
        <f t="shared" si="34"/>
        <v>4.9729370572615617E-2</v>
      </c>
      <c r="EX7" s="30">
        <f t="shared" si="34"/>
        <v>5.8272908677114321E-2</v>
      </c>
      <c r="EY7" s="30">
        <f t="shared" si="34"/>
        <v>9.0481809749953346E-2</v>
      </c>
      <c r="EZ7" s="30">
        <f t="shared" si="34"/>
        <v>7.8265896752498731E-2</v>
      </c>
      <c r="FA7" s="30">
        <f t="shared" si="34"/>
        <v>8.2812499999999956E-2</v>
      </c>
      <c r="FB7" s="30">
        <f t="shared" si="34"/>
        <v>7.0769230769230695E-2</v>
      </c>
      <c r="FC7" s="30">
        <f t="shared" si="34"/>
        <v>7.3226544622425616E-2</v>
      </c>
      <c r="FD7" s="30">
        <f t="shared" si="34"/>
        <v>6.4227035100821395E-2</v>
      </c>
      <c r="FE7" s="30">
        <f t="shared" si="34"/>
        <v>8.62196020633752E-2</v>
      </c>
      <c r="FF7" s="30">
        <f t="shared" si="34"/>
        <v>8.8921282798833934E-2</v>
      </c>
      <c r="FG7" s="30">
        <f t="shared" si="34"/>
        <v>9.0448625180897357E-2</v>
      </c>
      <c r="FH7" s="30">
        <f t="shared" si="34"/>
        <v>9.7031136857349765E-2</v>
      </c>
      <c r="FI7" s="30">
        <f t="shared" si="34"/>
        <v>9.1432685385169021E-2</v>
      </c>
      <c r="FJ7" s="30">
        <f t="shared" si="34"/>
        <v>9.2805755395683587E-2</v>
      </c>
      <c r="FK7" s="244">
        <f t="shared" si="34"/>
        <v>9.4895758447160361E-2</v>
      </c>
      <c r="FL7" s="244">
        <f t="shared" si="34"/>
        <v>9.7968069666182878E-2</v>
      </c>
      <c r="FM7" s="750">
        <f t="shared" si="34"/>
        <v>0.11616161616161613</v>
      </c>
      <c r="FN7" s="244">
        <f t="shared" si="34"/>
        <v>0.11781609195402298</v>
      </c>
      <c r="FO7" s="244">
        <f t="shared" si="34"/>
        <v>0.12295664534470507</v>
      </c>
      <c r="FP7" s="244">
        <f t="shared" si="34"/>
        <v>0.13473684210526304</v>
      </c>
      <c r="FQ7" s="244">
        <f t="shared" si="34"/>
        <v>0.12890094979647215</v>
      </c>
      <c r="FR7" s="244">
        <f t="shared" si="34"/>
        <v>0.13319946452476583</v>
      </c>
      <c r="FS7" s="244">
        <f t="shared" si="34"/>
        <v>0.1300597213005974</v>
      </c>
      <c r="FT7" s="244">
        <f t="shared" si="34"/>
        <v>0.12013201320132016</v>
      </c>
      <c r="FU7" s="244">
        <f t="shared" si="34"/>
        <v>0.11345646437994739</v>
      </c>
      <c r="FV7" s="244">
        <f t="shared" si="34"/>
        <v>0.10664911125740617</v>
      </c>
      <c r="FW7" s="244">
        <f t="shared" si="34"/>
        <v>0.10899540380827299</v>
      </c>
      <c r="FX7" s="244">
        <f t="shared" si="34"/>
        <v>0.12095175148711168</v>
      </c>
      <c r="FY7" s="244">
        <f t="shared" si="34"/>
        <v>0.12087912087912089</v>
      </c>
      <c r="FZ7" s="428">
        <v>0.12660668380462736</v>
      </c>
      <c r="GA7" s="428">
        <v>0.12468354430379747</v>
      </c>
      <c r="GB7" s="428">
        <v>0.12244897959183687</v>
      </c>
      <c r="GC7" s="729">
        <v>0.10877403846153832</v>
      </c>
      <c r="GD7" s="729">
        <v>9.6278795038393206E-2</v>
      </c>
      <c r="GE7" s="729">
        <v>9.0428655314151341E-2</v>
      </c>
      <c r="GF7" s="729">
        <v>9.3694755450795641E-2</v>
      </c>
      <c r="GG7" s="729">
        <v>7.9383886255923963E-2</v>
      </c>
      <c r="GH7" s="729">
        <v>7.1980963712076074E-2</v>
      </c>
      <c r="GI7" s="729">
        <v>6.275902901124919E-2</v>
      </c>
      <c r="GJ7" s="729">
        <v>6.60377358490567E-2</v>
      </c>
      <c r="GK7" s="463">
        <v>6.4528301886792525E-2</v>
      </c>
      <c r="GL7" s="30">
        <f t="shared" ref="GL7:HK7" si="35">(GL6/FZ6-1)</f>
        <v>4.192740926157712E-2</v>
      </c>
      <c r="GM7" s="30">
        <f t="shared" si="35"/>
        <v>5.5181128896377496E-2</v>
      </c>
      <c r="GN7" s="30">
        <f t="shared" si="35"/>
        <v>5.5526725480020911E-2</v>
      </c>
      <c r="GO7" s="30">
        <f t="shared" si="35"/>
        <v>6.4199550194234289E-2</v>
      </c>
      <c r="GP7" s="30">
        <f t="shared" si="35"/>
        <v>7.4957066370340497E-2</v>
      </c>
      <c r="GQ7" s="30">
        <f t="shared" si="35"/>
        <v>8.0080080080080052E-2</v>
      </c>
      <c r="GR7" s="30">
        <f t="shared" si="35"/>
        <v>8.5896287448989694E-2</v>
      </c>
      <c r="GS7" s="30">
        <f>(GS6/GG6-1)</f>
        <v>9.6683979224930106E-2</v>
      </c>
      <c r="GT7" s="30">
        <f t="shared" si="35"/>
        <v>0.10821904094503965</v>
      </c>
      <c r="GU7" s="30">
        <f t="shared" si="35"/>
        <v>0.1299718762555242</v>
      </c>
      <c r="GV7" s="30">
        <f t="shared" si="35"/>
        <v>0.14148489093456074</v>
      </c>
      <c r="GW7" s="30">
        <f t="shared" si="35"/>
        <v>0.16799999999999993</v>
      </c>
      <c r="GX7" s="30">
        <f t="shared" si="35"/>
        <v>0.17917917917917903</v>
      </c>
      <c r="GY7" s="30">
        <f t="shared" si="35"/>
        <v>0.19171656686626748</v>
      </c>
      <c r="GZ7" s="746">
        <f t="shared" si="35"/>
        <v>0.19754178957718782</v>
      </c>
      <c r="HA7" s="30">
        <f t="shared" si="35"/>
        <v>0.19731027857829009</v>
      </c>
      <c r="HB7" s="30">
        <f t="shared" si="35"/>
        <v>0.19396673244995766</v>
      </c>
      <c r="HC7" s="30">
        <f t="shared" si="35"/>
        <v>0.18989805375347535</v>
      </c>
      <c r="HD7" s="30">
        <f t="shared" si="35"/>
        <v>0.18652612282309811</v>
      </c>
      <c r="HE7" s="30">
        <f t="shared" si="35"/>
        <v>0.18324225865209454</v>
      </c>
      <c r="HF7" s="30">
        <f t="shared" si="35"/>
        <v>0.17488708220415528</v>
      </c>
      <c r="HG7" s="30">
        <f t="shared" si="35"/>
        <v>0.15725488121426068</v>
      </c>
      <c r="HH7" s="463">
        <f t="shared" si="35"/>
        <v>0.14910589060308554</v>
      </c>
      <c r="HI7" s="463">
        <f t="shared" si="35"/>
        <v>0.1351027397260276</v>
      </c>
      <c r="HJ7" s="463">
        <f t="shared" si="35"/>
        <v>0.12888606692718341</v>
      </c>
      <c r="HK7" s="463">
        <f t="shared" si="35"/>
        <v>0.12109538564609346</v>
      </c>
      <c r="HL7" s="729">
        <f>(HL6/GZ6-1)</f>
        <v>0.12059154001762828</v>
      </c>
      <c r="HM7" s="729">
        <f>(HM6/HA6-1)</f>
        <v>0.10927471116816423</v>
      </c>
      <c r="HN7" s="729">
        <f t="shared" ref="HN7:HU7" si="36">(HN6/HB6-1)</f>
        <v>0.10373868555686738</v>
      </c>
      <c r="HO7" s="729">
        <f t="shared" si="36"/>
        <v>9.7653413414314327E-2</v>
      </c>
      <c r="HP7" s="729">
        <f t="shared" si="36"/>
        <v>9.3781382773271638E-2</v>
      </c>
      <c r="HQ7" s="729">
        <f t="shared" si="36"/>
        <v>8.3435960591133007E-2</v>
      </c>
      <c r="HR7" s="729">
        <f t="shared" si="36"/>
        <v>7.6426264800861121E-2</v>
      </c>
      <c r="HS7" s="729">
        <f t="shared" si="36"/>
        <v>7.5418521482056633E-2</v>
      </c>
      <c r="HT7" s="729">
        <f t="shared" si="36"/>
        <v>6.7434586925013473E-2</v>
      </c>
      <c r="HU7" s="729">
        <f t="shared" si="36"/>
        <v>6.0567204706592159E-2</v>
      </c>
      <c r="HV7" s="729">
        <f>(HV6/HJ6-1)</f>
        <v>6.3220376346278639E-2</v>
      </c>
      <c r="HW7" s="729">
        <f t="shared" ref="HW7:IG7" si="37">HW6/HK6-1</f>
        <v>6.2448644207066417E-2</v>
      </c>
      <c r="HX7" s="729">
        <f t="shared" si="37"/>
        <v>5.5654474066129112E-2</v>
      </c>
      <c r="HY7" s="729">
        <f t="shared" si="37"/>
        <v>6.0337041876474817E-2</v>
      </c>
      <c r="HZ7" s="729">
        <f t="shared" si="37"/>
        <v>5.9814708563590058E-2</v>
      </c>
      <c r="IA7" s="729">
        <f t="shared" si="37"/>
        <v>6.0727919565452426E-2</v>
      </c>
      <c r="IB7" s="729">
        <f t="shared" si="37"/>
        <v>6.2928172893566003E-2</v>
      </c>
      <c r="IC7" s="729">
        <f t="shared" si="37"/>
        <v>6.4839430872793091E-2</v>
      </c>
      <c r="ID7" s="729">
        <f t="shared" si="37"/>
        <v>6.4125464937905496E-2</v>
      </c>
      <c r="IE7" s="729">
        <f t="shared" si="37"/>
        <v>6.5354237346516797E-2</v>
      </c>
      <c r="IF7" s="729">
        <f t="shared" si="37"/>
        <v>6.7066142690327624E-2</v>
      </c>
      <c r="IG7" s="729">
        <f t="shared" si="37"/>
        <v>6.627436760832417E-2</v>
      </c>
      <c r="IH7" s="729">
        <f t="shared" ref="IH7" si="38">(IH6/HV6-1)</f>
        <v>5.8761008135839621E-2</v>
      </c>
      <c r="II7" s="729">
        <f t="shared" ref="II7" si="39">(II6/HW6-1)</f>
        <v>5.8432305080861946E-2</v>
      </c>
      <c r="IJ7" s="729">
        <f t="shared" ref="IJ7" si="40">(IJ6/HX6-1)</f>
        <v>4.7506950866802011E-2</v>
      </c>
      <c r="IK7" s="729">
        <f t="shared" ref="IK7" si="41">(IK6/HY6-1)</f>
        <v>3.9757076730748242E-2</v>
      </c>
      <c r="IL7" s="729">
        <f t="shared" ref="IL7" si="42">(IL6/HZ6-1)</f>
        <v>4.1794408188346122E-2</v>
      </c>
      <c r="IM7" s="729">
        <f t="shared" ref="IM7" si="43">(IM6/IA6-1)</f>
        <v>4.2780008508283673E-2</v>
      </c>
      <c r="IN7" s="729">
        <f t="shared" ref="IN7" si="44">(IN6/IB6-1)</f>
        <v>4.4552761051545042E-2</v>
      </c>
      <c r="IO7" s="729">
        <f t="shared" ref="IO7" si="45">(IO6/IC6-1)</f>
        <v>5.3215590913413546E-2</v>
      </c>
      <c r="IP7" s="729">
        <f t="shared" ref="IP7" si="46">(IP6/ID6-1)</f>
        <v>6.1389634784596803E-2</v>
      </c>
      <c r="IQ7" s="729">
        <f t="shared" ref="IQ7" si="47">(IQ6/IE6-1)</f>
        <v>6.4487485362523245E-2</v>
      </c>
      <c r="IR7" s="729">
        <f t="shared" ref="IR7:IS7" si="48">(IR6/IF6-1)</f>
        <v>6.3566061800581775E-2</v>
      </c>
      <c r="IS7" s="729">
        <f t="shared" si="48"/>
        <v>6.076990418741568E-2</v>
      </c>
      <c r="IT7" s="752">
        <v>7.0000000000000007E-2</v>
      </c>
      <c r="IU7" s="752">
        <v>7.0000000000000007E-2</v>
      </c>
      <c r="IV7" s="752">
        <f>'NA ASSUMPTIONS'!Q55</f>
        <v>0.08</v>
      </c>
      <c r="IW7" s="752">
        <v>7.0000000000000007E-2</v>
      </c>
      <c r="IX7" s="752">
        <v>6.8000000000000005E-2</v>
      </c>
      <c r="IY7" s="752">
        <v>6.5000000000000002E-2</v>
      </c>
      <c r="IZ7" s="752">
        <v>6.5000000000000002E-2</v>
      </c>
      <c r="JA7" s="752">
        <v>6.3E-2</v>
      </c>
      <c r="JB7" s="752">
        <v>0.06</v>
      </c>
      <c r="JC7" s="36">
        <v>0.05</v>
      </c>
      <c r="JD7" s="36">
        <v>0.05</v>
      </c>
      <c r="JE7" s="36">
        <v>0.05</v>
      </c>
      <c r="JF7" s="36">
        <v>0.05</v>
      </c>
      <c r="JG7" s="36">
        <v>0.05</v>
      </c>
      <c r="JH7" s="752">
        <f>'NA ASSUMPTIONS'!R55</f>
        <v>0.04</v>
      </c>
      <c r="JI7" s="759">
        <v>0.04</v>
      </c>
      <c r="JJ7" s="36">
        <v>0.05</v>
      </c>
      <c r="JK7" s="36">
        <v>0.05</v>
      </c>
      <c r="JL7" s="36">
        <v>0.05</v>
      </c>
      <c r="JM7" s="36">
        <v>0.05</v>
      </c>
      <c r="JN7" s="36">
        <v>0.05</v>
      </c>
      <c r="JO7" s="36">
        <v>0.05</v>
      </c>
      <c r="JP7" s="36">
        <v>0.05</v>
      </c>
      <c r="JQ7" s="36">
        <v>0.05</v>
      </c>
      <c r="JR7" s="36">
        <v>0.05</v>
      </c>
      <c r="JS7" s="36">
        <v>0.05</v>
      </c>
      <c r="JT7" s="752">
        <f>'NA ASSUMPTIONS'!S55</f>
        <v>0.05</v>
      </c>
      <c r="JU7" s="36">
        <v>0.05</v>
      </c>
      <c r="KF7" s="752">
        <f>'NA ASSUMPTIONS'!T55</f>
        <v>0.05</v>
      </c>
      <c r="KR7" s="752">
        <f>'NA ASSUMPTIONS'!U55</f>
        <v>0.05</v>
      </c>
      <c r="LD7" s="752">
        <f>'NA ASSUMPTIONS'!V55</f>
        <v>0.05</v>
      </c>
    </row>
    <row r="8" spans="1:316" x14ac:dyDescent="0.2">
      <c r="E8" t="s">
        <v>73</v>
      </c>
      <c r="K8" s="13">
        <f>BR8</f>
        <v>94.437144108628985</v>
      </c>
      <c r="L8" s="13">
        <f>CD8</f>
        <v>100.08760402978535</v>
      </c>
      <c r="M8" s="16">
        <f>CP8</f>
        <v>106.16510625098576</v>
      </c>
      <c r="N8" s="13">
        <f>DB8</f>
        <v>112.76602897242776</v>
      </c>
      <c r="O8" s="13">
        <f>DN8</f>
        <v>121.0485213385486</v>
      </c>
      <c r="P8" s="38">
        <f>DZ8</f>
        <v>130.35744374017744</v>
      </c>
      <c r="Q8" s="38">
        <f>EL8</f>
        <v>141.05445017867225</v>
      </c>
      <c r="R8" s="38">
        <f>EX8</f>
        <v>147.6</v>
      </c>
      <c r="S8" s="38">
        <f>FJ8</f>
        <v>164.4</v>
      </c>
      <c r="T8" s="38">
        <f>FV8</f>
        <v>192.3</v>
      </c>
      <c r="U8" s="38">
        <f t="shared" si="6"/>
        <v>101.51105092324752</v>
      </c>
      <c r="V8" s="38">
        <f>GT8</f>
        <v>113.16</v>
      </c>
      <c r="W8" s="38">
        <f>HF8</f>
        <v>139.11000000000001</v>
      </c>
      <c r="X8" s="38">
        <f>HR8</f>
        <v>151.37</v>
      </c>
      <c r="Y8" s="38">
        <f>ID8</f>
        <v>163.56875157416411</v>
      </c>
      <c r="Z8" s="38">
        <f>IP8</f>
        <v>180.02635226359126</v>
      </c>
      <c r="AA8" s="20">
        <f>Z8*(1+AA9)</f>
        <v>193.05932067302885</v>
      </c>
      <c r="AB8" s="20">
        <f>AA8*(1+AB9)</f>
        <v>203.17987360000097</v>
      </c>
      <c r="AC8" s="20">
        <f>AB8*(1+AC9)</f>
        <v>216.30551854791912</v>
      </c>
      <c r="AD8" s="20">
        <f t="shared" ref="AD8" si="49">AC8*(1+AD9)</f>
        <v>230.17643384572332</v>
      </c>
      <c r="AE8" s="20">
        <f>AD8*(1+AE9)</f>
        <v>244.83255299429206</v>
      </c>
      <c r="AF8" s="20"/>
      <c r="AG8" s="31"/>
      <c r="AL8" s="10"/>
      <c r="AM8" s="10"/>
      <c r="AN8" s="13">
        <f>BX8</f>
        <v>95.97021462987297</v>
      </c>
      <c r="AO8" s="13">
        <f>CJ8</f>
        <v>101.79588261060009</v>
      </c>
      <c r="AP8" s="13">
        <f>CV8</f>
        <v>109.78583521968559</v>
      </c>
      <c r="AQ8" s="13">
        <f>DH8</f>
        <v>121.34795741387543</v>
      </c>
      <c r="AR8" s="13">
        <f>DT8</f>
        <v>128.33768583317996</v>
      </c>
      <c r="AS8" s="13">
        <f>EF8</f>
        <v>134.69999999999999</v>
      </c>
      <c r="AT8" s="13">
        <f>ER8</f>
        <v>143.5</v>
      </c>
      <c r="AU8" s="13">
        <f>FD8</f>
        <v>152.9</v>
      </c>
      <c r="AV8" s="13">
        <f>FP8</f>
        <v>181.3</v>
      </c>
      <c r="AW8" s="13">
        <f t="shared" si="9"/>
        <v>96.873382599837669</v>
      </c>
      <c r="AX8" s="38">
        <f>GN8</f>
        <v>103.02245486894097</v>
      </c>
      <c r="AY8" s="38">
        <f>GZ8</f>
        <v>129.19999999999999</v>
      </c>
      <c r="AZ8" s="38">
        <f>HL8</f>
        <v>148.229645654313</v>
      </c>
      <c r="BA8" s="38">
        <f>HX8</f>
        <v>157.15437605941216</v>
      </c>
      <c r="BB8" s="38">
        <f>IJ8</f>
        <v>166.04050380359044</v>
      </c>
      <c r="BC8" s="20">
        <f t="shared" ref="BC8:BF8" si="50">BB8*(1+BC9)</f>
        <v>183.43981558779799</v>
      </c>
      <c r="BD8" s="20">
        <f t="shared" si="50"/>
        <v>190.77740821130993</v>
      </c>
      <c r="BE8" s="20">
        <f t="shared" si="50"/>
        <v>203.14817297241498</v>
      </c>
      <c r="BF8" s="20">
        <f t="shared" si="50"/>
        <v>216.22243280209148</v>
      </c>
      <c r="BG8" s="20">
        <f t="shared" ref="BG8" si="51">BF8*(1+BG9)</f>
        <v>230.03791115868347</v>
      </c>
      <c r="BH8" s="20">
        <f t="shared" ref="BH8" si="52">BG8*(1+BH9)</f>
        <v>244.63429413459966</v>
      </c>
      <c r="BM8" s="430">
        <v>94.568550153307058</v>
      </c>
      <c r="BN8" s="430">
        <v>98.379325448970647</v>
      </c>
      <c r="BO8" s="430">
        <v>101.27025843188787</v>
      </c>
      <c r="BP8" s="430">
        <v>98.685939553219441</v>
      </c>
      <c r="BQ8" s="430">
        <v>97.590889180902323</v>
      </c>
      <c r="BR8" s="430">
        <v>94.437144108628985</v>
      </c>
      <c r="BS8" s="430">
        <v>93.079281646955764</v>
      </c>
      <c r="BT8" s="430">
        <v>91.546211125711778</v>
      </c>
      <c r="BU8" s="430">
        <v>90.626368812965396</v>
      </c>
      <c r="BV8" s="430">
        <v>91.151992991677616</v>
      </c>
      <c r="BW8" s="430">
        <v>92.509855453350838</v>
      </c>
      <c r="BX8" s="430">
        <v>95.97021462987297</v>
      </c>
      <c r="BY8" s="430">
        <v>100</v>
      </c>
      <c r="BZ8" s="430">
        <v>104.24879544459044</v>
      </c>
      <c r="CA8" s="430">
        <v>106.96452036793691</v>
      </c>
      <c r="CB8" s="430">
        <v>104.77441962330268</v>
      </c>
      <c r="CC8" s="430">
        <v>103.46035917652212</v>
      </c>
      <c r="CD8" s="430">
        <v>100.08760402978535</v>
      </c>
      <c r="CE8" s="430">
        <v>98.773543583004809</v>
      </c>
      <c r="CF8" s="430">
        <v>97.415681121331573</v>
      </c>
      <c r="CG8" s="430">
        <v>96.671046868155926</v>
      </c>
      <c r="CH8" s="430">
        <v>97.109067017082779</v>
      </c>
      <c r="CI8" s="430">
        <v>98.291721419185279</v>
      </c>
      <c r="CJ8" s="430">
        <v>101.79588261060009</v>
      </c>
      <c r="CK8" s="430">
        <v>104.68982136633664</v>
      </c>
      <c r="CL8" s="430">
        <v>107.35847151594824</v>
      </c>
      <c r="CM8" s="430">
        <v>110.04640089666637</v>
      </c>
      <c r="CN8" s="430">
        <v>108.62560190386807</v>
      </c>
      <c r="CO8" s="430">
        <v>108.50057715093182</v>
      </c>
      <c r="CP8" s="430">
        <v>106.16510625098576</v>
      </c>
      <c r="CQ8" s="430">
        <v>106.37301229792017</v>
      </c>
      <c r="CR8" s="430">
        <v>105.11976907848882</v>
      </c>
      <c r="CS8" s="430">
        <v>106.29942488876397</v>
      </c>
      <c r="CT8" s="430">
        <v>106.2197270697511</v>
      </c>
      <c r="CU8" s="430">
        <v>106.57855904147704</v>
      </c>
      <c r="CV8" s="430">
        <v>109.78583521968559</v>
      </c>
      <c r="CW8" s="430">
        <v>109.84462561073572</v>
      </c>
      <c r="CX8" s="430">
        <v>112.48055878841043</v>
      </c>
      <c r="CY8" s="430">
        <v>113.03734962619058</v>
      </c>
      <c r="CZ8" s="430">
        <v>113.19750549195683</v>
      </c>
      <c r="DA8" s="430">
        <v>114.13229689429559</v>
      </c>
      <c r="DB8" s="430">
        <v>112.76602897242776</v>
      </c>
      <c r="DC8" s="430">
        <v>112.07633957255747</v>
      </c>
      <c r="DD8" s="430">
        <v>113.50311207110657</v>
      </c>
      <c r="DE8" s="430">
        <v>113.64313165117051</v>
      </c>
      <c r="DF8" s="430">
        <v>116.74678762117203</v>
      </c>
      <c r="DG8" s="430">
        <v>117.21034370311557</v>
      </c>
      <c r="DH8" s="430">
        <v>121.34795741387543</v>
      </c>
      <c r="DI8" s="430">
        <v>123.1296914672227</v>
      </c>
      <c r="DJ8" s="430">
        <v>122.49388264871386</v>
      </c>
      <c r="DK8" s="430">
        <v>122.92562820940759</v>
      </c>
      <c r="DL8" s="430">
        <v>124.15737011913475</v>
      </c>
      <c r="DM8" s="430">
        <v>123.23667310632793</v>
      </c>
      <c r="DN8" s="430">
        <v>121.0485213385486</v>
      </c>
      <c r="DO8" s="430">
        <v>119.982492219137</v>
      </c>
      <c r="DP8" s="430">
        <v>121.30582912646884</v>
      </c>
      <c r="DQ8" s="430">
        <v>122.53890502729485</v>
      </c>
      <c r="DR8" s="430">
        <v>126.4527586058462</v>
      </c>
      <c r="DS8" s="430">
        <v>127.42797612076335</v>
      </c>
      <c r="DT8" s="430">
        <v>128.33768583317996</v>
      </c>
      <c r="DU8" s="430">
        <v>128.83697928403825</v>
      </c>
      <c r="DV8" s="430">
        <v>127.5298117942055</v>
      </c>
      <c r="DW8" s="430">
        <v>127.35761321271568</v>
      </c>
      <c r="DX8" s="430">
        <v>128.53568165852221</v>
      </c>
      <c r="DY8" s="430">
        <v>129.55530830989554</v>
      </c>
      <c r="DZ8" s="430">
        <v>130.35744374017744</v>
      </c>
      <c r="EA8" s="430">
        <v>128.42618152167145</v>
      </c>
      <c r="EB8" s="430">
        <v>129.81136156827239</v>
      </c>
      <c r="EC8" s="430">
        <v>128.07819982425596</v>
      </c>
      <c r="ED8" s="430">
        <v>129.46925033597026</v>
      </c>
      <c r="EE8" s="430">
        <v>130.32868911930538</v>
      </c>
      <c r="EF8" s="430">
        <v>134.69999999999999</v>
      </c>
      <c r="EG8" s="430">
        <v>136.89678560361494</v>
      </c>
      <c r="EH8" s="430">
        <v>138.49359917504884</v>
      </c>
      <c r="EI8" s="430">
        <v>140.28889257753394</v>
      </c>
      <c r="EJ8" s="430">
        <v>141.78649903012101</v>
      </c>
      <c r="EK8" s="430">
        <v>144.50497480798077</v>
      </c>
      <c r="EL8" s="430">
        <v>141.05445017867225</v>
      </c>
      <c r="EM8" s="430">
        <v>133.87519550133916</v>
      </c>
      <c r="EN8" s="430">
        <v>133.19918207147867</v>
      </c>
      <c r="EO8" s="431">
        <v>132.69999999999999</v>
      </c>
      <c r="EP8" s="432">
        <v>136.19999999999999</v>
      </c>
      <c r="EQ8" s="432">
        <v>139.4</v>
      </c>
      <c r="ER8" s="432">
        <v>143.5</v>
      </c>
      <c r="ES8" s="433">
        <v>146.1</v>
      </c>
      <c r="ET8" s="433">
        <v>147.1</v>
      </c>
      <c r="EU8" s="433">
        <v>148.80000000000001</v>
      </c>
      <c r="EV8" s="433">
        <v>148.6</v>
      </c>
      <c r="EW8" s="433">
        <v>148.5</v>
      </c>
      <c r="EX8" s="433">
        <v>147.6</v>
      </c>
      <c r="EY8" s="433">
        <v>147.69999999999999</v>
      </c>
      <c r="EZ8" s="433">
        <v>145.4</v>
      </c>
      <c r="FA8" s="433">
        <v>147.80000000000001</v>
      </c>
      <c r="FB8" s="433">
        <v>147.69999999999999</v>
      </c>
      <c r="FC8" s="433">
        <v>149.9</v>
      </c>
      <c r="FD8" s="433">
        <v>152.9</v>
      </c>
      <c r="FE8" s="24">
        <v>160.80000000000001</v>
      </c>
      <c r="FF8" s="24">
        <v>163.9</v>
      </c>
      <c r="FG8" s="24">
        <v>165.4</v>
      </c>
      <c r="FH8" s="24">
        <v>165.9</v>
      </c>
      <c r="FI8" s="24">
        <v>164.9</v>
      </c>
      <c r="FJ8" s="24">
        <v>164.4</v>
      </c>
      <c r="FK8" s="44">
        <v>164.3</v>
      </c>
      <c r="FL8" s="242">
        <v>161.6</v>
      </c>
      <c r="FM8" s="243">
        <v>167.6</v>
      </c>
      <c r="FN8" s="242">
        <v>169.2</v>
      </c>
      <c r="FO8" s="242">
        <v>174.4</v>
      </c>
      <c r="FP8" s="242">
        <v>181.3</v>
      </c>
      <c r="FQ8" s="242">
        <v>190</v>
      </c>
      <c r="FR8" s="242">
        <v>194.4</v>
      </c>
      <c r="FS8" s="242">
        <v>196</v>
      </c>
      <c r="FT8" s="242">
        <v>195.5</v>
      </c>
      <c r="FU8" s="242">
        <v>194.3</v>
      </c>
      <c r="FV8" s="242">
        <v>192.3</v>
      </c>
      <c r="FW8" s="242">
        <v>192</v>
      </c>
      <c r="FX8" s="242" t="s">
        <v>320</v>
      </c>
      <c r="FY8" s="242" t="s">
        <v>321</v>
      </c>
      <c r="FZ8" s="371">
        <f t="shared" ref="FZ8:GN8" si="53">(FZ6-0.49*FZ10)/0.51</f>
        <v>95.712549345991519</v>
      </c>
      <c r="GA8" s="371">
        <f t="shared" si="53"/>
        <v>94.720994938646044</v>
      </c>
      <c r="GB8" s="371">
        <f t="shared" si="53"/>
        <v>96.873382599837669</v>
      </c>
      <c r="GC8" s="379">
        <f t="shared" si="53"/>
        <v>99.466584786051015</v>
      </c>
      <c r="GD8" s="379">
        <f t="shared" si="53"/>
        <v>100.37632917157821</v>
      </c>
      <c r="GE8" s="379">
        <f t="shared" si="53"/>
        <v>102.15482124509421</v>
      </c>
      <c r="GF8" s="379">
        <f t="shared" si="53"/>
        <v>102.29627643636451</v>
      </c>
      <c r="GG8" s="379">
        <f t="shared" si="53"/>
        <v>102.10225044118552</v>
      </c>
      <c r="GH8" s="379">
        <f t="shared" si="53"/>
        <v>101.51105092324752</v>
      </c>
      <c r="GI8" s="379">
        <f t="shared" si="53"/>
        <v>100.21114884286376</v>
      </c>
      <c r="GJ8" s="379">
        <f t="shared" si="53"/>
        <v>100.13095073982312</v>
      </c>
      <c r="GK8" s="379">
        <f t="shared" si="53"/>
        <v>100.00000000000125</v>
      </c>
      <c r="GL8" s="379">
        <f t="shared" si="53"/>
        <v>99.996246248925317</v>
      </c>
      <c r="GM8" s="379">
        <f t="shared" si="53"/>
        <v>100.50841394095318</v>
      </c>
      <c r="GN8" s="379">
        <f t="shared" si="53"/>
        <v>103.02245486894097</v>
      </c>
      <c r="GO8" s="379">
        <v>105.88</v>
      </c>
      <c r="GP8" s="730">
        <v>108.87</v>
      </c>
      <c r="GQ8" s="730">
        <v>110.37</v>
      </c>
      <c r="GR8" s="730">
        <v>111.52</v>
      </c>
      <c r="GS8" s="730">
        <v>112.14</v>
      </c>
      <c r="GT8" s="730">
        <v>113.16</v>
      </c>
      <c r="GU8" s="730">
        <v>114.98</v>
      </c>
      <c r="GV8" s="730">
        <v>117.56</v>
      </c>
      <c r="GW8" s="730">
        <v>121.32</v>
      </c>
      <c r="GX8" s="730">
        <v>122.75</v>
      </c>
      <c r="GY8" s="730">
        <v>125.27</v>
      </c>
      <c r="GZ8" s="730">
        <v>129.19999999999999</v>
      </c>
      <c r="HA8" s="730">
        <v>133.63</v>
      </c>
      <c r="HB8" s="730">
        <v>136.63999999999999</v>
      </c>
      <c r="HC8" s="730">
        <v>137.88</v>
      </c>
      <c r="HD8" s="730">
        <v>139.02000000000001</v>
      </c>
      <c r="HE8" s="730">
        <v>139.58000000000001</v>
      </c>
      <c r="HF8" s="730">
        <v>139.11000000000001</v>
      </c>
      <c r="HG8" s="730">
        <v>138.37</v>
      </c>
      <c r="HH8" s="38">
        <v>140.79</v>
      </c>
      <c r="HI8" s="38">
        <v>141.66999999999999</v>
      </c>
      <c r="HJ8" s="38">
        <v>142.49181288561741</v>
      </c>
      <c r="HK8" s="38">
        <v>143.77000000000001</v>
      </c>
      <c r="HL8" s="38">
        <v>148.229645654313</v>
      </c>
      <c r="HM8" s="38">
        <v>149.76</v>
      </c>
      <c r="HN8" s="38">
        <v>155.15</v>
      </c>
      <c r="HO8" s="38">
        <v>154.95091074304977</v>
      </c>
      <c r="HP8" s="38">
        <v>154.94</v>
      </c>
      <c r="HQ8" s="38">
        <v>152.47999999999999</v>
      </c>
      <c r="HR8" s="38">
        <v>151.37</v>
      </c>
      <c r="HS8" s="38">
        <v>151.03</v>
      </c>
      <c r="HT8" s="38">
        <v>149.99</v>
      </c>
      <c r="HU8" s="38">
        <v>150.94</v>
      </c>
      <c r="HV8" s="38">
        <v>152.36000000000001</v>
      </c>
      <c r="HW8" s="38">
        <v>154.05000000000001</v>
      </c>
      <c r="HX8" s="38">
        <f>HX25</f>
        <v>157.15437605941216</v>
      </c>
      <c r="HY8" s="38">
        <f t="shared" ref="HY8:IS8" si="54">HY25</f>
        <v>161.01781648038093</v>
      </c>
      <c r="HZ8" s="38">
        <f t="shared" si="54"/>
        <v>164.83301119841772</v>
      </c>
      <c r="IA8" s="38">
        <f t="shared" si="54"/>
        <v>166.14068790322816</v>
      </c>
      <c r="IB8" s="38">
        <f t="shared" si="54"/>
        <v>166.99</v>
      </c>
      <c r="IC8" s="38">
        <f t="shared" si="54"/>
        <v>165.80666934447297</v>
      </c>
      <c r="ID8" s="38">
        <f t="shared" si="54"/>
        <v>163.56875157416411</v>
      </c>
      <c r="IE8" s="38">
        <f t="shared" si="54"/>
        <v>163.28538775798253</v>
      </c>
      <c r="IF8" s="38">
        <f t="shared" si="54"/>
        <v>163.21927572798145</v>
      </c>
      <c r="IG8" s="38">
        <f t="shared" si="54"/>
        <v>163.82247359235308</v>
      </c>
      <c r="IH8" s="38">
        <f t="shared" si="54"/>
        <v>163.1720410027377</v>
      </c>
      <c r="II8" s="38">
        <f t="shared" si="54"/>
        <v>164.84778440740635</v>
      </c>
      <c r="IJ8" s="38">
        <f t="shared" si="54"/>
        <v>166.04050380359044</v>
      </c>
      <c r="IK8" s="38">
        <f t="shared" si="54"/>
        <v>168.84647077561053</v>
      </c>
      <c r="IL8" s="38">
        <f t="shared" si="54"/>
        <v>172.86725704774636</v>
      </c>
      <c r="IM8" s="38">
        <f t="shared" si="54"/>
        <v>175.92265956343832</v>
      </c>
      <c r="IN8" s="38">
        <f t="shared" si="54"/>
        <v>178.77437634331392</v>
      </c>
      <c r="IO8" s="38">
        <f t="shared" si="54"/>
        <v>179.83029284328268</v>
      </c>
      <c r="IP8" s="38">
        <f t="shared" si="54"/>
        <v>180.02635226359126</v>
      </c>
      <c r="IQ8" s="38">
        <f t="shared" si="54"/>
        <v>180.57047162391714</v>
      </c>
      <c r="IR8" s="38">
        <f t="shared" si="54"/>
        <v>179.82075072363278</v>
      </c>
      <c r="IS8" s="38">
        <f t="shared" si="54"/>
        <v>179.53</v>
      </c>
      <c r="IT8" s="379">
        <f>(IT6-0.49*IT10)/0.51</f>
        <v>177.43341098885929</v>
      </c>
      <c r="IU8" s="379">
        <f t="shared" ref="IU8:JU8" si="55">(IU6-0.49*IU10)/0.51</f>
        <v>179.22165861873609</v>
      </c>
      <c r="IV8" s="379">
        <f t="shared" si="55"/>
        <v>183.43981558779802</v>
      </c>
      <c r="IW8" s="379">
        <f t="shared" si="55"/>
        <v>183.32240428185645</v>
      </c>
      <c r="IX8" s="379">
        <f t="shared" si="55"/>
        <v>187.04581465415774</v>
      </c>
      <c r="IY8" s="379">
        <f t="shared" si="55"/>
        <v>189.26050093832691</v>
      </c>
      <c r="IZ8" s="379">
        <f t="shared" si="55"/>
        <v>192.18179619713206</v>
      </c>
      <c r="JA8" s="379">
        <f t="shared" si="55"/>
        <v>192.57547246047849</v>
      </c>
      <c r="JB8" s="379">
        <f t="shared" si="55"/>
        <v>191.82675400993205</v>
      </c>
      <c r="JC8" s="379">
        <f t="shared" si="55"/>
        <v>189.447197944496</v>
      </c>
      <c r="JD8" s="379">
        <f t="shared" si="55"/>
        <v>188.71690090026908</v>
      </c>
      <c r="JE8" s="379">
        <f t="shared" si="55"/>
        <v>188.34447058823528</v>
      </c>
      <c r="JF8" s="379">
        <f t="shared" si="55"/>
        <v>187.67147476696564</v>
      </c>
      <c r="JG8" s="379">
        <f t="shared" si="55"/>
        <v>189.54893054435351</v>
      </c>
      <c r="JH8" s="379">
        <f t="shared" si="55"/>
        <v>190.77740821130996</v>
      </c>
      <c r="JI8" s="379">
        <f t="shared" si="55"/>
        <v>190.65530045313076</v>
      </c>
      <c r="JJ8" s="379">
        <f t="shared" si="55"/>
        <v>199.14180072400453</v>
      </c>
      <c r="JK8" s="379">
        <f t="shared" si="55"/>
        <v>201.44863925422001</v>
      </c>
      <c r="JL8" s="379">
        <f t="shared" si="55"/>
        <v>204.51287862905559</v>
      </c>
      <c r="JM8" s="379">
        <f t="shared" si="55"/>
        <v>204.933461690728</v>
      </c>
      <c r="JN8" s="379">
        <f t="shared" si="55"/>
        <v>204.15452282660502</v>
      </c>
      <c r="JO8" s="379">
        <f t="shared" si="55"/>
        <v>201.66858160052709</v>
      </c>
      <c r="JP8" s="379">
        <f t="shared" si="55"/>
        <v>200.91747457225642</v>
      </c>
      <c r="JQ8" s="379">
        <f t="shared" si="55"/>
        <v>200.54351058823528</v>
      </c>
      <c r="JR8" s="379">
        <f t="shared" si="55"/>
        <v>199.89714642093369</v>
      </c>
      <c r="JS8" s="379">
        <f t="shared" si="55"/>
        <v>201.86805018050691</v>
      </c>
      <c r="JT8" s="379">
        <f t="shared" si="55"/>
        <v>203.14817297241501</v>
      </c>
      <c r="JU8" s="379">
        <f t="shared" si="55"/>
        <v>203.02691453973608</v>
      </c>
      <c r="KF8" s="379">
        <f t="shared" ref="KF8" si="56">(KF6-0.49*KF10)/0.51</f>
        <v>216.22243280209153</v>
      </c>
      <c r="KR8" s="379">
        <f t="shared" ref="KR8" si="57">(KR6-0.49*KR10)/0.51</f>
        <v>230.03791115868356</v>
      </c>
      <c r="LD8" s="379">
        <f t="shared" ref="LD8" si="58">(LD6-0.49*LD10)/0.51</f>
        <v>244.63429413459977</v>
      </c>
    </row>
    <row r="9" spans="1:316" x14ac:dyDescent="0.2">
      <c r="E9" t="s">
        <v>79</v>
      </c>
      <c r="K9" s="10"/>
      <c r="L9" s="10">
        <f t="shared" ref="L9:R9" si="59">L8/K8-1</f>
        <v>5.9833024118738365E-2</v>
      </c>
      <c r="M9" s="10">
        <f t="shared" si="59"/>
        <v>6.0721827444203624E-2</v>
      </c>
      <c r="N9" s="10">
        <f t="shared" si="59"/>
        <v>6.2176010127439785E-2</v>
      </c>
      <c r="O9" s="10">
        <f t="shared" si="59"/>
        <v>7.3448470621821471E-2</v>
      </c>
      <c r="P9" s="10">
        <f t="shared" si="59"/>
        <v>7.6902404909132693E-2</v>
      </c>
      <c r="Q9" s="10">
        <f t="shared" si="59"/>
        <v>8.2059038069322687E-2</v>
      </c>
      <c r="R9" s="10">
        <f t="shared" si="59"/>
        <v>4.6404419095154692E-2</v>
      </c>
      <c r="S9" s="10">
        <f>S8/R8-1</f>
        <v>0.11382113821138229</v>
      </c>
      <c r="T9" s="10">
        <f>T8/S8-1</f>
        <v>0.16970802919708028</v>
      </c>
      <c r="U9" s="10">
        <f t="shared" si="6"/>
        <v>7.072282891315651E-2</v>
      </c>
      <c r="V9" s="463">
        <f>V8/U8-1</f>
        <v>0.11475547707175493</v>
      </c>
      <c r="W9" s="30">
        <f>W8/V8-1</f>
        <v>0.22932131495228014</v>
      </c>
      <c r="X9" s="30">
        <f>X8/W8-1</f>
        <v>8.8131694342606481E-2</v>
      </c>
      <c r="Y9" s="30">
        <f>Y8/X8-1</f>
        <v>8.05889646175868E-2</v>
      </c>
      <c r="Z9" s="30">
        <f>Z8/Y8-1</f>
        <v>0.10061579935679266</v>
      </c>
      <c r="AA9" s="21">
        <f>AVERAGE(BC9:BD9)</f>
        <v>7.239478135042654E-2</v>
      </c>
      <c r="AB9" s="21">
        <f>AVERAGE(BD9:BE9)</f>
        <v>5.2421985593291254E-2</v>
      </c>
      <c r="AC9" s="21">
        <f>AVERAGE(BE9:BF9)</f>
        <v>6.4601107951068548E-2</v>
      </c>
      <c r="AD9" s="21">
        <f t="shared" ref="AD9:AE9" si="60">AVERAGE(BF9:BG9)</f>
        <v>6.4126497515740954E-2</v>
      </c>
      <c r="AE9" s="21">
        <f t="shared" si="60"/>
        <v>6.3673413058402129E-2</v>
      </c>
      <c r="AF9" s="21"/>
      <c r="AG9" s="31"/>
      <c r="AH9" s="10">
        <f>AVERAGE(W7:AH7)</f>
        <v>9.6221192755347754E-2</v>
      </c>
      <c r="AI9" s="10">
        <f t="shared" ref="AI9:AN9" si="61">AVERAGE(AH7:AI7)</f>
        <v>0.30709861402716998</v>
      </c>
      <c r="AJ9" s="10">
        <f t="shared" si="61"/>
        <v>0.24682915340693679</v>
      </c>
      <c r="AK9" s="10">
        <f t="shared" si="61"/>
        <v>0.18522206565998389</v>
      </c>
      <c r="AL9" s="10">
        <f t="shared" si="61"/>
        <v>0.14441417701114911</v>
      </c>
      <c r="AM9" s="10">
        <f t="shared" si="61"/>
        <v>0.10356655794685499</v>
      </c>
      <c r="AN9" s="10">
        <f t="shared" si="61"/>
        <v>6.945216680294361E-2</v>
      </c>
      <c r="AO9" s="10">
        <f t="shared" ref="AO9:AV9" si="62">AO8/AN8-1</f>
        <v>6.0702875399361034E-2</v>
      </c>
      <c r="AP9" s="10">
        <f t="shared" si="62"/>
        <v>7.848993892660161E-2</v>
      </c>
      <c r="AQ9" s="10">
        <f t="shared" si="62"/>
        <v>0.10531524555106397</v>
      </c>
      <c r="AR9" s="10">
        <f t="shared" si="62"/>
        <v>5.7600709301311115E-2</v>
      </c>
      <c r="AS9" s="10">
        <f t="shared" si="62"/>
        <v>4.9574792669162537E-2</v>
      </c>
      <c r="AT9" s="10">
        <f t="shared" si="62"/>
        <v>6.5330363771343825E-2</v>
      </c>
      <c r="AU9" s="10">
        <f t="shared" si="62"/>
        <v>6.5505226480836232E-2</v>
      </c>
      <c r="AV9" s="10">
        <f t="shared" si="62"/>
        <v>0.18574231523871809</v>
      </c>
      <c r="AW9" s="10">
        <f t="shared" si="9"/>
        <v>0.14451185879757311</v>
      </c>
      <c r="AX9" s="30">
        <f>GN9</f>
        <v>6.3475354158982311E-2</v>
      </c>
      <c r="AY9" s="10">
        <f>AY8/AX8-1</f>
        <v>0.25409552863364149</v>
      </c>
      <c r="AZ9" s="10">
        <f>AZ8/AY8-1</f>
        <v>0.14728827905815023</v>
      </c>
      <c r="BA9" s="10">
        <f>BA8/AZ8-1</f>
        <v>6.0208808876954123E-2</v>
      </c>
      <c r="BB9" s="10">
        <f>BB8/BA8-1</f>
        <v>5.6543940849721475E-2</v>
      </c>
      <c r="BC9" s="21">
        <f>IV9</f>
        <v>0.10478956270085305</v>
      </c>
      <c r="BD9" s="21">
        <f>JH9</f>
        <v>4.0000000000000036E-2</v>
      </c>
      <c r="BE9" s="21">
        <f>JT9</f>
        <v>6.4843971186582472E-2</v>
      </c>
      <c r="BF9" s="21">
        <f>KF9</f>
        <v>6.4358244715554624E-2</v>
      </c>
      <c r="BG9" s="21">
        <f>KR9</f>
        <v>6.3894750315927284E-2</v>
      </c>
      <c r="BH9" s="21">
        <f>LD9</f>
        <v>6.3452075800876973E-2</v>
      </c>
      <c r="BM9" s="12">
        <v>7.5199203187250985E-2</v>
      </c>
      <c r="BN9" s="12">
        <v>7.3613766730401556E-2</v>
      </c>
      <c r="BO9" s="12">
        <v>7.5849232201023534E-2</v>
      </c>
      <c r="BP9" s="12">
        <v>7.3368270605050009E-2</v>
      </c>
      <c r="BQ9" s="12">
        <v>7.2184793070259878E-2</v>
      </c>
      <c r="BR9" s="12">
        <v>7.103825136612002E-2</v>
      </c>
      <c r="BS9" s="12">
        <v>6.5697091273821548E-2</v>
      </c>
      <c r="BT9" s="12">
        <v>6.469689251146192E-2</v>
      </c>
      <c r="BU9" s="12">
        <v>6.0481804202972854E-2</v>
      </c>
      <c r="BV9" s="12">
        <v>6.1734693877550907E-2</v>
      </c>
      <c r="BW9" s="12">
        <v>6.0240963855421797E-2</v>
      </c>
      <c r="BX9" s="12">
        <v>5.8965683905268095E-2</v>
      </c>
      <c r="BY9" s="427">
        <f>BY8/BM8-1</f>
        <v>5.7433997220935451E-2</v>
      </c>
      <c r="BZ9" s="427">
        <f>BZ8/BN8-1</f>
        <v>5.966162065894931E-2</v>
      </c>
      <c r="CA9" s="427">
        <f t="shared" ref="CA9:EL9" si="63">CA8/BO8-1</f>
        <v>5.6228373702422063E-2</v>
      </c>
      <c r="CB9" s="427">
        <f t="shared" si="63"/>
        <v>6.1695517088326879E-2</v>
      </c>
      <c r="CC9" s="427">
        <f t="shared" si="63"/>
        <v>6.0143626570915654E-2</v>
      </c>
      <c r="CD9" s="427">
        <f t="shared" si="63"/>
        <v>5.9833024118738365E-2</v>
      </c>
      <c r="CE9" s="427">
        <f t="shared" si="63"/>
        <v>6.1176470588235166E-2</v>
      </c>
      <c r="CF9" s="427">
        <f t="shared" si="63"/>
        <v>6.4114832535885125E-2</v>
      </c>
      <c r="CG9" s="427">
        <f t="shared" si="63"/>
        <v>6.6698888351860663E-2</v>
      </c>
      <c r="CH9" s="427">
        <f t="shared" si="63"/>
        <v>6.5353195579048506E-2</v>
      </c>
      <c r="CI9" s="427">
        <f t="shared" si="63"/>
        <v>6.2500000000000222E-2</v>
      </c>
      <c r="CJ9" s="427">
        <f t="shared" si="63"/>
        <v>6.0702875399361034E-2</v>
      </c>
      <c r="CK9" s="427">
        <f t="shared" si="63"/>
        <v>4.6898213663366439E-2</v>
      </c>
      <c r="CL9" s="427">
        <f t="shared" si="63"/>
        <v>2.98293717265119E-2</v>
      </c>
      <c r="CM9" s="427">
        <f t="shared" si="63"/>
        <v>2.8812175459006273E-2</v>
      </c>
      <c r="CN9" s="427">
        <f t="shared" si="63"/>
        <v>3.6756894425296061E-2</v>
      </c>
      <c r="CO9" s="427">
        <f t="shared" si="63"/>
        <v>4.8716416746728886E-2</v>
      </c>
      <c r="CP9" s="427">
        <f t="shared" si="63"/>
        <v>6.0721827444203624E-2</v>
      </c>
      <c r="CQ9" s="427">
        <f t="shared" si="63"/>
        <v>7.6938301889808214E-2</v>
      </c>
      <c r="CR9" s="427">
        <f t="shared" si="63"/>
        <v>7.9084679883947739E-2</v>
      </c>
      <c r="CS9" s="427">
        <f t="shared" si="63"/>
        <v>9.9599397467368123E-2</v>
      </c>
      <c r="CT9" s="427">
        <f t="shared" si="63"/>
        <v>9.3818840325853747E-2</v>
      </c>
      <c r="CU9" s="427">
        <f t="shared" si="63"/>
        <v>8.4308602012888034E-2</v>
      </c>
      <c r="CV9" s="427">
        <f t="shared" si="63"/>
        <v>7.848993892660161E-2</v>
      </c>
      <c r="CW9" s="427">
        <f t="shared" si="63"/>
        <v>4.9238829306634146E-2</v>
      </c>
      <c r="CX9" s="427">
        <f t="shared" si="63"/>
        <v>4.7710135959800004E-2</v>
      </c>
      <c r="CY9" s="427">
        <f t="shared" si="63"/>
        <v>2.7178978186962244E-2</v>
      </c>
      <c r="CZ9" s="427">
        <f t="shared" si="63"/>
        <v>4.2088637558342912E-2</v>
      </c>
      <c r="DA9" s="427">
        <f t="shared" si="63"/>
        <v>5.1904974989484653E-2</v>
      </c>
      <c r="DB9" s="427">
        <f t="shared" si="63"/>
        <v>6.2176010127439785E-2</v>
      </c>
      <c r="DC9" s="427">
        <f t="shared" si="63"/>
        <v>5.361629939240542E-2</v>
      </c>
      <c r="DD9" s="427">
        <f t="shared" si="63"/>
        <v>7.9750393918371687E-2</v>
      </c>
      <c r="DE9" s="427">
        <f t="shared" si="63"/>
        <v>6.9085103424513239E-2</v>
      </c>
      <c r="DF9" s="427">
        <f t="shared" si="63"/>
        <v>9.9106454533705923E-2</v>
      </c>
      <c r="DG9" s="427">
        <f t="shared" si="63"/>
        <v>9.9755380043194064E-2</v>
      </c>
      <c r="DH9" s="427">
        <f t="shared" si="63"/>
        <v>0.10531524555106397</v>
      </c>
      <c r="DI9" s="427">
        <f t="shared" si="63"/>
        <v>0.12094415892104027</v>
      </c>
      <c r="DJ9" s="427">
        <f t="shared" si="63"/>
        <v>8.9022707285262515E-2</v>
      </c>
      <c r="DK9" s="427">
        <f t="shared" si="63"/>
        <v>8.7477976225708742E-2</v>
      </c>
      <c r="DL9" s="427">
        <f t="shared" si="63"/>
        <v>9.6820725682481346E-2</v>
      </c>
      <c r="DM9" s="427">
        <f t="shared" si="63"/>
        <v>7.9770375781225367E-2</v>
      </c>
      <c r="DN9" s="427">
        <f t="shared" si="63"/>
        <v>7.3448470621821471E-2</v>
      </c>
      <c r="DO9" s="427">
        <f t="shared" si="63"/>
        <v>7.0542566582138866E-2</v>
      </c>
      <c r="DP9" s="427">
        <f t="shared" si="63"/>
        <v>6.8744520859252534E-2</v>
      </c>
      <c r="DQ9" s="427">
        <f t="shared" si="63"/>
        <v>7.8278143578707882E-2</v>
      </c>
      <c r="DR9" s="427">
        <f t="shared" si="63"/>
        <v>8.3136942629794319E-2</v>
      </c>
      <c r="DS9" s="427">
        <f t="shared" si="63"/>
        <v>8.7173470316990409E-2</v>
      </c>
      <c r="DT9" s="427">
        <f t="shared" si="63"/>
        <v>5.7600709301311115E-2</v>
      </c>
      <c r="DU9" s="427">
        <f t="shared" si="63"/>
        <v>4.6351840476550166E-2</v>
      </c>
      <c r="DV9" s="427">
        <f t="shared" si="63"/>
        <v>4.1111678694466747E-2</v>
      </c>
      <c r="DW9" s="427">
        <f t="shared" si="63"/>
        <v>3.6054198525290904E-2</v>
      </c>
      <c r="DX9" s="427">
        <f t="shared" si="63"/>
        <v>3.5264209729847451E-2</v>
      </c>
      <c r="DY9" s="427">
        <f t="shared" si="63"/>
        <v>5.1272361094298002E-2</v>
      </c>
      <c r="DZ9" s="427">
        <f t="shared" si="63"/>
        <v>7.6902404909132693E-2</v>
      </c>
      <c r="EA9" s="427">
        <f t="shared" si="63"/>
        <v>7.0374345009543759E-2</v>
      </c>
      <c r="EB9" s="427">
        <f t="shared" si="63"/>
        <v>7.0116436308563568E-2</v>
      </c>
      <c r="EC9" s="427">
        <f t="shared" si="63"/>
        <v>4.5204376485388664E-2</v>
      </c>
      <c r="ED9" s="427">
        <f t="shared" si="63"/>
        <v>2.3854692957126167E-2</v>
      </c>
      <c r="EE9" s="427">
        <f t="shared" si="63"/>
        <v>2.2763549158098861E-2</v>
      </c>
      <c r="EF9" s="427">
        <f t="shared" si="63"/>
        <v>4.9574792669162537E-2</v>
      </c>
      <c r="EG9" s="434">
        <f t="shared" si="63"/>
        <v>6.2558175178942799E-2</v>
      </c>
      <c r="EH9" s="434">
        <f t="shared" si="63"/>
        <v>8.5970387837908557E-2</v>
      </c>
      <c r="EI9" s="434">
        <f t="shared" si="63"/>
        <v>0.10153518928797878</v>
      </c>
      <c r="EJ9" s="434">
        <f t="shared" si="63"/>
        <v>0.10309057532212673</v>
      </c>
      <c r="EK9" s="434">
        <f t="shared" si="63"/>
        <v>0.11539215716522966</v>
      </c>
      <c r="EL9" s="434">
        <f t="shared" si="63"/>
        <v>8.2059038069322687E-2</v>
      </c>
      <c r="EM9" s="434">
        <f>EM8/EA8-1</f>
        <v>4.2429152024178185E-2</v>
      </c>
      <c r="EN9" s="434">
        <v>2.6100000000000002E-2</v>
      </c>
      <c r="EO9" s="434">
        <v>3.61E-2</v>
      </c>
      <c r="EP9" s="30">
        <f t="shared" ref="EP9:EU9" si="64">(EP8/ED8-1)</f>
        <v>5.1987245207364419E-2</v>
      </c>
      <c r="EQ9" s="30">
        <f t="shared" si="64"/>
        <v>6.9603330947268116E-2</v>
      </c>
      <c r="ER9" s="30">
        <f t="shared" si="64"/>
        <v>6.5330363771343825E-2</v>
      </c>
      <c r="ES9" s="30">
        <f t="shared" si="64"/>
        <v>6.7227395850133265E-2</v>
      </c>
      <c r="ET9" s="30">
        <f t="shared" si="64"/>
        <v>6.2142950116222284E-2</v>
      </c>
      <c r="EU9" s="30">
        <f t="shared" si="64"/>
        <v>6.0668434015630934E-2</v>
      </c>
      <c r="EV9" s="30">
        <f>(EV8/EJ8-1)</f>
        <v>4.8054652710139534E-2</v>
      </c>
      <c r="EW9" s="30">
        <f>(EW8/EK8-1)</f>
        <v>2.7646281363862046E-2</v>
      </c>
      <c r="EX9" s="30">
        <f t="shared" ref="EX9:FW9" si="65">(EX8/EL8-1)</f>
        <v>4.6404419095154692E-2</v>
      </c>
      <c r="EY9" s="30">
        <f t="shared" si="65"/>
        <v>0.10326636272604017</v>
      </c>
      <c r="EZ9" s="30">
        <f t="shared" si="65"/>
        <v>9.1598294665007796E-2</v>
      </c>
      <c r="FA9" s="30">
        <f t="shared" si="65"/>
        <v>0.11379050489826703</v>
      </c>
      <c r="FB9" s="30">
        <f t="shared" si="65"/>
        <v>8.4434654919236518E-2</v>
      </c>
      <c r="FC9" s="30">
        <f t="shared" si="65"/>
        <v>7.5322812051650034E-2</v>
      </c>
      <c r="FD9" s="30">
        <f t="shared" si="65"/>
        <v>6.5505226480836232E-2</v>
      </c>
      <c r="FE9" s="30">
        <f t="shared" si="65"/>
        <v>0.10061601642710483</v>
      </c>
      <c r="FF9" s="30">
        <f t="shared" si="65"/>
        <v>0.11420802175390898</v>
      </c>
      <c r="FG9" s="30">
        <f t="shared" si="65"/>
        <v>0.11155913978494625</v>
      </c>
      <c r="FH9" s="30">
        <f t="shared" si="65"/>
        <v>0.11641991924629891</v>
      </c>
      <c r="FI9" s="30">
        <f t="shared" si="65"/>
        <v>0.11043771043771056</v>
      </c>
      <c r="FJ9" s="30">
        <f t="shared" si="65"/>
        <v>0.11382113821138229</v>
      </c>
      <c r="FK9" s="30">
        <f t="shared" si="65"/>
        <v>0.11238997968855813</v>
      </c>
      <c r="FL9" s="30">
        <f t="shared" si="65"/>
        <v>0.11141678129298471</v>
      </c>
      <c r="FM9" s="30">
        <f t="shared" si="65"/>
        <v>0.13396481732070353</v>
      </c>
      <c r="FN9" s="30">
        <f t="shared" si="65"/>
        <v>0.14556533513879488</v>
      </c>
      <c r="FO9" s="30">
        <f t="shared" si="65"/>
        <v>0.16344229486324213</v>
      </c>
      <c r="FP9" s="30">
        <f t="shared" si="65"/>
        <v>0.18574231523871809</v>
      </c>
      <c r="FQ9" s="30">
        <f t="shared" si="65"/>
        <v>0.18159203980099492</v>
      </c>
      <c r="FR9" s="30">
        <f t="shared" si="65"/>
        <v>0.18608907870652835</v>
      </c>
      <c r="FS9" s="30">
        <f t="shared" si="65"/>
        <v>0.18500604594921399</v>
      </c>
      <c r="FT9" s="30">
        <f t="shared" si="65"/>
        <v>0.17842073538276071</v>
      </c>
      <c r="FU9" s="30">
        <f t="shared" si="65"/>
        <v>0.178289872650091</v>
      </c>
      <c r="FV9" s="30">
        <f t="shared" si="65"/>
        <v>0.16970802919708028</v>
      </c>
      <c r="FW9" s="30">
        <f t="shared" si="65"/>
        <v>0.16859403530127803</v>
      </c>
      <c r="FX9" s="30">
        <f>(FX8/FL8-1)</f>
        <v>0.18935643564356441</v>
      </c>
      <c r="FY9" s="30">
        <f>(FY8/FM8-1)</f>
        <v>0.17303102625298328</v>
      </c>
      <c r="FZ9" s="429">
        <v>0.18085106382978733</v>
      </c>
      <c r="GA9" s="429">
        <v>0.17087155963302747</v>
      </c>
      <c r="GB9" s="429">
        <v>0.14451185879757311</v>
      </c>
      <c r="GC9" s="463">
        <v>0.11315789473684212</v>
      </c>
      <c r="GD9" s="463">
        <v>0.10082304526748964</v>
      </c>
      <c r="GE9" s="463">
        <v>9.6938775510204023E-2</v>
      </c>
      <c r="GF9" s="463">
        <v>9.8209718670076773E-2</v>
      </c>
      <c r="GG9" s="463">
        <v>8.1317550180133757E-2</v>
      </c>
      <c r="GH9" s="463">
        <v>7.072282891315651E-2</v>
      </c>
      <c r="GI9" s="463">
        <v>5.6250000000000133E-2</v>
      </c>
      <c r="GJ9" s="463">
        <v>5.6250000000000133E-2</v>
      </c>
      <c r="GK9" s="463">
        <v>5.6250000000000133E-2</v>
      </c>
      <c r="GL9" s="30">
        <f>(GL8/FZ8-1)</f>
        <v>4.4755854192626732E-2</v>
      </c>
      <c r="GM9" s="30">
        <f>(GM8/GA8-1)</f>
        <v>6.1099643284530991E-2</v>
      </c>
      <c r="GN9" s="30">
        <f>(GN8/GB8-1)</f>
        <v>6.3475354158982311E-2</v>
      </c>
      <c r="GO9" s="30">
        <f>(GO8/GC8-1)</f>
        <v>6.4478088070923478E-2</v>
      </c>
      <c r="GP9" s="30">
        <f t="shared" ref="GP9:GU9" si="66">(GP8/GD8-1)</f>
        <v>8.4618265068282739E-2</v>
      </c>
      <c r="GQ9" s="30">
        <f>(GQ8/GE8-1)</f>
        <v>8.0418903922268914E-2</v>
      </c>
      <c r="GR9" s="30">
        <f t="shared" si="66"/>
        <v>9.0166757627520244E-2</v>
      </c>
      <c r="GS9" s="30">
        <f t="shared" si="66"/>
        <v>9.8310757259915338E-2</v>
      </c>
      <c r="GT9" s="731">
        <f>(GT8/GH8-1)</f>
        <v>0.11475547707175493</v>
      </c>
      <c r="GU9" s="731">
        <f t="shared" si="66"/>
        <v>0.14737732605275844</v>
      </c>
      <c r="GV9" s="250">
        <f>GV8/GJ8-1</f>
        <v>0.17406255639641266</v>
      </c>
      <c r="GW9" s="250">
        <f t="shared" ref="GW9:HG9" si="67">GW8/GK8-1</f>
        <v>0.21319999999998474</v>
      </c>
      <c r="GX9" s="250">
        <f t="shared" si="67"/>
        <v>0.22754607902413371</v>
      </c>
      <c r="GY9" s="250">
        <f t="shared" si="67"/>
        <v>0.24636331515084686</v>
      </c>
      <c r="GZ9" s="250">
        <f t="shared" si="67"/>
        <v>0.25409552863364149</v>
      </c>
      <c r="HA9" s="250">
        <f t="shared" si="67"/>
        <v>0.26208915753683426</v>
      </c>
      <c r="HB9" s="250">
        <f t="shared" si="67"/>
        <v>0.2550748599246806</v>
      </c>
      <c r="HC9" s="250">
        <f t="shared" si="67"/>
        <v>0.24925251427018202</v>
      </c>
      <c r="HD9" s="250">
        <f t="shared" si="67"/>
        <v>0.24659253945480653</v>
      </c>
      <c r="HE9" s="250">
        <f t="shared" si="67"/>
        <v>0.24469413233458193</v>
      </c>
      <c r="HF9" s="250">
        <f t="shared" si="67"/>
        <v>0.22932131495228014</v>
      </c>
      <c r="HG9" s="250">
        <f t="shared" si="67"/>
        <v>0.20342668290137422</v>
      </c>
      <c r="HH9" s="732">
        <f t="shared" ref="HH9:IK9" si="68">HH8/GV8-1</f>
        <v>0.19760122490643073</v>
      </c>
      <c r="HI9" s="732">
        <f t="shared" si="68"/>
        <v>0.16773821299043856</v>
      </c>
      <c r="HJ9" s="732">
        <f t="shared" si="68"/>
        <v>0.16082943287672014</v>
      </c>
      <c r="HK9" s="732">
        <f t="shared" si="68"/>
        <v>0.14768100902051584</v>
      </c>
      <c r="HL9" s="732">
        <f t="shared" si="68"/>
        <v>0.14728827905815023</v>
      </c>
      <c r="HM9" s="732">
        <f t="shared" si="68"/>
        <v>0.12070642819726096</v>
      </c>
      <c r="HN9" s="732">
        <f t="shared" si="68"/>
        <v>0.13546545667447329</v>
      </c>
      <c r="HO9" s="732">
        <f t="shared" si="68"/>
        <v>0.12380991255475626</v>
      </c>
      <c r="HP9" s="732">
        <f t="shared" si="68"/>
        <v>0.11451589699323828</v>
      </c>
      <c r="HQ9" s="732">
        <f t="shared" si="68"/>
        <v>9.2420117495342957E-2</v>
      </c>
      <c r="HR9" s="732">
        <f t="shared" si="68"/>
        <v>8.8131694342606481E-2</v>
      </c>
      <c r="HS9" s="732">
        <f t="shared" si="68"/>
        <v>9.1493820914938073E-2</v>
      </c>
      <c r="HT9" s="732">
        <f t="shared" si="68"/>
        <v>6.5345550110093242E-2</v>
      </c>
      <c r="HU9" s="250">
        <f t="shared" si="68"/>
        <v>6.5433754499894192E-2</v>
      </c>
      <c r="HV9" s="250">
        <f t="shared" si="68"/>
        <v>6.925441479437211E-2</v>
      </c>
      <c r="HW9" s="250">
        <f t="shared" si="68"/>
        <v>7.1503095221534307E-2</v>
      </c>
      <c r="HX9" s="250">
        <f t="shared" si="68"/>
        <v>6.0208808876954123E-2</v>
      </c>
      <c r="HY9" s="250">
        <f t="shared" ref="HY9" si="69">HY8/HM8-1</f>
        <v>7.5172385686304244E-2</v>
      </c>
      <c r="HZ9" s="250">
        <f t="shared" ref="HZ9" si="70">HZ8/HN8-1</f>
        <v>6.241064259373319E-2</v>
      </c>
      <c r="IA9" s="250">
        <f t="shared" ref="IA9" si="71">IA8/HO8-1</f>
        <v>7.2214981548150092E-2</v>
      </c>
      <c r="IB9" s="250">
        <f t="shared" si="68"/>
        <v>7.7772040789983343E-2</v>
      </c>
      <c r="IC9" s="250">
        <f t="shared" si="68"/>
        <v>8.7399457925452451E-2</v>
      </c>
      <c r="ID9" s="250">
        <f t="shared" si="68"/>
        <v>8.05889646175868E-2</v>
      </c>
      <c r="IE9" s="250">
        <f t="shared" si="68"/>
        <v>8.1145386730997471E-2</v>
      </c>
      <c r="IF9" s="250">
        <f t="shared" si="68"/>
        <v>8.820105158998226E-2</v>
      </c>
      <c r="IG9" s="250">
        <f t="shared" si="68"/>
        <v>8.5348307886266683E-2</v>
      </c>
      <c r="IH9" s="250">
        <f t="shared" si="68"/>
        <v>7.0963776599748618E-2</v>
      </c>
      <c r="II9" s="250">
        <f t="shared" si="68"/>
        <v>7.0092725786474075E-2</v>
      </c>
      <c r="IJ9" s="250">
        <f t="shared" si="68"/>
        <v>5.6543940849721475E-2</v>
      </c>
      <c r="IK9" s="250">
        <f t="shared" si="68"/>
        <v>4.861980162414814E-2</v>
      </c>
      <c r="IL9" s="250">
        <f t="shared" ref="IL9" si="72">IL8/HZ8-1</f>
        <v>4.8741728315922161E-2</v>
      </c>
      <c r="IM9" s="250">
        <f t="shared" ref="IM9" si="73">IM8/IA8-1</f>
        <v>5.8877640291870259E-2</v>
      </c>
      <c r="IN9" s="250">
        <f t="shared" ref="IN9" si="74">IN8/IB8-1</f>
        <v>7.0569353514066124E-2</v>
      </c>
      <c r="IO9" s="250">
        <f t="shared" ref="IO9" si="75">IO8/IC8-1</f>
        <v>8.4578162954801472E-2</v>
      </c>
      <c r="IP9" s="250">
        <f t="shared" ref="IP9:JI9" si="76">IP8/ID8-1</f>
        <v>0.10061579935679266</v>
      </c>
      <c r="IQ9" s="11">
        <f t="shared" si="76"/>
        <v>0.10585811812845192</v>
      </c>
      <c r="IR9" s="11">
        <f t="shared" si="76"/>
        <v>0.10171271084010369</v>
      </c>
      <c r="IS9" s="11">
        <f t="shared" si="76"/>
        <v>9.5881389550573459E-2</v>
      </c>
      <c r="IT9" s="11">
        <f t="shared" si="76"/>
        <v>8.7400818782932932E-2</v>
      </c>
      <c r="IU9" s="11">
        <f t="shared" si="76"/>
        <v>8.7194828022717052E-2</v>
      </c>
      <c r="IV9" s="11">
        <f t="shared" si="76"/>
        <v>0.10478956270085305</v>
      </c>
      <c r="IW9" s="11">
        <f t="shared" si="76"/>
        <v>8.5734297197622711E-2</v>
      </c>
      <c r="IX9" s="11">
        <f t="shared" si="76"/>
        <v>8.2019914288888218E-2</v>
      </c>
      <c r="IY9" s="11">
        <f t="shared" si="76"/>
        <v>7.5816506003190121E-2</v>
      </c>
      <c r="IZ9" s="11">
        <f t="shared" si="76"/>
        <v>7.4996317302603144E-2</v>
      </c>
      <c r="JA9" s="11">
        <f t="shared" si="76"/>
        <v>7.087337408888561E-2</v>
      </c>
      <c r="JB9" s="11">
        <f t="shared" si="76"/>
        <v>6.5548191128501188E-2</v>
      </c>
      <c r="JC9" s="11">
        <f t="shared" si="76"/>
        <v>4.915934615858375E-2</v>
      </c>
      <c r="JD9" s="11">
        <f t="shared" si="76"/>
        <v>4.9472322525829115E-2</v>
      </c>
      <c r="JE9" s="11">
        <f t="shared" si="76"/>
        <v>4.9097480021362827E-2</v>
      </c>
      <c r="JF9" s="11">
        <f t="shared" si="76"/>
        <v>5.7700879000456062E-2</v>
      </c>
      <c r="JG9" s="11">
        <f t="shared" si="76"/>
        <v>5.7622901189565257E-2</v>
      </c>
      <c r="JH9" s="11">
        <f t="shared" si="76"/>
        <v>4.0000000000000036E-2</v>
      </c>
      <c r="JI9" s="11">
        <f t="shared" si="76"/>
        <v>4.0000000000000258E-2</v>
      </c>
      <c r="JJ9" s="11">
        <f t="shared" ref="JJ9" si="77">JJ8/IX8-1</f>
        <v>6.4668573804829155E-2</v>
      </c>
      <c r="JK9" s="11">
        <f t="shared" ref="JK9" si="78">JK8/IY8-1</f>
        <v>6.4398742767064476E-2</v>
      </c>
      <c r="JL9" s="11">
        <f t="shared" ref="JL9" si="79">JL8/IZ8-1</f>
        <v>6.416363399619196E-2</v>
      </c>
      <c r="JM9" s="11">
        <f t="shared" ref="JM9" si="80">JM8/JA8-1</f>
        <v>6.4172186999492897E-2</v>
      </c>
      <c r="JN9" s="11">
        <f t="shared" ref="JN9" si="81">JN8/JB8-1</f>
        <v>6.4265117138116556E-2</v>
      </c>
      <c r="JO9" s="11">
        <f t="shared" ref="JO9" si="82">JO8/JC8-1</f>
        <v>6.4510764944708754E-2</v>
      </c>
      <c r="JP9" s="11">
        <f t="shared" ref="JP9" si="83">JP8/JD8-1</f>
        <v>6.4650137925033935E-2</v>
      </c>
      <c r="JQ9" s="11">
        <f t="shared" ref="JQ9" si="84">JQ8/JE8-1</f>
        <v>6.476983349657206E-2</v>
      </c>
      <c r="JR9" s="11">
        <f t="shared" ref="JR9" si="85">JR8/JF8-1</f>
        <v>6.5144005870624966E-2</v>
      </c>
      <c r="JS9" s="11">
        <f t="shared" ref="JS9" si="86">JS8/JG8-1</f>
        <v>6.4991765454834871E-2</v>
      </c>
      <c r="JT9" s="11">
        <f t="shared" ref="JT9" si="87">JT8/JH8-1</f>
        <v>6.4843971186582472E-2</v>
      </c>
      <c r="JU9" s="11">
        <f t="shared" ref="JU9" si="88">JU8/JI8-1</f>
        <v>6.4889956152289985E-2</v>
      </c>
      <c r="KF9" s="11">
        <f t="shared" ref="KF9" si="89">KF8/JT8-1</f>
        <v>6.4358244715554624E-2</v>
      </c>
      <c r="KR9" s="11">
        <f t="shared" ref="KR9" si="90">KR8/KF8-1</f>
        <v>6.3894750315927284E-2</v>
      </c>
      <c r="LD9" s="11">
        <f t="shared" ref="LD9" si="91">LD8/KR8-1</f>
        <v>6.3452075800876973E-2</v>
      </c>
    </row>
    <row r="10" spans="1:316" x14ac:dyDescent="0.2">
      <c r="E10" t="s">
        <v>74</v>
      </c>
      <c r="K10" s="13">
        <f>BR10</f>
        <v>96.938775510204081</v>
      </c>
      <c r="L10" s="13">
        <f>CD10</f>
        <v>99.693877551020421</v>
      </c>
      <c r="M10" s="16">
        <f>CP10</f>
        <v>100.35102040816328</v>
      </c>
      <c r="N10" s="13">
        <f>DB10</f>
        <v>104.93190171497902</v>
      </c>
      <c r="O10" s="13">
        <f>DN10</f>
        <v>102.75653781539418</v>
      </c>
      <c r="P10" s="38">
        <f>DZ10</f>
        <v>108.16819987528001</v>
      </c>
      <c r="Q10" s="38">
        <f>EL10</f>
        <v>119.04000934679475</v>
      </c>
      <c r="R10" s="38">
        <f>EX10</f>
        <v>128.09886621315189</v>
      </c>
      <c r="S10" s="38">
        <f>FJ10</f>
        <v>136.05532879818594</v>
      </c>
      <c r="T10" s="38">
        <f>FV10</f>
        <v>137.42471655328794</v>
      </c>
      <c r="U10" s="38">
        <f t="shared" si="6"/>
        <v>98.202783732946457</v>
      </c>
      <c r="V10" s="38">
        <f>GT10</f>
        <v>107.98</v>
      </c>
      <c r="W10" s="38">
        <f>HF10</f>
        <v>119.34</v>
      </c>
      <c r="X10" s="38">
        <f>HR10</f>
        <v>128.82</v>
      </c>
      <c r="Y10" s="38">
        <f>ID10</f>
        <v>134.99855515879844</v>
      </c>
      <c r="Z10" s="38">
        <f>IP10</f>
        <v>136.9289510645543</v>
      </c>
      <c r="AA10" s="20">
        <f>Z10*(1+AA11)</f>
        <v>142.40610910713647</v>
      </c>
      <c r="AB10" s="20">
        <f>AA10*(1+AB11)</f>
        <v>147.39032292588624</v>
      </c>
      <c r="AC10" s="20">
        <f>AB10*(1+AC11)</f>
        <v>151.81203261366284</v>
      </c>
      <c r="AD10" s="20">
        <f t="shared" ref="AD10:AE10" si="92">AC10*(1+AD11)</f>
        <v>156.36639359207274</v>
      </c>
      <c r="AE10" s="20">
        <f t="shared" si="92"/>
        <v>161.05738539983491</v>
      </c>
      <c r="AF10" s="20"/>
      <c r="AG10" s="31"/>
      <c r="AH10" s="10"/>
      <c r="AI10" s="10"/>
      <c r="AJ10" s="10"/>
      <c r="AK10" s="10"/>
      <c r="AL10" s="10"/>
      <c r="AM10" s="10"/>
      <c r="AN10" s="13">
        <f>BX10</f>
        <v>99.438775510204081</v>
      </c>
      <c r="AO10" s="13">
        <f>CJ10</f>
        <v>100.66326530612247</v>
      </c>
      <c r="AP10" s="13">
        <f>CV10</f>
        <v>100.4</v>
      </c>
      <c r="AQ10" s="13">
        <f>DH10</f>
        <v>103.13894874547852</v>
      </c>
      <c r="AR10" s="13">
        <v>104.6</v>
      </c>
      <c r="AS10" s="13">
        <f>EF10</f>
        <v>114.01308259538418</v>
      </c>
      <c r="AT10" s="13">
        <f>ER10</f>
        <v>121.73129251700679</v>
      </c>
      <c r="AU10" s="13">
        <f>FD10</f>
        <v>129.3172335600907</v>
      </c>
      <c r="AV10" s="13">
        <f>FP10</f>
        <v>136.8555555555555</v>
      </c>
      <c r="AW10" s="13">
        <f t="shared" si="9"/>
        <v>95.805254845066898</v>
      </c>
      <c r="AX10" s="38">
        <f>GN10</f>
        <v>100.32356738130635</v>
      </c>
      <c r="AY10" s="38">
        <f>GZ10</f>
        <v>113.03</v>
      </c>
      <c r="AZ10" s="38">
        <f>HL10</f>
        <v>124.69</v>
      </c>
      <c r="BA10" s="38">
        <f>HX10</f>
        <v>131.55294618496879</v>
      </c>
      <c r="BB10" s="38">
        <f>IJ10</f>
        <v>136.25563401679793</v>
      </c>
      <c r="BC10" s="20">
        <f t="shared" ref="BC10:BF10" si="93">BB10*(1+BC11)</f>
        <v>141.70585937746984</v>
      </c>
      <c r="BD10" s="20">
        <f t="shared" si="93"/>
        <v>147.37409375256863</v>
      </c>
      <c r="BE10" s="20">
        <f t="shared" si="93"/>
        <v>151.7953165651457</v>
      </c>
      <c r="BF10" s="20">
        <f t="shared" si="93"/>
        <v>156.34917606210007</v>
      </c>
      <c r="BG10" s="20">
        <f t="shared" ref="BG10" si="94">BF10*(1+BG11)</f>
        <v>161.03965134396307</v>
      </c>
      <c r="BH10" s="20">
        <f t="shared" ref="BH10" si="95">BG10*(1+BH11)</f>
        <v>165.87084088428196</v>
      </c>
      <c r="BM10" s="424">
        <v>95.678146258503432</v>
      </c>
      <c r="BN10" s="424">
        <v>96.428571428571431</v>
      </c>
      <c r="BO10" s="424">
        <v>96.83673469387756</v>
      </c>
      <c r="BP10" s="424">
        <v>96.785714285714278</v>
      </c>
      <c r="BQ10" s="424">
        <v>96.887755102040813</v>
      </c>
      <c r="BR10" s="424">
        <v>96.938775510204081</v>
      </c>
      <c r="BS10" s="424">
        <v>97.653061224489804</v>
      </c>
      <c r="BT10" s="424">
        <v>98.112244897959187</v>
      </c>
      <c r="BU10" s="424">
        <v>98.826530612244895</v>
      </c>
      <c r="BV10" s="424">
        <v>99.183673469387756</v>
      </c>
      <c r="BW10" s="424">
        <v>99.183673469387756</v>
      </c>
      <c r="BX10" s="424">
        <v>99.438775510204081</v>
      </c>
      <c r="BY10" s="424">
        <v>100</v>
      </c>
      <c r="BZ10" s="424">
        <v>100.35714285714286</v>
      </c>
      <c r="CA10" s="424">
        <v>100.35714285714286</v>
      </c>
      <c r="CB10" s="424">
        <v>99.795918367346943</v>
      </c>
      <c r="CC10" s="424">
        <v>99.897959183673478</v>
      </c>
      <c r="CD10" s="424">
        <v>99.693877551020421</v>
      </c>
      <c r="CE10" s="424">
        <v>99.897959183673478</v>
      </c>
      <c r="CF10" s="424">
        <v>99.897959183673478</v>
      </c>
      <c r="CG10" s="424">
        <v>99.846938775510196</v>
      </c>
      <c r="CH10" s="424">
        <v>100.15306122448979</v>
      </c>
      <c r="CI10" s="424">
        <v>100.30133928571428</v>
      </c>
      <c r="CJ10" s="424">
        <v>100.66326530612247</v>
      </c>
      <c r="CK10" s="424">
        <v>102.05056689342403</v>
      </c>
      <c r="CL10" s="424">
        <v>102.41836734693877</v>
      </c>
      <c r="CM10" s="424">
        <v>100.5061224489796</v>
      </c>
      <c r="CN10" s="424">
        <v>101.6455782312925</v>
      </c>
      <c r="CO10" s="424">
        <v>100.25918367346937</v>
      </c>
      <c r="CP10" s="424">
        <v>100.35102040816328</v>
      </c>
      <c r="CQ10" s="424">
        <v>100.96643990929705</v>
      </c>
      <c r="CR10" s="424">
        <v>100.90544217687074</v>
      </c>
      <c r="CS10" s="424">
        <v>100.43877551020408</v>
      </c>
      <c r="CT10" s="424">
        <v>100.45804988662128</v>
      </c>
      <c r="CU10" s="424">
        <v>100.48163265306124</v>
      </c>
      <c r="CV10" s="424">
        <v>100.4</v>
      </c>
      <c r="CW10" s="424">
        <v>104.02130590357675</v>
      </c>
      <c r="CX10" s="424">
        <v>104.41052661775561</v>
      </c>
      <c r="CY10" s="424">
        <v>104.78840512272981</v>
      </c>
      <c r="CZ10" s="424">
        <v>105.72475685025557</v>
      </c>
      <c r="DA10" s="424">
        <v>105.58960403669479</v>
      </c>
      <c r="DB10" s="424">
        <v>104.93190171497902</v>
      </c>
      <c r="DC10" s="424">
        <v>104.51157282397712</v>
      </c>
      <c r="DD10" s="424">
        <v>104.10382586536122</v>
      </c>
      <c r="DE10" s="424">
        <v>103.78241679423122</v>
      </c>
      <c r="DF10" s="424">
        <v>104.27537740607163</v>
      </c>
      <c r="DG10" s="424">
        <v>104.19993953200489</v>
      </c>
      <c r="DH10" s="424">
        <v>103.13894874547852</v>
      </c>
      <c r="DI10" s="424">
        <v>103.63435437200994</v>
      </c>
      <c r="DJ10" s="424">
        <v>101.7</v>
      </c>
      <c r="DK10" s="424">
        <v>102.76329352924418</v>
      </c>
      <c r="DL10" s="424">
        <v>102.81083237423695</v>
      </c>
      <c r="DM10" s="424">
        <v>103.2</v>
      </c>
      <c r="DN10" s="424">
        <v>102.75653781539418</v>
      </c>
      <c r="DO10" s="424">
        <v>103.99437949829121</v>
      </c>
      <c r="DP10" s="424">
        <v>105.55933602411582</v>
      </c>
      <c r="DQ10" s="424">
        <v>106.46469374305518</v>
      </c>
      <c r="DR10" s="424">
        <v>106.78367885516928</v>
      </c>
      <c r="DS10" s="424">
        <v>106.2550088456892</v>
      </c>
      <c r="DT10" s="424">
        <v>106.2</v>
      </c>
      <c r="DU10" s="424">
        <v>106.3</v>
      </c>
      <c r="DV10" s="424">
        <v>107.37595703835865</v>
      </c>
      <c r="DW10" s="424">
        <v>107.7</v>
      </c>
      <c r="DX10" s="424">
        <v>108.16279743456248</v>
      </c>
      <c r="DY10" s="424">
        <v>109.26678009026766</v>
      </c>
      <c r="DZ10" s="424">
        <v>108.16819987528001</v>
      </c>
      <c r="EA10" s="424">
        <v>109.2</v>
      </c>
      <c r="EB10" s="424">
        <v>110.3</v>
      </c>
      <c r="EC10" s="424">
        <v>112.01561248801097</v>
      </c>
      <c r="ED10" s="424">
        <v>114.1</v>
      </c>
      <c r="EE10" s="424">
        <v>114.75289739907528</v>
      </c>
      <c r="EF10" s="424">
        <v>114.01308259538418</v>
      </c>
      <c r="EG10" s="424">
        <f t="shared" ref="EG10:FY10" si="96">(EG6-0.559*EG8)/0.441</f>
        <v>114.03883629665454</v>
      </c>
      <c r="EH10" s="424">
        <f t="shared" si="96"/>
        <v>114.41189826686691</v>
      </c>
      <c r="EI10" s="424">
        <f t="shared" si="96"/>
        <v>114.40985588138544</v>
      </c>
      <c r="EJ10" s="424">
        <f t="shared" si="96"/>
        <v>115.2541004883867</v>
      </c>
      <c r="EK10" s="424">
        <f t="shared" si="96"/>
        <v>116.87423533791714</v>
      </c>
      <c r="EL10" s="424">
        <f t="shared" si="96"/>
        <v>119.04000934679475</v>
      </c>
      <c r="EM10" s="424">
        <f t="shared" si="96"/>
        <v>119.55115729270132</v>
      </c>
      <c r="EN10" s="424">
        <f t="shared" si="96"/>
        <v>120.95113035328139</v>
      </c>
      <c r="EO10" s="424">
        <f t="shared" si="96"/>
        <v>122.04240362811792</v>
      </c>
      <c r="EP10" s="424">
        <f t="shared" si="96"/>
        <v>122.14104308390021</v>
      </c>
      <c r="EQ10" s="424">
        <f t="shared" si="96"/>
        <v>120.57913832199543</v>
      </c>
      <c r="ER10" s="424">
        <f>(ER6-0.559*ER8)/0.441</f>
        <v>121.73129251700679</v>
      </c>
      <c r="ES10" s="424">
        <f t="shared" ref="ES10:FD10" si="97">(ES6-0.559*ES8)/0.441</f>
        <v>122.51723356009067</v>
      </c>
      <c r="ET10" s="424">
        <f t="shared" si="97"/>
        <v>124.65102040816322</v>
      </c>
      <c r="EU10" s="424">
        <f t="shared" si="97"/>
        <v>124.76371882086163</v>
      </c>
      <c r="EV10" s="424">
        <f t="shared" si="97"/>
        <v>124.79047619047616</v>
      </c>
      <c r="EW10" s="424">
        <f t="shared" si="97"/>
        <v>126.73129251700679</v>
      </c>
      <c r="EX10" s="424">
        <f t="shared" si="97"/>
        <v>128.09886621315189</v>
      </c>
      <c r="EY10" s="424">
        <f t="shared" si="97"/>
        <v>128.19886621315192</v>
      </c>
      <c r="EZ10" s="424">
        <f t="shared" si="97"/>
        <v>128.16643990929705</v>
      </c>
      <c r="FA10" s="424">
        <f t="shared" si="97"/>
        <v>126.93832199546482</v>
      </c>
      <c r="FB10" s="424">
        <f t="shared" si="97"/>
        <v>128.42562358276641</v>
      </c>
      <c r="FC10" s="424">
        <f t="shared" si="97"/>
        <v>129.0383219954648</v>
      </c>
      <c r="FD10" s="424">
        <f t="shared" si="97"/>
        <v>129.3172335600907</v>
      </c>
      <c r="FE10" s="424">
        <f t="shared" si="96"/>
        <v>130.41451247165529</v>
      </c>
      <c r="FF10" s="424">
        <f t="shared" si="96"/>
        <v>131.0201814058957</v>
      </c>
      <c r="FG10" s="424">
        <f t="shared" si="96"/>
        <v>132.06666666666661</v>
      </c>
      <c r="FH10" s="424">
        <f t="shared" si="96"/>
        <v>133.24693877551016</v>
      </c>
      <c r="FI10" s="424">
        <f t="shared" si="96"/>
        <v>134.74126984126983</v>
      </c>
      <c r="FJ10" s="424">
        <f t="shared" si="96"/>
        <v>136.05532879818594</v>
      </c>
      <c r="FK10" s="424">
        <f t="shared" si="96"/>
        <v>137.08911564625851</v>
      </c>
      <c r="FL10" s="424">
        <f t="shared" si="96"/>
        <v>138.24399092970523</v>
      </c>
      <c r="FM10" s="424">
        <f t="shared" si="96"/>
        <v>138.34829931972786</v>
      </c>
      <c r="FN10" s="424">
        <f t="shared" si="96"/>
        <v>138.36099773242628</v>
      </c>
      <c r="FO10" s="424">
        <f t="shared" si="96"/>
        <v>137.21179138321992</v>
      </c>
      <c r="FP10" s="424">
        <f t="shared" si="96"/>
        <v>136.8555555555555</v>
      </c>
      <c r="FQ10" s="424">
        <f t="shared" si="96"/>
        <v>136.48526077097506</v>
      </c>
      <c r="FR10" s="424">
        <f t="shared" si="96"/>
        <v>137.48390022675736</v>
      </c>
      <c r="FS10" s="424">
        <f t="shared" si="96"/>
        <v>137.7233560090703</v>
      </c>
      <c r="FT10" s="424">
        <f t="shared" si="96"/>
        <v>136.99659863945573</v>
      </c>
      <c r="FU10" s="424">
        <f t="shared" si="96"/>
        <v>136.47687074829929</v>
      </c>
      <c r="FV10" s="424">
        <f t="shared" si="96"/>
        <v>137.42471655328794</v>
      </c>
      <c r="FW10" s="424">
        <f t="shared" si="96"/>
        <v>139.61904761904762</v>
      </c>
      <c r="FX10" s="424">
        <f t="shared" si="96"/>
        <v>140.95283446712017</v>
      </c>
      <c r="FY10" s="424">
        <f t="shared" si="96"/>
        <v>143.9922902494331</v>
      </c>
      <c r="FZ10" s="386">
        <v>96.054285374580246</v>
      </c>
      <c r="GA10" s="242">
        <v>95.208760369980638</v>
      </c>
      <c r="GB10" s="242">
        <v>95.805254845066898</v>
      </c>
      <c r="GC10" s="733">
        <v>96.106207671661181</v>
      </c>
      <c r="GD10" s="733">
        <v>97.547085964275723</v>
      </c>
      <c r="GE10" s="733">
        <v>97.553145234697865</v>
      </c>
      <c r="GF10" s="733">
        <v>98.569181668273671</v>
      </c>
      <c r="GG10" s="733">
        <v>98.056841377541616</v>
      </c>
      <c r="GH10" s="733">
        <v>98.202783732946457</v>
      </c>
      <c r="GI10" s="733">
        <v>98.882273653345877</v>
      </c>
      <c r="GJ10" s="733">
        <v>99.741255352428993</v>
      </c>
      <c r="GK10" s="733">
        <v>99.999999999998693</v>
      </c>
      <c r="GL10" s="733">
        <v>99.799825332751212</v>
      </c>
      <c r="GM10" s="733">
        <v>99.878997734926287</v>
      </c>
      <c r="GN10" s="733">
        <v>100.32356738130635</v>
      </c>
      <c r="GO10" s="379">
        <v>102</v>
      </c>
      <c r="GP10" s="438">
        <v>103.5</v>
      </c>
      <c r="GQ10" s="438">
        <v>105.04</v>
      </c>
      <c r="GR10" s="438">
        <v>106.22</v>
      </c>
      <c r="GS10" s="438">
        <v>107.21</v>
      </c>
      <c r="GT10" s="438">
        <v>107.98</v>
      </c>
      <c r="GU10" s="438">
        <v>109.57</v>
      </c>
      <c r="GV10" s="438">
        <v>109.96</v>
      </c>
      <c r="GW10" s="438">
        <v>111.45</v>
      </c>
      <c r="GX10" s="438">
        <v>111.93</v>
      </c>
      <c r="GY10" s="438">
        <v>112.48</v>
      </c>
      <c r="GZ10" s="438">
        <v>113.03</v>
      </c>
      <c r="HA10" s="438">
        <v>114</v>
      </c>
      <c r="HB10" s="438">
        <v>115.7</v>
      </c>
      <c r="HC10" s="438">
        <v>117.14</v>
      </c>
      <c r="HD10" s="438">
        <v>118.12</v>
      </c>
      <c r="HE10" s="438">
        <v>118.48</v>
      </c>
      <c r="HF10" s="438">
        <v>119.34</v>
      </c>
      <c r="HG10" s="438">
        <v>120.51</v>
      </c>
      <c r="HH10" s="38">
        <v>121.32540013521391</v>
      </c>
      <c r="HI10" s="38">
        <v>123.19387458347573</v>
      </c>
      <c r="HJ10" s="38">
        <v>123.26613228795789</v>
      </c>
      <c r="HK10" s="38">
        <v>123.78014654173184</v>
      </c>
      <c r="HL10" s="38">
        <f t="shared" ref="HL10:HU10" si="98">HL41</f>
        <v>124.69</v>
      </c>
      <c r="HM10" s="38">
        <f t="shared" si="98"/>
        <v>124.64</v>
      </c>
      <c r="HN10" s="38">
        <f t="shared" si="98"/>
        <v>125.47</v>
      </c>
      <c r="HO10" s="38">
        <f t="shared" si="98"/>
        <v>127.12676861158091</v>
      </c>
      <c r="HP10" s="38">
        <f t="shared" si="98"/>
        <v>128.61000000000001</v>
      </c>
      <c r="HQ10" s="38">
        <f t="shared" si="98"/>
        <v>129.36000000000001</v>
      </c>
      <c r="HR10" s="38">
        <f t="shared" si="98"/>
        <v>128.82</v>
      </c>
      <c r="HS10" s="38">
        <f t="shared" si="98"/>
        <v>129.34</v>
      </c>
      <c r="HT10" s="38">
        <f t="shared" si="98"/>
        <v>130.18</v>
      </c>
      <c r="HU10" s="38">
        <f t="shared" si="98"/>
        <v>130.63</v>
      </c>
      <c r="HV10" s="38">
        <f t="shared" ref="HV10:IS10" si="99">HV41</f>
        <v>130.79</v>
      </c>
      <c r="HW10" s="38">
        <f t="shared" si="99"/>
        <v>130.81</v>
      </c>
      <c r="HX10" s="38">
        <f t="shared" si="99"/>
        <v>131.55294618496879</v>
      </c>
      <c r="HY10" s="38">
        <f t="shared" si="99"/>
        <v>132.96129981321442</v>
      </c>
      <c r="HZ10" s="38">
        <f t="shared" si="99"/>
        <v>133.31966206573708</v>
      </c>
      <c r="IA10" s="38">
        <f t="shared" si="99"/>
        <v>133.72342394279661</v>
      </c>
      <c r="IB10" s="38">
        <f t="shared" si="99"/>
        <v>134.87</v>
      </c>
      <c r="IC10" s="38">
        <f t="shared" si="99"/>
        <v>134.69877600063862</v>
      </c>
      <c r="ID10" s="38">
        <f t="shared" si="99"/>
        <v>134.99855515879844</v>
      </c>
      <c r="IE10" s="38">
        <f t="shared" si="99"/>
        <v>135.71380028955554</v>
      </c>
      <c r="IF10" s="38">
        <f t="shared" si="99"/>
        <v>136.0822925621045</v>
      </c>
      <c r="IG10" s="38">
        <f t="shared" si="99"/>
        <v>136.59208713553275</v>
      </c>
      <c r="IH10" s="38">
        <f t="shared" si="99"/>
        <v>136.74657508208585</v>
      </c>
      <c r="II10" s="38">
        <f t="shared" si="99"/>
        <v>136.72613565288688</v>
      </c>
      <c r="IJ10" s="38">
        <f t="shared" si="99"/>
        <v>136.25563401679793</v>
      </c>
      <c r="IK10" s="38">
        <f t="shared" si="99"/>
        <v>136.59025768833473</v>
      </c>
      <c r="IL10" s="38">
        <f t="shared" si="99"/>
        <v>137.29244720769609</v>
      </c>
      <c r="IM10" s="38">
        <f t="shared" si="99"/>
        <v>136.36261451904895</v>
      </c>
      <c r="IN10" s="38">
        <f t="shared" si="99"/>
        <v>136.20645969918942</v>
      </c>
      <c r="IO10" s="38">
        <f t="shared" si="99"/>
        <v>136.56789243377472</v>
      </c>
      <c r="IP10" s="38">
        <f t="shared" si="99"/>
        <v>136.9289510645543</v>
      </c>
      <c r="IQ10" s="38">
        <f t="shared" si="99"/>
        <v>137.55907741279518</v>
      </c>
      <c r="IR10" s="38">
        <f t="shared" si="99"/>
        <v>138.34493718177683</v>
      </c>
      <c r="IS10" s="38">
        <f t="shared" si="99"/>
        <v>139.19999999999999</v>
      </c>
      <c r="IT10" s="435">
        <f>IH10*(1+IT11)</f>
        <v>142.2164380853693</v>
      </c>
      <c r="IU10" s="435">
        <f t="shared" ref="IU10:JI10" si="100">II10*(1+IU11)</f>
        <v>142.19518107900237</v>
      </c>
      <c r="IV10" s="435">
        <f t="shared" si="100"/>
        <v>141.70585937746984</v>
      </c>
      <c r="IW10" s="435">
        <f t="shared" si="100"/>
        <v>142.05386799586813</v>
      </c>
      <c r="IX10" s="435">
        <f t="shared" si="100"/>
        <v>142.78414509600393</v>
      </c>
      <c r="IY10" s="435">
        <f t="shared" si="100"/>
        <v>141.8171190998109</v>
      </c>
      <c r="IZ10" s="435">
        <f t="shared" si="100"/>
        <v>141.65471808715699</v>
      </c>
      <c r="JA10" s="435">
        <f t="shared" si="100"/>
        <v>142.03060813112572</v>
      </c>
      <c r="JB10" s="435">
        <f t="shared" si="100"/>
        <v>142.40610910713647</v>
      </c>
      <c r="JC10" s="435">
        <f t="shared" si="100"/>
        <v>143.06144050930698</v>
      </c>
      <c r="JD10" s="435">
        <f t="shared" si="100"/>
        <v>143.8787346690479</v>
      </c>
      <c r="JE10" s="435">
        <f t="shared" si="100"/>
        <v>144.768</v>
      </c>
      <c r="JF10" s="435">
        <f t="shared" si="100"/>
        <v>147.90509560878408</v>
      </c>
      <c r="JG10" s="435">
        <f t="shared" si="100"/>
        <v>147.88298832216248</v>
      </c>
      <c r="JH10" s="435">
        <f t="shared" si="100"/>
        <v>147.37409375256863</v>
      </c>
      <c r="JI10" s="435">
        <f t="shared" si="100"/>
        <v>147.73602271570286</v>
      </c>
      <c r="JJ10" s="435">
        <f t="shared" ref="JJ10" si="101">IX10*(1+JJ11)</f>
        <v>147.06766944888406</v>
      </c>
      <c r="JK10" s="435">
        <f t="shared" ref="JK10" si="102">IY10*(1+JK11)</f>
        <v>146.07163267280524</v>
      </c>
      <c r="JL10" s="435">
        <f t="shared" ref="JL10" si="103">IZ10*(1+JL11)</f>
        <v>145.9043596297717</v>
      </c>
      <c r="JM10" s="435">
        <f t="shared" ref="JM10" si="104">JA10*(1+JM11)</f>
        <v>146.2915263750595</v>
      </c>
      <c r="JN10" s="435">
        <f t="shared" ref="JN10" si="105">JB10*(1+JN11)</f>
        <v>146.67829238035057</v>
      </c>
      <c r="JO10" s="435">
        <f t="shared" ref="JO10" si="106">JC10*(1+JO11)</f>
        <v>147.35328372458619</v>
      </c>
      <c r="JP10" s="435">
        <f t="shared" ref="JP10" si="107">JD10*(1+JP11)</f>
        <v>148.19509670911935</v>
      </c>
      <c r="JQ10" s="435">
        <f t="shared" ref="JQ10" si="108">JE10*(1+JQ11)</f>
        <v>149.11104</v>
      </c>
      <c r="JR10" s="435">
        <f t="shared" ref="JR10" si="109">JF10*(1+JR11)</f>
        <v>152.3422484770476</v>
      </c>
      <c r="JS10" s="435">
        <f t="shared" ref="JS10" si="110">JG10*(1+JS11)</f>
        <v>152.31947797182735</v>
      </c>
      <c r="JT10" s="435">
        <f t="shared" ref="JT10" si="111">JH10*(1+JT11)</f>
        <v>151.7953165651457</v>
      </c>
      <c r="JU10" s="435">
        <f t="shared" ref="JU10" si="112">JI10*(1+JU11)</f>
        <v>152.16810339717395</v>
      </c>
      <c r="KF10" s="435">
        <f t="shared" ref="KF10" si="113">JT10*(1+KF11)</f>
        <v>156.34917606210007</v>
      </c>
      <c r="KR10" s="435">
        <f t="shared" ref="KR10" si="114">KF10*(1+KR11)</f>
        <v>161.03965134396307</v>
      </c>
      <c r="LD10" s="435">
        <f t="shared" ref="LD10" si="115">KR10*(1+LD11)</f>
        <v>165.87084088428196</v>
      </c>
    </row>
    <row r="11" spans="1:316" x14ac:dyDescent="0.2">
      <c r="E11" t="s">
        <v>80</v>
      </c>
      <c r="K11" s="10"/>
      <c r="L11" s="10">
        <f>L10/K10-1</f>
        <v>2.8421052631579125E-2</v>
      </c>
      <c r="M11" s="10">
        <v>0.04</v>
      </c>
      <c r="N11" s="10">
        <v>2.5999999999999999E-2</v>
      </c>
      <c r="O11" s="10">
        <f t="shared" ref="O11:T11" si="116">O10/N10-1</f>
        <v>-2.0731196747902914E-2</v>
      </c>
      <c r="P11" s="10">
        <f t="shared" si="116"/>
        <v>5.2664892910347705E-2</v>
      </c>
      <c r="Q11" s="10">
        <f t="shared" si="116"/>
        <v>0.10050837014991587</v>
      </c>
      <c r="R11" s="10">
        <f t="shared" si="116"/>
        <v>7.609926205538442E-2</v>
      </c>
      <c r="S11" s="10">
        <f t="shared" si="116"/>
        <v>6.2111889201226678E-2</v>
      </c>
      <c r="T11" s="10">
        <f t="shared" si="116"/>
        <v>1.0064932900446966E-2</v>
      </c>
      <c r="U11" s="10">
        <f t="shared" si="6"/>
        <v>7.4212555874747954E-2</v>
      </c>
      <c r="V11" s="463">
        <f>V10/U10-1</f>
        <v>9.956149811029591E-2</v>
      </c>
      <c r="W11" s="30">
        <f>W10/V10-1</f>
        <v>0.10520466753102431</v>
      </c>
      <c r="X11" s="30">
        <f t="shared" ref="X11:AC11" si="117">AVERAGE(AZ11:BA11)</f>
        <v>7.9099261179208846E-2</v>
      </c>
      <c r="Y11" s="30">
        <f t="shared" si="117"/>
        <v>4.5393780199126099E-2</v>
      </c>
      <c r="Z11" s="30">
        <f t="shared" si="117"/>
        <v>3.7873745773876352E-2</v>
      </c>
      <c r="AA11" s="21">
        <f t="shared" si="117"/>
        <v>0.04</v>
      </c>
      <c r="AB11" s="21">
        <f t="shared" si="117"/>
        <v>3.5000000000000003E-2</v>
      </c>
      <c r="AC11" s="21">
        <f t="shared" si="117"/>
        <v>0.03</v>
      </c>
      <c r="AD11" s="21">
        <f t="shared" ref="AD11" si="118">AVERAGE(BF11:BG11)</f>
        <v>0.03</v>
      </c>
      <c r="AE11" s="21">
        <f t="shared" ref="AE11" si="119">AVERAGE(BG11:BH11)</f>
        <v>0.03</v>
      </c>
      <c r="AF11" s="21"/>
      <c r="AG11" s="31"/>
      <c r="AH11" s="10"/>
      <c r="AI11" s="10"/>
      <c r="AJ11" s="10"/>
      <c r="AK11" s="10"/>
      <c r="AL11" s="10"/>
      <c r="AM11" s="10"/>
      <c r="AN11" s="13"/>
      <c r="AO11" s="10">
        <f t="shared" ref="AO11:AV11" si="120">AO10/AN10-1</f>
        <v>1.2314007183171105E-2</v>
      </c>
      <c r="AP11" s="10">
        <f t="shared" si="120"/>
        <v>-2.6153066396351621E-3</v>
      </c>
      <c r="AQ11" s="10">
        <f t="shared" si="120"/>
        <v>2.7280365990821842E-2</v>
      </c>
      <c r="AR11" s="10">
        <f t="shared" si="120"/>
        <v>1.4165853659484196E-2</v>
      </c>
      <c r="AS11" s="10">
        <f t="shared" si="120"/>
        <v>8.9991229401378492E-2</v>
      </c>
      <c r="AT11" s="10">
        <f t="shared" si="120"/>
        <v>6.7695827057087987E-2</v>
      </c>
      <c r="AU11" s="10">
        <f t="shared" si="120"/>
        <v>6.231709929494178E-2</v>
      </c>
      <c r="AV11" s="10">
        <f t="shared" si="120"/>
        <v>5.8293251316437367E-2</v>
      </c>
      <c r="AW11" s="10">
        <f t="shared" si="9"/>
        <v>8.5400466917302298E-2</v>
      </c>
      <c r="AX11" s="30">
        <f>GI11*1</f>
        <v>7.4105112713571009E-2</v>
      </c>
      <c r="AY11" s="10">
        <f>AY10/AX10-1</f>
        <v>0.12665451349431667</v>
      </c>
      <c r="AZ11" s="10">
        <f>AZ10/AY10-1</f>
        <v>0.10315845350791819</v>
      </c>
      <c r="BA11" s="10">
        <f>BA10/AZ10-1</f>
        <v>5.5040068850499502E-2</v>
      </c>
      <c r="BB11" s="10">
        <f>BB10/BA10-1</f>
        <v>3.5747491547752697E-2</v>
      </c>
      <c r="BC11" s="21">
        <f>IV11</f>
        <v>0.04</v>
      </c>
      <c r="BD11" s="21">
        <f>JH11</f>
        <v>0.04</v>
      </c>
      <c r="BE11" s="21">
        <f>JT11</f>
        <v>0.03</v>
      </c>
      <c r="BF11" s="21">
        <f>KF11</f>
        <v>0.03</v>
      </c>
      <c r="BG11" s="21">
        <f>KR11</f>
        <v>0.03</v>
      </c>
      <c r="BH11" s="21">
        <f>LD11</f>
        <v>0.03</v>
      </c>
      <c r="BM11" s="12">
        <v>3.8367478774455892E-2</v>
      </c>
      <c r="BN11" s="12">
        <v>3.1659388646288422E-2</v>
      </c>
      <c r="BO11" s="12">
        <v>1.9881783987103746E-2</v>
      </c>
      <c r="BP11" s="12">
        <v>2.0441097364174255E-2</v>
      </c>
      <c r="BQ11" s="12">
        <v>2.3719676549865339E-2</v>
      </c>
      <c r="BR11" s="12">
        <v>2.4258760107816784E-2</v>
      </c>
      <c r="BS11" s="12">
        <v>3.4594594594594665E-2</v>
      </c>
      <c r="BT11" s="12">
        <v>3.5541195476575214E-2</v>
      </c>
      <c r="BU11" s="12">
        <v>4.6461372231226365E-2</v>
      </c>
      <c r="BV11" s="12">
        <v>4.7978436657681839E-2</v>
      </c>
      <c r="BW11" s="12">
        <v>4.910955207771181E-2</v>
      </c>
      <c r="BX11" s="12">
        <v>4.336188436830838E-2</v>
      </c>
      <c r="BY11" s="10">
        <f>BY10/BM10-1</f>
        <v>4.5170751216477179E-2</v>
      </c>
      <c r="BZ11" s="10">
        <f>BZ10/BN10-1</f>
        <v>4.0740740740740744E-2</v>
      </c>
      <c r="CA11" s="10">
        <f t="shared" ref="CA11:DH11" si="121">CA10/BO10-1</f>
        <v>3.6354056902001997E-2</v>
      </c>
      <c r="CB11" s="10">
        <f t="shared" si="121"/>
        <v>3.1101739588824673E-2</v>
      </c>
      <c r="CC11" s="10">
        <f t="shared" si="121"/>
        <v>3.1068983675618833E-2</v>
      </c>
      <c r="CD11" s="10">
        <f t="shared" si="121"/>
        <v>2.8421052631579125E-2</v>
      </c>
      <c r="CE11" s="10">
        <f t="shared" si="121"/>
        <v>2.2988505747126409E-2</v>
      </c>
      <c r="CF11" s="10">
        <f t="shared" si="121"/>
        <v>1.8200728029121205E-2</v>
      </c>
      <c r="CG11" s="10">
        <f t="shared" si="121"/>
        <v>1.032524522457412E-2</v>
      </c>
      <c r="CH11" s="10">
        <f t="shared" si="121"/>
        <v>9.7736625514401876E-3</v>
      </c>
      <c r="CI11" s="10">
        <f t="shared" si="121"/>
        <v>1.1268647119341502E-2</v>
      </c>
      <c r="CJ11" s="10">
        <f t="shared" si="121"/>
        <v>1.2314007183171105E-2</v>
      </c>
      <c r="CK11" s="10">
        <f t="shared" si="121"/>
        <v>2.050566893424044E-2</v>
      </c>
      <c r="CL11" s="10">
        <f t="shared" si="121"/>
        <v>2.0538891713268725E-2</v>
      </c>
      <c r="CM11" s="10">
        <f t="shared" si="121"/>
        <v>1.4844941535332445E-3</v>
      </c>
      <c r="CN11" s="10">
        <f t="shared" si="121"/>
        <v>1.8534423994546634E-2</v>
      </c>
      <c r="CO11" s="10">
        <f t="shared" si="121"/>
        <v>3.6159346271702475E-3</v>
      </c>
      <c r="CP11" s="10">
        <f t="shared" si="121"/>
        <v>6.591606960081986E-3</v>
      </c>
      <c r="CQ11" s="10">
        <f t="shared" si="121"/>
        <v>1.0695721257518942E-2</v>
      </c>
      <c r="CR11" s="10">
        <f t="shared" si="121"/>
        <v>1.0085120871637487E-2</v>
      </c>
      <c r="CS11" s="10">
        <f t="shared" si="121"/>
        <v>5.9274399591211502E-3</v>
      </c>
      <c r="CT11" s="10">
        <f t="shared" si="121"/>
        <v>3.0452255617816615E-3</v>
      </c>
      <c r="CU11" s="10">
        <f t="shared" si="121"/>
        <v>1.7975170484352265E-3</v>
      </c>
      <c r="CV11" s="10">
        <f t="shared" si="121"/>
        <v>-2.6153066396351621E-3</v>
      </c>
      <c r="CW11" s="10">
        <f t="shared" si="121"/>
        <v>1.9311396988228813E-2</v>
      </c>
      <c r="CX11" s="10">
        <f t="shared" si="121"/>
        <v>1.9451191445656102E-2</v>
      </c>
      <c r="CY11" s="10">
        <f t="shared" si="121"/>
        <v>4.2607182223391993E-2</v>
      </c>
      <c r="CZ11" s="10">
        <f t="shared" si="121"/>
        <v>4.0131392727000614E-2</v>
      </c>
      <c r="DA11" s="10">
        <f t="shared" si="121"/>
        <v>5.3166404990747651E-2</v>
      </c>
      <c r="DB11" s="10">
        <f t="shared" si="121"/>
        <v>4.5648577245987809E-2</v>
      </c>
      <c r="DC11" s="10">
        <f t="shared" si="121"/>
        <v>3.511199283509292E-2</v>
      </c>
      <c r="DD11" s="10">
        <f t="shared" si="121"/>
        <v>3.1696840323877096E-2</v>
      </c>
      <c r="DE11" s="10">
        <f t="shared" si="121"/>
        <v>3.3290342968064657E-2</v>
      </c>
      <c r="DF11" s="10">
        <f t="shared" si="121"/>
        <v>3.7999219811241103E-2</v>
      </c>
      <c r="DG11" s="427">
        <f t="shared" si="121"/>
        <v>3.7004841390088306E-2</v>
      </c>
      <c r="DH11" s="427">
        <f t="shared" si="121"/>
        <v>2.7280365990821842E-2</v>
      </c>
      <c r="DI11" s="427">
        <v>2.2199277232837211E-3</v>
      </c>
      <c r="DJ11" s="427">
        <v>2.0079885852573032E-3</v>
      </c>
      <c r="DK11" s="427">
        <v>-1.2493451896919971E-3</v>
      </c>
      <c r="DL11" s="427">
        <v>-5.1302522575087384E-3</v>
      </c>
      <c r="DM11" s="427">
        <v>2.0115160070717231E-2</v>
      </c>
      <c r="DN11" s="427">
        <v>3.1510801365610241E-2</v>
      </c>
      <c r="DO11" s="427">
        <v>2.2400872647941217E-2</v>
      </c>
      <c r="DP11" s="427">
        <v>1.4650344953635708E-2</v>
      </c>
      <c r="DQ11" s="427">
        <v>3.174818699443982E-2</v>
      </c>
      <c r="DR11" s="427">
        <v>2.4821739399347953E-2</v>
      </c>
      <c r="DS11" s="427">
        <v>2.4129585965816602E-2</v>
      </c>
      <c r="DT11" s="427">
        <v>2.8439081233191832E-2</v>
      </c>
      <c r="DU11" s="427">
        <f t="shared" ref="DU11:FY11" si="122">DU10/DI10-1</f>
        <v>2.5721640706337201E-2</v>
      </c>
      <c r="DV11" s="427">
        <f t="shared" si="122"/>
        <v>5.5810787004509699E-2</v>
      </c>
      <c r="DW11" s="427">
        <f t="shared" si="122"/>
        <v>4.8039589830302099E-2</v>
      </c>
      <c r="DX11" s="427">
        <f t="shared" si="122"/>
        <v>5.205643157176354E-2</v>
      </c>
      <c r="DY11" s="427">
        <f t="shared" si="122"/>
        <v>5.8786628781663408E-2</v>
      </c>
      <c r="DZ11" s="427">
        <f t="shared" si="122"/>
        <v>5.2664892910347705E-2</v>
      </c>
      <c r="EA11" s="427">
        <f t="shared" si="122"/>
        <v>5.0056748516820848E-2</v>
      </c>
      <c r="EB11" s="427">
        <f t="shared" si="122"/>
        <v>4.4909945007622465E-2</v>
      </c>
      <c r="EC11" s="427">
        <f t="shared" si="122"/>
        <v>5.2138587449023666E-2</v>
      </c>
      <c r="ED11" s="427">
        <f t="shared" si="122"/>
        <v>6.8515350129056962E-2</v>
      </c>
      <c r="EE11" s="427">
        <f t="shared" si="122"/>
        <v>7.9976357309680335E-2</v>
      </c>
      <c r="EF11" s="427">
        <f>EF10/DT10-1</f>
        <v>7.3569515964069465E-2</v>
      </c>
      <c r="EG11" s="434">
        <f t="shared" si="122"/>
        <v>7.2801846628923306E-2</v>
      </c>
      <c r="EH11" s="434">
        <f t="shared" si="122"/>
        <v>6.552622600602076E-2</v>
      </c>
      <c r="EI11" s="434">
        <f t="shared" si="122"/>
        <v>6.2301354516113516E-2</v>
      </c>
      <c r="EJ11" s="434">
        <f t="shared" si="122"/>
        <v>6.5561387297831342E-2</v>
      </c>
      <c r="EK11" s="434">
        <f t="shared" si="122"/>
        <v>6.9622764040130125E-2</v>
      </c>
      <c r="EL11" s="434">
        <f t="shared" si="122"/>
        <v>0.10050837014991587</v>
      </c>
      <c r="EM11" s="434">
        <f t="shared" si="122"/>
        <v>9.479081769872999E-2</v>
      </c>
      <c r="EN11" s="434">
        <f t="shared" si="122"/>
        <v>9.6565098397836779E-2</v>
      </c>
      <c r="EO11" s="434">
        <f t="shared" si="122"/>
        <v>8.9512443108590078E-2</v>
      </c>
      <c r="EP11" s="434">
        <f t="shared" si="122"/>
        <v>7.0473646659949374E-2</v>
      </c>
      <c r="EQ11" s="434">
        <f t="shared" si="122"/>
        <v>5.0772059398711988E-2</v>
      </c>
      <c r="ER11" s="434">
        <f t="shared" si="122"/>
        <v>6.7695827057087987E-2</v>
      </c>
      <c r="ES11" s="434">
        <f t="shared" si="122"/>
        <v>7.4346578225165993E-2</v>
      </c>
      <c r="ET11" s="434">
        <f t="shared" si="122"/>
        <v>8.9493508073901884E-2</v>
      </c>
      <c r="EU11" s="434">
        <f t="shared" si="122"/>
        <v>9.0497998268703084E-2</v>
      </c>
      <c r="EV11" s="434">
        <f t="shared" si="122"/>
        <v>8.2742181507462931E-2</v>
      </c>
      <c r="EW11" s="434">
        <f t="shared" si="122"/>
        <v>8.4339008940593763E-2</v>
      </c>
      <c r="EX11" s="434">
        <f t="shared" si="122"/>
        <v>7.609926205538442E-2</v>
      </c>
      <c r="EY11" s="434">
        <f t="shared" si="122"/>
        <v>7.2334798895155039E-2</v>
      </c>
      <c r="EZ11" s="434">
        <f t="shared" si="122"/>
        <v>5.9654750930733469E-2</v>
      </c>
      <c r="FA11" s="434">
        <f t="shared" si="122"/>
        <v>4.0116535087800331E-2</v>
      </c>
      <c r="FB11" s="434">
        <f t="shared" si="122"/>
        <v>5.1453470022760683E-2</v>
      </c>
      <c r="FC11" s="434">
        <f t="shared" si="122"/>
        <v>7.015462036956932E-2</v>
      </c>
      <c r="FD11" s="434">
        <f t="shared" si="122"/>
        <v>6.231709929494178E-2</v>
      </c>
      <c r="FE11" s="434">
        <f t="shared" si="122"/>
        <v>6.4458514790829424E-2</v>
      </c>
      <c r="FF11" s="434">
        <f t="shared" si="122"/>
        <v>5.1095939502757259E-2</v>
      </c>
      <c r="FG11" s="434">
        <f t="shared" si="122"/>
        <v>5.8534227055949684E-2</v>
      </c>
      <c r="FH11" s="434">
        <f t="shared" si="122"/>
        <v>6.7765288210987595E-2</v>
      </c>
      <c r="FI11" s="434">
        <f t="shared" si="122"/>
        <v>6.3204415935299796E-2</v>
      </c>
      <c r="FJ11" s="434">
        <f t="shared" si="122"/>
        <v>6.2111889201226678E-2</v>
      </c>
      <c r="FK11" s="434">
        <f t="shared" si="122"/>
        <v>6.9347332747273116E-2</v>
      </c>
      <c r="FL11" s="434">
        <f t="shared" si="122"/>
        <v>7.8628625617907622E-2</v>
      </c>
      <c r="FM11" s="434">
        <f t="shared" si="122"/>
        <v>8.9885994590906071E-2</v>
      </c>
      <c r="FN11" s="434">
        <f t="shared" si="122"/>
        <v>7.7362864765510242E-2</v>
      </c>
      <c r="FO11" s="434">
        <f t="shared" si="122"/>
        <v>6.3341410996047953E-2</v>
      </c>
      <c r="FP11" s="434">
        <f t="shared" si="122"/>
        <v>5.8293251316437367E-2</v>
      </c>
      <c r="FQ11" s="434">
        <f t="shared" si="122"/>
        <v>4.6549637645880937E-2</v>
      </c>
      <c r="FR11" s="434">
        <f t="shared" si="122"/>
        <v>4.9333764855944651E-2</v>
      </c>
      <c r="FS11" s="434">
        <f t="shared" si="122"/>
        <v>4.2832074778422768E-2</v>
      </c>
      <c r="FT11" s="434">
        <f t="shared" si="122"/>
        <v>2.8140682993572197E-2</v>
      </c>
      <c r="FU11" s="434">
        <f t="shared" si="122"/>
        <v>1.2880989685447375E-2</v>
      </c>
      <c r="FV11" s="434">
        <f t="shared" si="122"/>
        <v>1.0064932900446966E-2</v>
      </c>
      <c r="FW11" s="434">
        <f t="shared" si="122"/>
        <v>1.8454652368735669E-2</v>
      </c>
      <c r="FX11" s="434">
        <f t="shared" si="122"/>
        <v>1.9594656658836973E-2</v>
      </c>
      <c r="FY11" s="434">
        <f t="shared" si="122"/>
        <v>4.0795520851772737E-2</v>
      </c>
      <c r="FZ11" s="429">
        <v>4.2522436296650756E-2</v>
      </c>
      <c r="GA11" s="434">
        <v>5.0269044660091522E-2</v>
      </c>
      <c r="GB11" s="434">
        <v>8.5400466917302298E-2</v>
      </c>
      <c r="GC11" s="463">
        <v>0.10103837846818386</v>
      </c>
      <c r="GD11" s="463">
        <v>8.8134005383437852E-2</v>
      </c>
      <c r="GE11" s="463">
        <v>7.8684799789251247E-2</v>
      </c>
      <c r="GF11" s="463">
        <v>8.5527720535293339E-2</v>
      </c>
      <c r="GG11" s="463">
        <v>7.5894348049306615E-2</v>
      </c>
      <c r="GH11" s="463">
        <v>7.4212555874747954E-2</v>
      </c>
      <c r="GI11" s="463">
        <v>7.4105112713571009E-2</v>
      </c>
      <c r="GJ11" s="463">
        <v>7.0466311240954704E-2</v>
      </c>
      <c r="GK11" s="463">
        <v>7.8855417069599865E-2</v>
      </c>
      <c r="GL11" s="463">
        <v>7.4903497419815279E-2</v>
      </c>
      <c r="GM11" s="463">
        <f t="shared" ref="GM11:GV11" si="123">GM10/GA10-1</f>
        <v>4.9052601323629652E-2</v>
      </c>
      <c r="GN11" s="463">
        <f t="shared" si="123"/>
        <v>4.7161427038071357E-2</v>
      </c>
      <c r="GO11" s="463">
        <f t="shared" si="123"/>
        <v>6.1325823493883602E-2</v>
      </c>
      <c r="GP11" s="463">
        <f t="shared" si="123"/>
        <v>6.1026057076726925E-2</v>
      </c>
      <c r="GQ11" s="463">
        <f t="shared" si="123"/>
        <v>7.6746421115279517E-2</v>
      </c>
      <c r="GR11" s="463">
        <f t="shared" si="123"/>
        <v>7.761876686239022E-2</v>
      </c>
      <c r="GS11" s="463">
        <f t="shared" si="123"/>
        <v>9.3345436115126246E-2</v>
      </c>
      <c r="GT11" s="463">
        <f t="shared" si="123"/>
        <v>9.956149811029591E-2</v>
      </c>
      <c r="GU11" s="463">
        <f t="shared" si="123"/>
        <v>0.10808536203488162</v>
      </c>
      <c r="GV11" s="463">
        <f t="shared" si="123"/>
        <v>0.1024525369313205</v>
      </c>
      <c r="GW11" s="463">
        <f>GW10/GK10-1</f>
        <v>0.1145000000000147</v>
      </c>
      <c r="GX11" s="463">
        <f>GX10/GL10-1</f>
        <v>0.12154504907002117</v>
      </c>
      <c r="GY11" s="463">
        <f>GY10/GM10-1</f>
        <v>0.12616268235406336</v>
      </c>
      <c r="GZ11" s="463">
        <f>GZ10/GN10-1</f>
        <v>0.12665451349431667</v>
      </c>
      <c r="HA11" s="463">
        <f>HA10/GO10-1</f>
        <v>0.11764705882352944</v>
      </c>
      <c r="HB11" s="463">
        <f t="shared" ref="HB11:HH11" si="124">HB10/GP10-1</f>
        <v>0.11787439613526574</v>
      </c>
      <c r="HC11" s="463">
        <f t="shared" si="124"/>
        <v>0.11519421172886513</v>
      </c>
      <c r="HD11" s="463">
        <f t="shared" si="124"/>
        <v>0.11203163246093029</v>
      </c>
      <c r="HE11" s="463">
        <f t="shared" si="124"/>
        <v>0.1051207909709917</v>
      </c>
      <c r="HF11" s="463">
        <f t="shared" si="124"/>
        <v>0.10520466753102431</v>
      </c>
      <c r="HG11" s="463">
        <f t="shared" si="124"/>
        <v>9.98448480423475E-2</v>
      </c>
      <c r="HH11" s="463">
        <f t="shared" si="124"/>
        <v>0.10335940464908977</v>
      </c>
      <c r="HI11" s="463">
        <f t="shared" ref="HI11:HW11" si="125">HI10/GW10-1</f>
        <v>0.10537348213078257</v>
      </c>
      <c r="HJ11" s="463">
        <f t="shared" si="125"/>
        <v>0.10127876608557029</v>
      </c>
      <c r="HK11" s="463">
        <f t="shared" si="125"/>
        <v>0.10046360723445802</v>
      </c>
      <c r="HL11" s="463">
        <f t="shared" si="125"/>
        <v>0.10315845350791819</v>
      </c>
      <c r="HM11" s="463">
        <f t="shared" si="125"/>
        <v>9.3333333333333268E-2</v>
      </c>
      <c r="HN11" s="463">
        <f t="shared" si="125"/>
        <v>8.4442523768366362E-2</v>
      </c>
      <c r="HO11" s="463">
        <f t="shared" si="125"/>
        <v>8.5254982171597327E-2</v>
      </c>
      <c r="HP11" s="463">
        <f t="shared" si="125"/>
        <v>8.8807991872671854E-2</v>
      </c>
      <c r="HQ11" s="463">
        <f t="shared" si="125"/>
        <v>9.1829844699527374E-2</v>
      </c>
      <c r="HR11" s="463">
        <f t="shared" si="125"/>
        <v>7.9436902966314671E-2</v>
      </c>
      <c r="HS11" s="463">
        <f t="shared" si="125"/>
        <v>7.3271927640859769E-2</v>
      </c>
      <c r="HT11" s="463">
        <f t="shared" si="125"/>
        <v>7.2982243247645462E-2</v>
      </c>
      <c r="HU11" s="463">
        <f t="shared" si="125"/>
        <v>6.0361161962525722E-2</v>
      </c>
      <c r="HV11" s="463">
        <f t="shared" si="125"/>
        <v>6.1037590556227039E-2</v>
      </c>
      <c r="HW11" s="463">
        <f t="shared" si="125"/>
        <v>5.6793061364635689E-2</v>
      </c>
      <c r="HX11" s="463">
        <f t="shared" ref="HX11" si="126">HX10/HL10-1</f>
        <v>5.5040068850499502E-2</v>
      </c>
      <c r="HY11" s="463">
        <f t="shared" ref="HY11" si="127">HY10/HM10-1</f>
        <v>6.6762675009743422E-2</v>
      </c>
      <c r="HZ11" s="463">
        <f t="shared" ref="HZ11" si="128">HZ10/HN10-1</f>
        <v>6.2562063168383419E-2</v>
      </c>
      <c r="IA11" s="463">
        <f t="shared" ref="IA11" si="129">IA10/HO10-1</f>
        <v>5.1890372132173956E-2</v>
      </c>
      <c r="IB11" s="463">
        <f t="shared" ref="IB11" si="130">IB10/HP10-1</f>
        <v>4.8674286602907957E-2</v>
      </c>
      <c r="IC11" s="463">
        <f t="shared" ref="IC11" si="131">IC10/HQ10-1</f>
        <v>4.1270686461337469E-2</v>
      </c>
      <c r="ID11" s="463">
        <f t="shared" ref="ID11" si="132">ID10/HR10-1</f>
        <v>4.7962701124036888E-2</v>
      </c>
      <c r="IE11" s="463">
        <f t="shared" ref="IE11" si="133">IE10/HS10-1</f>
        <v>4.9279420825386833E-2</v>
      </c>
      <c r="IF11" s="463">
        <f t="shared" ref="IF11" si="134">IF10/HT10-1</f>
        <v>4.5339472746232179E-2</v>
      </c>
      <c r="IG11" s="463">
        <f t="shared" ref="IG11" si="135">IG10/HU10-1</f>
        <v>4.5641025304545391E-2</v>
      </c>
      <c r="IH11" s="463">
        <f t="shared" ref="IH11" si="136">IH10/HV10-1</f>
        <v>4.554304673205789E-2</v>
      </c>
      <c r="II11" s="463">
        <f t="shared" ref="II11" si="137">II10/HW10-1</f>
        <v>4.5226937182836879E-2</v>
      </c>
      <c r="IJ11" s="463">
        <f t="shared" ref="IJ11" si="138">IJ10/HX10-1</f>
        <v>3.5747491547752697E-2</v>
      </c>
      <c r="IK11" s="463">
        <f t="shared" ref="IK11" si="139">IK10/HY10-1</f>
        <v>2.7293339341735612E-2</v>
      </c>
      <c r="IL11" s="463">
        <f t="shared" ref="IL11" si="140">IL10/HZ10-1</f>
        <v>2.9798943984722381E-2</v>
      </c>
      <c r="IM11" s="463">
        <f t="shared" ref="IM11" si="141">IM10/IA10-1</f>
        <v>1.9736187561135932E-2</v>
      </c>
      <c r="IN11" s="463">
        <f t="shared" ref="IN11" si="142">IN10/IB10-1</f>
        <v>9.9092437101611086E-3</v>
      </c>
      <c r="IO11" s="463">
        <f t="shared" ref="IO11" si="143">IO10/IC10-1</f>
        <v>1.3876268876617193E-2</v>
      </c>
      <c r="IP11" s="463">
        <f t="shared" ref="IP11" si="144">IP10/ID10-1</f>
        <v>1.4299381971052405E-2</v>
      </c>
      <c r="IQ11" s="463">
        <f t="shared" ref="IQ11" si="145">IQ10/IE10-1</f>
        <v>1.3596827436138437E-2</v>
      </c>
      <c r="IR11" s="463">
        <f t="shared" ref="IR11:IS11" si="146">IR10/IF10-1</f>
        <v>1.6627031901595313E-2</v>
      </c>
      <c r="IS11" s="463">
        <f t="shared" si="146"/>
        <v>1.9092708217274268E-2</v>
      </c>
      <c r="IT11" s="258">
        <v>0.04</v>
      </c>
      <c r="IU11" s="258">
        <v>0.04</v>
      </c>
      <c r="IV11" s="258">
        <v>0.04</v>
      </c>
      <c r="IW11" s="258">
        <v>0.04</v>
      </c>
      <c r="IX11" s="258">
        <v>0.04</v>
      </c>
      <c r="IY11" s="258">
        <v>0.04</v>
      </c>
      <c r="IZ11" s="258">
        <v>0.04</v>
      </c>
      <c r="JA11" s="258">
        <v>0.04</v>
      </c>
      <c r="JB11" s="258">
        <v>0.04</v>
      </c>
      <c r="JC11" s="258">
        <v>0.04</v>
      </c>
      <c r="JD11" s="258">
        <v>0.04</v>
      </c>
      <c r="JE11" s="258">
        <v>0.04</v>
      </c>
      <c r="JF11" s="258">
        <v>0.04</v>
      </c>
      <c r="JG11" s="258">
        <v>0.04</v>
      </c>
      <c r="JH11" s="258">
        <v>0.04</v>
      </c>
      <c r="JI11" s="258">
        <v>0.04</v>
      </c>
      <c r="JJ11" s="258">
        <v>0.03</v>
      </c>
      <c r="JK11" s="258">
        <v>0.03</v>
      </c>
      <c r="JL11" s="258">
        <v>0.03</v>
      </c>
      <c r="JM11" s="258">
        <v>0.03</v>
      </c>
      <c r="JN11" s="258">
        <v>0.03</v>
      </c>
      <c r="JO11" s="258">
        <v>0.03</v>
      </c>
      <c r="JP11" s="258">
        <v>0.03</v>
      </c>
      <c r="JQ11" s="258">
        <v>0.03</v>
      </c>
      <c r="JR11" s="258">
        <v>0.03</v>
      </c>
      <c r="JS11" s="258">
        <v>0.03</v>
      </c>
      <c r="JT11" s="258">
        <v>0.03</v>
      </c>
      <c r="JU11" s="258">
        <v>0.03</v>
      </c>
      <c r="KF11" s="258">
        <v>0.03</v>
      </c>
      <c r="KR11" s="258">
        <v>0.03</v>
      </c>
      <c r="LD11" s="258">
        <v>0.03</v>
      </c>
    </row>
    <row r="12" spans="1:316" x14ac:dyDescent="0.2">
      <c r="E12" t="s">
        <v>76</v>
      </c>
      <c r="K12" s="13"/>
      <c r="L12" s="13">
        <f>CD12</f>
        <v>98.830136844160023</v>
      </c>
      <c r="M12" s="16">
        <f>AVERAGE(CE12:CP12)</f>
        <v>102.13999992438706</v>
      </c>
      <c r="N12" s="13">
        <f>AVERAGE(CQ12:DB12)</f>
        <v>107.05203370586344</v>
      </c>
      <c r="O12" s="13">
        <f>AVERAGE(DC12:DN12)</f>
        <v>112.27373784200138</v>
      </c>
      <c r="P12" s="38">
        <f>AVERAGE(DO12:DZ12)</f>
        <v>117.82180989230432</v>
      </c>
      <c r="Q12" s="38">
        <f>AVERAGE(DZ12:EL12)</f>
        <v>125.50164529261033</v>
      </c>
      <c r="R12" s="38">
        <f>AVERAGE(EM12:EX12)</f>
        <v>133.78800715959031</v>
      </c>
      <c r="S12" s="38">
        <f>AVERAGE(EY12:FJ12)</f>
        <v>145.03333333333333</v>
      </c>
      <c r="T12" s="38">
        <f>AVERAGE(FK12:FV12)</f>
        <v>162.18333333333331</v>
      </c>
      <c r="U12" s="38">
        <f t="shared" si="6"/>
        <v>99.89</v>
      </c>
      <c r="V12" s="38">
        <f>AVERAGE(GI12:GT12)</f>
        <v>104.10916666666667</v>
      </c>
      <c r="W12" s="38">
        <f>AVERAGE(GU12:HF12)</f>
        <v>122.65750000000001</v>
      </c>
      <c r="X12" s="38">
        <f>AVERAGE(HG12:HR12)</f>
        <v>136.57987651896977</v>
      </c>
      <c r="Y12" s="38">
        <f>AVERAGE(HS12:ID12)</f>
        <v>145.19272825721578</v>
      </c>
      <c r="Z12" s="38">
        <f>IP12</f>
        <v>158.12324340336056</v>
      </c>
      <c r="AA12" s="20">
        <f>Z12*(1+AA13)</f>
        <v>167.90739386234429</v>
      </c>
      <c r="AB12" s="20">
        <f>AA12*(1+AB13)</f>
        <v>176.72253204011736</v>
      </c>
      <c r="AC12" s="20">
        <f>AB12*(1+AC13)</f>
        <v>185.11685231202296</v>
      </c>
      <c r="AD12" s="20">
        <f t="shared" ref="AD12:AE12" si="147">AC12*(1+AD13)</f>
        <v>194.37269492762411</v>
      </c>
      <c r="AE12" s="20">
        <f t="shared" si="147"/>
        <v>204.09132967400532</v>
      </c>
      <c r="AF12" s="20"/>
      <c r="AG12" s="31"/>
      <c r="AH12" s="13">
        <f t="shared" ref="AH12:AM12" si="148">AI12/(1+AI13)</f>
        <v>40.976169005104659</v>
      </c>
      <c r="AI12" s="13">
        <f t="shared" si="148"/>
        <v>52.335908325240801</v>
      </c>
      <c r="AJ12" s="13">
        <f t="shared" si="148"/>
        <v>63.376650694981713</v>
      </c>
      <c r="AK12" s="13">
        <f t="shared" si="148"/>
        <v>73.577496904549207</v>
      </c>
      <c r="AL12" s="13">
        <f t="shared" si="148"/>
        <v>83.003591558739032</v>
      </c>
      <c r="AM12" s="13">
        <f t="shared" si="148"/>
        <v>89.549225651989971</v>
      </c>
      <c r="AN12" s="13">
        <f>AVERAGE(BM12:BX12)</f>
        <v>94.922179191109379</v>
      </c>
      <c r="AO12" s="13">
        <f>AVERAGE(BY12:CJ12)</f>
        <v>99.825489760296236</v>
      </c>
      <c r="AP12" s="13">
        <f>AVERAGE(CK12:CV12)</f>
        <v>104.3665914961304</v>
      </c>
      <c r="AQ12" s="13">
        <f>AVERAGE(CW12:DH12)</f>
        <v>109.87747409251425</v>
      </c>
      <c r="AR12" s="260">
        <f>AVERAGE(DI12:DT12)</f>
        <v>115.07876402546829</v>
      </c>
      <c r="AS12" s="260">
        <f>AVERAGE(DU12:EF12)</f>
        <v>120.87158007865048</v>
      </c>
      <c r="AT12" s="13">
        <f>AVERAGE(EG12:ER12)</f>
        <v>129.63949450750962</v>
      </c>
      <c r="AU12" s="13">
        <f>AVERAGE(ES12:FD12)</f>
        <v>138.75</v>
      </c>
      <c r="AV12" s="436">
        <f>AVERAGE(FE12:FP12)</f>
        <v>153.00833333333333</v>
      </c>
      <c r="AW12" s="436">
        <f>AVERAGE(FQ12:GB12)</f>
        <v>146.869</v>
      </c>
      <c r="AX12" s="436">
        <f t="shared" ref="AX12:BF12" si="149">AW12*(1+AX13)</f>
        <v>157.71896481101786</v>
      </c>
      <c r="AY12" s="436">
        <f>AVERAGE(GO12:GZ12)</f>
        <v>112.53250000000001</v>
      </c>
      <c r="AZ12" s="436">
        <f>AVERAGE(HA12:HL12)</f>
        <v>130.55839970661444</v>
      </c>
      <c r="BA12" s="436">
        <f>AVERAGE(HM12:HX12)</f>
        <v>140.83417603025364</v>
      </c>
      <c r="BB12" s="436">
        <f>AVERAGE(HY12:IJ12)</f>
        <v>149.4691563089763</v>
      </c>
      <c r="BC12" s="437">
        <f t="shared" si="149"/>
        <v>158.99833449377181</v>
      </c>
      <c r="BD12" s="437">
        <f t="shared" si="149"/>
        <v>168.53823456339813</v>
      </c>
      <c r="BE12" s="437">
        <f t="shared" si="149"/>
        <v>176.12245511875105</v>
      </c>
      <c r="BF12" s="437">
        <f t="shared" si="149"/>
        <v>184.92857787468861</v>
      </c>
      <c r="BG12" s="437">
        <f t="shared" ref="BG12" si="150">BF12*(1+BG13)</f>
        <v>194.17500676842306</v>
      </c>
      <c r="BH12" s="437">
        <f t="shared" ref="BH12" si="151">BG12*(1+BH13)</f>
        <v>203.88375710684423</v>
      </c>
      <c r="BM12" s="438">
        <f>BM6</f>
        <v>92.981399736203912</v>
      </c>
      <c r="BN12" s="438">
        <f t="shared" ref="BN12:DY12" si="152">BN6</f>
        <v>94.345395292994596</v>
      </c>
      <c r="BO12" s="438">
        <f t="shared" si="152"/>
        <v>94.346522691651018</v>
      </c>
      <c r="BP12" s="438">
        <f t="shared" si="152"/>
        <v>94.888848611669445</v>
      </c>
      <c r="BQ12" s="438">
        <f t="shared" si="152"/>
        <v>94.770095654627625</v>
      </c>
      <c r="BR12" s="438">
        <f t="shared" si="152"/>
        <v>94.034383296060923</v>
      </c>
      <c r="BS12" s="438">
        <f t="shared" si="152"/>
        <v>94.395951169126178</v>
      </c>
      <c r="BT12" s="438">
        <f t="shared" si="152"/>
        <v>94.08271883504419</v>
      </c>
      <c r="BU12" s="438">
        <f t="shared" si="152"/>
        <v>95.136801289960516</v>
      </c>
      <c r="BV12" s="438">
        <f t="shared" si="152"/>
        <v>95.824445504900226</v>
      </c>
      <c r="BW12" s="438">
        <f t="shared" si="152"/>
        <v>96.101690833513501</v>
      </c>
      <c r="BX12" s="438">
        <f t="shared" si="152"/>
        <v>98.157897377560346</v>
      </c>
      <c r="BY12" s="438">
        <f t="shared" si="152"/>
        <v>98.002395321958929</v>
      </c>
      <c r="BZ12" s="438">
        <f t="shared" si="152"/>
        <v>99.440046638816312</v>
      </c>
      <c r="CA12" s="438">
        <f t="shared" si="152"/>
        <v>99.158195348925219</v>
      </c>
      <c r="CB12" s="438">
        <f t="shared" si="152"/>
        <v>99.917957588087916</v>
      </c>
      <c r="CC12" s="438">
        <f t="shared" si="152"/>
        <v>99.79291072432288</v>
      </c>
      <c r="CD12" s="438">
        <f t="shared" si="152"/>
        <v>98.830136844160023</v>
      </c>
      <c r="CE12" s="438">
        <f t="shared" si="152"/>
        <v>99.210144678751604</v>
      </c>
      <c r="CF12" s="438">
        <f t="shared" si="152"/>
        <v>98.975020214466497</v>
      </c>
      <c r="CG12" s="438">
        <f t="shared" si="152"/>
        <v>99.988778155748491</v>
      </c>
      <c r="CH12" s="438">
        <f t="shared" si="152"/>
        <v>100.61566778014524</v>
      </c>
      <c r="CI12" s="438">
        <f t="shared" si="152"/>
        <v>100.81067368435566</v>
      </c>
      <c r="CJ12" s="438">
        <f t="shared" si="152"/>
        <v>103.16395014381592</v>
      </c>
      <c r="CK12" s="438">
        <f>CK6</f>
        <v>102.60850790209099</v>
      </c>
      <c r="CL12" s="438">
        <f t="shared" si="152"/>
        <v>104.11372883084067</v>
      </c>
      <c r="CM12" s="438">
        <f t="shared" si="152"/>
        <v>103.8186305303247</v>
      </c>
      <c r="CN12" s="438">
        <f t="shared" si="152"/>
        <v>104.71401955231615</v>
      </c>
      <c r="CO12" s="438">
        <f t="shared" si="152"/>
        <v>104.38338461764174</v>
      </c>
      <c r="CP12" s="438">
        <f t="shared" si="152"/>
        <v>103.27749300214721</v>
      </c>
      <c r="CQ12" s="438">
        <f t="shared" si="152"/>
        <v>103.67460118929542</v>
      </c>
      <c r="CR12" s="438">
        <f t="shared" si="152"/>
        <v>103.32992110390303</v>
      </c>
      <c r="CS12" s="438">
        <f t="shared" si="152"/>
        <v>104.38828439460143</v>
      </c>
      <c r="CT12" s="438">
        <f t="shared" si="152"/>
        <v>105.14337283025178</v>
      </c>
      <c r="CU12" s="438">
        <f t="shared" si="152"/>
        <v>105.34715400015166</v>
      </c>
      <c r="CV12" s="438">
        <f>CV6</f>
        <v>107.6</v>
      </c>
      <c r="CW12" s="438">
        <f>CW6</f>
        <v>107.271619835097</v>
      </c>
      <c r="CX12" s="438">
        <f t="shared" si="152"/>
        <v>108.91597466966158</v>
      </c>
      <c r="CY12" s="438">
        <f t="shared" si="152"/>
        <v>109.39319552923294</v>
      </c>
      <c r="CZ12" s="438">
        <f t="shared" si="152"/>
        <v>109.89568568211286</v>
      </c>
      <c r="DA12" s="438">
        <f t="shared" si="152"/>
        <v>110.35887527536583</v>
      </c>
      <c r="DB12" s="438">
        <f t="shared" si="152"/>
        <v>109.30571996068767</v>
      </c>
      <c r="DC12" s="438">
        <f t="shared" si="152"/>
        <v>108.73370885922068</v>
      </c>
      <c r="DD12" s="438">
        <f t="shared" si="152"/>
        <v>109.35159967637354</v>
      </c>
      <c r="DE12" s="438">
        <f t="shared" si="152"/>
        <v>109.28805965636937</v>
      </c>
      <c r="DF12" s="438">
        <f t="shared" si="152"/>
        <v>111.24076103006865</v>
      </c>
      <c r="DG12" s="438">
        <f>DG6</f>
        <v>111.46701334569435</v>
      </c>
      <c r="DH12" s="438">
        <f t="shared" si="152"/>
        <v>113.30747559028654</v>
      </c>
      <c r="DI12" s="438">
        <f t="shared" si="152"/>
        <v>114.51938955434871</v>
      </c>
      <c r="DJ12" s="438">
        <f t="shared" si="152"/>
        <v>113.28805124791262</v>
      </c>
      <c r="DK12" s="438">
        <f t="shared" si="152"/>
        <v>114.02147033197052</v>
      </c>
      <c r="DL12" s="438">
        <f t="shared" si="152"/>
        <v>114.7325521385783</v>
      </c>
      <c r="DM12" s="438">
        <f t="shared" si="152"/>
        <v>114.36344669016735</v>
      </c>
      <c r="DN12" s="438">
        <f t="shared" si="152"/>
        <v>112.97132598302602</v>
      </c>
      <c r="DO12" s="438">
        <f t="shared" si="152"/>
        <v>112.92073280492963</v>
      </c>
      <c r="DP12" s="438">
        <f t="shared" si="152"/>
        <v>114.35077855177587</v>
      </c>
      <c r="DQ12" s="438">
        <f t="shared" si="152"/>
        <v>115.43715954143099</v>
      </c>
      <c r="DR12" s="438">
        <f t="shared" si="152"/>
        <v>117.76437025278028</v>
      </c>
      <c r="DS12" s="438">
        <f t="shared" si="152"/>
        <v>118.07589120869915</v>
      </c>
      <c r="DT12" s="438">
        <f t="shared" si="152"/>
        <v>118.5</v>
      </c>
      <c r="DU12" s="438">
        <f>DU6</f>
        <v>118.85187533175838</v>
      </c>
      <c r="DV12" s="438">
        <f t="shared" si="152"/>
        <v>118.62825710585199</v>
      </c>
      <c r="DW12" s="438">
        <f t="shared" si="152"/>
        <v>118.64499634737382</v>
      </c>
      <c r="DX12" s="438">
        <f t="shared" si="152"/>
        <v>119.53696280366727</v>
      </c>
      <c r="DY12" s="438">
        <f t="shared" si="152"/>
        <v>120.59332872625164</v>
      </c>
      <c r="DZ12" s="438">
        <f t="shared" ref="DZ12:EG12" si="153">DZ6</f>
        <v>120.55736603313282</v>
      </c>
      <c r="EA12" s="438">
        <f t="shared" si="153"/>
        <v>119.90557842325762</v>
      </c>
      <c r="EB12" s="438">
        <f t="shared" si="153"/>
        <v>121.16614739966957</v>
      </c>
      <c r="EC12" s="438">
        <f t="shared" si="153"/>
        <v>120.982116472455</v>
      </c>
      <c r="ED12" s="438">
        <f t="shared" si="153"/>
        <v>122.64669426419069</v>
      </c>
      <c r="EE12" s="438">
        <f t="shared" si="153"/>
        <v>123.445638036197</v>
      </c>
      <c r="EF12" s="438">
        <f t="shared" si="153"/>
        <v>125.5</v>
      </c>
      <c r="EG12" s="438">
        <f t="shared" si="153"/>
        <v>126.81642995924541</v>
      </c>
      <c r="EH12" s="260">
        <f>EH6</f>
        <v>127.87356907454063</v>
      </c>
      <c r="EI12" s="260">
        <f>EI6</f>
        <v>128.87623739453247</v>
      </c>
      <c r="EJ12" s="260">
        <f t="shared" ref="EJ12:EY13" si="154">EJ6</f>
        <v>130.08571127321619</v>
      </c>
      <c r="EK12" s="260">
        <f t="shared" si="154"/>
        <v>132.31981870168272</v>
      </c>
      <c r="EL12" s="260">
        <f t="shared" si="154"/>
        <v>131.34608177181428</v>
      </c>
      <c r="EM12" s="260">
        <f t="shared" si="154"/>
        <v>127.55829465132987</v>
      </c>
      <c r="EN12" s="260">
        <f t="shared" si="154"/>
        <v>127.79779126375368</v>
      </c>
      <c r="EO12" s="260">
        <f t="shared" si="154"/>
        <v>128</v>
      </c>
      <c r="EP12" s="260">
        <f t="shared" si="154"/>
        <v>130</v>
      </c>
      <c r="EQ12" s="260">
        <f t="shared" si="154"/>
        <v>131.1</v>
      </c>
      <c r="ER12" s="13">
        <f>ER6</f>
        <v>133.9</v>
      </c>
      <c r="ES12" s="13">
        <f t="shared" ref="ES12:HD13" si="155">ES6</f>
        <v>135.69999999999999</v>
      </c>
      <c r="ET12" s="13">
        <f t="shared" si="155"/>
        <v>137.19999999999999</v>
      </c>
      <c r="EU12" s="13">
        <f t="shared" si="155"/>
        <v>138.19999999999999</v>
      </c>
      <c r="EV12" s="13">
        <f t="shared" si="155"/>
        <v>138.1</v>
      </c>
      <c r="EW12" s="13">
        <f t="shared" si="155"/>
        <v>138.9</v>
      </c>
      <c r="EX12" s="13">
        <f t="shared" si="155"/>
        <v>139</v>
      </c>
      <c r="EY12" s="13">
        <f t="shared" si="155"/>
        <v>139.1</v>
      </c>
      <c r="EZ12" s="13">
        <f t="shared" si="155"/>
        <v>137.80000000000001</v>
      </c>
      <c r="FA12" s="13">
        <f t="shared" si="155"/>
        <v>138.6</v>
      </c>
      <c r="FB12" s="13">
        <f t="shared" si="155"/>
        <v>139.19999999999999</v>
      </c>
      <c r="FC12" s="13">
        <f t="shared" si="155"/>
        <v>140.69999999999999</v>
      </c>
      <c r="FD12" s="13">
        <f t="shared" si="155"/>
        <v>142.5</v>
      </c>
      <c r="FE12" s="13">
        <f t="shared" si="155"/>
        <v>147.4</v>
      </c>
      <c r="FF12" s="13">
        <f t="shared" si="155"/>
        <v>149.4</v>
      </c>
      <c r="FG12" s="13">
        <f t="shared" si="155"/>
        <v>150.69999999999999</v>
      </c>
      <c r="FH12" s="13">
        <f t="shared" si="155"/>
        <v>151.5</v>
      </c>
      <c r="FI12" s="13">
        <f t="shared" si="155"/>
        <v>151.6</v>
      </c>
      <c r="FJ12" s="13">
        <f t="shared" si="155"/>
        <v>151.9</v>
      </c>
      <c r="FK12" s="13">
        <f t="shared" si="155"/>
        <v>152.30000000000001</v>
      </c>
      <c r="FL12" s="13">
        <f t="shared" si="155"/>
        <v>151.30000000000001</v>
      </c>
      <c r="FM12" s="13">
        <f t="shared" si="155"/>
        <v>154.69999999999999</v>
      </c>
      <c r="FN12" s="13">
        <f t="shared" si="155"/>
        <v>155.6</v>
      </c>
      <c r="FO12" s="13">
        <f t="shared" si="155"/>
        <v>158</v>
      </c>
      <c r="FP12" s="13">
        <f t="shared" si="155"/>
        <v>161.69999999999999</v>
      </c>
      <c r="FQ12" s="13">
        <f t="shared" si="155"/>
        <v>166.4</v>
      </c>
      <c r="FR12" s="13">
        <f t="shared" si="155"/>
        <v>169.3</v>
      </c>
      <c r="FS12" s="13">
        <f t="shared" si="155"/>
        <v>170.3</v>
      </c>
      <c r="FT12" s="13">
        <f t="shared" si="155"/>
        <v>169.7</v>
      </c>
      <c r="FU12" s="13">
        <f t="shared" si="155"/>
        <v>168.8</v>
      </c>
      <c r="FV12" s="13">
        <f t="shared" si="155"/>
        <v>168.1</v>
      </c>
      <c r="FW12" s="13">
        <f t="shared" si="155"/>
        <v>168.9</v>
      </c>
      <c r="FX12" s="13" t="str">
        <f t="shared" si="155"/>
        <v>169.6</v>
      </c>
      <c r="FY12" s="13" t="str">
        <f t="shared" si="155"/>
        <v>173.4</v>
      </c>
      <c r="FZ12" s="372">
        <f t="shared" si="155"/>
        <v>95.88</v>
      </c>
      <c r="GA12" s="13">
        <f t="shared" si="155"/>
        <v>94.96</v>
      </c>
      <c r="GB12" s="13">
        <f t="shared" si="155"/>
        <v>96.35</v>
      </c>
      <c r="GC12" s="38">
        <f t="shared" si="155"/>
        <v>97.82</v>
      </c>
      <c r="GD12" s="38">
        <f t="shared" si="155"/>
        <v>98.99</v>
      </c>
      <c r="GE12" s="38">
        <f t="shared" si="155"/>
        <v>99.9</v>
      </c>
      <c r="GF12" s="38">
        <f t="shared" si="155"/>
        <v>100.47</v>
      </c>
      <c r="GG12" s="38">
        <f t="shared" si="155"/>
        <v>100.12</v>
      </c>
      <c r="GH12" s="38">
        <f t="shared" si="155"/>
        <v>99.89</v>
      </c>
      <c r="GI12" s="38">
        <f t="shared" si="155"/>
        <v>99.56</v>
      </c>
      <c r="GJ12" s="38">
        <f t="shared" si="155"/>
        <v>99.94</v>
      </c>
      <c r="GK12" s="38">
        <f t="shared" si="155"/>
        <v>100</v>
      </c>
      <c r="GL12" s="38">
        <f t="shared" si="155"/>
        <v>99.9</v>
      </c>
      <c r="GM12" s="38">
        <f t="shared" si="155"/>
        <v>100.2</v>
      </c>
      <c r="GN12" s="38">
        <f t="shared" si="155"/>
        <v>101.7</v>
      </c>
      <c r="GO12" s="38">
        <f t="shared" si="155"/>
        <v>104.1</v>
      </c>
      <c r="GP12" s="38">
        <f t="shared" si="155"/>
        <v>106.41</v>
      </c>
      <c r="GQ12" s="38">
        <f t="shared" si="155"/>
        <v>107.9</v>
      </c>
      <c r="GR12" s="38">
        <f t="shared" si="155"/>
        <v>109.1</v>
      </c>
      <c r="GS12" s="38">
        <f t="shared" si="155"/>
        <v>109.8</v>
      </c>
      <c r="GT12" s="38">
        <f t="shared" si="155"/>
        <v>110.7</v>
      </c>
      <c r="GU12" s="38">
        <f t="shared" si="155"/>
        <v>112.5</v>
      </c>
      <c r="GV12" s="38">
        <f t="shared" si="155"/>
        <v>114.08</v>
      </c>
      <c r="GW12" s="38">
        <f t="shared" si="155"/>
        <v>116.8</v>
      </c>
      <c r="GX12" s="38">
        <f t="shared" si="155"/>
        <v>117.8</v>
      </c>
      <c r="GY12" s="38">
        <f t="shared" si="155"/>
        <v>119.41</v>
      </c>
      <c r="GZ12" s="38">
        <f t="shared" si="155"/>
        <v>121.79</v>
      </c>
      <c r="HA12" s="38">
        <f t="shared" si="155"/>
        <v>124.64</v>
      </c>
      <c r="HB12" s="38">
        <f t="shared" si="155"/>
        <v>127.05</v>
      </c>
      <c r="HC12" s="38">
        <f t="shared" si="155"/>
        <v>128.38999999999999</v>
      </c>
      <c r="HD12" s="38">
        <f t="shared" si="155"/>
        <v>129.44999999999999</v>
      </c>
      <c r="HE12" s="38">
        <f t="shared" ref="HE12:HV13" si="156">HE6</f>
        <v>129.91999999999999</v>
      </c>
      <c r="HF12" s="38">
        <f t="shared" si="156"/>
        <v>130.06</v>
      </c>
      <c r="HG12" s="38">
        <f t="shared" si="156"/>
        <v>130.19117413660433</v>
      </c>
      <c r="HH12" s="484">
        <f t="shared" si="156"/>
        <v>131.09</v>
      </c>
      <c r="HI12" s="484">
        <f t="shared" si="156"/>
        <v>132.58000000000001</v>
      </c>
      <c r="HJ12" s="484">
        <f t="shared" si="156"/>
        <v>132.98277868402221</v>
      </c>
      <c r="HK12" s="484">
        <f t="shared" si="156"/>
        <v>133.87</v>
      </c>
      <c r="HL12" s="484">
        <f t="shared" si="156"/>
        <v>136.47684365874696</v>
      </c>
      <c r="HM12" s="484">
        <f t="shared" si="156"/>
        <v>138.26</v>
      </c>
      <c r="HN12" s="484">
        <f t="shared" si="156"/>
        <v>140.22999999999999</v>
      </c>
      <c r="HO12" s="484">
        <f t="shared" si="156"/>
        <v>140.92772174826379</v>
      </c>
      <c r="HP12" s="484">
        <f t="shared" si="156"/>
        <v>141.59</v>
      </c>
      <c r="HQ12" s="484">
        <f t="shared" si="156"/>
        <v>140.76</v>
      </c>
      <c r="HR12" s="484">
        <f t="shared" si="156"/>
        <v>140</v>
      </c>
      <c r="HS12" s="484">
        <f t="shared" si="156"/>
        <v>140.01</v>
      </c>
      <c r="HT12" s="484">
        <f t="shared" si="156"/>
        <v>139.93</v>
      </c>
      <c r="HU12" s="484">
        <f t="shared" si="156"/>
        <v>140.61000000000001</v>
      </c>
      <c r="HV12" s="484">
        <f t="shared" si="156"/>
        <v>141.38999999999999</v>
      </c>
      <c r="HW12" s="484">
        <f>HW6</f>
        <v>142.22999999999999</v>
      </c>
      <c r="HX12" s="484">
        <f>HX37</f>
        <v>144.07239061477983</v>
      </c>
      <c r="HY12" s="484">
        <f t="shared" ref="HY12:IB12" si="157">HY37</f>
        <v>146.6021994098414</v>
      </c>
      <c r="HZ12" s="484">
        <f t="shared" si="157"/>
        <v>148.61781658187223</v>
      </c>
      <c r="IA12" s="484">
        <f t="shared" si="157"/>
        <v>149.48596909913482</v>
      </c>
      <c r="IB12" s="484">
        <f t="shared" si="157"/>
        <v>150.5</v>
      </c>
      <c r="IC12" s="484">
        <f t="shared" ref="IC12:IP12" si="158">IC37</f>
        <v>149.88679828965434</v>
      </c>
      <c r="ID12" s="484">
        <f t="shared" si="158"/>
        <v>148.97756509130676</v>
      </c>
      <c r="IE12" s="484">
        <f t="shared" si="158"/>
        <v>149.16024677088581</v>
      </c>
      <c r="IF12" s="484">
        <f t="shared" si="158"/>
        <v>149.31456534665756</v>
      </c>
      <c r="IG12" s="484">
        <f t="shared" si="158"/>
        <v>149.92883882940649</v>
      </c>
      <c r="IH12" s="484">
        <f t="shared" si="158"/>
        <v>149.69821894032634</v>
      </c>
      <c r="II12" s="484">
        <f t="shared" si="158"/>
        <v>150.540826751651</v>
      </c>
      <c r="IJ12" s="484">
        <f t="shared" si="158"/>
        <v>150.91683059697888</v>
      </c>
      <c r="IK12" s="484">
        <f t="shared" si="158"/>
        <v>152.43067430067492</v>
      </c>
      <c r="IL12" s="484">
        <f t="shared" si="158"/>
        <v>154.82921027215576</v>
      </c>
      <c r="IM12" s="484">
        <f t="shared" si="158"/>
        <v>155.88098012906485</v>
      </c>
      <c r="IN12" s="484">
        <f t="shared" si="158"/>
        <v>157.20519053825754</v>
      </c>
      <c r="IO12" s="484">
        <f t="shared" si="158"/>
        <v>157.8631128307579</v>
      </c>
      <c r="IP12" s="484">
        <f t="shared" si="158"/>
        <v>158.12324340336056</v>
      </c>
      <c r="IQ12" s="38">
        <f t="shared" ref="IQ12:JU12" si="159">IQ6</f>
        <v>158.77921600119367</v>
      </c>
      <c r="IR12" s="38">
        <f t="shared" si="159"/>
        <v>158.80590423521019</v>
      </c>
      <c r="IS12" s="38">
        <f t="shared" si="159"/>
        <v>159.04</v>
      </c>
      <c r="IT12" s="257">
        <f t="shared" si="159"/>
        <v>160.1770942661492</v>
      </c>
      <c r="IU12" s="257">
        <f t="shared" si="159"/>
        <v>161.07868462426657</v>
      </c>
      <c r="IV12" s="257">
        <f t="shared" si="159"/>
        <v>162.99017704473721</v>
      </c>
      <c r="IW12" s="257">
        <f t="shared" si="159"/>
        <v>163.10082150172218</v>
      </c>
      <c r="IX12" s="257">
        <f t="shared" si="159"/>
        <v>165.35759657066237</v>
      </c>
      <c r="IY12" s="257">
        <f t="shared" si="159"/>
        <v>166.01324383745407</v>
      </c>
      <c r="IZ12" s="257">
        <f t="shared" si="159"/>
        <v>167.42352792324428</v>
      </c>
      <c r="JA12" s="257">
        <f t="shared" si="159"/>
        <v>167.80848893909564</v>
      </c>
      <c r="JB12" s="257">
        <f t="shared" si="159"/>
        <v>167.61063800756222</v>
      </c>
      <c r="JC12" s="257">
        <f t="shared" si="159"/>
        <v>166.71817680125338</v>
      </c>
      <c r="JD12" s="257">
        <f t="shared" si="159"/>
        <v>166.74619944697071</v>
      </c>
      <c r="JE12" s="257">
        <f t="shared" si="159"/>
        <v>166.99199999999999</v>
      </c>
      <c r="JF12" s="257">
        <f t="shared" si="159"/>
        <v>168.18594897945667</v>
      </c>
      <c r="JG12" s="257">
        <f t="shared" si="159"/>
        <v>169.1326188554799</v>
      </c>
      <c r="JH12" s="257">
        <f t="shared" si="159"/>
        <v>169.50978412652671</v>
      </c>
      <c r="JI12" s="257">
        <f t="shared" si="159"/>
        <v>169.62485436179108</v>
      </c>
      <c r="JJ12" s="257">
        <f t="shared" si="159"/>
        <v>173.62547639919549</v>
      </c>
      <c r="JK12" s="257">
        <f t="shared" si="159"/>
        <v>174.31390602932677</v>
      </c>
      <c r="JL12" s="257">
        <f t="shared" si="159"/>
        <v>175.79470431940649</v>
      </c>
      <c r="JM12" s="257">
        <f t="shared" si="159"/>
        <v>176.19891338605044</v>
      </c>
      <c r="JN12" s="257">
        <f t="shared" si="159"/>
        <v>175.99116990794033</v>
      </c>
      <c r="JO12" s="257">
        <f t="shared" si="159"/>
        <v>175.05408564131605</v>
      </c>
      <c r="JP12" s="257">
        <f t="shared" si="159"/>
        <v>175.08350941931926</v>
      </c>
      <c r="JQ12" s="257">
        <f t="shared" si="159"/>
        <v>175.3416</v>
      </c>
      <c r="JR12" s="257">
        <f t="shared" si="159"/>
        <v>176.5952464284295</v>
      </c>
      <c r="JS12" s="257">
        <f t="shared" si="159"/>
        <v>177.58924979825392</v>
      </c>
      <c r="JT12" s="257">
        <f t="shared" si="159"/>
        <v>177.98527333285304</v>
      </c>
      <c r="JU12" s="257">
        <f t="shared" si="159"/>
        <v>178.10609707988064</v>
      </c>
      <c r="KF12" s="257">
        <f t="shared" ref="KF12" si="160">KF6</f>
        <v>186.88453699949571</v>
      </c>
      <c r="KR12" s="257">
        <f t="shared" ref="KR12" si="161">KR6</f>
        <v>196.22876384947051</v>
      </c>
      <c r="LD12" s="257">
        <f t="shared" ref="LD12" si="162">LD6</f>
        <v>206.04020204194404</v>
      </c>
    </row>
    <row r="13" spans="1:316" ht="15" customHeight="1" x14ac:dyDescent="0.2">
      <c r="E13" t="s">
        <v>384</v>
      </c>
      <c r="K13" s="10"/>
      <c r="L13" s="10"/>
      <c r="M13" s="10">
        <f t="shared" ref="M13:T13" si="163">M12/L12-1</f>
        <v>3.3490422920755325E-2</v>
      </c>
      <c r="N13" s="10">
        <f t="shared" si="163"/>
        <v>4.809118646086441E-2</v>
      </c>
      <c r="O13" s="10">
        <f t="shared" si="163"/>
        <v>4.8777253036454304E-2</v>
      </c>
      <c r="P13" s="10">
        <f t="shared" si="163"/>
        <v>4.9415581568242883E-2</v>
      </c>
      <c r="Q13" s="10">
        <f t="shared" si="163"/>
        <v>6.5181780922613619E-2</v>
      </c>
      <c r="R13" s="10">
        <f t="shared" si="163"/>
        <v>6.602592219137926E-2</v>
      </c>
      <c r="S13" s="10">
        <f t="shared" si="163"/>
        <v>8.4053319968574902E-2</v>
      </c>
      <c r="T13" s="10">
        <f t="shared" si="163"/>
        <v>0.11824867846472054</v>
      </c>
      <c r="U13" s="10">
        <f t="shared" si="6"/>
        <v>7.1980963712076074E-2</v>
      </c>
      <c r="V13" s="463">
        <f>V12/U12-1</f>
        <v>4.2238128608135694E-2</v>
      </c>
      <c r="W13" s="463">
        <f>W12/V12-1</f>
        <v>0.17816234561477939</v>
      </c>
      <c r="X13" s="30">
        <f>X12/W12-1</f>
        <v>0.11350611678021938</v>
      </c>
      <c r="Y13" s="30">
        <f>Y12/X12-1</f>
        <v>6.3060913201585356E-2</v>
      </c>
      <c r="Z13" s="30">
        <f>Z12/Y12-1</f>
        <v>8.9057594697427023E-2</v>
      </c>
      <c r="AA13" s="21">
        <f>AVERAGE(BC13:BD13)</f>
        <v>6.1876737716700506E-2</v>
      </c>
      <c r="AB13" s="21">
        <f>AVERAGE(BD13:BE13)</f>
        <v>5.2499999999999998E-2</v>
      </c>
      <c r="AC13" s="21">
        <f>AVERAGE(BE13:BF13)</f>
        <v>4.7500000000000001E-2</v>
      </c>
      <c r="AD13" s="21">
        <f t="shared" ref="AD13:AE13" si="164">AVERAGE(BF13:BG13)</f>
        <v>0.05</v>
      </c>
      <c r="AE13" s="21">
        <f t="shared" si="164"/>
        <v>0.05</v>
      </c>
      <c r="AF13" s="21"/>
      <c r="AG13" s="31"/>
      <c r="AH13" s="259">
        <v>0.34020152595543318</v>
      </c>
      <c r="AI13" s="259">
        <v>0.27722794970708448</v>
      </c>
      <c r="AJ13" s="259">
        <v>0.21095921945461171</v>
      </c>
      <c r="AK13" s="259">
        <v>0.1609559056483118</v>
      </c>
      <c r="AL13" s="259">
        <v>0.12811110802557105</v>
      </c>
      <c r="AM13" s="259">
        <v>7.8859648966139048E-2</v>
      </c>
      <c r="AN13" s="12">
        <v>0.06</v>
      </c>
      <c r="AO13" s="10">
        <f t="shared" ref="AO13:AV13" si="165">AO12/AN12-1</f>
        <v>5.1656110415616352E-2</v>
      </c>
      <c r="AP13" s="10">
        <f t="shared" si="165"/>
        <v>4.5490402769256422E-2</v>
      </c>
      <c r="AQ13" s="10">
        <f t="shared" si="165"/>
        <v>5.2803129022261697E-2</v>
      </c>
      <c r="AR13" s="434">
        <f t="shared" si="165"/>
        <v>4.7337181491582836E-2</v>
      </c>
      <c r="AS13" s="434">
        <f t="shared" si="165"/>
        <v>5.0337836891437115E-2</v>
      </c>
      <c r="AT13" s="434">
        <f t="shared" si="165"/>
        <v>7.2539090025578457E-2</v>
      </c>
      <c r="AU13" s="434">
        <f t="shared" si="165"/>
        <v>7.0275694356110252E-2</v>
      </c>
      <c r="AV13" s="434">
        <f t="shared" si="165"/>
        <v>0.10276276276276275</v>
      </c>
      <c r="AW13" s="434">
        <f>AVERAGE(FQ13:GB13)</f>
        <v>0.12141360069460637</v>
      </c>
      <c r="AX13" s="30">
        <f>AVERAGE(GC13:GN13)</f>
        <v>7.3875118718162699E-2</v>
      </c>
      <c r="AY13" s="10">
        <f>AVERAGE(GO13:GZ13)</f>
        <v>0.12649419225636113</v>
      </c>
      <c r="AZ13" s="10">
        <f>AVERAGE(HA13:HL13)</f>
        <v>0.16148891938294582</v>
      </c>
      <c r="BA13" s="10">
        <f>AVERAGE(HM13:HX13)</f>
        <v>7.9087852169812345E-2</v>
      </c>
      <c r="BB13" s="10">
        <f>AVERAGE(HY13:IJ13)</f>
        <v>6.1347312536537836E-2</v>
      </c>
      <c r="BC13" s="21">
        <f t="shared" ref="BC13:BF13" si="166">AVERAGE(BB7:BC7)</f>
        <v>6.3753475433401013E-2</v>
      </c>
      <c r="BD13" s="21">
        <f t="shared" si="166"/>
        <v>0.06</v>
      </c>
      <c r="BE13" s="21">
        <f t="shared" si="166"/>
        <v>4.4999999999999998E-2</v>
      </c>
      <c r="BF13" s="21">
        <f t="shared" si="166"/>
        <v>0.05</v>
      </c>
      <c r="BG13" s="21">
        <f t="shared" ref="BG13" si="167">AVERAGE(BF7:BG7)</f>
        <v>0.05</v>
      </c>
      <c r="BH13" s="21">
        <f t="shared" ref="BH13" si="168">AVERAGE(BG7:BH7)</f>
        <v>0.05</v>
      </c>
      <c r="BY13" s="10">
        <f>BY12/BM12-1</f>
        <v>5.4000000000000048E-2</v>
      </c>
      <c r="BZ13" s="10">
        <f>BZ12/BN12-1</f>
        <v>5.4000000000000048E-2</v>
      </c>
      <c r="CA13" s="10">
        <f t="shared" ref="CA13:ED13" si="169">CA12/BO12-1</f>
        <v>5.0999999999999934E-2</v>
      </c>
      <c r="CB13" s="10">
        <f t="shared" si="169"/>
        <v>5.2999999999999936E-2</v>
      </c>
      <c r="CC13" s="10">
        <f t="shared" si="169"/>
        <v>5.2999999999999936E-2</v>
      </c>
      <c r="CD13" s="10">
        <f t="shared" si="169"/>
        <v>5.0999999999999934E-2</v>
      </c>
      <c r="CE13" s="10">
        <f t="shared" si="169"/>
        <v>5.0999999999999934E-2</v>
      </c>
      <c r="CF13" s="10">
        <f t="shared" si="169"/>
        <v>5.2000000000000046E-2</v>
      </c>
      <c r="CG13" s="10">
        <f t="shared" si="169"/>
        <v>5.0999999999999934E-2</v>
      </c>
      <c r="CH13" s="10">
        <f t="shared" si="169"/>
        <v>5.0000000000000044E-2</v>
      </c>
      <c r="CI13" s="10">
        <f t="shared" si="169"/>
        <v>4.8999999999999932E-2</v>
      </c>
      <c r="CJ13" s="10">
        <f t="shared" si="169"/>
        <v>5.0999999999999934E-2</v>
      </c>
      <c r="CK13" s="427">
        <f t="shared" ref="CK13:CU13" si="170">CK7</f>
        <v>4.7E-2</v>
      </c>
      <c r="CL13" s="427">
        <f t="shared" si="170"/>
        <v>4.7E-2</v>
      </c>
      <c r="CM13" s="427">
        <f t="shared" si="170"/>
        <v>4.7E-2</v>
      </c>
      <c r="CN13" s="427">
        <f t="shared" si="170"/>
        <v>4.8000000000000001E-2</v>
      </c>
      <c r="CO13" s="427">
        <f t="shared" si="170"/>
        <v>4.5999999999999999E-2</v>
      </c>
      <c r="CP13" s="427">
        <f t="shared" si="170"/>
        <v>4.4999999999999998E-2</v>
      </c>
      <c r="CQ13" s="427">
        <f t="shared" si="170"/>
        <v>4.4999999999999998E-2</v>
      </c>
      <c r="CR13" s="427">
        <f t="shared" si="170"/>
        <v>4.3999999999999997E-2</v>
      </c>
      <c r="CS13" s="427">
        <f t="shared" si="170"/>
        <v>4.3999999999999997E-2</v>
      </c>
      <c r="CT13" s="427">
        <f t="shared" si="170"/>
        <v>4.4999999999999998E-2</v>
      </c>
      <c r="CU13" s="427">
        <f t="shared" si="170"/>
        <v>4.4999999999999998E-2</v>
      </c>
      <c r="CV13" s="427">
        <f>CV7</f>
        <v>4.2999999999999997E-2</v>
      </c>
      <c r="CW13" s="427">
        <f t="shared" si="169"/>
        <v>4.5445665552953374E-2</v>
      </c>
      <c r="CX13" s="427">
        <f t="shared" si="169"/>
        <v>4.6125000926855453E-2</v>
      </c>
      <c r="CY13" s="427">
        <f t="shared" si="169"/>
        <v>5.3695227633347997E-2</v>
      </c>
      <c r="CZ13" s="427">
        <f t="shared" si="169"/>
        <v>4.9483976949312947E-2</v>
      </c>
      <c r="DA13" s="427">
        <f t="shared" si="169"/>
        <v>5.7245611259037377E-2</v>
      </c>
      <c r="DB13" s="427">
        <f t="shared" si="169"/>
        <v>5.8369222405651566E-2</v>
      </c>
      <c r="DC13" s="427">
        <f t="shared" si="169"/>
        <v>4.8797946767000777E-2</v>
      </c>
      <c r="DD13" s="427">
        <f t="shared" si="169"/>
        <v>5.8276233138854661E-2</v>
      </c>
      <c r="DE13" s="427">
        <f t="shared" si="169"/>
        <v>4.6937980542396396E-2</v>
      </c>
      <c r="DF13" s="427">
        <f t="shared" si="169"/>
        <v>5.7991179431353901E-2</v>
      </c>
      <c r="DG13" s="427">
        <f t="shared" si="169"/>
        <v>5.8092308269987791E-2</v>
      </c>
      <c r="DH13" s="427">
        <f t="shared" si="169"/>
        <v>5.3043453441324884E-2</v>
      </c>
      <c r="DI13" s="427">
        <f t="shared" si="169"/>
        <v>6.7564652518469659E-2</v>
      </c>
      <c r="DJ13" s="427">
        <f t="shared" si="169"/>
        <v>4.0141738542132099E-2</v>
      </c>
      <c r="DK13" s="427">
        <f t="shared" si="169"/>
        <v>4.2308616914849884E-2</v>
      </c>
      <c r="DL13" s="427">
        <f t="shared" si="169"/>
        <v>4.4013251534338549E-2</v>
      </c>
      <c r="DM13" s="427">
        <f t="shared" si="169"/>
        <v>3.6286808875220622E-2</v>
      </c>
      <c r="DN13" s="427">
        <f t="shared" si="169"/>
        <v>3.3535354084458735E-2</v>
      </c>
      <c r="DO13" s="427">
        <f t="shared" si="169"/>
        <v>3.8507138123375917E-2</v>
      </c>
      <c r="DP13" s="427">
        <f t="shared" si="169"/>
        <v>4.5716559155946745E-2</v>
      </c>
      <c r="DQ13" s="427">
        <f t="shared" si="169"/>
        <v>5.6265065958678528E-2</v>
      </c>
      <c r="DR13" s="427">
        <f t="shared" si="169"/>
        <v>5.86440542324973E-2</v>
      </c>
      <c r="DS13" s="427">
        <f t="shared" si="169"/>
        <v>5.9289987814678202E-2</v>
      </c>
      <c r="DT13" s="427">
        <f t="shared" si="169"/>
        <v>4.5826847546134752E-2</v>
      </c>
      <c r="DU13" s="427">
        <f t="shared" si="169"/>
        <v>3.7831897238271184E-2</v>
      </c>
      <c r="DV13" s="427">
        <f t="shared" si="169"/>
        <v>4.7138297456041478E-2</v>
      </c>
      <c r="DW13" s="427">
        <f t="shared" si="169"/>
        <v>4.0549608788081892E-2</v>
      </c>
      <c r="DX13" s="427">
        <f t="shared" si="169"/>
        <v>4.1874869647160029E-2</v>
      </c>
      <c r="DY13" s="427">
        <f t="shared" si="169"/>
        <v>5.4474416576148155E-2</v>
      </c>
      <c r="DZ13" s="427">
        <f t="shared" si="169"/>
        <v>6.7150137294543333E-2</v>
      </c>
      <c r="EA13" s="427">
        <f t="shared" si="169"/>
        <v>6.1856183933860054E-2</v>
      </c>
      <c r="EB13" s="427">
        <f t="shared" si="169"/>
        <v>5.9600546093421025E-2</v>
      </c>
      <c r="EC13" s="427">
        <f t="shared" si="169"/>
        <v>4.8034419358992553E-2</v>
      </c>
      <c r="ED13" s="427">
        <f t="shared" si="169"/>
        <v>4.145841395772365E-2</v>
      </c>
      <c r="EE13" s="427">
        <f>EE12/DS12-1</f>
        <v>4.5477080651517676E-2</v>
      </c>
      <c r="EF13" s="427">
        <f>EF12/DT12-1</f>
        <v>5.9071729957805852E-2</v>
      </c>
      <c r="EG13" s="434">
        <f>EG12/DU12-1</f>
        <v>6.701244389501726E-2</v>
      </c>
      <c r="EH13" s="434">
        <f t="shared" ref="EH13:EM13" si="171">EH12/DV12-1</f>
        <v>7.7935158066421373E-2</v>
      </c>
      <c r="EI13" s="434">
        <f t="shared" si="171"/>
        <v>8.6234071070331542E-2</v>
      </c>
      <c r="EJ13" s="434">
        <f t="shared" si="171"/>
        <v>8.8246749977031413E-2</v>
      </c>
      <c r="EK13" s="434">
        <f t="shared" si="171"/>
        <v>9.723995596846291E-2</v>
      </c>
      <c r="EL13" s="434">
        <f t="shared" si="171"/>
        <v>8.9490307342285469E-2</v>
      </c>
      <c r="EM13" s="434">
        <f t="shared" si="171"/>
        <v>6.3822854021509778E-2</v>
      </c>
      <c r="EN13" s="434">
        <f>EN7</f>
        <v>5.4731820780019369E-2</v>
      </c>
      <c r="EO13" s="434">
        <f t="shared" si="154"/>
        <v>5.8007610811989796E-2</v>
      </c>
      <c r="EP13" s="434">
        <f t="shared" si="154"/>
        <v>5.9955189007945942E-2</v>
      </c>
      <c r="EQ13" s="434">
        <f t="shared" si="154"/>
        <v>6.2005933020967241E-2</v>
      </c>
      <c r="ER13" s="10">
        <f t="shared" si="154"/>
        <v>6.6932270916334691E-2</v>
      </c>
      <c r="ES13" s="10">
        <f t="shared" si="154"/>
        <v>7.0050623910556942E-2</v>
      </c>
      <c r="ET13" s="10">
        <f t="shared" si="154"/>
        <v>7.2934782324115544E-2</v>
      </c>
      <c r="EU13" s="10">
        <f t="shared" si="154"/>
        <v>7.234663886814463E-2</v>
      </c>
      <c r="EV13" s="10">
        <f t="shared" si="154"/>
        <v>6.1607755750757054E-2</v>
      </c>
      <c r="EW13" s="10">
        <f t="shared" si="154"/>
        <v>4.9729370572615617E-2</v>
      </c>
      <c r="EX13" s="10">
        <f t="shared" si="154"/>
        <v>5.8272908677114321E-2</v>
      </c>
      <c r="EY13" s="10">
        <f t="shared" si="154"/>
        <v>9.0481809749953346E-2</v>
      </c>
      <c r="EZ13" s="10">
        <f t="shared" si="155"/>
        <v>7.8265896752498731E-2</v>
      </c>
      <c r="FA13" s="10">
        <f t="shared" si="155"/>
        <v>8.2812499999999956E-2</v>
      </c>
      <c r="FB13" s="10">
        <f t="shared" si="155"/>
        <v>7.0769230769230695E-2</v>
      </c>
      <c r="FC13" s="10">
        <f t="shared" si="155"/>
        <v>7.3226544622425616E-2</v>
      </c>
      <c r="FD13" s="10">
        <f t="shared" si="155"/>
        <v>6.4227035100821395E-2</v>
      </c>
      <c r="FE13" s="10">
        <f t="shared" si="155"/>
        <v>8.62196020633752E-2</v>
      </c>
      <c r="FF13" s="10">
        <f t="shared" si="155"/>
        <v>8.8921282798833934E-2</v>
      </c>
      <c r="FG13" s="10">
        <f t="shared" si="155"/>
        <v>9.0448625180897357E-2</v>
      </c>
      <c r="FH13" s="10">
        <f t="shared" si="155"/>
        <v>9.7031136857349765E-2</v>
      </c>
      <c r="FI13" s="10">
        <f t="shared" si="155"/>
        <v>9.1432685385169021E-2</v>
      </c>
      <c r="FJ13" s="10">
        <f t="shared" si="155"/>
        <v>9.2805755395683587E-2</v>
      </c>
      <c r="FK13" s="10">
        <f t="shared" si="155"/>
        <v>9.4895758447160361E-2</v>
      </c>
      <c r="FL13" s="10">
        <f t="shared" si="155"/>
        <v>9.7968069666182878E-2</v>
      </c>
      <c r="FM13" s="10">
        <f t="shared" si="155"/>
        <v>0.11616161616161613</v>
      </c>
      <c r="FN13" s="10">
        <f t="shared" si="155"/>
        <v>0.11781609195402298</v>
      </c>
      <c r="FO13" s="10">
        <f t="shared" si="155"/>
        <v>0.12295664534470507</v>
      </c>
      <c r="FP13" s="10">
        <f t="shared" si="155"/>
        <v>0.13473684210526304</v>
      </c>
      <c r="FQ13" s="10">
        <f t="shared" si="155"/>
        <v>0.12890094979647215</v>
      </c>
      <c r="FR13" s="10">
        <f t="shared" si="155"/>
        <v>0.13319946452476583</v>
      </c>
      <c r="FS13" s="10">
        <f t="shared" si="155"/>
        <v>0.1300597213005974</v>
      </c>
      <c r="FT13" s="10">
        <f t="shared" si="155"/>
        <v>0.12013201320132016</v>
      </c>
      <c r="FU13" s="10">
        <f t="shared" si="155"/>
        <v>0.11345646437994739</v>
      </c>
      <c r="FV13" s="10">
        <f t="shared" si="155"/>
        <v>0.10664911125740617</v>
      </c>
      <c r="FW13" s="10">
        <f t="shared" si="155"/>
        <v>0.10899540380827299</v>
      </c>
      <c r="FX13" s="10">
        <f t="shared" si="155"/>
        <v>0.12095175148711168</v>
      </c>
      <c r="FY13" s="10">
        <f t="shared" si="155"/>
        <v>0.12087912087912089</v>
      </c>
      <c r="FZ13" s="429">
        <v>0.12660668380462736</v>
      </c>
      <c r="GA13" s="10">
        <v>0.12468354430379747</v>
      </c>
      <c r="GB13" s="10">
        <v>0.12244897959183687</v>
      </c>
      <c r="GC13" s="30">
        <v>0.10877403846153832</v>
      </c>
      <c r="GD13" s="30">
        <v>9.6278795038393206E-2</v>
      </c>
      <c r="GE13" s="30">
        <v>9.0428655314151341E-2</v>
      </c>
      <c r="GF13" s="30">
        <v>9.3694755450795641E-2</v>
      </c>
      <c r="GG13" s="30">
        <v>7.9383886255923963E-2</v>
      </c>
      <c r="GH13" s="30">
        <v>7.1980963712076074E-2</v>
      </c>
      <c r="GI13" s="30">
        <v>6.275902901124919E-2</v>
      </c>
      <c r="GJ13" s="30">
        <v>6.60377358490567E-2</v>
      </c>
      <c r="GK13" s="30">
        <v>6.4528301886792525E-2</v>
      </c>
      <c r="GL13" s="30">
        <f t="shared" si="155"/>
        <v>4.192740926157712E-2</v>
      </c>
      <c r="GM13" s="30">
        <f t="shared" si="155"/>
        <v>5.5181128896377496E-2</v>
      </c>
      <c r="GN13" s="30">
        <f t="shared" si="155"/>
        <v>5.5526725480020911E-2</v>
      </c>
      <c r="GO13" s="30">
        <f t="shared" si="155"/>
        <v>6.4199550194234289E-2</v>
      </c>
      <c r="GP13" s="30">
        <f t="shared" si="155"/>
        <v>7.4957066370340497E-2</v>
      </c>
      <c r="GQ13" s="30">
        <f t="shared" si="155"/>
        <v>8.0080080080080052E-2</v>
      </c>
      <c r="GR13" s="30">
        <f t="shared" si="155"/>
        <v>8.5896287448989694E-2</v>
      </c>
      <c r="GS13" s="30">
        <f t="shared" si="155"/>
        <v>9.6683979224930106E-2</v>
      </c>
      <c r="GT13" s="30">
        <f t="shared" si="155"/>
        <v>0.10821904094503965</v>
      </c>
      <c r="GU13" s="30">
        <f t="shared" si="155"/>
        <v>0.1299718762555242</v>
      </c>
      <c r="GV13" s="30">
        <f t="shared" si="155"/>
        <v>0.14148489093456074</v>
      </c>
      <c r="GW13" s="30">
        <f t="shared" si="155"/>
        <v>0.16799999999999993</v>
      </c>
      <c r="GX13" s="30">
        <f t="shared" si="155"/>
        <v>0.17917917917917903</v>
      </c>
      <c r="GY13" s="30">
        <f t="shared" si="155"/>
        <v>0.19171656686626748</v>
      </c>
      <c r="GZ13" s="30">
        <f t="shared" si="155"/>
        <v>0.19754178957718782</v>
      </c>
      <c r="HA13" s="30">
        <f t="shared" si="155"/>
        <v>0.19731027857829009</v>
      </c>
      <c r="HB13" s="30">
        <f t="shared" si="155"/>
        <v>0.19396673244995766</v>
      </c>
      <c r="HC13" s="30">
        <f t="shared" si="155"/>
        <v>0.18989805375347535</v>
      </c>
      <c r="HD13" s="30">
        <f t="shared" si="155"/>
        <v>0.18652612282309811</v>
      </c>
      <c r="HE13" s="30">
        <f t="shared" si="156"/>
        <v>0.18324225865209454</v>
      </c>
      <c r="HF13" s="30">
        <f t="shared" si="156"/>
        <v>0.17488708220415528</v>
      </c>
      <c r="HG13" s="30">
        <f t="shared" si="156"/>
        <v>0.15725488121426068</v>
      </c>
      <c r="HH13" s="463">
        <f t="shared" si="156"/>
        <v>0.14910589060308554</v>
      </c>
      <c r="HI13" s="463">
        <f t="shared" si="156"/>
        <v>0.1351027397260276</v>
      </c>
      <c r="HJ13" s="463">
        <f t="shared" si="156"/>
        <v>0.12888606692718341</v>
      </c>
      <c r="HK13" s="463">
        <f t="shared" si="156"/>
        <v>0.12109538564609346</v>
      </c>
      <c r="HL13" s="463">
        <f t="shared" si="156"/>
        <v>0.12059154001762828</v>
      </c>
      <c r="HM13" s="463">
        <f t="shared" si="156"/>
        <v>0.10927471116816423</v>
      </c>
      <c r="HN13" s="463">
        <f t="shared" si="156"/>
        <v>0.10373868555686738</v>
      </c>
      <c r="HO13" s="463">
        <f t="shared" si="156"/>
        <v>9.7653413414314327E-2</v>
      </c>
      <c r="HP13" s="463">
        <f t="shared" si="156"/>
        <v>9.3781382773271638E-2</v>
      </c>
      <c r="HQ13" s="463">
        <f t="shared" si="156"/>
        <v>8.3435960591133007E-2</v>
      </c>
      <c r="HR13" s="463">
        <f t="shared" si="156"/>
        <v>7.6426264800861121E-2</v>
      </c>
      <c r="HS13" s="463">
        <f t="shared" si="156"/>
        <v>7.5418521482056633E-2</v>
      </c>
      <c r="HT13" s="463">
        <f t="shared" si="156"/>
        <v>6.7434586925013473E-2</v>
      </c>
      <c r="HU13" s="30">
        <f t="shared" si="156"/>
        <v>6.0567204706592159E-2</v>
      </c>
      <c r="HV13" s="30">
        <f t="shared" si="156"/>
        <v>6.3220376346278639E-2</v>
      </c>
      <c r="HW13" s="30">
        <f>HW7</f>
        <v>6.2448644207066417E-2</v>
      </c>
      <c r="HX13" s="30">
        <f>HX7</f>
        <v>5.5654474066129112E-2</v>
      </c>
      <c r="HY13" s="30">
        <f t="shared" ref="HY13:IA13" si="172">HY7</f>
        <v>6.0337041876474817E-2</v>
      </c>
      <c r="HZ13" s="30">
        <f t="shared" si="172"/>
        <v>5.9814708563590058E-2</v>
      </c>
      <c r="IA13" s="30">
        <f t="shared" si="172"/>
        <v>6.0727919565452426E-2</v>
      </c>
      <c r="IB13" s="30">
        <f t="shared" ref="IB13:JU13" si="173">IB7</f>
        <v>6.2928172893566003E-2</v>
      </c>
      <c r="IC13" s="30">
        <f t="shared" ref="IC13:ID13" si="174">IC7</f>
        <v>6.4839430872793091E-2</v>
      </c>
      <c r="ID13" s="30">
        <f t="shared" si="174"/>
        <v>6.4125464937905496E-2</v>
      </c>
      <c r="IE13" s="30">
        <f t="shared" si="173"/>
        <v>6.5354237346516797E-2</v>
      </c>
      <c r="IF13" s="30">
        <f t="shared" si="173"/>
        <v>6.7066142690327624E-2</v>
      </c>
      <c r="IG13" s="30">
        <f t="shared" si="173"/>
        <v>6.627436760832417E-2</v>
      </c>
      <c r="IH13" s="30">
        <f t="shared" si="173"/>
        <v>5.8761008135839621E-2</v>
      </c>
      <c r="II13" s="30">
        <f t="shared" si="173"/>
        <v>5.8432305080861946E-2</v>
      </c>
      <c r="IJ13" s="30">
        <f t="shared" si="173"/>
        <v>4.7506950866802011E-2</v>
      </c>
      <c r="IK13" s="30">
        <f t="shared" si="173"/>
        <v>3.9757076730748242E-2</v>
      </c>
      <c r="IL13" s="30">
        <f t="shared" si="173"/>
        <v>4.1794408188346122E-2</v>
      </c>
      <c r="IM13" s="30">
        <f t="shared" si="173"/>
        <v>4.2780008508283673E-2</v>
      </c>
      <c r="IN13" s="30">
        <f t="shared" si="173"/>
        <v>4.4552761051545042E-2</v>
      </c>
      <c r="IO13" s="30">
        <f t="shared" si="173"/>
        <v>5.3215590913413546E-2</v>
      </c>
      <c r="IP13" s="30">
        <f t="shared" si="173"/>
        <v>6.1389634784596803E-2</v>
      </c>
      <c r="IQ13" s="10">
        <f t="shared" si="173"/>
        <v>6.4487485362523245E-2</v>
      </c>
      <c r="IR13" s="10">
        <f t="shared" si="173"/>
        <v>6.3566061800581775E-2</v>
      </c>
      <c r="IS13" s="10">
        <f t="shared" si="173"/>
        <v>6.076990418741568E-2</v>
      </c>
      <c r="IT13" s="10">
        <f t="shared" si="173"/>
        <v>7.0000000000000007E-2</v>
      </c>
      <c r="IU13" s="10">
        <f t="shared" si="173"/>
        <v>7.0000000000000007E-2</v>
      </c>
      <c r="IV13" s="10">
        <f t="shared" si="173"/>
        <v>0.08</v>
      </c>
      <c r="IW13" s="10">
        <f t="shared" si="173"/>
        <v>7.0000000000000007E-2</v>
      </c>
      <c r="IX13" s="10">
        <f t="shared" si="173"/>
        <v>6.8000000000000005E-2</v>
      </c>
      <c r="IY13" s="10">
        <f t="shared" si="173"/>
        <v>6.5000000000000002E-2</v>
      </c>
      <c r="IZ13" s="10">
        <f t="shared" si="173"/>
        <v>6.5000000000000002E-2</v>
      </c>
      <c r="JA13" s="10">
        <f t="shared" si="173"/>
        <v>6.3E-2</v>
      </c>
      <c r="JB13" s="10">
        <f t="shared" si="173"/>
        <v>0.06</v>
      </c>
      <c r="JC13" s="10">
        <f t="shared" si="173"/>
        <v>0.05</v>
      </c>
      <c r="JD13" s="10">
        <f t="shared" si="173"/>
        <v>0.05</v>
      </c>
      <c r="JE13" s="10">
        <f t="shared" si="173"/>
        <v>0.05</v>
      </c>
      <c r="JF13" s="10">
        <f t="shared" si="173"/>
        <v>0.05</v>
      </c>
      <c r="JG13" s="10">
        <f t="shared" si="173"/>
        <v>0.05</v>
      </c>
      <c r="JH13" s="10">
        <f t="shared" si="173"/>
        <v>0.04</v>
      </c>
      <c r="JI13" s="10">
        <f t="shared" si="173"/>
        <v>0.04</v>
      </c>
      <c r="JJ13" s="10">
        <f t="shared" si="173"/>
        <v>0.05</v>
      </c>
      <c r="JK13" s="10">
        <f t="shared" si="173"/>
        <v>0.05</v>
      </c>
      <c r="JL13" s="10">
        <f t="shared" si="173"/>
        <v>0.05</v>
      </c>
      <c r="JM13" s="10">
        <f t="shared" si="173"/>
        <v>0.05</v>
      </c>
      <c r="JN13" s="10">
        <f t="shared" si="173"/>
        <v>0.05</v>
      </c>
      <c r="JO13" s="10">
        <f t="shared" si="173"/>
        <v>0.05</v>
      </c>
      <c r="JP13" s="10">
        <f t="shared" si="173"/>
        <v>0.05</v>
      </c>
      <c r="JQ13" s="10">
        <f t="shared" si="173"/>
        <v>0.05</v>
      </c>
      <c r="JR13" s="10">
        <f t="shared" si="173"/>
        <v>0.05</v>
      </c>
      <c r="JS13" s="10">
        <f t="shared" si="173"/>
        <v>0.05</v>
      </c>
      <c r="JT13" s="10">
        <f t="shared" si="173"/>
        <v>0.05</v>
      </c>
      <c r="JU13" s="10">
        <f t="shared" si="173"/>
        <v>0.05</v>
      </c>
    </row>
    <row r="14" spans="1:316" x14ac:dyDescent="0.2">
      <c r="E14" s="422" t="s">
        <v>619</v>
      </c>
      <c r="K14" s="13"/>
      <c r="L14" s="13"/>
      <c r="M14" s="16"/>
      <c r="N14" s="13"/>
      <c r="O14" s="13"/>
      <c r="P14" s="38"/>
      <c r="Q14" s="38"/>
      <c r="R14" s="38"/>
      <c r="S14" s="38"/>
      <c r="T14" s="38"/>
      <c r="U14" s="38">
        <f t="shared" ref="U14" si="175">GH14</f>
        <v>98.841640448386627</v>
      </c>
      <c r="V14" s="38">
        <f>GT14</f>
        <v>106.00173098168189</v>
      </c>
      <c r="W14" s="38">
        <f>HF14</f>
        <v>115.32</v>
      </c>
      <c r="X14" s="38">
        <f>HR14</f>
        <v>122.98</v>
      </c>
      <c r="Y14" s="38">
        <f>ID14</f>
        <v>127.30903814265487</v>
      </c>
      <c r="Z14" s="38">
        <f>IP14</f>
        <v>130.12</v>
      </c>
      <c r="AA14" s="20">
        <f>JB14</f>
        <v>132.72239999999999</v>
      </c>
      <c r="AB14" s="20">
        <f>JN14</f>
        <v>135.376848</v>
      </c>
      <c r="AC14" s="20">
        <f>JZ14</f>
        <v>138.08438495999999</v>
      </c>
      <c r="AD14" s="20">
        <f>KL14</f>
        <v>140.84607265919999</v>
      </c>
      <c r="AE14" s="20">
        <f>KX14</f>
        <v>143.66299411238398</v>
      </c>
      <c r="AF14" s="20"/>
      <c r="AG14" s="31"/>
      <c r="AH14" s="13"/>
      <c r="AI14" s="13"/>
      <c r="AJ14" s="13"/>
      <c r="AK14" s="13"/>
      <c r="AL14" s="13"/>
      <c r="AM14" s="13"/>
      <c r="AN14" s="13"/>
      <c r="AO14" s="13"/>
      <c r="AP14" s="13"/>
      <c r="AQ14" s="13"/>
      <c r="AR14" s="260"/>
      <c r="AS14" s="260"/>
      <c r="AT14" s="13"/>
      <c r="AU14" s="13"/>
      <c r="AV14" s="436"/>
      <c r="AW14" s="436"/>
      <c r="AX14" s="436"/>
      <c r="AY14" s="38">
        <f>GZ14</f>
        <v>109.84</v>
      </c>
      <c r="AZ14" s="38">
        <f>HL14</f>
        <v>119.66</v>
      </c>
      <c r="BA14" s="38">
        <f>HX14</f>
        <v>125.08771231170385</v>
      </c>
      <c r="BB14" s="38">
        <f>IJ14</f>
        <v>128.92185669092379</v>
      </c>
      <c r="BC14" s="437">
        <f>IV14</f>
        <v>131.50029382474227</v>
      </c>
      <c r="BD14" s="437">
        <f>JH14</f>
        <v>134.13029970123711</v>
      </c>
      <c r="BE14" s="437">
        <f>JT14</f>
        <v>136.81290569526186</v>
      </c>
      <c r="BF14" s="437">
        <f>KF14</f>
        <v>139.54916380916711</v>
      </c>
      <c r="BG14" s="437">
        <f>KR14</f>
        <v>142.34014708535045</v>
      </c>
      <c r="BH14" s="437">
        <f>LD14</f>
        <v>145.18695002705746</v>
      </c>
      <c r="BM14" s="438"/>
      <c r="BN14" s="438"/>
      <c r="BO14" s="438"/>
      <c r="BP14" s="438"/>
      <c r="BQ14" s="438"/>
      <c r="BR14" s="438"/>
      <c r="BS14" s="438"/>
      <c r="BT14" s="438"/>
      <c r="BU14" s="438"/>
      <c r="BV14" s="438"/>
      <c r="BW14" s="438"/>
      <c r="BX14" s="438"/>
      <c r="BY14" s="438"/>
      <c r="BZ14" s="438"/>
      <c r="CA14" s="438"/>
      <c r="CB14" s="438"/>
      <c r="CC14" s="438"/>
      <c r="CD14" s="438"/>
      <c r="CE14" s="438"/>
      <c r="CF14" s="438"/>
      <c r="CG14" s="438"/>
      <c r="CH14" s="438"/>
      <c r="CI14" s="438"/>
      <c r="CJ14" s="438"/>
      <c r="CK14" s="438"/>
      <c r="CL14" s="438"/>
      <c r="CM14" s="438"/>
      <c r="CN14" s="438"/>
      <c r="CO14" s="438"/>
      <c r="CP14" s="438"/>
      <c r="CQ14" s="438"/>
      <c r="CR14" s="438"/>
      <c r="CS14" s="438"/>
      <c r="CT14" s="438"/>
      <c r="CU14" s="438"/>
      <c r="CV14" s="438"/>
      <c r="CW14" s="438"/>
      <c r="CX14" s="438"/>
      <c r="CY14" s="438"/>
      <c r="CZ14" s="438"/>
      <c r="DA14" s="438"/>
      <c r="DB14" s="438"/>
      <c r="DC14" s="438"/>
      <c r="DD14" s="438"/>
      <c r="DE14" s="438"/>
      <c r="DF14" s="438"/>
      <c r="DG14" s="438"/>
      <c r="DH14" s="438"/>
      <c r="DI14" s="438"/>
      <c r="DJ14" s="438"/>
      <c r="DK14" s="438"/>
      <c r="DL14" s="438"/>
      <c r="DM14" s="438"/>
      <c r="DN14" s="438"/>
      <c r="DO14" s="438"/>
      <c r="DP14" s="438"/>
      <c r="DQ14" s="438"/>
      <c r="DR14" s="438"/>
      <c r="DS14" s="438"/>
      <c r="DT14" s="438"/>
      <c r="DU14" s="438"/>
      <c r="DV14" s="438"/>
      <c r="DW14" s="438"/>
      <c r="DX14" s="438"/>
      <c r="DY14" s="438"/>
      <c r="DZ14" s="438"/>
      <c r="EA14" s="438"/>
      <c r="EB14" s="438"/>
      <c r="EC14" s="438"/>
      <c r="ED14" s="438"/>
      <c r="EE14" s="438"/>
      <c r="EF14" s="438"/>
      <c r="EG14" s="438"/>
      <c r="EH14" s="260"/>
      <c r="EI14" s="260"/>
      <c r="EJ14" s="260"/>
      <c r="EK14" s="260"/>
      <c r="EL14" s="260"/>
      <c r="EM14" s="260"/>
      <c r="EN14" s="260"/>
      <c r="EO14" s="260"/>
      <c r="EP14" s="260"/>
      <c r="EQ14" s="260"/>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372">
        <f>FZ42</f>
        <v>96.854549486544869</v>
      </c>
      <c r="GA14" s="13">
        <f t="shared" ref="GA14:IL14" si="176">GA42</f>
        <v>96.972648781645475</v>
      </c>
      <c r="GB14" s="13">
        <f t="shared" si="176"/>
        <v>97.464413605140876</v>
      </c>
      <c r="GC14" s="38">
        <f t="shared" si="176"/>
        <v>97.726610608085579</v>
      </c>
      <c r="GD14" s="38">
        <f t="shared" si="176"/>
        <v>98.778937937763928</v>
      </c>
      <c r="GE14" s="38">
        <f t="shared" si="176"/>
        <v>98.487365164739813</v>
      </c>
      <c r="GF14" s="38">
        <f t="shared" si="176"/>
        <v>99.297878858212712</v>
      </c>
      <c r="GG14" s="38">
        <f t="shared" si="176"/>
        <v>98.478849403829173</v>
      </c>
      <c r="GH14" s="38">
        <f t="shared" si="176"/>
        <v>98.841640448386627</v>
      </c>
      <c r="GI14" s="38">
        <f t="shared" si="176"/>
        <v>99.349742529602565</v>
      </c>
      <c r="GJ14" s="38">
        <f t="shared" si="176"/>
        <v>99.876380802643254</v>
      </c>
      <c r="GK14" s="38">
        <f t="shared" si="176"/>
        <v>100</v>
      </c>
      <c r="GL14" s="38">
        <f t="shared" si="176"/>
        <v>100.23279245728649</v>
      </c>
      <c r="GM14" s="38">
        <f t="shared" si="176"/>
        <v>100.51782728884598</v>
      </c>
      <c r="GN14" s="38">
        <f t="shared" si="176"/>
        <v>101.09</v>
      </c>
      <c r="GO14" s="38">
        <f t="shared" si="176"/>
        <v>102.06</v>
      </c>
      <c r="GP14" s="38">
        <f t="shared" si="176"/>
        <v>103.83</v>
      </c>
      <c r="GQ14" s="38">
        <f t="shared" si="176"/>
        <v>104.74</v>
      </c>
      <c r="GR14" s="38">
        <f t="shared" si="176"/>
        <v>104.99</v>
      </c>
      <c r="GS14" s="38">
        <f t="shared" si="176"/>
        <v>105.514</v>
      </c>
      <c r="GT14" s="38">
        <f t="shared" si="176"/>
        <v>106.00173098168189</v>
      </c>
      <c r="GU14" s="38">
        <f t="shared" si="176"/>
        <v>106.73</v>
      </c>
      <c r="GV14" s="38">
        <f t="shared" si="176"/>
        <v>107.15</v>
      </c>
      <c r="GW14" s="38">
        <f t="shared" si="176"/>
        <v>108.2</v>
      </c>
      <c r="GX14" s="38">
        <f t="shared" si="176"/>
        <v>108.74</v>
      </c>
      <c r="GY14" s="38">
        <f t="shared" si="176"/>
        <v>109.38</v>
      </c>
      <c r="GZ14" s="38">
        <f t="shared" si="176"/>
        <v>109.84</v>
      </c>
      <c r="HA14" s="38">
        <f t="shared" si="176"/>
        <v>111.26</v>
      </c>
      <c r="HB14" s="38">
        <f t="shared" si="176"/>
        <v>112.84</v>
      </c>
      <c r="HC14" s="38">
        <f t="shared" si="176"/>
        <v>113.94</v>
      </c>
      <c r="HD14" s="38">
        <f t="shared" si="176"/>
        <v>114.39</v>
      </c>
      <c r="HE14" s="38">
        <f t="shared" si="176"/>
        <v>114.7</v>
      </c>
      <c r="HF14" s="38">
        <f t="shared" si="176"/>
        <v>115.32</v>
      </c>
      <c r="HG14" s="38">
        <f t="shared" si="176"/>
        <v>116.16039819850754</v>
      </c>
      <c r="HH14" s="484">
        <f t="shared" si="176"/>
        <v>116.96</v>
      </c>
      <c r="HI14" s="484">
        <f t="shared" si="176"/>
        <v>117.83</v>
      </c>
      <c r="HJ14" s="484">
        <f t="shared" si="176"/>
        <v>118.08922027223466</v>
      </c>
      <c r="HK14" s="484">
        <f t="shared" si="176"/>
        <v>118.66</v>
      </c>
      <c r="HL14" s="484">
        <f t="shared" si="176"/>
        <v>119.66</v>
      </c>
      <c r="HM14" s="484">
        <f t="shared" si="176"/>
        <v>120.04</v>
      </c>
      <c r="HN14" s="484">
        <f t="shared" si="176"/>
        <v>120.37</v>
      </c>
      <c r="HO14" s="484">
        <f t="shared" si="176"/>
        <v>120.71693069819503</v>
      </c>
      <c r="HP14" s="484">
        <f t="shared" si="176"/>
        <v>121.81</v>
      </c>
      <c r="HQ14" s="484">
        <f t="shared" si="176"/>
        <v>122.87</v>
      </c>
      <c r="HR14" s="484">
        <f t="shared" si="176"/>
        <v>122.98</v>
      </c>
      <c r="HS14" s="484">
        <f t="shared" si="176"/>
        <v>123.9</v>
      </c>
      <c r="HT14" s="484">
        <f t="shared" si="176"/>
        <v>124.23</v>
      </c>
      <c r="HU14" s="484">
        <f t="shared" si="176"/>
        <v>124.63</v>
      </c>
      <c r="HV14" s="484">
        <f t="shared" si="176"/>
        <v>124.77</v>
      </c>
      <c r="HW14" s="484">
        <f t="shared" si="176"/>
        <v>124.9</v>
      </c>
      <c r="HX14" s="484">
        <f t="shared" si="176"/>
        <v>125.08771231170385</v>
      </c>
      <c r="HY14" s="484">
        <f t="shared" si="176"/>
        <v>125.88160493788712</v>
      </c>
      <c r="HZ14" s="484">
        <f t="shared" si="176"/>
        <v>126.17470077218243</v>
      </c>
      <c r="IA14" s="484">
        <f t="shared" si="176"/>
        <v>126.34225085821038</v>
      </c>
      <c r="IB14" s="484">
        <f t="shared" si="176"/>
        <v>126.99</v>
      </c>
      <c r="IC14" s="484">
        <f t="shared" si="176"/>
        <v>127.20662695568375</v>
      </c>
      <c r="ID14" s="484">
        <f t="shared" si="176"/>
        <v>127.30903814265487</v>
      </c>
      <c r="IE14" s="484">
        <f t="shared" si="176"/>
        <v>127.89589860443965</v>
      </c>
      <c r="IF14" s="484">
        <f t="shared" si="176"/>
        <v>128.13380729326158</v>
      </c>
      <c r="IG14" s="484">
        <f t="shared" si="176"/>
        <v>128.51295743074638</v>
      </c>
      <c r="IH14" s="484">
        <f t="shared" si="176"/>
        <v>128.74247400031371</v>
      </c>
      <c r="II14" s="484">
        <f t="shared" si="176"/>
        <v>128.70459364204967</v>
      </c>
      <c r="IJ14" s="484">
        <f t="shared" si="176"/>
        <v>128.92185669092379</v>
      </c>
      <c r="IK14" s="484">
        <f t="shared" si="176"/>
        <v>129.40486393433665</v>
      </c>
      <c r="IL14" s="484">
        <f t="shared" si="176"/>
        <v>129.57751869725664</v>
      </c>
      <c r="IM14" s="484">
        <f t="shared" ref="IM14:IS14" si="177">IM42</f>
        <v>129.46945244130714</v>
      </c>
      <c r="IN14" s="484">
        <f t="shared" si="177"/>
        <v>129.61826612576391</v>
      </c>
      <c r="IO14" s="484">
        <f t="shared" si="177"/>
        <v>129.88</v>
      </c>
      <c r="IP14" s="484">
        <f t="shared" si="177"/>
        <v>130.12</v>
      </c>
      <c r="IQ14" s="38">
        <f t="shared" si="177"/>
        <v>130.55000000000001</v>
      </c>
      <c r="IR14" s="38">
        <f t="shared" si="177"/>
        <v>130.99</v>
      </c>
      <c r="IS14" s="38">
        <f t="shared" si="177"/>
        <v>131.31</v>
      </c>
      <c r="IT14" s="435">
        <f>IH14*(1+IT15)</f>
        <v>131.31732348031997</v>
      </c>
      <c r="IU14" s="435">
        <f t="shared" ref="IU14" si="178">II14*(1+IU15)</f>
        <v>131.27868551489067</v>
      </c>
      <c r="IV14" s="435">
        <f t="shared" ref="IV14" si="179">IJ14*(1+IV15)</f>
        <v>131.50029382474227</v>
      </c>
      <c r="IW14" s="435">
        <f t="shared" ref="IW14" si="180">IK14*(1+IW15)</f>
        <v>131.99296121302339</v>
      </c>
      <c r="IX14" s="435">
        <f t="shared" ref="IX14" si="181">IL14*(1+IX15)</f>
        <v>132.16906907120176</v>
      </c>
      <c r="IY14" s="435">
        <f t="shared" ref="IY14" si="182">IM14*(1+IY15)</f>
        <v>132.05884149013329</v>
      </c>
      <c r="IZ14" s="435">
        <f t="shared" ref="IZ14" si="183">IN14*(1+IZ15)</f>
        <v>132.2106314482792</v>
      </c>
      <c r="JA14" s="435">
        <f t="shared" ref="JA14" si="184">IO14*(1+JA15)</f>
        <v>132.4776</v>
      </c>
      <c r="JB14" s="435">
        <f t="shared" ref="JB14" si="185">IP14*(1+JB15)</f>
        <v>132.72239999999999</v>
      </c>
      <c r="JC14" s="435">
        <f t="shared" ref="JC14" si="186">IQ14*(1+JC15)</f>
        <v>133.161</v>
      </c>
      <c r="JD14" s="435">
        <f t="shared" ref="JD14" si="187">IR14*(1+JD15)</f>
        <v>133.60980000000001</v>
      </c>
      <c r="JE14" s="435">
        <f t="shared" ref="JE14" si="188">IS14*(1+JE15)</f>
        <v>133.93620000000001</v>
      </c>
      <c r="JF14" s="435">
        <f t="shared" ref="JF14" si="189">IT14*(1+JF15)</f>
        <v>133.94366994992637</v>
      </c>
      <c r="JG14" s="435">
        <f t="shared" ref="JG14" si="190">IU14*(1+JG15)</f>
        <v>133.9042592251885</v>
      </c>
      <c r="JH14" s="435">
        <f t="shared" ref="JH14" si="191">IV14*(1+JH15)</f>
        <v>134.13029970123711</v>
      </c>
      <c r="JI14" s="435">
        <f t="shared" ref="JI14" si="192">IW14*(1+JI15)</f>
        <v>134.63282043728387</v>
      </c>
      <c r="JJ14" s="435">
        <f t="shared" ref="JJ14" si="193">IX14*(1+JJ15)</f>
        <v>134.8124504526258</v>
      </c>
      <c r="JK14" s="435">
        <f t="shared" ref="JK14" si="194">IY14*(1+JK15)</f>
        <v>134.70001831993596</v>
      </c>
      <c r="JL14" s="435">
        <f t="shared" ref="JL14" si="195">IZ14*(1+JL15)</f>
        <v>134.85484407724479</v>
      </c>
      <c r="JM14" s="435">
        <f t="shared" ref="JM14" si="196">JA14*(1+JM15)</f>
        <v>135.127152</v>
      </c>
      <c r="JN14" s="435">
        <f t="shared" ref="JN14" si="197">JB14*(1+JN15)</f>
        <v>135.376848</v>
      </c>
      <c r="JO14" s="435">
        <f t="shared" ref="JO14" si="198">JC14*(1+JO15)</f>
        <v>135.82422</v>
      </c>
      <c r="JP14" s="435">
        <f t="shared" ref="JP14" si="199">JD14*(1+JP15)</f>
        <v>136.28199600000002</v>
      </c>
      <c r="JQ14" s="435">
        <f t="shared" ref="JQ14" si="200">JE14*(1+JQ15)</f>
        <v>136.61492400000003</v>
      </c>
      <c r="JR14" s="435">
        <f t="shared" ref="JR14" si="201">JF14*(1+JR15)</f>
        <v>136.62254334892489</v>
      </c>
      <c r="JS14" s="435">
        <f t="shared" ref="JS14" si="202">JG14*(1+JS15)</f>
        <v>136.58234440969227</v>
      </c>
      <c r="JT14" s="435">
        <f t="shared" ref="JT14" si="203">JH14*(1+JT15)</f>
        <v>136.81290569526186</v>
      </c>
      <c r="JU14" s="435">
        <f t="shared" ref="JU14" si="204">JI14*(1+JU15)</f>
        <v>137.32547684602955</v>
      </c>
      <c r="JV14" s="435">
        <f t="shared" ref="JV14" si="205">JJ14*(1+JV15)</f>
        <v>137.5086994616783</v>
      </c>
      <c r="JW14" s="435">
        <f t="shared" ref="JW14" si="206">JK14*(1+JW15)</f>
        <v>137.39401868633468</v>
      </c>
      <c r="JX14" s="435">
        <f t="shared" ref="JX14" si="207">JL14*(1+JX15)</f>
        <v>137.55194095878969</v>
      </c>
      <c r="JY14" s="435">
        <f t="shared" ref="JY14" si="208">JM14*(1+JY15)</f>
        <v>137.82969503999999</v>
      </c>
      <c r="JZ14" s="435">
        <f t="shared" ref="JZ14" si="209">JN14*(1+JZ15)</f>
        <v>138.08438495999999</v>
      </c>
      <c r="KA14" s="435">
        <f t="shared" ref="KA14" si="210">JO14*(1+KA15)</f>
        <v>138.54070440000001</v>
      </c>
      <c r="KB14" s="435">
        <f t="shared" ref="KB14" si="211">JP14*(1+KB15)</f>
        <v>139.00763592000001</v>
      </c>
      <c r="KC14" s="435">
        <f t="shared" ref="KC14" si="212">JQ14*(1+KC15)</f>
        <v>139.34722248000003</v>
      </c>
      <c r="KD14" s="435">
        <f t="shared" ref="KD14" si="213">JR14*(1+KD15)</f>
        <v>139.35499421590339</v>
      </c>
      <c r="KE14" s="435">
        <f t="shared" ref="KE14" si="214">JS14*(1+KE15)</f>
        <v>139.3139912978861</v>
      </c>
      <c r="KF14" s="435">
        <f t="shared" ref="KF14" si="215">JT14*(1+KF15)</f>
        <v>139.54916380916711</v>
      </c>
      <c r="KG14" s="435">
        <f t="shared" ref="KG14" si="216">JU14*(1+KG15)</f>
        <v>140.07198638295014</v>
      </c>
      <c r="KH14" s="435">
        <f t="shared" ref="KH14" si="217">JV14*(1+KH15)</f>
        <v>140.25887345091186</v>
      </c>
      <c r="KI14" s="435">
        <f t="shared" ref="KI14" si="218">JW14*(1+KI15)</f>
        <v>140.14189906006138</v>
      </c>
      <c r="KJ14" s="435">
        <f t="shared" ref="KJ14" si="219">JX14*(1+KJ15)</f>
        <v>140.30297977796548</v>
      </c>
      <c r="KK14" s="435">
        <f t="shared" ref="KK14" si="220">JY14*(1+KK15)</f>
        <v>140.58628894079999</v>
      </c>
      <c r="KL14" s="435">
        <f t="shared" ref="KL14" si="221">JZ14*(1+KL15)</f>
        <v>140.84607265919999</v>
      </c>
      <c r="KM14" s="435">
        <f t="shared" ref="KM14" si="222">KA14*(1+KM15)</f>
        <v>141.31151848800002</v>
      </c>
      <c r="KN14" s="435">
        <f t="shared" ref="KN14" si="223">KB14*(1+KN15)</f>
        <v>141.7877886384</v>
      </c>
      <c r="KO14" s="435">
        <f t="shared" ref="KO14" si="224">KC14*(1+KO15)</f>
        <v>142.13416692960004</v>
      </c>
      <c r="KP14" s="435">
        <f t="shared" ref="KP14" si="225">KD14*(1+KP15)</f>
        <v>142.14209410022147</v>
      </c>
      <c r="KQ14" s="435">
        <f t="shared" ref="KQ14" si="226">KE14*(1+KQ15)</f>
        <v>142.10027112384384</v>
      </c>
      <c r="KR14" s="435">
        <f t="shared" ref="KR14" si="227">KF14*(1+KR15)</f>
        <v>142.34014708535045</v>
      </c>
      <c r="KS14" s="435">
        <f t="shared" ref="KS14" si="228">KG14*(1+KS15)</f>
        <v>142.87342611060916</v>
      </c>
      <c r="KT14" s="435">
        <f t="shared" ref="KT14" si="229">KH14*(1+KT15)</f>
        <v>143.06405091993011</v>
      </c>
      <c r="KU14" s="435">
        <f t="shared" ref="KU14" si="230">KI14*(1+KU15)</f>
        <v>142.94473704126261</v>
      </c>
      <c r="KV14" s="435">
        <f t="shared" ref="KV14" si="231">KJ14*(1+KV15)</f>
        <v>143.10903937352478</v>
      </c>
      <c r="KW14" s="435">
        <f t="shared" ref="KW14" si="232">KK14*(1+KW15)</f>
        <v>143.39801471961599</v>
      </c>
      <c r="KX14" s="435">
        <f t="shared" ref="KX14" si="233">KL14*(1+KX15)</f>
        <v>143.66299411238398</v>
      </c>
      <c r="KY14" s="435">
        <f t="shared" ref="KY14" si="234">KM14*(1+KY15)</f>
        <v>144.13774885776002</v>
      </c>
      <c r="KZ14" s="435">
        <f t="shared" ref="KZ14" si="235">KN14*(1+KZ15)</f>
        <v>144.62354441116801</v>
      </c>
      <c r="LA14" s="435">
        <f t="shared" ref="LA14" si="236">KO14*(1+LA15)</f>
        <v>144.97685026819204</v>
      </c>
      <c r="LB14" s="435">
        <f t="shared" ref="LB14" si="237">KP14*(1+LB15)</f>
        <v>144.98493598222589</v>
      </c>
      <c r="LC14" s="435">
        <f t="shared" ref="LC14" si="238">KQ14*(1+LC15)</f>
        <v>144.94227654632073</v>
      </c>
      <c r="LD14" s="435">
        <f t="shared" ref="LD14" si="239">KR14*(1+LD15)</f>
        <v>145.18695002705746</v>
      </c>
    </row>
    <row r="15" spans="1:316" ht="14.25" customHeight="1" x14ac:dyDescent="0.2">
      <c r="E15" s="422" t="s">
        <v>617</v>
      </c>
      <c r="K15" s="10"/>
      <c r="L15" s="10"/>
      <c r="M15" s="10"/>
      <c r="N15" s="10"/>
      <c r="O15" s="10"/>
      <c r="P15" s="10"/>
      <c r="Q15" s="10"/>
      <c r="R15" s="10"/>
      <c r="S15" s="10"/>
      <c r="T15" s="10"/>
      <c r="U15" s="10">
        <f t="shared" ref="U15" si="240">GH15</f>
        <v>0</v>
      </c>
      <c r="V15" s="463">
        <f t="shared" ref="V15:AA15" si="241">V14/U14-1</f>
        <v>7.2440021238155516E-2</v>
      </c>
      <c r="W15" s="463">
        <f t="shared" si="241"/>
        <v>8.7906762767189006E-2</v>
      </c>
      <c r="X15" s="30">
        <f t="shared" si="241"/>
        <v>6.6423864030523916E-2</v>
      </c>
      <c r="Y15" s="30">
        <f t="shared" si="241"/>
        <v>3.5201155819278407E-2</v>
      </c>
      <c r="Z15" s="30">
        <f t="shared" si="241"/>
        <v>2.20798295105753E-2</v>
      </c>
      <c r="AA15" s="21">
        <f t="shared" si="241"/>
        <v>2.0000000000000018E-2</v>
      </c>
      <c r="AB15" s="21">
        <f t="shared" ref="AB15:AE15" si="242">AB14/AA14-1</f>
        <v>2.0000000000000018E-2</v>
      </c>
      <c r="AC15" s="21">
        <f t="shared" si="242"/>
        <v>2.0000000000000018E-2</v>
      </c>
      <c r="AD15" s="21">
        <f t="shared" si="242"/>
        <v>2.0000000000000018E-2</v>
      </c>
      <c r="AE15" s="21">
        <f t="shared" si="242"/>
        <v>2.0000000000000018E-2</v>
      </c>
      <c r="AF15" s="21"/>
      <c r="AG15" s="31"/>
      <c r="AH15" s="259"/>
      <c r="AI15" s="259"/>
      <c r="AJ15" s="259"/>
      <c r="AK15" s="259"/>
      <c r="AL15" s="259"/>
      <c r="AM15" s="259"/>
      <c r="AN15" s="12"/>
      <c r="AO15" s="10"/>
      <c r="AP15" s="10"/>
      <c r="AQ15" s="10"/>
      <c r="AR15" s="434"/>
      <c r="AS15" s="434"/>
      <c r="AT15" s="434"/>
      <c r="AU15" s="434"/>
      <c r="AV15" s="434"/>
      <c r="AW15" s="434"/>
      <c r="AX15" s="30"/>
      <c r="AY15" s="10"/>
      <c r="AZ15" s="10">
        <f t="shared" ref="AZ15:BC17" si="243">AZ14/AY14-1</f>
        <v>8.9402767662053906E-2</v>
      </c>
      <c r="BA15" s="10">
        <f t="shared" si="243"/>
        <v>4.5359454384956255E-2</v>
      </c>
      <c r="BB15" s="10">
        <f t="shared" si="243"/>
        <v>3.0651646819358946E-2</v>
      </c>
      <c r="BC15" s="21">
        <f t="shared" si="243"/>
        <v>2.0000000000000018E-2</v>
      </c>
      <c r="BD15" s="21">
        <f t="shared" ref="BD15" si="244">BD14/BC14-1</f>
        <v>2.0000000000000018E-2</v>
      </c>
      <c r="BE15" s="21">
        <f t="shared" ref="BE15" si="245">BE14/BD14-1</f>
        <v>2.0000000000000018E-2</v>
      </c>
      <c r="BF15" s="21">
        <f t="shared" ref="BF15" si="246">BF14/BE14-1</f>
        <v>2.0000000000000018E-2</v>
      </c>
      <c r="BG15" s="21">
        <f t="shared" ref="BG15" si="247">BG14/BF14-1</f>
        <v>2.0000000000000018E-2</v>
      </c>
      <c r="BH15" s="21">
        <f t="shared" ref="BH15" si="248">BH14/BG14-1</f>
        <v>2.0000000000000018E-2</v>
      </c>
      <c r="BY15" s="10"/>
      <c r="BZ15" s="10"/>
      <c r="CA15" s="10"/>
      <c r="CB15" s="10"/>
      <c r="CC15" s="10"/>
      <c r="CD15" s="10"/>
      <c r="CE15" s="10"/>
      <c r="CF15" s="10"/>
      <c r="CG15" s="10"/>
      <c r="CH15" s="10"/>
      <c r="CI15" s="10"/>
      <c r="CJ15" s="10"/>
      <c r="CK15" s="427"/>
      <c r="CL15" s="427"/>
      <c r="CM15" s="427"/>
      <c r="CN15" s="427"/>
      <c r="CO15" s="427"/>
      <c r="CP15" s="427"/>
      <c r="CQ15" s="427"/>
      <c r="CR15" s="427"/>
      <c r="CS15" s="427"/>
      <c r="CT15" s="427"/>
      <c r="CU15" s="427"/>
      <c r="CV15" s="427"/>
      <c r="CW15" s="427"/>
      <c r="CX15" s="427"/>
      <c r="CY15" s="427"/>
      <c r="CZ15" s="427"/>
      <c r="DA15" s="427"/>
      <c r="DB15" s="427"/>
      <c r="DC15" s="427"/>
      <c r="DD15" s="427"/>
      <c r="DE15" s="427"/>
      <c r="DF15" s="427"/>
      <c r="DG15" s="427"/>
      <c r="DH15" s="427"/>
      <c r="DI15" s="427"/>
      <c r="DJ15" s="427"/>
      <c r="DK15" s="427"/>
      <c r="DL15" s="427"/>
      <c r="DM15" s="427"/>
      <c r="DN15" s="427"/>
      <c r="DO15" s="427"/>
      <c r="DP15" s="427"/>
      <c r="DQ15" s="427"/>
      <c r="DR15" s="427"/>
      <c r="DS15" s="427"/>
      <c r="DT15" s="427"/>
      <c r="DU15" s="427"/>
      <c r="DV15" s="427"/>
      <c r="DW15" s="427"/>
      <c r="DX15" s="427"/>
      <c r="DY15" s="427"/>
      <c r="DZ15" s="427"/>
      <c r="EA15" s="427"/>
      <c r="EB15" s="427"/>
      <c r="EC15" s="427"/>
      <c r="ED15" s="427"/>
      <c r="EE15" s="427"/>
      <c r="EF15" s="427"/>
      <c r="EG15" s="434"/>
      <c r="EH15" s="434"/>
      <c r="EI15" s="434"/>
      <c r="EJ15" s="434"/>
      <c r="EK15" s="434"/>
      <c r="EL15" s="434"/>
      <c r="EM15" s="434"/>
      <c r="EN15" s="434"/>
      <c r="EO15" s="434"/>
      <c r="EP15" s="434"/>
      <c r="EQ15" s="434"/>
      <c r="ER15" s="10"/>
      <c r="ES15" s="10"/>
      <c r="ET15" s="10"/>
      <c r="EU15" s="10"/>
      <c r="EV15" s="10"/>
      <c r="EW15" s="10"/>
      <c r="EX15" s="10"/>
      <c r="EY15" s="10"/>
      <c r="EZ15" s="10"/>
      <c r="FA15" s="10"/>
      <c r="FB15" s="10"/>
      <c r="FC15" s="10"/>
      <c r="FD15" s="10"/>
      <c r="FE15" s="10"/>
      <c r="FF15" s="10"/>
      <c r="FG15" s="10"/>
      <c r="FH15" s="10"/>
      <c r="FI15" s="10"/>
      <c r="FJ15" s="10"/>
      <c r="FK15" s="10"/>
      <c r="FL15" s="10"/>
      <c r="FM15" s="10"/>
      <c r="FN15" s="10"/>
      <c r="FO15" s="10"/>
      <c r="FP15" s="10"/>
      <c r="FQ15" s="10"/>
      <c r="FR15" s="10"/>
      <c r="FS15" s="10"/>
      <c r="FT15" s="10"/>
      <c r="FU15" s="10"/>
      <c r="FV15" s="10"/>
      <c r="FW15" s="10"/>
      <c r="FX15" s="10"/>
      <c r="FY15" s="10"/>
      <c r="FZ15" s="10"/>
      <c r="GA15" s="10"/>
      <c r="GB15" s="463"/>
      <c r="GC15" s="463"/>
      <c r="GD15" s="463"/>
      <c r="GE15" s="463"/>
      <c r="GF15" s="463"/>
      <c r="GG15" s="463"/>
      <c r="GH15" s="463"/>
      <c r="GI15" s="463"/>
      <c r="GJ15" s="463"/>
      <c r="GK15" s="463"/>
      <c r="GL15" s="463">
        <f t="shared" ref="GL15" si="249">GL14/FZ14-1</f>
        <v>3.4879548649502823E-2</v>
      </c>
      <c r="GM15" s="463">
        <f t="shared" ref="GM15" si="250">GM14/GA14-1</f>
        <v>3.6558540493033531E-2</v>
      </c>
      <c r="GN15" s="463">
        <f t="shared" ref="GN15" si="251">GN14/GB14-1</f>
        <v>3.7199078727826906E-2</v>
      </c>
      <c r="GO15" s="463">
        <f t="shared" ref="GO15" si="252">GO14/GC14-1</f>
        <v>4.434195931845708E-2</v>
      </c>
      <c r="GP15" s="463">
        <f t="shared" ref="GP15" si="253">GP14/GD14-1</f>
        <v>5.1135010840251294E-2</v>
      </c>
      <c r="GQ15" s="463">
        <f t="shared" ref="GQ15" si="254">GQ14/GE14-1</f>
        <v>6.3486669836292142E-2</v>
      </c>
      <c r="GR15" s="463">
        <f t="shared" ref="GR15" si="255">GR14/GF14-1</f>
        <v>5.7323693186992042E-2</v>
      </c>
      <c r="GS15" s="463">
        <f t="shared" ref="GS15" si="256">GS14/GG14-1</f>
        <v>7.1438188390301027E-2</v>
      </c>
      <c r="GT15" s="463">
        <f t="shared" ref="GT15" si="257">GT14/GH14-1</f>
        <v>7.2440021238155516E-2</v>
      </c>
      <c r="GU15" s="463">
        <f t="shared" ref="GU15" si="258">GU14/GI14-1</f>
        <v>7.4285622513801552E-2</v>
      </c>
      <c r="GV15" s="463">
        <f t="shared" ref="GV15" si="259">GV14/GJ14-1</f>
        <v>7.2826219161159722E-2</v>
      </c>
      <c r="GW15" s="463">
        <f t="shared" ref="GW15" si="260">GW14/GK14-1</f>
        <v>8.2000000000000073E-2</v>
      </c>
      <c r="GX15" s="463">
        <f t="shared" ref="GX15" si="261">GX14/GL14-1</f>
        <v>8.4874494006926815E-2</v>
      </c>
      <c r="GY15" s="463">
        <f t="shared" ref="GY15" si="262">GY14/GM14-1</f>
        <v>8.8165183730920305E-2</v>
      </c>
      <c r="GZ15" s="463">
        <f t="shared" ref="GZ15" si="263">GZ14/GN14-1</f>
        <v>8.6556533781778633E-2</v>
      </c>
      <c r="HA15" s="463">
        <f t="shared" ref="HA15" si="264">HA14/GO14-1</f>
        <v>9.0143053106016113E-2</v>
      </c>
      <c r="HB15" s="463">
        <f t="shared" ref="HB15" si="265">HB14/GP14-1</f>
        <v>8.6776461523644377E-2</v>
      </c>
      <c r="HC15" s="463">
        <f t="shared" ref="HC15" si="266">HC14/GQ14-1</f>
        <v>8.7836547641779728E-2</v>
      </c>
      <c r="HD15" s="463">
        <f t="shared" ref="HD15" si="267">HD14/GR14-1</f>
        <v>8.9532336412991853E-2</v>
      </c>
      <c r="HE15" s="463">
        <f t="shared" ref="HE15" si="268">HE14/GS14-1</f>
        <v>8.7059537123035824E-2</v>
      </c>
      <c r="HF15" s="463">
        <f t="shared" ref="HF15" si="269">HF14/GT14-1</f>
        <v>8.7906762767189006E-2</v>
      </c>
      <c r="HG15" s="463">
        <f t="shared" ref="HG15" si="270">HG14/GU14-1</f>
        <v>8.8357520833013403E-2</v>
      </c>
      <c r="HH15" s="463">
        <f t="shared" ref="HH15" si="271">HH14/GV14-1</f>
        <v>9.1553896406906032E-2</v>
      </c>
      <c r="HI15" s="463">
        <f t="shared" ref="HI15" si="272">HI14/GW14-1</f>
        <v>8.9001848428835517E-2</v>
      </c>
      <c r="HJ15" s="463">
        <f t="shared" ref="HJ15" si="273">HJ14/GX14-1</f>
        <v>8.5977747583544817E-2</v>
      </c>
      <c r="HK15" s="463">
        <f t="shared" ref="HK15" si="274">HK14/GY14-1</f>
        <v>8.4841835801791943E-2</v>
      </c>
      <c r="HL15" s="463">
        <f t="shared" ref="HL15" si="275">HL14/GZ14-1</f>
        <v>8.9402767662053906E-2</v>
      </c>
      <c r="HM15" s="463">
        <f t="shared" ref="HM15" si="276">HM14/HA14-1</f>
        <v>7.8914254898436065E-2</v>
      </c>
      <c r="HN15" s="463">
        <f t="shared" ref="HN15" si="277">HN14/HB14-1</f>
        <v>6.673165544133286E-2</v>
      </c>
      <c r="HO15" s="463">
        <f t="shared" ref="HO15" si="278">HO14/HC14-1</f>
        <v>5.9478064755090765E-2</v>
      </c>
      <c r="HP15" s="463">
        <f t="shared" ref="HP15" si="279">HP14/HD14-1</f>
        <v>6.486580994842206E-2</v>
      </c>
      <c r="HQ15" s="463">
        <f t="shared" ref="HQ15" si="280">HQ14/HE14-1</f>
        <v>7.1229293809939032E-2</v>
      </c>
      <c r="HR15" s="463">
        <f t="shared" ref="HR15" si="281">HR14/HF14-1</f>
        <v>6.6423864030523916E-2</v>
      </c>
      <c r="HS15" s="463">
        <f t="shared" ref="HS15" si="282">HS14/HG14-1</f>
        <v>6.6628574983585986E-2</v>
      </c>
      <c r="HT15" s="463">
        <f t="shared" ref="HT15" si="283">HT14/HH14-1</f>
        <v>6.2158002735978268E-2</v>
      </c>
      <c r="HU15" s="463">
        <f t="shared" ref="HU15" si="284">HU14/HI14-1</f>
        <v>5.7710260544852732E-2</v>
      </c>
      <c r="HV15" s="463">
        <f t="shared" ref="HV15" si="285">HV14/HJ14-1</f>
        <v>5.6574001524982043E-2</v>
      </c>
      <c r="HW15" s="463">
        <f t="shared" ref="HW15" si="286">HW14/HK14-1</f>
        <v>5.258722400134852E-2</v>
      </c>
      <c r="HX15" s="463">
        <f t="shared" ref="HX15" si="287">HX14/HL14-1</f>
        <v>4.5359454384956255E-2</v>
      </c>
      <c r="HY15" s="463">
        <f t="shared" ref="HY15" si="288">HY14/HM14-1</f>
        <v>4.86638198757674E-2</v>
      </c>
      <c r="HZ15" s="463">
        <f t="shared" ref="HZ15" si="289">HZ14/HN14-1</f>
        <v>4.82238163344888E-2</v>
      </c>
      <c r="IA15" s="463">
        <f t="shared" ref="IA15" si="290">IA14/HO14-1</f>
        <v>4.6599264307665589E-2</v>
      </c>
      <c r="IB15" s="463">
        <f t="shared" ref="IB15" si="291">IB14/HP14-1</f>
        <v>4.2525244232821446E-2</v>
      </c>
      <c r="IC15" s="463">
        <f t="shared" ref="IC15" si="292">IC14/HQ14-1</f>
        <v>3.529443278004174E-2</v>
      </c>
      <c r="ID15" s="463">
        <f t="shared" ref="ID15" si="293">ID14/HR14-1</f>
        <v>3.5201155819278407E-2</v>
      </c>
      <c r="IE15" s="463">
        <f t="shared" ref="IE15" si="294">IE14/HS14-1</f>
        <v>3.2250997614524879E-2</v>
      </c>
      <c r="IF15" s="463">
        <f t="shared" ref="IF15" si="295">IF14/HT14-1</f>
        <v>3.1424030373191414E-2</v>
      </c>
      <c r="IG15" s="463">
        <f t="shared" ref="IG15" si="296">IG14/HU14-1</f>
        <v>3.1155880853296791E-2</v>
      </c>
      <c r="IH15" s="463">
        <f t="shared" ref="IH15" si="297">IH14/HV14-1</f>
        <v>3.1838374611795395E-2</v>
      </c>
      <c r="II15" s="463">
        <f t="shared" ref="II15" si="298">II14/HW14-1</f>
        <v>3.0461118030822076E-2</v>
      </c>
      <c r="IJ15" s="463">
        <f t="shared" ref="IJ15" si="299">IJ14/HX14-1</f>
        <v>3.0651646819358946E-2</v>
      </c>
      <c r="IK15" s="463">
        <f t="shared" ref="IK15" si="300">IK14/HY14-1</f>
        <v>2.7988672357553535E-2</v>
      </c>
      <c r="IL15" s="463">
        <f t="shared" ref="IL15" si="301">IL14/HZ14-1</f>
        <v>2.6969098434544536E-2</v>
      </c>
      <c r="IM15" s="463">
        <f t="shared" ref="IM15" si="302">IM14/IA14-1</f>
        <v>2.4751827372509805E-2</v>
      </c>
      <c r="IN15" s="463">
        <f t="shared" ref="IN15" si="303">IN14/IB14-1</f>
        <v>2.0696638520859345E-2</v>
      </c>
      <c r="IO15" s="463">
        <f t="shared" ref="IO15" si="304">IO14/IC14-1</f>
        <v>2.1015988775864747E-2</v>
      </c>
      <c r="IP15" s="463">
        <f t="shared" ref="IP15" si="305">IP14/ID14-1</f>
        <v>2.20798295105753E-2</v>
      </c>
      <c r="IQ15" s="463">
        <f t="shared" ref="IQ15" si="306">IQ14/IE14-1</f>
        <v>2.0752044627865951E-2</v>
      </c>
      <c r="IR15" s="463">
        <f t="shared" ref="IR15" si="307">IR14/IF14-1</f>
        <v>2.2290703500298159E-2</v>
      </c>
      <c r="IS15" s="463">
        <f t="shared" ref="IS15" si="308">IS14/IG14-1</f>
        <v>2.1764673579789839E-2</v>
      </c>
      <c r="IT15" s="258">
        <v>0.02</v>
      </c>
      <c r="IU15" s="258">
        <v>0.02</v>
      </c>
      <c r="IV15" s="258">
        <v>0.02</v>
      </c>
      <c r="IW15" s="258">
        <v>0.02</v>
      </c>
      <c r="IX15" s="258">
        <v>0.02</v>
      </c>
      <c r="IY15" s="258">
        <v>0.02</v>
      </c>
      <c r="IZ15" s="258">
        <v>0.02</v>
      </c>
      <c r="JA15" s="258">
        <v>0.02</v>
      </c>
      <c r="JB15" s="258">
        <v>0.02</v>
      </c>
      <c r="JC15" s="258">
        <v>0.02</v>
      </c>
      <c r="JD15" s="258">
        <v>0.02</v>
      </c>
      <c r="JE15" s="258">
        <v>0.02</v>
      </c>
      <c r="JF15" s="258">
        <v>0.02</v>
      </c>
      <c r="JG15" s="258">
        <v>0.02</v>
      </c>
      <c r="JH15" s="258">
        <v>0.02</v>
      </c>
      <c r="JI15" s="258">
        <v>0.02</v>
      </c>
      <c r="JJ15" s="258">
        <v>0.02</v>
      </c>
      <c r="JK15" s="258">
        <v>0.02</v>
      </c>
      <c r="JL15" s="258">
        <v>0.02</v>
      </c>
      <c r="JM15" s="258">
        <v>0.02</v>
      </c>
      <c r="JN15" s="258">
        <v>0.02</v>
      </c>
      <c r="JO15" s="258">
        <v>0.02</v>
      </c>
      <c r="JP15" s="258">
        <v>0.02</v>
      </c>
      <c r="JQ15" s="258">
        <v>0.02</v>
      </c>
      <c r="JR15" s="258">
        <v>0.02</v>
      </c>
      <c r="JS15" s="258">
        <v>0.02</v>
      </c>
      <c r="JT15" s="258">
        <v>0.02</v>
      </c>
      <c r="JU15" s="258">
        <v>0.02</v>
      </c>
      <c r="JV15" s="258">
        <v>0.02</v>
      </c>
      <c r="JW15" s="258">
        <v>0.02</v>
      </c>
      <c r="JX15" s="258">
        <v>0.02</v>
      </c>
      <c r="JY15" s="258">
        <v>0.02</v>
      </c>
      <c r="JZ15" s="258">
        <v>0.02</v>
      </c>
      <c r="KA15" s="258">
        <v>0.02</v>
      </c>
      <c r="KB15" s="258">
        <v>0.02</v>
      </c>
      <c r="KC15" s="258">
        <v>0.02</v>
      </c>
      <c r="KD15" s="258">
        <v>0.02</v>
      </c>
      <c r="KE15" s="258">
        <v>0.02</v>
      </c>
      <c r="KF15" s="258">
        <v>0.02</v>
      </c>
      <c r="KG15" s="258">
        <v>0.02</v>
      </c>
      <c r="KH15" s="258">
        <v>0.02</v>
      </c>
      <c r="KI15" s="258">
        <v>0.02</v>
      </c>
      <c r="KJ15" s="258">
        <v>0.02</v>
      </c>
      <c r="KK15" s="258">
        <v>0.02</v>
      </c>
      <c r="KL15" s="258">
        <v>0.02</v>
      </c>
      <c r="KM15" s="258">
        <v>0.02</v>
      </c>
      <c r="KN15" s="258">
        <v>0.02</v>
      </c>
      <c r="KO15" s="258">
        <v>0.02</v>
      </c>
      <c r="KP15" s="258">
        <v>0.02</v>
      </c>
      <c r="KQ15" s="258">
        <v>0.02</v>
      </c>
      <c r="KR15" s="258">
        <v>0.02</v>
      </c>
      <c r="KS15" s="258">
        <v>0.02</v>
      </c>
      <c r="KT15" s="258">
        <v>0.02</v>
      </c>
      <c r="KU15" s="258">
        <v>0.02</v>
      </c>
      <c r="KV15" s="258">
        <v>0.02</v>
      </c>
      <c r="KW15" s="258">
        <v>0.02</v>
      </c>
      <c r="KX15" s="258">
        <v>0.02</v>
      </c>
      <c r="KY15" s="258">
        <v>0.02</v>
      </c>
      <c r="KZ15" s="258">
        <v>0.02</v>
      </c>
      <c r="LA15" s="258">
        <v>0.02</v>
      </c>
      <c r="LB15" s="258">
        <v>0.02</v>
      </c>
      <c r="LC15" s="258">
        <v>0.02</v>
      </c>
      <c r="LD15" s="258">
        <v>0.02</v>
      </c>
    </row>
    <row r="16" spans="1:316" ht="14.25" customHeight="1" x14ac:dyDescent="0.2">
      <c r="E16" s="422" t="s">
        <v>620</v>
      </c>
      <c r="K16" s="10"/>
      <c r="L16" s="10"/>
      <c r="M16" s="10"/>
      <c r="N16" s="10"/>
      <c r="O16" s="10"/>
      <c r="P16" s="10"/>
      <c r="Q16" s="10"/>
      <c r="R16" s="10"/>
      <c r="S16" s="10"/>
      <c r="T16" s="10"/>
      <c r="U16" s="10"/>
      <c r="V16" s="38">
        <f>AVERAGE(GI14:GT14)</f>
        <v>102.35020617167169</v>
      </c>
      <c r="W16" s="38">
        <f>AVERAGE(GU14:HF14)</f>
        <v>111.04083333333335</v>
      </c>
      <c r="X16" s="38">
        <f>AVERAGE(HG14:HR14)</f>
        <v>119.67887909741141</v>
      </c>
      <c r="Y16" s="38">
        <f>AVERAGE(HS14:ID14)</f>
        <v>125.61849449819353</v>
      </c>
      <c r="Z16" s="38">
        <f>AVERAGE(IE14:IP14)</f>
        <v>129.08180740503326</v>
      </c>
      <c r="AA16" s="20">
        <f>AVERAGE(IQ16:JB16)</f>
        <v>131.71481717021587</v>
      </c>
      <c r="AB16" s="20">
        <f>AVERAGE(JC16:JN16)</f>
        <v>134.34911351362018</v>
      </c>
      <c r="AC16" s="20">
        <f>AVERAGE(JO16:JZ16)</f>
        <v>137.03609578389259</v>
      </c>
      <c r="AD16" s="20">
        <f>AVERAGE(KA16:KL16)</f>
        <v>139.77681769957044</v>
      </c>
      <c r="AE16" s="20">
        <f>AVERAGE(KM16:KX16)</f>
        <v>142.5723540535619</v>
      </c>
      <c r="AF16" s="21"/>
      <c r="AG16" s="31"/>
      <c r="AH16" s="259"/>
      <c r="AI16" s="259"/>
      <c r="AJ16" s="259"/>
      <c r="AK16" s="259"/>
      <c r="AL16" s="259"/>
      <c r="AM16" s="259"/>
      <c r="AN16" s="12"/>
      <c r="AO16" s="10"/>
      <c r="AP16" s="10"/>
      <c r="AQ16" s="10"/>
      <c r="AR16" s="434"/>
      <c r="AS16" s="434"/>
      <c r="AT16" s="434"/>
      <c r="AU16" s="434"/>
      <c r="AV16" s="436"/>
      <c r="AW16" s="436">
        <f>AVERAGE(FQ14:GB14)</f>
        <v>97.097203957777069</v>
      </c>
      <c r="AX16" s="436">
        <f>AW14*(1+AX17)</f>
        <v>0</v>
      </c>
      <c r="AY16" s="436">
        <f>AVERAGE(GO14:GZ14)</f>
        <v>106.43131091514016</v>
      </c>
      <c r="AZ16" s="436">
        <f>AVERAGE(HA14:HL14)</f>
        <v>115.8174682058952</v>
      </c>
      <c r="BA16" s="436">
        <f>AVERAGE(HM14:HX14)</f>
        <v>123.02538691749157</v>
      </c>
      <c r="BB16" s="436">
        <f>AVERAGE(HY14:IJ14)</f>
        <v>127.56798411069612</v>
      </c>
      <c r="BC16" s="437">
        <f>AVERAGE(IK16:IV16)</f>
        <v>130.4180336682181</v>
      </c>
      <c r="BD16" s="437">
        <f>AVERAGE(IW16:JH16)</f>
        <v>133.02639434158246</v>
      </c>
      <c r="BE16" s="437">
        <f>AVERAGE(JI16:JT16)</f>
        <v>135.68692222841412</v>
      </c>
      <c r="BF16" s="437">
        <f>AVERAGE(JU16:KF16)</f>
        <v>138.40066067298241</v>
      </c>
      <c r="BG16" s="437">
        <f>AVERAGE(KG16:KR16)</f>
        <v>141.16867388644206</v>
      </c>
      <c r="BH16" s="437">
        <f>AVERAGE(KS16:LD16)</f>
        <v>143.9920473641709</v>
      </c>
      <c r="BY16" s="10"/>
      <c r="BZ16" s="10"/>
      <c r="CA16" s="10"/>
      <c r="CB16" s="10"/>
      <c r="CC16" s="10"/>
      <c r="CD16" s="10"/>
      <c r="CE16" s="10"/>
      <c r="CF16" s="10"/>
      <c r="CG16" s="10"/>
      <c r="CH16" s="10"/>
      <c r="CI16" s="10"/>
      <c r="CJ16" s="10"/>
      <c r="CK16" s="427"/>
      <c r="CL16" s="427"/>
      <c r="CM16" s="427"/>
      <c r="CN16" s="427"/>
      <c r="CO16" s="427"/>
      <c r="CP16" s="427"/>
      <c r="CQ16" s="427"/>
      <c r="CR16" s="427"/>
      <c r="CS16" s="427"/>
      <c r="CT16" s="427"/>
      <c r="CU16" s="427"/>
      <c r="CV16" s="427"/>
      <c r="CW16" s="427"/>
      <c r="CX16" s="427"/>
      <c r="CY16" s="427"/>
      <c r="CZ16" s="427"/>
      <c r="DA16" s="427"/>
      <c r="DB16" s="427"/>
      <c r="DC16" s="427"/>
      <c r="DD16" s="427"/>
      <c r="DE16" s="427"/>
      <c r="DF16" s="427"/>
      <c r="DG16" s="427"/>
      <c r="DH16" s="427"/>
      <c r="DI16" s="427"/>
      <c r="DJ16" s="427"/>
      <c r="DK16" s="427"/>
      <c r="DL16" s="427"/>
      <c r="DM16" s="427"/>
      <c r="DN16" s="427"/>
      <c r="DO16" s="427"/>
      <c r="DP16" s="427"/>
      <c r="DQ16" s="427"/>
      <c r="DR16" s="427"/>
      <c r="DS16" s="427"/>
      <c r="DT16" s="427"/>
      <c r="DU16" s="427"/>
      <c r="DV16" s="427"/>
      <c r="DW16" s="427"/>
      <c r="DX16" s="427"/>
      <c r="DY16" s="427"/>
      <c r="DZ16" s="427"/>
      <c r="EA16" s="427"/>
      <c r="EB16" s="427"/>
      <c r="EC16" s="427"/>
      <c r="ED16" s="427"/>
      <c r="EE16" s="427"/>
      <c r="EF16" s="427"/>
      <c r="EG16" s="434"/>
      <c r="EH16" s="434"/>
      <c r="EI16" s="434"/>
      <c r="EJ16" s="434"/>
      <c r="EK16" s="434"/>
      <c r="EL16" s="434"/>
      <c r="EM16" s="434"/>
      <c r="EN16" s="434"/>
      <c r="EO16" s="434"/>
      <c r="EP16" s="434"/>
      <c r="EQ16" s="434"/>
      <c r="ER16" s="10"/>
      <c r="ES16" s="10"/>
      <c r="ET16" s="10"/>
      <c r="EU16" s="10"/>
      <c r="EV16" s="10"/>
      <c r="EW16" s="10"/>
      <c r="EX16" s="10"/>
      <c r="EY16" s="10"/>
      <c r="EZ16" s="10"/>
      <c r="FA16" s="10"/>
      <c r="FB16" s="10"/>
      <c r="FC16" s="10"/>
      <c r="FD16" s="38"/>
      <c r="FE16" s="38"/>
      <c r="FF16" s="38"/>
      <c r="FG16" s="38"/>
      <c r="FH16" s="38"/>
      <c r="FI16" s="38"/>
      <c r="FJ16" s="38"/>
      <c r="FK16" s="38"/>
      <c r="FL16" s="38"/>
      <c r="FM16" s="38"/>
      <c r="FN16" s="38"/>
      <c r="FO16" s="38"/>
      <c r="FP16" s="38"/>
      <c r="FQ16" s="38"/>
      <c r="FR16" s="38"/>
      <c r="FS16" s="38"/>
      <c r="FT16" s="38"/>
      <c r="FU16" s="38"/>
      <c r="FV16" s="38"/>
      <c r="FW16" s="38"/>
      <c r="FX16" s="38"/>
      <c r="FY16" s="38"/>
      <c r="FZ16" s="38">
        <f t="shared" ref="FZ16:GF16" si="309">FZ14</f>
        <v>96.854549486544869</v>
      </c>
      <c r="GA16" s="38">
        <f t="shared" si="309"/>
        <v>96.972648781645475</v>
      </c>
      <c r="GB16" s="38">
        <f t="shared" si="309"/>
        <v>97.464413605140876</v>
      </c>
      <c r="GC16" s="38">
        <f t="shared" si="309"/>
        <v>97.726610608085579</v>
      </c>
      <c r="GD16" s="38">
        <f t="shared" si="309"/>
        <v>98.778937937763928</v>
      </c>
      <c r="GE16" s="38">
        <f t="shared" si="309"/>
        <v>98.487365164739813</v>
      </c>
      <c r="GF16" s="38">
        <f t="shared" si="309"/>
        <v>99.297878858212712</v>
      </c>
      <c r="GG16" s="38">
        <f t="shared" ref="GG16:GU16" si="310">GG14</f>
        <v>98.478849403829173</v>
      </c>
      <c r="GH16" s="38">
        <f t="shared" si="310"/>
        <v>98.841640448386627</v>
      </c>
      <c r="GI16" s="38">
        <f t="shared" si="310"/>
        <v>99.349742529602565</v>
      </c>
      <c r="GJ16" s="38">
        <f t="shared" si="310"/>
        <v>99.876380802643254</v>
      </c>
      <c r="GK16" s="38">
        <f t="shared" si="310"/>
        <v>100</v>
      </c>
      <c r="GL16" s="38">
        <f t="shared" si="310"/>
        <v>100.23279245728649</v>
      </c>
      <c r="GM16" s="38">
        <f t="shared" si="310"/>
        <v>100.51782728884598</v>
      </c>
      <c r="GN16" s="38">
        <f t="shared" si="310"/>
        <v>101.09</v>
      </c>
      <c r="GO16" s="38">
        <f t="shared" si="310"/>
        <v>102.06</v>
      </c>
      <c r="GP16" s="38">
        <f t="shared" si="310"/>
        <v>103.83</v>
      </c>
      <c r="GQ16" s="38">
        <f t="shared" si="310"/>
        <v>104.74</v>
      </c>
      <c r="GR16" s="38">
        <f t="shared" si="310"/>
        <v>104.99</v>
      </c>
      <c r="GS16" s="38">
        <f t="shared" si="310"/>
        <v>105.514</v>
      </c>
      <c r="GT16" s="38">
        <f t="shared" si="310"/>
        <v>106.00173098168189</v>
      </c>
      <c r="GU16" s="38">
        <f t="shared" si="310"/>
        <v>106.73</v>
      </c>
      <c r="GV16" s="38">
        <f>GV14</f>
        <v>107.15</v>
      </c>
      <c r="GW16" s="38">
        <f t="shared" ref="GW16:HV16" si="311">GW14</f>
        <v>108.2</v>
      </c>
      <c r="GX16" s="38">
        <f t="shared" si="311"/>
        <v>108.74</v>
      </c>
      <c r="GY16" s="38">
        <f t="shared" si="311"/>
        <v>109.38</v>
      </c>
      <c r="GZ16" s="38">
        <f t="shared" si="311"/>
        <v>109.84</v>
      </c>
      <c r="HA16" s="38">
        <f t="shared" si="311"/>
        <v>111.26</v>
      </c>
      <c r="HB16" s="38">
        <f t="shared" si="311"/>
        <v>112.84</v>
      </c>
      <c r="HC16" s="38">
        <f t="shared" si="311"/>
        <v>113.94</v>
      </c>
      <c r="HD16" s="38">
        <f t="shared" si="311"/>
        <v>114.39</v>
      </c>
      <c r="HE16" s="38">
        <f t="shared" si="311"/>
        <v>114.7</v>
      </c>
      <c r="HF16" s="38">
        <f t="shared" si="311"/>
        <v>115.32</v>
      </c>
      <c r="HG16" s="38">
        <f t="shared" si="311"/>
        <v>116.16039819850754</v>
      </c>
      <c r="HH16" s="38">
        <f t="shared" si="311"/>
        <v>116.96</v>
      </c>
      <c r="HI16" s="38">
        <f t="shared" si="311"/>
        <v>117.83</v>
      </c>
      <c r="HJ16" s="38">
        <f t="shared" si="311"/>
        <v>118.08922027223466</v>
      </c>
      <c r="HK16" s="38">
        <f t="shared" si="311"/>
        <v>118.66</v>
      </c>
      <c r="HL16" s="38">
        <f t="shared" si="311"/>
        <v>119.66</v>
      </c>
      <c r="HM16" s="38">
        <f t="shared" si="311"/>
        <v>120.04</v>
      </c>
      <c r="HN16" s="38">
        <f t="shared" si="311"/>
        <v>120.37</v>
      </c>
      <c r="HO16" s="38">
        <f t="shared" si="311"/>
        <v>120.71693069819503</v>
      </c>
      <c r="HP16" s="38">
        <f t="shared" si="311"/>
        <v>121.81</v>
      </c>
      <c r="HQ16" s="38">
        <f t="shared" si="311"/>
        <v>122.87</v>
      </c>
      <c r="HR16" s="38">
        <f t="shared" si="311"/>
        <v>122.98</v>
      </c>
      <c r="HS16" s="38">
        <f t="shared" si="311"/>
        <v>123.9</v>
      </c>
      <c r="HT16" s="38">
        <f t="shared" si="311"/>
        <v>124.23</v>
      </c>
      <c r="HU16" s="38">
        <f t="shared" si="311"/>
        <v>124.63</v>
      </c>
      <c r="HV16" s="38">
        <f t="shared" si="311"/>
        <v>124.77</v>
      </c>
      <c r="HW16" s="38">
        <f t="shared" ref="HW16:IP16" si="312">HW14</f>
        <v>124.9</v>
      </c>
      <c r="HX16" s="38">
        <f t="shared" si="312"/>
        <v>125.08771231170385</v>
      </c>
      <c r="HY16" s="38">
        <f t="shared" si="312"/>
        <v>125.88160493788712</v>
      </c>
      <c r="HZ16" s="38">
        <f t="shared" si="312"/>
        <v>126.17470077218243</v>
      </c>
      <c r="IA16" s="38">
        <f t="shared" si="312"/>
        <v>126.34225085821038</v>
      </c>
      <c r="IB16" s="38">
        <f t="shared" si="312"/>
        <v>126.99</v>
      </c>
      <c r="IC16" s="38">
        <f t="shared" si="312"/>
        <v>127.20662695568375</v>
      </c>
      <c r="ID16" s="38">
        <f t="shared" si="312"/>
        <v>127.30903814265487</v>
      </c>
      <c r="IE16" s="38">
        <f t="shared" si="312"/>
        <v>127.89589860443965</v>
      </c>
      <c r="IF16" s="38">
        <f t="shared" si="312"/>
        <v>128.13380729326158</v>
      </c>
      <c r="IG16" s="38">
        <f t="shared" si="312"/>
        <v>128.51295743074638</v>
      </c>
      <c r="IH16" s="38">
        <f t="shared" si="312"/>
        <v>128.74247400031371</v>
      </c>
      <c r="II16" s="38">
        <f t="shared" si="312"/>
        <v>128.70459364204967</v>
      </c>
      <c r="IJ16" s="38">
        <f t="shared" si="312"/>
        <v>128.92185669092379</v>
      </c>
      <c r="IK16" s="38">
        <f t="shared" si="312"/>
        <v>129.40486393433665</v>
      </c>
      <c r="IL16" s="38">
        <f t="shared" si="312"/>
        <v>129.57751869725664</v>
      </c>
      <c r="IM16" s="38">
        <f t="shared" si="312"/>
        <v>129.46945244130714</v>
      </c>
      <c r="IN16" s="38">
        <f t="shared" si="312"/>
        <v>129.61826612576391</v>
      </c>
      <c r="IO16" s="38">
        <f t="shared" si="312"/>
        <v>129.88</v>
      </c>
      <c r="IP16" s="38">
        <f t="shared" si="312"/>
        <v>130.12</v>
      </c>
      <c r="IQ16" s="38">
        <f>IQ14</f>
        <v>130.55000000000001</v>
      </c>
      <c r="IR16" s="38">
        <f t="shared" ref="IR16:IS16" si="313">IR14</f>
        <v>130.99</v>
      </c>
      <c r="IS16" s="38">
        <f t="shared" si="313"/>
        <v>131.31</v>
      </c>
      <c r="IT16" s="435">
        <f>IH16*(1+IT17)</f>
        <v>131.31732348031997</v>
      </c>
      <c r="IU16" s="435">
        <f t="shared" ref="IU16:LD16" si="314">II16*(1+IU17)</f>
        <v>131.27868551489067</v>
      </c>
      <c r="IV16" s="435">
        <f t="shared" si="314"/>
        <v>131.50029382474227</v>
      </c>
      <c r="IW16" s="435">
        <f t="shared" si="314"/>
        <v>131.99296121302339</v>
      </c>
      <c r="IX16" s="435">
        <f t="shared" si="314"/>
        <v>132.16906907120176</v>
      </c>
      <c r="IY16" s="435">
        <f t="shared" si="314"/>
        <v>132.05884149013329</v>
      </c>
      <c r="IZ16" s="435">
        <f t="shared" si="314"/>
        <v>132.2106314482792</v>
      </c>
      <c r="JA16" s="435">
        <f t="shared" si="314"/>
        <v>132.4776</v>
      </c>
      <c r="JB16" s="435">
        <f t="shared" si="314"/>
        <v>132.72239999999999</v>
      </c>
      <c r="JC16" s="435">
        <f t="shared" si="314"/>
        <v>133.161</v>
      </c>
      <c r="JD16" s="435">
        <f t="shared" si="314"/>
        <v>133.60980000000001</v>
      </c>
      <c r="JE16" s="435">
        <f t="shared" si="314"/>
        <v>133.93620000000001</v>
      </c>
      <c r="JF16" s="435">
        <f t="shared" si="314"/>
        <v>133.94366994992637</v>
      </c>
      <c r="JG16" s="435">
        <f t="shared" si="314"/>
        <v>133.9042592251885</v>
      </c>
      <c r="JH16" s="435">
        <f t="shared" si="314"/>
        <v>134.13029970123711</v>
      </c>
      <c r="JI16" s="435">
        <f t="shared" si="314"/>
        <v>134.63282043728387</v>
      </c>
      <c r="JJ16" s="435">
        <f t="shared" si="314"/>
        <v>134.8124504526258</v>
      </c>
      <c r="JK16" s="435">
        <f t="shared" si="314"/>
        <v>134.70001831993596</v>
      </c>
      <c r="JL16" s="435">
        <f t="shared" si="314"/>
        <v>134.85484407724479</v>
      </c>
      <c r="JM16" s="435">
        <f t="shared" si="314"/>
        <v>135.127152</v>
      </c>
      <c r="JN16" s="435">
        <f t="shared" si="314"/>
        <v>135.376848</v>
      </c>
      <c r="JO16" s="435">
        <f t="shared" si="314"/>
        <v>135.82422</v>
      </c>
      <c r="JP16" s="435">
        <f t="shared" si="314"/>
        <v>136.28199600000002</v>
      </c>
      <c r="JQ16" s="435">
        <f t="shared" si="314"/>
        <v>136.61492400000003</v>
      </c>
      <c r="JR16" s="435">
        <f t="shared" si="314"/>
        <v>136.62254334892489</v>
      </c>
      <c r="JS16" s="435">
        <f t="shared" si="314"/>
        <v>136.58234440969227</v>
      </c>
      <c r="JT16" s="435">
        <f t="shared" si="314"/>
        <v>136.81290569526186</v>
      </c>
      <c r="JU16" s="435">
        <f t="shared" si="314"/>
        <v>137.32547684602955</v>
      </c>
      <c r="JV16" s="435">
        <f t="shared" si="314"/>
        <v>137.5086994616783</v>
      </c>
      <c r="JW16" s="435">
        <f t="shared" si="314"/>
        <v>137.39401868633468</v>
      </c>
      <c r="JX16" s="435">
        <f t="shared" si="314"/>
        <v>137.55194095878969</v>
      </c>
      <c r="JY16" s="435">
        <f t="shared" si="314"/>
        <v>137.82969503999999</v>
      </c>
      <c r="JZ16" s="435">
        <f t="shared" si="314"/>
        <v>138.08438495999999</v>
      </c>
      <c r="KA16" s="435">
        <f t="shared" si="314"/>
        <v>138.54070440000001</v>
      </c>
      <c r="KB16" s="435">
        <f t="shared" si="314"/>
        <v>139.00763592000001</v>
      </c>
      <c r="KC16" s="435">
        <f t="shared" si="314"/>
        <v>139.34722248000003</v>
      </c>
      <c r="KD16" s="435">
        <f t="shared" si="314"/>
        <v>139.35499421590339</v>
      </c>
      <c r="KE16" s="435">
        <f t="shared" si="314"/>
        <v>139.3139912978861</v>
      </c>
      <c r="KF16" s="435">
        <f t="shared" si="314"/>
        <v>139.54916380916711</v>
      </c>
      <c r="KG16" s="435">
        <f t="shared" si="314"/>
        <v>140.07198638295014</v>
      </c>
      <c r="KH16" s="435">
        <f t="shared" si="314"/>
        <v>140.25887345091186</v>
      </c>
      <c r="KI16" s="435">
        <f t="shared" si="314"/>
        <v>140.14189906006138</v>
      </c>
      <c r="KJ16" s="435">
        <f t="shared" si="314"/>
        <v>140.30297977796548</v>
      </c>
      <c r="KK16" s="435">
        <f t="shared" si="314"/>
        <v>140.58628894079999</v>
      </c>
      <c r="KL16" s="435">
        <f t="shared" si="314"/>
        <v>140.84607265919999</v>
      </c>
      <c r="KM16" s="435">
        <f t="shared" si="314"/>
        <v>141.31151848800002</v>
      </c>
      <c r="KN16" s="435">
        <f t="shared" si="314"/>
        <v>141.7877886384</v>
      </c>
      <c r="KO16" s="435">
        <f t="shared" si="314"/>
        <v>142.13416692960004</v>
      </c>
      <c r="KP16" s="435">
        <f t="shared" si="314"/>
        <v>142.14209410022147</v>
      </c>
      <c r="KQ16" s="435">
        <f t="shared" si="314"/>
        <v>142.10027112384384</v>
      </c>
      <c r="KR16" s="435">
        <f t="shared" si="314"/>
        <v>142.34014708535045</v>
      </c>
      <c r="KS16" s="435">
        <f t="shared" si="314"/>
        <v>142.87342611060916</v>
      </c>
      <c r="KT16" s="435">
        <f t="shared" si="314"/>
        <v>143.06405091993011</v>
      </c>
      <c r="KU16" s="435">
        <f t="shared" si="314"/>
        <v>142.94473704126261</v>
      </c>
      <c r="KV16" s="435">
        <f t="shared" si="314"/>
        <v>143.10903937352478</v>
      </c>
      <c r="KW16" s="435">
        <f t="shared" si="314"/>
        <v>143.39801471961599</v>
      </c>
      <c r="KX16" s="435">
        <f t="shared" si="314"/>
        <v>143.66299411238398</v>
      </c>
      <c r="KY16" s="435">
        <f t="shared" si="314"/>
        <v>144.13774885776002</v>
      </c>
      <c r="KZ16" s="435">
        <f t="shared" si="314"/>
        <v>144.62354441116801</v>
      </c>
      <c r="LA16" s="435">
        <f t="shared" si="314"/>
        <v>144.97685026819204</v>
      </c>
      <c r="LB16" s="435">
        <f t="shared" si="314"/>
        <v>144.98493598222589</v>
      </c>
      <c r="LC16" s="435">
        <f t="shared" si="314"/>
        <v>144.94227654632073</v>
      </c>
      <c r="LD16" s="435">
        <f t="shared" si="314"/>
        <v>145.18695002705746</v>
      </c>
    </row>
    <row r="17" spans="5:316" ht="14.25" customHeight="1" x14ac:dyDescent="0.2">
      <c r="E17" s="422" t="s">
        <v>618</v>
      </c>
      <c r="K17" s="10"/>
      <c r="L17" s="10"/>
      <c r="M17" s="10"/>
      <c r="N17" s="10"/>
      <c r="O17" s="10"/>
      <c r="P17" s="10"/>
      <c r="Q17" s="10"/>
      <c r="R17" s="10"/>
      <c r="S17" s="10"/>
      <c r="T17" s="10"/>
      <c r="U17" s="10"/>
      <c r="V17" s="38"/>
      <c r="W17" s="38"/>
      <c r="X17" s="38"/>
      <c r="Y17" s="38"/>
      <c r="Z17" s="38"/>
      <c r="AA17" s="21">
        <f>AA16/Z16-1</f>
        <v>2.0397992700247336E-2</v>
      </c>
      <c r="AB17" s="21">
        <f t="shared" ref="AB17:AE17" si="315">AB16/AA16-1</f>
        <v>2.0000000000000018E-2</v>
      </c>
      <c r="AC17" s="21">
        <f t="shared" si="315"/>
        <v>2.0000000000000018E-2</v>
      </c>
      <c r="AD17" s="21">
        <f t="shared" si="315"/>
        <v>2.0000000000000018E-2</v>
      </c>
      <c r="AE17" s="21">
        <f t="shared" si="315"/>
        <v>2.000000000000024E-2</v>
      </c>
      <c r="AF17" s="21"/>
      <c r="AG17" s="31"/>
      <c r="AH17" s="259"/>
      <c r="AI17" s="259"/>
      <c r="AJ17" s="259"/>
      <c r="AK17" s="259"/>
      <c r="AL17" s="259"/>
      <c r="AM17" s="259"/>
      <c r="AN17" s="12"/>
      <c r="AO17" s="10"/>
      <c r="AP17" s="10"/>
      <c r="AQ17" s="10"/>
      <c r="AR17" s="434"/>
      <c r="AS17" s="434"/>
      <c r="AT17" s="434"/>
      <c r="AU17" s="434"/>
      <c r="AV17" s="434"/>
      <c r="AW17" s="434"/>
      <c r="AX17" s="30"/>
      <c r="AY17" s="10"/>
      <c r="AZ17" s="434">
        <f t="shared" ref="AZ17" si="316">AZ16/AY16-1</f>
        <v>8.8189811908253368E-2</v>
      </c>
      <c r="BA17" s="30">
        <f t="shared" ref="BA17" si="317">BA16/AZ16-1</f>
        <v>6.22351604058764E-2</v>
      </c>
      <c r="BB17" s="10">
        <f t="shared" si="243"/>
        <v>3.6924063455708422E-2</v>
      </c>
      <c r="BC17" s="21">
        <f t="shared" si="243"/>
        <v>2.2341417224629678E-2</v>
      </c>
      <c r="BD17" s="21">
        <f t="shared" ref="BD17" si="318">BD16/BC16-1</f>
        <v>2.0000000000000018E-2</v>
      </c>
      <c r="BE17" s="21">
        <f t="shared" ref="BE17" si="319">BE16/BD16-1</f>
        <v>2.0000000000000018E-2</v>
      </c>
      <c r="BF17" s="21">
        <f t="shared" ref="BF17" si="320">BF16/BE16-1</f>
        <v>2.0000000000000018E-2</v>
      </c>
      <c r="BG17" s="21">
        <f t="shared" ref="BG17" si="321">BG16/BF16-1</f>
        <v>2.0000000000000018E-2</v>
      </c>
      <c r="BH17" s="21">
        <f t="shared" ref="BH17" si="322">BH16/BG16-1</f>
        <v>2.0000000000000018E-2</v>
      </c>
      <c r="BY17" s="10"/>
      <c r="BZ17" s="10"/>
      <c r="CA17" s="10"/>
      <c r="CB17" s="10"/>
      <c r="CC17" s="10"/>
      <c r="CD17" s="10"/>
      <c r="CE17" s="10"/>
      <c r="CF17" s="10"/>
      <c r="CG17" s="10"/>
      <c r="CH17" s="10"/>
      <c r="CI17" s="10"/>
      <c r="CJ17" s="10"/>
      <c r="CK17" s="427"/>
      <c r="CL17" s="427"/>
      <c r="CM17" s="427"/>
      <c r="CN17" s="427"/>
      <c r="CO17" s="427"/>
      <c r="CP17" s="427"/>
      <c r="CQ17" s="427"/>
      <c r="CR17" s="427"/>
      <c r="CS17" s="427"/>
      <c r="CT17" s="427"/>
      <c r="CU17" s="427"/>
      <c r="CV17" s="427"/>
      <c r="CW17" s="427"/>
      <c r="CX17" s="427"/>
      <c r="CY17" s="427"/>
      <c r="CZ17" s="427"/>
      <c r="DA17" s="427"/>
      <c r="DB17" s="427"/>
      <c r="DC17" s="427"/>
      <c r="DD17" s="427"/>
      <c r="DE17" s="427"/>
      <c r="DF17" s="427"/>
      <c r="DG17" s="427"/>
      <c r="DH17" s="427"/>
      <c r="DI17" s="427"/>
      <c r="DJ17" s="427"/>
      <c r="DK17" s="427"/>
      <c r="DL17" s="427"/>
      <c r="DM17" s="427"/>
      <c r="DN17" s="427"/>
      <c r="DO17" s="427"/>
      <c r="DP17" s="427"/>
      <c r="DQ17" s="427"/>
      <c r="DR17" s="427"/>
      <c r="DS17" s="427"/>
      <c r="DT17" s="427"/>
      <c r="DU17" s="427"/>
      <c r="DV17" s="427"/>
      <c r="DW17" s="427"/>
      <c r="DX17" s="427"/>
      <c r="DY17" s="427"/>
      <c r="DZ17" s="427"/>
      <c r="EA17" s="427"/>
      <c r="EB17" s="427"/>
      <c r="EC17" s="427"/>
      <c r="ED17" s="427"/>
      <c r="EE17" s="427"/>
      <c r="EF17" s="427"/>
      <c r="EG17" s="434"/>
      <c r="EH17" s="434"/>
      <c r="EI17" s="434"/>
      <c r="EJ17" s="434"/>
      <c r="EK17" s="434"/>
      <c r="EL17" s="434"/>
      <c r="EM17" s="434"/>
      <c r="EN17" s="434"/>
      <c r="EO17" s="434"/>
      <c r="EP17" s="434"/>
      <c r="EQ17" s="434"/>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463">
        <f t="shared" ref="FZ17:IK17" si="323">FZ15</f>
        <v>0</v>
      </c>
      <c r="GA17" s="463">
        <f t="shared" si="323"/>
        <v>0</v>
      </c>
      <c r="GB17" s="463">
        <f t="shared" si="323"/>
        <v>0</v>
      </c>
      <c r="GC17" s="463">
        <f t="shared" si="323"/>
        <v>0</v>
      </c>
      <c r="GD17" s="463">
        <f t="shared" si="323"/>
        <v>0</v>
      </c>
      <c r="GE17" s="463">
        <f t="shared" si="323"/>
        <v>0</v>
      </c>
      <c r="GF17" s="463">
        <f t="shared" si="323"/>
        <v>0</v>
      </c>
      <c r="GG17" s="463">
        <f t="shared" si="323"/>
        <v>0</v>
      </c>
      <c r="GH17" s="463">
        <f t="shared" si="323"/>
        <v>0</v>
      </c>
      <c r="GI17" s="463">
        <f t="shared" si="323"/>
        <v>0</v>
      </c>
      <c r="GJ17" s="463">
        <f t="shared" si="323"/>
        <v>0</v>
      </c>
      <c r="GK17" s="463">
        <f t="shared" si="323"/>
        <v>0</v>
      </c>
      <c r="GL17" s="463">
        <f t="shared" si="323"/>
        <v>3.4879548649502823E-2</v>
      </c>
      <c r="GM17" s="463">
        <f t="shared" si="323"/>
        <v>3.6558540493033531E-2</v>
      </c>
      <c r="GN17" s="463">
        <f t="shared" si="323"/>
        <v>3.7199078727826906E-2</v>
      </c>
      <c r="GO17" s="463">
        <f t="shared" si="323"/>
        <v>4.434195931845708E-2</v>
      </c>
      <c r="GP17" s="463">
        <f t="shared" si="323"/>
        <v>5.1135010840251294E-2</v>
      </c>
      <c r="GQ17" s="463">
        <f t="shared" si="323"/>
        <v>6.3486669836292142E-2</v>
      </c>
      <c r="GR17" s="463">
        <f t="shared" si="323"/>
        <v>5.7323693186992042E-2</v>
      </c>
      <c r="GS17" s="463">
        <f t="shared" si="323"/>
        <v>7.1438188390301027E-2</v>
      </c>
      <c r="GT17" s="463">
        <f t="shared" si="323"/>
        <v>7.2440021238155516E-2</v>
      </c>
      <c r="GU17" s="463">
        <f t="shared" si="323"/>
        <v>7.4285622513801552E-2</v>
      </c>
      <c r="GV17" s="463">
        <f t="shared" si="323"/>
        <v>7.2826219161159722E-2</v>
      </c>
      <c r="GW17" s="463">
        <f t="shared" si="323"/>
        <v>8.2000000000000073E-2</v>
      </c>
      <c r="GX17" s="463">
        <f t="shared" si="323"/>
        <v>8.4874494006926815E-2</v>
      </c>
      <c r="GY17" s="463">
        <f t="shared" si="323"/>
        <v>8.8165183730920305E-2</v>
      </c>
      <c r="GZ17" s="463">
        <f t="shared" si="323"/>
        <v>8.6556533781778633E-2</v>
      </c>
      <c r="HA17" s="463">
        <f t="shared" si="323"/>
        <v>9.0143053106016113E-2</v>
      </c>
      <c r="HB17" s="463">
        <f t="shared" si="323"/>
        <v>8.6776461523644377E-2</v>
      </c>
      <c r="HC17" s="463">
        <f t="shared" si="323"/>
        <v>8.7836547641779728E-2</v>
      </c>
      <c r="HD17" s="463">
        <f t="shared" si="323"/>
        <v>8.9532336412991853E-2</v>
      </c>
      <c r="HE17" s="463">
        <f t="shared" si="323"/>
        <v>8.7059537123035824E-2</v>
      </c>
      <c r="HF17" s="463">
        <f t="shared" si="323"/>
        <v>8.7906762767189006E-2</v>
      </c>
      <c r="HG17" s="463">
        <f t="shared" si="323"/>
        <v>8.8357520833013403E-2</v>
      </c>
      <c r="HH17" s="463">
        <f t="shared" si="323"/>
        <v>9.1553896406906032E-2</v>
      </c>
      <c r="HI17" s="463">
        <f t="shared" si="323"/>
        <v>8.9001848428835517E-2</v>
      </c>
      <c r="HJ17" s="463">
        <f t="shared" si="323"/>
        <v>8.5977747583544817E-2</v>
      </c>
      <c r="HK17" s="463">
        <f t="shared" si="323"/>
        <v>8.4841835801791943E-2</v>
      </c>
      <c r="HL17" s="463">
        <f t="shared" si="323"/>
        <v>8.9402767662053906E-2</v>
      </c>
      <c r="HM17" s="463">
        <f t="shared" si="323"/>
        <v>7.8914254898436065E-2</v>
      </c>
      <c r="HN17" s="463">
        <f t="shared" si="323"/>
        <v>6.673165544133286E-2</v>
      </c>
      <c r="HO17" s="463">
        <f t="shared" si="323"/>
        <v>5.9478064755090765E-2</v>
      </c>
      <c r="HP17" s="463">
        <f t="shared" si="323"/>
        <v>6.486580994842206E-2</v>
      </c>
      <c r="HQ17" s="463">
        <f t="shared" si="323"/>
        <v>7.1229293809939032E-2</v>
      </c>
      <c r="HR17" s="463">
        <f t="shared" si="323"/>
        <v>6.6423864030523916E-2</v>
      </c>
      <c r="HS17" s="463">
        <f t="shared" si="323"/>
        <v>6.6628574983585986E-2</v>
      </c>
      <c r="HT17" s="463">
        <f t="shared" si="323"/>
        <v>6.2158002735978268E-2</v>
      </c>
      <c r="HU17" s="463">
        <f t="shared" si="323"/>
        <v>5.7710260544852732E-2</v>
      </c>
      <c r="HV17" s="463">
        <f t="shared" si="323"/>
        <v>5.6574001524982043E-2</v>
      </c>
      <c r="HW17" s="463">
        <f t="shared" si="323"/>
        <v>5.258722400134852E-2</v>
      </c>
      <c r="HX17" s="463">
        <f t="shared" si="323"/>
        <v>4.5359454384956255E-2</v>
      </c>
      <c r="HY17" s="463">
        <f t="shared" si="323"/>
        <v>4.86638198757674E-2</v>
      </c>
      <c r="HZ17" s="463">
        <f t="shared" si="323"/>
        <v>4.82238163344888E-2</v>
      </c>
      <c r="IA17" s="463">
        <f t="shared" si="323"/>
        <v>4.6599264307665589E-2</v>
      </c>
      <c r="IB17" s="463">
        <f t="shared" si="323"/>
        <v>4.2525244232821446E-2</v>
      </c>
      <c r="IC17" s="463">
        <f t="shared" si="323"/>
        <v>3.529443278004174E-2</v>
      </c>
      <c r="ID17" s="463">
        <f t="shared" si="323"/>
        <v>3.5201155819278407E-2</v>
      </c>
      <c r="IE17" s="463">
        <f t="shared" si="323"/>
        <v>3.2250997614524879E-2</v>
      </c>
      <c r="IF17" s="463">
        <f t="shared" si="323"/>
        <v>3.1424030373191414E-2</v>
      </c>
      <c r="IG17" s="463">
        <f t="shared" si="323"/>
        <v>3.1155880853296791E-2</v>
      </c>
      <c r="IH17" s="463">
        <f t="shared" si="323"/>
        <v>3.1838374611795395E-2</v>
      </c>
      <c r="II17" s="463">
        <f t="shared" si="323"/>
        <v>3.0461118030822076E-2</v>
      </c>
      <c r="IJ17" s="463">
        <f t="shared" si="323"/>
        <v>3.0651646819358946E-2</v>
      </c>
      <c r="IK17" s="463">
        <f t="shared" si="323"/>
        <v>2.7988672357553535E-2</v>
      </c>
      <c r="IL17" s="463">
        <f t="shared" ref="IL17:IR17" si="324">IL15</f>
        <v>2.6969098434544536E-2</v>
      </c>
      <c r="IM17" s="463">
        <f t="shared" si="324"/>
        <v>2.4751827372509805E-2</v>
      </c>
      <c r="IN17" s="463">
        <f t="shared" si="324"/>
        <v>2.0696638520859345E-2</v>
      </c>
      <c r="IO17" s="463">
        <f t="shared" si="324"/>
        <v>2.1015988775864747E-2</v>
      </c>
      <c r="IP17" s="463">
        <f t="shared" si="324"/>
        <v>2.20798295105753E-2</v>
      </c>
      <c r="IQ17" s="463">
        <f t="shared" si="324"/>
        <v>2.0752044627865951E-2</v>
      </c>
      <c r="IR17" s="463">
        <f t="shared" si="324"/>
        <v>2.2290703500298159E-2</v>
      </c>
      <c r="IS17" s="463">
        <f>IS15</f>
        <v>2.1764673579789839E-2</v>
      </c>
      <c r="IT17" s="463">
        <f t="shared" ref="IT17:LC17" si="325">IT15</f>
        <v>0.02</v>
      </c>
      <c r="IU17" s="463">
        <f t="shared" si="325"/>
        <v>0.02</v>
      </c>
      <c r="IV17" s="463">
        <f t="shared" si="325"/>
        <v>0.02</v>
      </c>
      <c r="IW17" s="463">
        <f t="shared" si="325"/>
        <v>0.02</v>
      </c>
      <c r="IX17" s="463">
        <f t="shared" si="325"/>
        <v>0.02</v>
      </c>
      <c r="IY17" s="463">
        <f t="shared" si="325"/>
        <v>0.02</v>
      </c>
      <c r="IZ17" s="463">
        <f t="shared" si="325"/>
        <v>0.02</v>
      </c>
      <c r="JA17" s="463">
        <f t="shared" si="325"/>
        <v>0.02</v>
      </c>
      <c r="JB17" s="463">
        <f t="shared" si="325"/>
        <v>0.02</v>
      </c>
      <c r="JC17" s="463">
        <f t="shared" si="325"/>
        <v>0.02</v>
      </c>
      <c r="JD17" s="463">
        <f t="shared" si="325"/>
        <v>0.02</v>
      </c>
      <c r="JE17" s="463">
        <f t="shared" si="325"/>
        <v>0.02</v>
      </c>
      <c r="JF17" s="463">
        <f t="shared" si="325"/>
        <v>0.02</v>
      </c>
      <c r="JG17" s="463">
        <f t="shared" si="325"/>
        <v>0.02</v>
      </c>
      <c r="JH17" s="463">
        <f t="shared" si="325"/>
        <v>0.02</v>
      </c>
      <c r="JI17" s="463">
        <f t="shared" si="325"/>
        <v>0.02</v>
      </c>
      <c r="JJ17" s="463">
        <f t="shared" si="325"/>
        <v>0.02</v>
      </c>
      <c r="JK17" s="463">
        <f t="shared" si="325"/>
        <v>0.02</v>
      </c>
      <c r="JL17" s="463">
        <f t="shared" si="325"/>
        <v>0.02</v>
      </c>
      <c r="JM17" s="463">
        <f t="shared" si="325"/>
        <v>0.02</v>
      </c>
      <c r="JN17" s="463">
        <f t="shared" si="325"/>
        <v>0.02</v>
      </c>
      <c r="JO17" s="463">
        <f t="shared" si="325"/>
        <v>0.02</v>
      </c>
      <c r="JP17" s="463">
        <f t="shared" si="325"/>
        <v>0.02</v>
      </c>
      <c r="JQ17" s="463">
        <f t="shared" si="325"/>
        <v>0.02</v>
      </c>
      <c r="JR17" s="463">
        <f t="shared" si="325"/>
        <v>0.02</v>
      </c>
      <c r="JS17" s="463">
        <f t="shared" si="325"/>
        <v>0.02</v>
      </c>
      <c r="JT17" s="463">
        <f t="shared" si="325"/>
        <v>0.02</v>
      </c>
      <c r="JU17" s="463">
        <f t="shared" si="325"/>
        <v>0.02</v>
      </c>
      <c r="JV17" s="463">
        <f t="shared" si="325"/>
        <v>0.02</v>
      </c>
      <c r="JW17" s="463">
        <f t="shared" si="325"/>
        <v>0.02</v>
      </c>
      <c r="JX17" s="463">
        <f t="shared" si="325"/>
        <v>0.02</v>
      </c>
      <c r="JY17" s="463">
        <f t="shared" si="325"/>
        <v>0.02</v>
      </c>
      <c r="JZ17" s="463">
        <f t="shared" si="325"/>
        <v>0.02</v>
      </c>
      <c r="KA17" s="463">
        <f t="shared" si="325"/>
        <v>0.02</v>
      </c>
      <c r="KB17" s="463">
        <f t="shared" si="325"/>
        <v>0.02</v>
      </c>
      <c r="KC17" s="463">
        <f t="shared" si="325"/>
        <v>0.02</v>
      </c>
      <c r="KD17" s="463">
        <f t="shared" si="325"/>
        <v>0.02</v>
      </c>
      <c r="KE17" s="463">
        <f t="shared" si="325"/>
        <v>0.02</v>
      </c>
      <c r="KF17" s="463">
        <f t="shared" si="325"/>
        <v>0.02</v>
      </c>
      <c r="KG17" s="463">
        <f t="shared" si="325"/>
        <v>0.02</v>
      </c>
      <c r="KH17" s="463">
        <f t="shared" si="325"/>
        <v>0.02</v>
      </c>
      <c r="KI17" s="463">
        <f t="shared" si="325"/>
        <v>0.02</v>
      </c>
      <c r="KJ17" s="463">
        <f t="shared" si="325"/>
        <v>0.02</v>
      </c>
      <c r="KK17" s="463">
        <f t="shared" si="325"/>
        <v>0.02</v>
      </c>
      <c r="KL17" s="463">
        <f t="shared" si="325"/>
        <v>0.02</v>
      </c>
      <c r="KM17" s="463">
        <f t="shared" si="325"/>
        <v>0.02</v>
      </c>
      <c r="KN17" s="463">
        <f t="shared" si="325"/>
        <v>0.02</v>
      </c>
      <c r="KO17" s="463">
        <f t="shared" si="325"/>
        <v>0.02</v>
      </c>
      <c r="KP17" s="463">
        <f t="shared" si="325"/>
        <v>0.02</v>
      </c>
      <c r="KQ17" s="463">
        <f t="shared" si="325"/>
        <v>0.02</v>
      </c>
      <c r="KR17" s="463">
        <f t="shared" si="325"/>
        <v>0.02</v>
      </c>
      <c r="KS17" s="463">
        <f t="shared" si="325"/>
        <v>0.02</v>
      </c>
      <c r="KT17" s="463">
        <f t="shared" si="325"/>
        <v>0.02</v>
      </c>
      <c r="KU17" s="463">
        <f t="shared" si="325"/>
        <v>0.02</v>
      </c>
      <c r="KV17" s="463">
        <f t="shared" si="325"/>
        <v>0.02</v>
      </c>
      <c r="KW17" s="463">
        <f t="shared" si="325"/>
        <v>0.02</v>
      </c>
      <c r="KX17" s="463">
        <f t="shared" si="325"/>
        <v>0.02</v>
      </c>
      <c r="KY17" s="463">
        <f t="shared" si="325"/>
        <v>0.02</v>
      </c>
      <c r="KZ17" s="463">
        <f t="shared" si="325"/>
        <v>0.02</v>
      </c>
      <c r="LA17" s="463">
        <f t="shared" si="325"/>
        <v>0.02</v>
      </c>
      <c r="LB17" s="463">
        <f t="shared" si="325"/>
        <v>0.02</v>
      </c>
      <c r="LC17" s="463">
        <f t="shared" si="325"/>
        <v>0.02</v>
      </c>
      <c r="LD17" s="463">
        <f>LD15</f>
        <v>0.02</v>
      </c>
    </row>
    <row r="18" spans="5:316" x14ac:dyDescent="0.2">
      <c r="E18" t="s">
        <v>141</v>
      </c>
      <c r="F18" s="13"/>
      <c r="G18" s="13"/>
      <c r="H18" s="13"/>
      <c r="I18" s="13"/>
      <c r="J18" s="38">
        <f>NA!J79/NA!J113%</f>
        <v>84.894896171840486</v>
      </c>
      <c r="K18" s="38">
        <f>NA!K79/NA!K113%</f>
        <v>92.19053479888332</v>
      </c>
      <c r="L18" s="38">
        <f>NA!L79/NA!L113%</f>
        <v>72.469806892064042</v>
      </c>
      <c r="M18" s="38">
        <f>NA!M79/NA!M113%</f>
        <v>61.361856623092429</v>
      </c>
      <c r="N18" s="38">
        <f>NA!N79/NA!N113%</f>
        <v>66.253616037238956</v>
      </c>
      <c r="O18" s="38">
        <f>NA!O79/NA!O113%</f>
        <v>74.232863327014769</v>
      </c>
      <c r="P18" s="38">
        <f>NA!P79/NA!P113%</f>
        <v>78.786013301495402</v>
      </c>
      <c r="Q18" s="38">
        <f>NA!Q79/NA!Q113%</f>
        <v>87.417412328158406</v>
      </c>
      <c r="R18" s="38">
        <f>NA!R79/NA!R113%</f>
        <v>97.009492342075404</v>
      </c>
      <c r="S18" s="38">
        <f>NA!S79/NA!S113%</f>
        <v>108.26820237803265</v>
      </c>
      <c r="T18" s="38">
        <f>NA!T79/NA!T113%</f>
        <v>121.97050976320104</v>
      </c>
      <c r="U18" s="38">
        <f>NA!U79/NA!U113%</f>
        <v>133.63949651748126</v>
      </c>
      <c r="V18" s="38">
        <f t="shared" ref="V18:AC18" si="326">U18*(1+V19)</f>
        <v>147.92877143830589</v>
      </c>
      <c r="W18" s="38">
        <f t="shared" si="326"/>
        <v>164.47860099122099</v>
      </c>
      <c r="X18" s="38">
        <f t="shared" si="326"/>
        <v>179.60630021193413</v>
      </c>
      <c r="Y18" s="38">
        <f t="shared" si="326"/>
        <v>192.46687580752641</v>
      </c>
      <c r="Z18" s="38">
        <f t="shared" si="326"/>
        <v>201.87279604467832</v>
      </c>
      <c r="AA18" s="20">
        <f t="shared" si="326"/>
        <v>210.45271879638017</v>
      </c>
      <c r="AB18" s="20">
        <f t="shared" si="326"/>
        <v>221.24998564295069</v>
      </c>
      <c r="AC18" s="20">
        <f t="shared" si="326"/>
        <v>228.32998518352511</v>
      </c>
      <c r="AD18" s="20">
        <f t="shared" ref="AD18" si="327">AC18*(1+AD19)</f>
        <v>240.88813436861898</v>
      </c>
      <c r="AE18" s="20">
        <f t="shared" ref="AE18" si="328">AD18*(1+AE19)</f>
        <v>266.18138847732399</v>
      </c>
      <c r="AF18" s="20"/>
      <c r="AG18" s="31"/>
      <c r="AL18" s="38">
        <f>NA!AL79/NA!AL113*100</f>
        <v>80.55992560227304</v>
      </c>
      <c r="AM18" s="38">
        <f>NA!AM79/NA!AM113*100</f>
        <v>89.029683882202733</v>
      </c>
      <c r="AN18" s="38">
        <f>NA!AN79/NA!AN113*100</f>
        <v>95.202699968880324</v>
      </c>
      <c r="AO18" s="38">
        <f>NA!AO79/NA!AO113*100</f>
        <v>61.758893187697041</v>
      </c>
      <c r="AP18" s="38">
        <f>NA!AP79/NA!AP113*100</f>
        <v>61.018903282091408</v>
      </c>
      <c r="AQ18" s="38">
        <f>NA!AQ79/NA!AQ113*100</f>
        <v>71.588074300059219</v>
      </c>
      <c r="AR18" s="38">
        <f>NA!AR79/NA!AR113*100</f>
        <v>76.700695455273305</v>
      </c>
      <c r="AS18" s="38">
        <f>NA!AS79/NA!AS113*100</f>
        <v>80.726334575997925</v>
      </c>
      <c r="AT18" s="38">
        <f>NA!AT79/NA!AT113*100</f>
        <v>93.806157333234736</v>
      </c>
      <c r="AU18" s="38">
        <f>NA!AU79/NA!AU113*100</f>
        <v>100.00000000028952</v>
      </c>
      <c r="AV18" s="38">
        <f>NA!AV79/NA!AV113*100</f>
        <v>116.09651830268449</v>
      </c>
      <c r="AW18" s="38">
        <f>NA!AW79/NA!AW113*100</f>
        <v>127.57289109088752</v>
      </c>
      <c r="AX18" s="38">
        <f>NA!AX79/NA!AX113*100</f>
        <v>139.33258206850039</v>
      </c>
      <c r="AY18" s="38">
        <f>NA!AY79/NA!AY113*100</f>
        <v>156.28488602019613</v>
      </c>
      <c r="AZ18" s="38">
        <f>NA!AZ79/NA!AZ113*100</f>
        <v>172.23940412768002</v>
      </c>
      <c r="BA18" s="38">
        <f>NA!BA79/NA!BA113*100</f>
        <v>186.33912852857645</v>
      </c>
      <c r="BB18" s="38">
        <f>NA!BB79/NA!BB113*100</f>
        <v>191.38395986174893</v>
      </c>
      <c r="BC18" s="38">
        <f>NA!BC79/NA!BC113*100</f>
        <v>202.47379934694317</v>
      </c>
      <c r="BD18" s="38">
        <f>NA!BD79/NA!BD113*100</f>
        <v>212.31603170066094</v>
      </c>
      <c r="BE18" s="38">
        <f>NA!BE79/NA!BE113*100</f>
        <v>223.78109741249654</v>
      </c>
      <c r="BF18" s="38">
        <f>NA!BF79/NA!BF113*100</f>
        <v>226.01890838662152</v>
      </c>
      <c r="BG18" s="38">
        <f>NA!BG79/NA!BG113*100</f>
        <v>248.62079922528366</v>
      </c>
      <c r="BH18" s="38">
        <f>NA!BH79/NA!BH113*100</f>
        <v>275.96908714006503</v>
      </c>
      <c r="EO18" s="439"/>
      <c r="EP18" s="16"/>
      <c r="EQ18" s="16"/>
      <c r="ER18" s="16"/>
      <c r="ET18" s="13"/>
      <c r="FP18" s="11"/>
      <c r="FQ18" s="11"/>
      <c r="GK18" s="30"/>
      <c r="GL18" s="30"/>
      <c r="HM18" s="250"/>
      <c r="IK18" s="13"/>
      <c r="IL18" s="13"/>
      <c r="IM18" s="13"/>
      <c r="IN18" s="13"/>
      <c r="IO18" s="13"/>
      <c r="IP18" s="13"/>
      <c r="IQ18" s="13"/>
      <c r="IR18" s="13"/>
    </row>
    <row r="19" spans="5:316" x14ac:dyDescent="0.2">
      <c r="E19" t="s">
        <v>72</v>
      </c>
      <c r="G19" s="10"/>
      <c r="H19" s="10"/>
      <c r="I19" s="10"/>
      <c r="J19" s="10"/>
      <c r="K19" s="10">
        <f t="shared" ref="K19:U19" si="329">K18/J18-1</f>
        <v>8.5937305492138405E-2</v>
      </c>
      <c r="L19" s="10">
        <f t="shared" si="329"/>
        <v>-0.21391271837006576</v>
      </c>
      <c r="M19" s="10">
        <f t="shared" si="329"/>
        <v>-0.15327694036104866</v>
      </c>
      <c r="N19" s="10">
        <f t="shared" si="329"/>
        <v>7.971987295289229E-2</v>
      </c>
      <c r="O19" s="10">
        <f t="shared" si="329"/>
        <v>0.12043489498431215</v>
      </c>
      <c r="P19" s="10">
        <f t="shared" si="329"/>
        <v>6.1336041349002501E-2</v>
      </c>
      <c r="Q19" s="10">
        <f t="shared" si="329"/>
        <v>0.10955496623027083</v>
      </c>
      <c r="R19" s="10">
        <f t="shared" si="329"/>
        <v>0.10972733873554907</v>
      </c>
      <c r="S19" s="10">
        <f t="shared" si="329"/>
        <v>0.11605781830356077</v>
      </c>
      <c r="T19" s="10">
        <f t="shared" si="329"/>
        <v>0.12655892574372829</v>
      </c>
      <c r="U19" s="10">
        <f t="shared" si="329"/>
        <v>9.5670558210627421E-2</v>
      </c>
      <c r="V19" s="30">
        <f t="shared" ref="V19:AC19" si="330">AVERAGE(AX19:AY19)</f>
        <v>0.10692404037121961</v>
      </c>
      <c r="W19" s="30">
        <f t="shared" si="330"/>
        <v>0.1118770161612358</v>
      </c>
      <c r="X19" s="30">
        <f t="shared" si="330"/>
        <v>9.1973661798841477E-2</v>
      </c>
      <c r="Y19" s="30">
        <f t="shared" si="330"/>
        <v>7.1604256534525082E-2</v>
      </c>
      <c r="Z19" s="30">
        <f>AVERAGE(BB19:BC19)</f>
        <v>4.8870332610158822E-2</v>
      </c>
      <c r="AA19" s="30">
        <f t="shared" si="330"/>
        <v>4.2501629341889904E-2</v>
      </c>
      <c r="AB19" s="30">
        <f t="shared" si="330"/>
        <v>5.1304953E-2</v>
      </c>
      <c r="AC19" s="30">
        <f t="shared" si="330"/>
        <v>3.2000000000000001E-2</v>
      </c>
      <c r="AD19" s="30">
        <f t="shared" ref="AD19" si="331">AVERAGE(BF19:BG19)</f>
        <v>5.5000000000000007E-2</v>
      </c>
      <c r="AE19" s="30">
        <f t="shared" ref="AE19" si="332">AVERAGE(BG19:BH19)</f>
        <v>0.10500000000000001</v>
      </c>
      <c r="AF19" s="30"/>
      <c r="AG19" s="31"/>
      <c r="AL19" s="30"/>
      <c r="AM19" s="30">
        <f t="shared" ref="AM19:AW19" si="333">AM18/AL18-1</f>
        <v>0.10513612340886658</v>
      </c>
      <c r="AN19" s="30">
        <f t="shared" si="333"/>
        <v>6.9336605697098319E-2</v>
      </c>
      <c r="AO19" s="30">
        <f t="shared" si="333"/>
        <v>-0.35129052844210651</v>
      </c>
      <c r="AP19" s="30">
        <f t="shared" si="333"/>
        <v>-1.1981916569596907E-2</v>
      </c>
      <c r="AQ19" s="30">
        <f t="shared" si="333"/>
        <v>0.17321142219004426</v>
      </c>
      <c r="AR19" s="30">
        <f t="shared" si="333"/>
        <v>7.1417218652714221E-2</v>
      </c>
      <c r="AS19" s="30">
        <f t="shared" si="333"/>
        <v>5.2485040674397743E-2</v>
      </c>
      <c r="AT19" s="30">
        <f t="shared" si="333"/>
        <v>0.16202671440412186</v>
      </c>
      <c r="AU19" s="30">
        <f t="shared" si="333"/>
        <v>6.6028103518321446E-2</v>
      </c>
      <c r="AV19" s="30">
        <f t="shared" si="333"/>
        <v>0.16096518302348373</v>
      </c>
      <c r="AW19" s="30">
        <f t="shared" si="333"/>
        <v>9.8851997940903491E-2</v>
      </c>
      <c r="AX19" s="30">
        <f>AX18/AW18-1</f>
        <v>9.218017148513824E-2</v>
      </c>
      <c r="AY19" s="30">
        <f>AY18/AX18-1</f>
        <v>0.12166790925730098</v>
      </c>
      <c r="AZ19" s="30">
        <f>AZ18/AY18-1</f>
        <v>0.10208612306517062</v>
      </c>
      <c r="BA19" s="30">
        <f>BA18/AZ18-1</f>
        <v>8.1861200532512335E-2</v>
      </c>
      <c r="BB19" s="21">
        <f>BB13*'NA ASSUMPTIONS'!P56</f>
        <v>6.1347312536537836E-2</v>
      </c>
      <c r="BC19" s="21">
        <f>BC13*'NA ASSUMPTIONS'!Q56</f>
        <v>3.6393352683779807E-2</v>
      </c>
      <c r="BD19" s="21">
        <f>BD13*'NA ASSUMPTIONS'!R56</f>
        <v>4.8609905999999994E-2</v>
      </c>
      <c r="BE19" s="21">
        <f>BE13*'NA ASSUMPTIONS'!S56</f>
        <v>5.3999999999999999E-2</v>
      </c>
      <c r="BF19" s="21">
        <f>BF13*'NA ASSUMPTIONS'!T56</f>
        <v>1.0000000000000002E-2</v>
      </c>
      <c r="BG19" s="21">
        <f>BG13*'NA ASSUMPTIONS'!U56</f>
        <v>0.1</v>
      </c>
      <c r="BH19" s="21">
        <f>BH13*'NA ASSUMPTIONS'!V56</f>
        <v>0.11000000000000001</v>
      </c>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260"/>
      <c r="EP19" s="13"/>
      <c r="EQ19" s="13"/>
      <c r="ER19" s="13"/>
      <c r="ES19" s="13"/>
      <c r="ET19" s="13"/>
      <c r="EU19" s="13"/>
      <c r="EV19" s="13"/>
      <c r="EW19" s="13"/>
      <c r="EX19" s="13"/>
      <c r="EY19" s="13"/>
      <c r="EZ19" s="13"/>
      <c r="FA19" s="13"/>
      <c r="FQ19" s="11"/>
      <c r="FR19" s="11"/>
      <c r="GO19">
        <v>106.1</v>
      </c>
      <c r="GP19">
        <v>105.88</v>
      </c>
      <c r="HM19" s="250"/>
      <c r="IC19" s="11"/>
      <c r="ID19" s="11"/>
      <c r="IE19" s="11"/>
      <c r="IF19" s="11"/>
      <c r="IK19" s="553"/>
      <c r="IL19" s="553"/>
      <c r="IM19" s="553"/>
      <c r="IN19" s="553"/>
      <c r="IO19" s="553"/>
      <c r="IP19" s="553"/>
      <c r="IQ19" s="553"/>
      <c r="IR19" s="553"/>
    </row>
    <row r="20" spans="5:316" ht="14.25" x14ac:dyDescent="0.2">
      <c r="E20" t="s">
        <v>81</v>
      </c>
      <c r="F20" s="13"/>
      <c r="G20" s="13"/>
      <c r="H20" s="13"/>
      <c r="I20" s="13"/>
      <c r="J20" s="13">
        <f>NA!J82/NA!J116*100</f>
        <v>84.491883537411837</v>
      </c>
      <c r="K20" s="13">
        <f>NA!K82/NA!K116*100</f>
        <v>91.700010419270356</v>
      </c>
      <c r="L20" s="13">
        <f>NA!L82/NA!L116*100</f>
        <v>72.167513959174585</v>
      </c>
      <c r="M20" s="13">
        <f>NA!M82/NA!M116*100</f>
        <v>61.029452061056276</v>
      </c>
      <c r="N20" s="13">
        <f>NA!N82/NA!N116*100</f>
        <v>65.923258421458641</v>
      </c>
      <c r="O20" s="13">
        <f>NA!O82/NA!O116*100</f>
        <v>73.811394382981746</v>
      </c>
      <c r="P20" s="13">
        <f>NA!P82/NA!P116*100</f>
        <v>78.776893788423493</v>
      </c>
      <c r="Q20" s="13">
        <f>NA!Q82/NA!Q116*100</f>
        <v>87.874306404415037</v>
      </c>
      <c r="R20" s="13">
        <f>NA!R82/NA!R116*100</f>
        <v>97.312285012082214</v>
      </c>
      <c r="S20" s="13">
        <f>NA!S82/NA!S116*100</f>
        <v>108.18502422569838</v>
      </c>
      <c r="T20" s="13">
        <f>NA!T82/NA!T116*100</f>
        <v>122.02252049458353</v>
      </c>
      <c r="U20" s="13">
        <f>NA!U82/NA!U116*100</f>
        <v>133.5918351334679</v>
      </c>
      <c r="V20" s="13">
        <f>NA!V82/NA!V116*100</f>
        <v>147.62276120525689</v>
      </c>
      <c r="W20" s="13">
        <f>NA!W82/NA!W116*100</f>
        <v>162.86894915985368</v>
      </c>
      <c r="X20" s="38">
        <f>NA!X82/NA!X116*100</f>
        <v>177.74181049347882</v>
      </c>
      <c r="Y20" s="38">
        <f>NA!Y82/NA!Y116*100</f>
        <v>188.51800892789623</v>
      </c>
      <c r="Z20" s="38">
        <f>NA!Z82/NA!Z116*100</f>
        <v>197.45707206878012</v>
      </c>
      <c r="AA20" s="758">
        <f>(NA!AA82/NA!AA116*100)*1.001</f>
        <v>207.58026870571879</v>
      </c>
      <c r="AB20" s="13">
        <f>NA!AB82/NA!AB116*100</f>
        <v>217.94398579000438</v>
      </c>
      <c r="AC20" s="13">
        <f>NA!AC82/NA!AC116*100</f>
        <v>224.54554382617738</v>
      </c>
      <c r="AD20" s="13">
        <f>NA!AD82/NA!AD116*100</f>
        <v>237.20136429731076</v>
      </c>
      <c r="AE20" s="13">
        <f>NA!AE82/NA!AE116*100</f>
        <v>249.82745153900785</v>
      </c>
      <c r="AF20" s="13"/>
      <c r="AG20" s="31"/>
      <c r="AL20" s="51">
        <f>NA!AL82/NA!AL116*100</f>
        <v>80.523213572245552</v>
      </c>
      <c r="AM20" s="51">
        <f>NA!AM82/NA!AM116*100</f>
        <v>88.277321344258411</v>
      </c>
      <c r="AN20" s="51">
        <f>NA!AN82/NA!AN116*100</f>
        <v>94.961770870290721</v>
      </c>
      <c r="AO20" s="51">
        <f>NA!AO82/NA!AO116*100</f>
        <v>61.280765411895864</v>
      </c>
      <c r="AP20" s="51">
        <f>NA!AP82/NA!AP116*100</f>
        <v>60.811488662768163</v>
      </c>
      <c r="AQ20" s="51">
        <f>NA!AQ82/NA!AQ116*100</f>
        <v>71.108987998806413</v>
      </c>
      <c r="AR20" s="51">
        <f>NA!AR82/NA!AR116*100</f>
        <v>76.332138900414677</v>
      </c>
      <c r="AS20" s="51">
        <f>NA!AS82/NA!AS116*100</f>
        <v>81.047543126311666</v>
      </c>
      <c r="AT20" s="51">
        <f>NA!AT82/NA!AT116*100</f>
        <v>94.39707158061006</v>
      </c>
      <c r="AU20" s="51">
        <f>NA!AU82/NA!AU116*100</f>
        <v>100.00000000026984</v>
      </c>
      <c r="AV20" s="51">
        <f>NA!AV82/NA!AV116*100</f>
        <v>115.93844676923482</v>
      </c>
      <c r="AW20" s="51">
        <f>NA!AW82/NA!AW116*100</f>
        <v>126.67779222277143</v>
      </c>
      <c r="AX20" s="51">
        <f>NA!AX82/NA!AX116*100</f>
        <v>138.39090865791144</v>
      </c>
      <c r="AY20" s="51">
        <f>NA!AY82/NA!AY116*100</f>
        <v>154.37000134235944</v>
      </c>
      <c r="AZ20" s="51">
        <f>NA!AZ82/NA!AZ116*100</f>
        <v>170.95232930315802</v>
      </c>
      <c r="BA20" s="51">
        <f>NA!BA82/NA!BA116*100</f>
        <v>184.07155830079313</v>
      </c>
      <c r="BB20" s="13">
        <f t="shared" ref="BB20:BF20" si="334">BA20*(1+BB21)</f>
        <v>195.36385371695943</v>
      </c>
      <c r="BC20" s="13">
        <f t="shared" si="334"/>
        <v>202.47379934694311</v>
      </c>
      <c r="BD20" s="13">
        <f t="shared" si="334"/>
        <v>212.31603170066089</v>
      </c>
      <c r="BE20" s="13">
        <f t="shared" si="334"/>
        <v>223.78109741249659</v>
      </c>
      <c r="BF20" s="13">
        <f t="shared" si="334"/>
        <v>226.01890838662155</v>
      </c>
      <c r="BG20" s="13">
        <f t="shared" ref="BG20" si="335">BF20*(1+BG21)</f>
        <v>248.62079922528372</v>
      </c>
      <c r="BH20" s="13">
        <f t="shared" ref="BH20" si="336">BG20*(1+BH21)</f>
        <v>275.96908714006497</v>
      </c>
      <c r="DD20" s="13"/>
      <c r="DE20" s="13"/>
      <c r="DF20" s="13"/>
      <c r="DG20" s="13"/>
      <c r="DH20" s="13"/>
      <c r="DI20" s="13"/>
      <c r="DJ20" s="13"/>
      <c r="EF20" s="422"/>
      <c r="EG20" s="434"/>
      <c r="EH20" s="440"/>
      <c r="EI20" s="440"/>
      <c r="EJ20" s="440"/>
      <c r="EK20" s="440"/>
      <c r="EL20" s="440"/>
      <c r="EM20" s="440"/>
      <c r="EN20" s="440"/>
      <c r="EO20" s="440"/>
      <c r="EP20" s="11"/>
      <c r="EQ20" s="11"/>
      <c r="ER20" s="11"/>
      <c r="ES20" s="11"/>
      <c r="ET20" s="11"/>
      <c r="EU20" s="11"/>
      <c r="EV20" s="11"/>
      <c r="EW20" s="11"/>
      <c r="EX20" s="11"/>
      <c r="HM20" s="250"/>
      <c r="HV20" s="491"/>
      <c r="HW20" s="492"/>
      <c r="HX20" s="492"/>
      <c r="HY20" s="493"/>
    </row>
    <row r="21" spans="5:316" x14ac:dyDescent="0.2">
      <c r="E21" t="s">
        <v>72</v>
      </c>
      <c r="G21" s="10"/>
      <c r="H21" s="10"/>
      <c r="I21" s="10"/>
      <c r="J21" s="10"/>
      <c r="K21" s="10">
        <f t="shared" ref="K21:AC21" si="337">K20/J20-1</f>
        <v>8.5311471115055104E-2</v>
      </c>
      <c r="L21" s="10">
        <f t="shared" si="337"/>
        <v>-0.2130042992447807</v>
      </c>
      <c r="M21" s="10">
        <f t="shared" si="337"/>
        <v>-0.15433622813194248</v>
      </c>
      <c r="N21" s="10">
        <f t="shared" si="337"/>
        <v>8.0187617537617939E-2</v>
      </c>
      <c r="O21" s="10">
        <f t="shared" si="337"/>
        <v>0.1196563420923904</v>
      </c>
      <c r="P21" s="10">
        <f t="shared" si="337"/>
        <v>6.7272803162035988E-2</v>
      </c>
      <c r="Q21" s="10">
        <f t="shared" si="337"/>
        <v>0.11548326137896581</v>
      </c>
      <c r="R21" s="10">
        <f t="shared" si="337"/>
        <v>0.10740316474569611</v>
      </c>
      <c r="S21" s="10">
        <f t="shared" si="337"/>
        <v>0.11173038647963329</v>
      </c>
      <c r="T21" s="10">
        <f t="shared" si="337"/>
        <v>0.12790583879721651</v>
      </c>
      <c r="U21" s="10">
        <f t="shared" si="337"/>
        <v>9.4812945938105964E-2</v>
      </c>
      <c r="V21" s="30">
        <f t="shared" si="337"/>
        <v>0.10502832046412935</v>
      </c>
      <c r="W21" s="30">
        <f t="shared" si="337"/>
        <v>0.10327802996042235</v>
      </c>
      <c r="X21" s="30">
        <f t="shared" si="337"/>
        <v>9.1317967054773685E-2</v>
      </c>
      <c r="Y21" s="30">
        <f t="shared" si="337"/>
        <v>6.0628382283822724E-2</v>
      </c>
      <c r="Z21" s="30">
        <f t="shared" si="337"/>
        <v>4.7417555445871784E-2</v>
      </c>
      <c r="AA21" s="30">
        <f t="shared" si="337"/>
        <v>5.1267835235663028E-2</v>
      </c>
      <c r="AB21" s="461">
        <f t="shared" si="337"/>
        <v>4.9926311151364589E-2</v>
      </c>
      <c r="AC21" s="461">
        <f t="shared" si="337"/>
        <v>3.0290159245476067E-2</v>
      </c>
      <c r="AD21" s="461">
        <f t="shared" ref="AD21" si="338">AD20/AC20-1</f>
        <v>5.6361931105301188E-2</v>
      </c>
      <c r="AE21" s="461">
        <f t="shared" ref="AE21" si="339">AE20/AD20-1</f>
        <v>5.3229403966966293E-2</v>
      </c>
      <c r="AF21" s="30"/>
      <c r="AG21" s="31"/>
      <c r="AL21" s="10"/>
      <c r="AM21" s="10">
        <f>AM20/AL20-1</f>
        <v>9.6296551367213601E-2</v>
      </c>
      <c r="AN21" s="10">
        <f t="shared" ref="AN21:AW21" si="340">AN20/AM20-1</f>
        <v>7.5721028053906458E-2</v>
      </c>
      <c r="AO21" s="10">
        <f t="shared" si="340"/>
        <v>-0.35467962686163568</v>
      </c>
      <c r="AP21" s="10">
        <f t="shared" si="340"/>
        <v>-7.6578147478002512E-3</v>
      </c>
      <c r="AQ21" s="10">
        <f t="shared" si="340"/>
        <v>0.16933476819065096</v>
      </c>
      <c r="AR21" s="10">
        <f t="shared" si="340"/>
        <v>7.3452752578843317E-2</v>
      </c>
      <c r="AS21" s="441">
        <f t="shared" si="340"/>
        <v>6.1774821114980893E-2</v>
      </c>
      <c r="AT21" s="441">
        <f t="shared" si="340"/>
        <v>0.16471231501112027</v>
      </c>
      <c r="AU21" s="441">
        <f t="shared" si="340"/>
        <v>5.9354896564510096E-2</v>
      </c>
      <c r="AV21" s="441">
        <f t="shared" si="340"/>
        <v>0.15938446768921977</v>
      </c>
      <c r="AW21" s="441">
        <f t="shared" si="340"/>
        <v>9.2629716481473334E-2</v>
      </c>
      <c r="AX21" s="441">
        <f>AX20/AW20-1</f>
        <v>9.2463850447769946E-2</v>
      </c>
      <c r="AY21" s="441">
        <f>AY20/AX20-1</f>
        <v>0.11546345666352065</v>
      </c>
      <c r="AZ21" s="441">
        <f>AZ20/AY20-1</f>
        <v>0.10741936786035611</v>
      </c>
      <c r="BA21" s="441">
        <f>BA20/AZ20-1</f>
        <v>7.6742031249952491E-2</v>
      </c>
      <c r="BB21" s="21">
        <f>BB13*'NA ASSUMPTIONS'!P56</f>
        <v>6.1347312536537836E-2</v>
      </c>
      <c r="BC21" s="21">
        <f>BC13*'NA ASSUMPTIONS'!Q56</f>
        <v>3.6393352683779807E-2</v>
      </c>
      <c r="BD21" s="21">
        <f>BD13*'NA ASSUMPTIONS'!R56</f>
        <v>4.8609905999999994E-2</v>
      </c>
      <c r="BE21" s="21">
        <f>BE13*'NA ASSUMPTIONS'!S56</f>
        <v>5.3999999999999999E-2</v>
      </c>
      <c r="BF21" s="21">
        <f>BF13*'NA ASSUMPTIONS'!T56</f>
        <v>1.0000000000000002E-2</v>
      </c>
      <c r="BG21" s="21">
        <f>BG13*'NA ASSUMPTIONS'!U56</f>
        <v>0.1</v>
      </c>
      <c r="BH21" s="21">
        <f>BH13*'NA ASSUMPTIONS'!V56</f>
        <v>0.11000000000000001</v>
      </c>
      <c r="EE21" s="36"/>
      <c r="EN21" s="10"/>
      <c r="HM21" s="250"/>
    </row>
    <row r="22" spans="5:316" x14ac:dyDescent="0.2">
      <c r="E22" s="28" t="s">
        <v>2</v>
      </c>
      <c r="AG22" s="31"/>
      <c r="AM22" s="33"/>
      <c r="AN22" s="33"/>
      <c r="AO22" s="57">
        <f>NA!AO80/NA!AO114*100</f>
        <v>52.98765412755121</v>
      </c>
      <c r="AP22" s="57">
        <f>NA!AP80/NA!AP114*100</f>
        <v>56.924965654028959</v>
      </c>
      <c r="AQ22" s="57">
        <f>NA!AQ80/NA!AQ114*100</f>
        <v>62.867295224416289</v>
      </c>
      <c r="AR22" s="57">
        <f>NA!AR80/NA!AR114*100</f>
        <v>70.030558574205386</v>
      </c>
      <c r="AS22" s="57">
        <f>NA!AS80/NA!AS114*100</f>
        <v>86.36509488959075</v>
      </c>
      <c r="AT22" s="57">
        <f>NA!AT80/NA!AT114*100</f>
        <v>104.29855164353019</v>
      </c>
      <c r="AU22" s="57">
        <f>NA!AU80/NA!AU114*100</f>
        <v>100</v>
      </c>
      <c r="AV22" s="57">
        <f>NA!AV80/NA!AV114*100</f>
        <v>113.75745510161299</v>
      </c>
      <c r="AW22" s="57">
        <f>NA!AW80/NA!AW114*100</f>
        <v>115.19354379907669</v>
      </c>
      <c r="AX22" s="57">
        <f>NA!AX80/NA!AX114*100</f>
        <v>125.98374018252778</v>
      </c>
      <c r="AY22" s="57">
        <f>NA!AY80/NA!AY114*100</f>
        <v>130.16426666574307</v>
      </c>
      <c r="AZ22" s="57">
        <f>NA!AZ80/NA!AZ114*100</f>
        <v>153.85467217668105</v>
      </c>
      <c r="BA22" s="57">
        <f>NA!BA80/NA!BA114*100</f>
        <v>155.92082609432174</v>
      </c>
      <c r="BB22" s="51">
        <f>NA!BB80/NA!BB114*100</f>
        <v>208.58799992038556</v>
      </c>
      <c r="BC22" s="51">
        <f>NA!BC80/NA!BC114*100</f>
        <v>195.33420212803748</v>
      </c>
      <c r="BD22" s="51">
        <f>NA!BD80/NA!BD114*100</f>
        <v>214.08531199373914</v>
      </c>
      <c r="BE22" s="51">
        <f>NA!BE80/NA!BE114*100</f>
        <v>214.91902587999792</v>
      </c>
      <c r="BF22" s="51">
        <f>NA!BF80/NA!BF114*100</f>
        <v>224.98042903021195</v>
      </c>
      <c r="BG22" s="51">
        <f>NA!BG80/NA!BG114*100</f>
        <v>237.33106067930905</v>
      </c>
      <c r="BH22" s="51">
        <f>NA!BH80/NA!BH114*100</f>
        <v>0</v>
      </c>
      <c r="HM22" s="250"/>
    </row>
    <row r="23" spans="5:316" x14ac:dyDescent="0.2">
      <c r="AG23" s="31"/>
      <c r="AT23" s="13"/>
      <c r="AU23" s="13"/>
      <c r="AV23" s="13"/>
      <c r="AW23" s="13"/>
      <c r="AX23" s="13"/>
      <c r="AY23" s="13"/>
      <c r="AZ23" s="13"/>
      <c r="BA23" s="13"/>
      <c r="BB23" s="13"/>
      <c r="BC23" s="13"/>
      <c r="BD23" s="13"/>
      <c r="HU23" s="443"/>
      <c r="HV23" s="443"/>
      <c r="HW23" s="494"/>
      <c r="HX23" s="495"/>
    </row>
    <row r="24" spans="5:316" ht="15" x14ac:dyDescent="0.25">
      <c r="E24" s="9" t="s">
        <v>609</v>
      </c>
      <c r="AA24" s="756"/>
      <c r="AG24" s="31"/>
      <c r="HJ24" s="445"/>
      <c r="HK24" s="444"/>
      <c r="HU24" s="496"/>
      <c r="HV24" s="496"/>
      <c r="HW24" s="494"/>
      <c r="HX24" s="468"/>
    </row>
    <row r="25" spans="5:316" x14ac:dyDescent="0.2">
      <c r="E25" t="s">
        <v>354</v>
      </c>
      <c r="AG25" s="31"/>
      <c r="AO25" s="13"/>
      <c r="AP25" s="13"/>
      <c r="AQ25" s="13"/>
      <c r="AR25" s="260"/>
      <c r="AS25" s="260"/>
      <c r="AT25" s="13"/>
      <c r="AU25" s="13"/>
      <c r="AV25" s="436" t="e">
        <f>AVERAGE(FE25:FP25)</f>
        <v>#DIV/0!</v>
      </c>
      <c r="AW25" s="436">
        <f>AVERAGE(FQ25:GB25)</f>
        <v>95.056666666666672</v>
      </c>
      <c r="AX25" s="583">
        <f>AVERAGE(GC25:GN25)</f>
        <v>100.87583333333333</v>
      </c>
      <c r="AY25" s="436">
        <f>AVERAGE(GO25:GZ25)</f>
        <v>116.98833333333333</v>
      </c>
      <c r="AZ25" s="436">
        <f>AVERAGE(HA25:HL25)</f>
        <v>141.07703836714541</v>
      </c>
      <c r="BA25" s="38">
        <f>HX25</f>
        <v>157.15437605941216</v>
      </c>
      <c r="BB25" s="38">
        <f>HY25</f>
        <v>161.01781648038093</v>
      </c>
      <c r="FZ25" s="726">
        <v>95.07</v>
      </c>
      <c r="GA25" s="726">
        <v>93.92</v>
      </c>
      <c r="GB25" s="726">
        <v>96.18</v>
      </c>
      <c r="GC25" s="726">
        <v>99.1</v>
      </c>
      <c r="GD25" s="726">
        <v>100.07</v>
      </c>
      <c r="GE25" s="726">
        <v>102.12</v>
      </c>
      <c r="GF25" s="726">
        <v>102.24</v>
      </c>
      <c r="GG25" s="423">
        <v>102.06</v>
      </c>
      <c r="GH25" s="423">
        <v>101.35</v>
      </c>
      <c r="GI25" s="423">
        <v>99.91</v>
      </c>
      <c r="GJ25" s="423">
        <v>99.91</v>
      </c>
      <c r="GK25" s="423">
        <v>100</v>
      </c>
      <c r="GL25" s="423">
        <v>100.03</v>
      </c>
      <c r="GM25" s="423">
        <v>100.55</v>
      </c>
      <c r="GN25" s="423">
        <v>103.17</v>
      </c>
      <c r="GO25" s="423">
        <v>106.16</v>
      </c>
      <c r="GP25" s="423">
        <v>109.32</v>
      </c>
      <c r="GQ25" s="423">
        <v>110.94</v>
      </c>
      <c r="GR25" s="423">
        <v>112.2</v>
      </c>
      <c r="GS25" s="423">
        <v>112.69</v>
      </c>
      <c r="GT25" s="423">
        <v>113.83</v>
      </c>
      <c r="GU25" s="423">
        <v>115.75</v>
      </c>
      <c r="GV25" s="423">
        <v>118.5</v>
      </c>
      <c r="GW25" s="423">
        <v>122.53</v>
      </c>
      <c r="GX25" s="423">
        <v>124.05</v>
      </c>
      <c r="GY25" s="423">
        <v>126.8</v>
      </c>
      <c r="GZ25" s="423">
        <v>131.09</v>
      </c>
      <c r="HA25" s="423">
        <v>135.72</v>
      </c>
      <c r="HB25" s="423">
        <v>138.47</v>
      </c>
      <c r="HC25" s="423">
        <v>139.47</v>
      </c>
      <c r="HD25" s="423">
        <v>140.63</v>
      </c>
      <c r="HE25" s="423">
        <v>141.19</v>
      </c>
      <c r="HF25" s="423">
        <v>140.63</v>
      </c>
      <c r="HG25" s="423">
        <v>139.86264752012727</v>
      </c>
      <c r="HH25" s="423">
        <v>140.79</v>
      </c>
      <c r="HI25" s="423">
        <v>141.66999999999999</v>
      </c>
      <c r="HJ25" s="423">
        <v>142.49181288561741</v>
      </c>
      <c r="HK25" s="423">
        <v>143.77000000000001</v>
      </c>
      <c r="HL25" s="423">
        <v>148.22999999999999</v>
      </c>
      <c r="HM25" s="423">
        <v>151.88</v>
      </c>
      <c r="HN25" s="423">
        <v>155.15</v>
      </c>
      <c r="HO25" s="423">
        <v>154.95091074304977</v>
      </c>
      <c r="HP25" s="423">
        <v>154.94</v>
      </c>
      <c r="HQ25" s="423">
        <v>152.47999999999999</v>
      </c>
      <c r="HR25" s="423">
        <v>151.37</v>
      </c>
      <c r="HS25" s="423">
        <v>151.03</v>
      </c>
      <c r="HT25" s="423">
        <v>149.99</v>
      </c>
      <c r="HU25" s="423">
        <v>150.94</v>
      </c>
      <c r="HV25" s="423">
        <v>152.36000000000001</v>
      </c>
      <c r="HW25" s="423">
        <v>154.05000000000001</v>
      </c>
      <c r="HX25" s="423">
        <v>157.15437605941216</v>
      </c>
      <c r="HY25" s="423">
        <v>161.01781648038093</v>
      </c>
      <c r="HZ25" s="423">
        <v>164.83301119841772</v>
      </c>
      <c r="IA25" s="423">
        <v>166.14068790322816</v>
      </c>
      <c r="IB25" s="423">
        <v>166.99</v>
      </c>
      <c r="IC25" s="423">
        <v>165.80666934447297</v>
      </c>
      <c r="ID25" s="423">
        <v>163.56875157416411</v>
      </c>
      <c r="IE25" s="423">
        <v>163.28538775798253</v>
      </c>
      <c r="IF25" s="423">
        <v>163.21927572798145</v>
      </c>
      <c r="IG25" s="423">
        <v>163.82247359235308</v>
      </c>
      <c r="IH25" s="423">
        <v>163.1720410027377</v>
      </c>
      <c r="II25" s="423">
        <v>164.84778440740635</v>
      </c>
      <c r="IJ25" s="423">
        <v>166.04050380359044</v>
      </c>
      <c r="IK25" s="423">
        <v>168.84647077561053</v>
      </c>
      <c r="IL25" s="423">
        <v>172.86725704774636</v>
      </c>
      <c r="IM25" s="423">
        <v>175.92265956343832</v>
      </c>
      <c r="IN25" s="423">
        <v>178.77437634331392</v>
      </c>
      <c r="IO25" s="423">
        <v>179.83029284328268</v>
      </c>
      <c r="IP25" s="423">
        <v>180.02635226359126</v>
      </c>
      <c r="IQ25" s="423">
        <v>180.57047162391714</v>
      </c>
      <c r="IR25" s="423">
        <v>179.82075072363278</v>
      </c>
      <c r="IS25" s="423">
        <v>179.53</v>
      </c>
    </row>
    <row r="26" spans="5:316" x14ac:dyDescent="0.2">
      <c r="E26" t="s">
        <v>355</v>
      </c>
      <c r="AG26" s="31"/>
      <c r="AO26" s="13"/>
      <c r="AP26" s="13"/>
      <c r="AQ26" s="13"/>
      <c r="AR26" s="260"/>
      <c r="AS26" s="260"/>
      <c r="AT26" s="13"/>
      <c r="AU26" s="13"/>
      <c r="AV26" s="436" t="e">
        <f t="shared" ref="AV26:AV59" si="341">AVERAGE(FE26:FP26)</f>
        <v>#DIV/0!</v>
      </c>
      <c r="AW26" s="436">
        <f t="shared" ref="AW26:AW59" si="342">AVERAGE(FQ26:GB26)</f>
        <v>97.723333333333315</v>
      </c>
      <c r="AX26" s="583">
        <f t="shared" ref="AX26:AX42" si="343">AVERAGE(GC26:GN26)</f>
        <v>99.406666666666652</v>
      </c>
      <c r="AY26" s="436">
        <f t="shared" ref="AY26:AY37" si="344">AVERAGE(GO26:GZ26)</f>
        <v>104.20916666666666</v>
      </c>
      <c r="AZ26" s="436">
        <f t="shared" ref="AZ26:AZ37" si="345">AVERAGE(HA26:HL26)</f>
        <v>119.65045868007041</v>
      </c>
      <c r="BA26" s="38">
        <f t="shared" ref="BA26:BB37" si="346">HX26</f>
        <v>141.11653699861932</v>
      </c>
      <c r="BB26" s="38">
        <f t="shared" si="346"/>
        <v>141.35804785195904</v>
      </c>
      <c r="FZ26" s="726">
        <v>96.21</v>
      </c>
      <c r="GA26" s="726">
        <v>98.19</v>
      </c>
      <c r="GB26" s="726">
        <v>98.77</v>
      </c>
      <c r="GC26" s="726">
        <v>99.21</v>
      </c>
      <c r="GD26" s="726">
        <v>99.57</v>
      </c>
      <c r="GE26" s="726">
        <v>100.24</v>
      </c>
      <c r="GF26" s="726">
        <v>97.57</v>
      </c>
      <c r="GG26" s="423">
        <v>97.17</v>
      </c>
      <c r="GH26" s="423">
        <v>98.25</v>
      </c>
      <c r="GI26" s="423">
        <v>99.54</v>
      </c>
      <c r="GJ26" s="423">
        <v>99.85</v>
      </c>
      <c r="GK26" s="423">
        <v>100</v>
      </c>
      <c r="GL26" s="423">
        <v>100.13</v>
      </c>
      <c r="GM26" s="423">
        <v>100.6</v>
      </c>
      <c r="GN26" s="423">
        <v>100.75</v>
      </c>
      <c r="GO26" s="423">
        <v>100.95</v>
      </c>
      <c r="GP26" s="423">
        <v>102.51</v>
      </c>
      <c r="GQ26" s="423">
        <v>102.95</v>
      </c>
      <c r="GR26" s="423">
        <v>103.07</v>
      </c>
      <c r="GS26" s="423">
        <v>103.81</v>
      </c>
      <c r="GT26" s="423">
        <v>103.93</v>
      </c>
      <c r="GU26" s="423">
        <v>104.48</v>
      </c>
      <c r="GV26" s="423">
        <v>105.02</v>
      </c>
      <c r="GW26" s="423">
        <v>105.66</v>
      </c>
      <c r="GX26" s="423">
        <v>105.76</v>
      </c>
      <c r="GY26" s="423">
        <v>105.78</v>
      </c>
      <c r="GZ26" s="423">
        <v>106.59</v>
      </c>
      <c r="HA26" s="423">
        <v>107.35</v>
      </c>
      <c r="HB26" s="423">
        <v>111.04</v>
      </c>
      <c r="HC26" s="423">
        <v>112.52</v>
      </c>
      <c r="HD26" s="423">
        <v>112.66</v>
      </c>
      <c r="HE26" s="423">
        <v>112.85</v>
      </c>
      <c r="HF26" s="423">
        <v>116.07</v>
      </c>
      <c r="HG26" s="423">
        <v>123.32131990450206</v>
      </c>
      <c r="HH26" s="423">
        <v>126.49</v>
      </c>
      <c r="HI26" s="423">
        <v>127.11</v>
      </c>
      <c r="HJ26" s="423">
        <v>127.20418425634304</v>
      </c>
      <c r="HK26" s="423">
        <v>128.30000000000001</v>
      </c>
      <c r="HL26" s="423">
        <v>130.88999999999999</v>
      </c>
      <c r="HM26" s="423">
        <v>132.05000000000001</v>
      </c>
      <c r="HN26" s="423">
        <v>132.03</v>
      </c>
      <c r="HO26" s="423">
        <v>132.08969171898849</v>
      </c>
      <c r="HP26" s="423">
        <v>132.62</v>
      </c>
      <c r="HQ26" s="423">
        <v>133.18</v>
      </c>
      <c r="HR26" s="423">
        <v>133.44</v>
      </c>
      <c r="HS26" s="423">
        <v>138.06</v>
      </c>
      <c r="HT26" s="423">
        <v>139.85</v>
      </c>
      <c r="HU26" s="423">
        <v>140.27000000000001</v>
      </c>
      <c r="HV26" s="423">
        <v>140.80000000000001</v>
      </c>
      <c r="HW26" s="423">
        <v>141.02000000000001</v>
      </c>
      <c r="HX26" s="423">
        <v>141.11653699861932</v>
      </c>
      <c r="HY26" s="423">
        <v>141.35804785195904</v>
      </c>
      <c r="HZ26" s="423">
        <v>141.43251886226832</v>
      </c>
      <c r="IA26" s="423">
        <v>141.47485545286554</v>
      </c>
      <c r="IB26" s="423">
        <v>141.65</v>
      </c>
      <c r="IC26" s="423">
        <v>141.94901426540798</v>
      </c>
      <c r="ID26" s="423">
        <v>140.64289469544616</v>
      </c>
      <c r="IE26" s="423">
        <v>144.54057829349276</v>
      </c>
      <c r="IF26" s="423">
        <v>146.27128134515718</v>
      </c>
      <c r="IG26" s="423">
        <v>147.28447347631399</v>
      </c>
      <c r="IH26" s="423">
        <v>148.42433931421877</v>
      </c>
      <c r="II26" s="423">
        <v>148.79676793822063</v>
      </c>
      <c r="IJ26" s="423">
        <v>148.950738224421</v>
      </c>
      <c r="IK26" s="423">
        <v>148.97575136732976</v>
      </c>
      <c r="IL26" s="423">
        <v>149.07605031350707</v>
      </c>
      <c r="IM26" s="423">
        <v>149.07009697638267</v>
      </c>
      <c r="IN26" s="423">
        <v>149.10662247630989</v>
      </c>
      <c r="IO26" s="423">
        <v>149.05147727602673</v>
      </c>
      <c r="IP26" s="423">
        <v>148.95252111557306</v>
      </c>
    </row>
    <row r="27" spans="5:316" x14ac:dyDescent="0.2">
      <c r="E27" t="s">
        <v>356</v>
      </c>
      <c r="AO27" s="13"/>
      <c r="AP27" s="13"/>
      <c r="AQ27" s="13"/>
      <c r="AR27" s="260"/>
      <c r="AS27" s="260"/>
      <c r="AT27" s="13"/>
      <c r="AU27" s="13"/>
      <c r="AV27" s="436" t="e">
        <f t="shared" si="341"/>
        <v>#DIV/0!</v>
      </c>
      <c r="AW27" s="436">
        <f t="shared" si="342"/>
        <v>96.056666666666672</v>
      </c>
      <c r="AX27" s="583">
        <f t="shared" si="343"/>
        <v>97.975833333333341</v>
      </c>
      <c r="AY27" s="436">
        <f t="shared" si="344"/>
        <v>107.27666666666669</v>
      </c>
      <c r="AZ27" s="436">
        <f t="shared" si="345"/>
        <v>122.11261764093338</v>
      </c>
      <c r="BA27" s="38">
        <f t="shared" si="346"/>
        <v>130.88769860901652</v>
      </c>
      <c r="BB27" s="38">
        <f t="shared" si="346"/>
        <v>131.76279459500989</v>
      </c>
      <c r="FZ27" s="726">
        <v>95.41</v>
      </c>
      <c r="GA27" s="726">
        <v>95.96</v>
      </c>
      <c r="GB27" s="726">
        <v>96.8</v>
      </c>
      <c r="GC27" s="726">
        <v>96.88</v>
      </c>
      <c r="GD27" s="726">
        <v>95.52</v>
      </c>
      <c r="GE27" s="726">
        <v>95.39</v>
      </c>
      <c r="GF27" s="726">
        <v>95.96</v>
      </c>
      <c r="GG27" s="423">
        <v>96.15</v>
      </c>
      <c r="GH27" s="423">
        <v>96.66</v>
      </c>
      <c r="GI27" s="423">
        <v>97.83</v>
      </c>
      <c r="GJ27" s="423">
        <v>98.63</v>
      </c>
      <c r="GK27" s="423">
        <v>100</v>
      </c>
      <c r="GL27" s="423">
        <v>100.09</v>
      </c>
      <c r="GM27" s="423">
        <v>100.45</v>
      </c>
      <c r="GN27" s="423">
        <v>102.15</v>
      </c>
      <c r="GO27" s="423">
        <v>102.54</v>
      </c>
      <c r="GP27" s="423">
        <v>103.75</v>
      </c>
      <c r="GQ27" s="423">
        <v>104.48</v>
      </c>
      <c r="GR27" s="423">
        <v>105.01</v>
      </c>
      <c r="GS27" s="423">
        <v>105.54</v>
      </c>
      <c r="GT27" s="423">
        <v>106.09</v>
      </c>
      <c r="GU27" s="423">
        <v>106.98</v>
      </c>
      <c r="GV27" s="423">
        <v>107.9</v>
      </c>
      <c r="GW27" s="423">
        <v>109.56</v>
      </c>
      <c r="GX27" s="423">
        <v>110.81</v>
      </c>
      <c r="GY27" s="423">
        <v>111.7</v>
      </c>
      <c r="GZ27" s="423">
        <v>112.96</v>
      </c>
      <c r="HA27" s="423">
        <v>115.4</v>
      </c>
      <c r="HB27" s="423">
        <v>118.21</v>
      </c>
      <c r="HC27" s="423">
        <v>120.15</v>
      </c>
      <c r="HD27" s="423">
        <v>121.16</v>
      </c>
      <c r="HE27" s="423">
        <v>121.92</v>
      </c>
      <c r="HF27" s="423">
        <v>122.14</v>
      </c>
      <c r="HG27" s="423">
        <v>122.97451226374807</v>
      </c>
      <c r="HH27" s="423">
        <v>123.44</v>
      </c>
      <c r="HI27" s="423">
        <v>124.22</v>
      </c>
      <c r="HJ27" s="423">
        <v>124.5968994274524</v>
      </c>
      <c r="HK27" s="423">
        <v>125.12</v>
      </c>
      <c r="HL27" s="423">
        <v>126.02</v>
      </c>
      <c r="HM27" s="423">
        <v>126.76</v>
      </c>
      <c r="HN27" s="423">
        <v>127.52</v>
      </c>
      <c r="HO27" s="423">
        <v>127.79475588517752</v>
      </c>
      <c r="HP27" s="423">
        <v>128.13999999999999</v>
      </c>
      <c r="HQ27" s="423">
        <v>128.44</v>
      </c>
      <c r="HR27" s="423">
        <v>128.54</v>
      </c>
      <c r="HS27" s="423">
        <v>129.32</v>
      </c>
      <c r="HT27" s="423">
        <v>129.86000000000001</v>
      </c>
      <c r="HU27" s="423">
        <v>130.26</v>
      </c>
      <c r="HV27" s="423">
        <v>130.38</v>
      </c>
      <c r="HW27" s="423">
        <v>130.63</v>
      </c>
      <c r="HX27" s="423">
        <v>130.88769860901652</v>
      </c>
      <c r="HY27" s="423">
        <v>131.76279459500989</v>
      </c>
      <c r="HZ27" s="423">
        <v>131.9950729920113</v>
      </c>
      <c r="IA27" s="423">
        <v>131.99251268729131</v>
      </c>
      <c r="IB27" s="423">
        <v>132.29</v>
      </c>
      <c r="IC27" s="423">
        <v>132.40794463887954</v>
      </c>
      <c r="ID27" s="423">
        <v>132.31121912197813</v>
      </c>
      <c r="IE27" s="423">
        <v>132.96094618248102</v>
      </c>
      <c r="IF27" s="423">
        <v>132.940486583065</v>
      </c>
      <c r="IG27" s="423">
        <v>133.18116944809148</v>
      </c>
      <c r="IH27" s="423">
        <v>133.90781858385691</v>
      </c>
      <c r="II27" s="423">
        <v>134.23812321138107</v>
      </c>
      <c r="IJ27" s="423">
        <v>135.13836422983869</v>
      </c>
      <c r="IK27" s="423">
        <v>135.87678657405684</v>
      </c>
      <c r="IL27" s="423">
        <v>136.42386887224021</v>
      </c>
      <c r="IM27" s="423">
        <v>136.93551365475227</v>
      </c>
      <c r="IN27" s="423">
        <v>137.05169442191593</v>
      </c>
      <c r="IO27" s="423">
        <v>137.54158735082211</v>
      </c>
      <c r="IP27" s="423">
        <v>138.20030306292284</v>
      </c>
    </row>
    <row r="28" spans="5:316" x14ac:dyDescent="0.2">
      <c r="E28" t="s">
        <v>357</v>
      </c>
      <c r="AO28" s="13"/>
      <c r="AP28" s="13"/>
      <c r="AQ28" s="13"/>
      <c r="AR28" s="260"/>
      <c r="AS28" s="260"/>
      <c r="AT28" s="13"/>
      <c r="AU28" s="13"/>
      <c r="AV28" s="436" t="e">
        <f t="shared" si="341"/>
        <v>#DIV/0!</v>
      </c>
      <c r="AW28" s="436">
        <f t="shared" si="342"/>
        <v>88.153333333333322</v>
      </c>
      <c r="AX28" s="583">
        <f t="shared" si="343"/>
        <v>96.839166666666657</v>
      </c>
      <c r="AY28" s="436">
        <f t="shared" si="344"/>
        <v>114.90583333333332</v>
      </c>
      <c r="AZ28" s="436">
        <f t="shared" si="345"/>
        <v>133.64293224530465</v>
      </c>
      <c r="BA28" s="38">
        <f t="shared" si="346"/>
        <v>158.30364981255639</v>
      </c>
      <c r="BB28" s="38">
        <f t="shared" si="346"/>
        <v>163.49188001661858</v>
      </c>
      <c r="FZ28" s="726">
        <v>90.48</v>
      </c>
      <c r="GA28" s="726">
        <v>86.27</v>
      </c>
      <c r="GB28" s="726">
        <v>87.71</v>
      </c>
      <c r="GC28" s="726">
        <v>88.25</v>
      </c>
      <c r="GD28" s="726">
        <v>94.03</v>
      </c>
      <c r="GE28" s="726">
        <v>94.77</v>
      </c>
      <c r="GF28" s="726">
        <v>97.82</v>
      </c>
      <c r="GG28" s="423">
        <v>97.63</v>
      </c>
      <c r="GH28" s="423">
        <v>96.23</v>
      </c>
      <c r="GI28" s="423">
        <v>97.5</v>
      </c>
      <c r="GJ28" s="423">
        <v>99.13</v>
      </c>
      <c r="GK28" s="423">
        <v>100</v>
      </c>
      <c r="GL28" s="423">
        <v>99.75</v>
      </c>
      <c r="GM28" s="423">
        <v>98.66</v>
      </c>
      <c r="GN28" s="423">
        <v>98.3</v>
      </c>
      <c r="GO28" s="423">
        <v>103.84</v>
      </c>
      <c r="GP28" s="423">
        <v>104.45</v>
      </c>
      <c r="GQ28" s="423">
        <v>107.64</v>
      </c>
      <c r="GR28" s="423">
        <v>110.88</v>
      </c>
      <c r="GS28" s="423">
        <v>112.93</v>
      </c>
      <c r="GT28" s="423">
        <v>114.29</v>
      </c>
      <c r="GU28" s="423">
        <v>118.29</v>
      </c>
      <c r="GV28" s="423">
        <v>118.67</v>
      </c>
      <c r="GW28" s="423">
        <v>121.69</v>
      </c>
      <c r="GX28" s="423">
        <v>121.7</v>
      </c>
      <c r="GY28" s="423">
        <v>121.85</v>
      </c>
      <c r="GZ28" s="423">
        <v>122.64</v>
      </c>
      <c r="HA28" s="423">
        <v>123.34</v>
      </c>
      <c r="HB28" s="423">
        <v>124.82</v>
      </c>
      <c r="HC28" s="423">
        <v>126.36</v>
      </c>
      <c r="HD28" s="423">
        <v>128.85</v>
      </c>
      <c r="HE28" s="423">
        <v>129.5</v>
      </c>
      <c r="HF28" s="423">
        <v>130.96</v>
      </c>
      <c r="HG28" s="423">
        <v>133.1014021495871</v>
      </c>
      <c r="HH28" s="423">
        <v>135.71</v>
      </c>
      <c r="HI28" s="423">
        <v>141.71</v>
      </c>
      <c r="HJ28" s="423">
        <v>142.85378479406859</v>
      </c>
      <c r="HK28" s="423">
        <v>142.91999999999999</v>
      </c>
      <c r="HL28" s="423">
        <v>143.59</v>
      </c>
      <c r="HM28" s="423">
        <v>142.26</v>
      </c>
      <c r="HN28" s="423">
        <v>145.13</v>
      </c>
      <c r="HO28" s="423">
        <v>152.12500388473654</v>
      </c>
      <c r="HP28" s="423">
        <v>154.49</v>
      </c>
      <c r="HQ28" s="423">
        <v>154.04</v>
      </c>
      <c r="HR28" s="423">
        <v>151.19</v>
      </c>
      <c r="HS28" s="423">
        <v>152.33000000000001</v>
      </c>
      <c r="HT28" s="423">
        <v>155.07</v>
      </c>
      <c r="HU28" s="423">
        <v>155.38</v>
      </c>
      <c r="HV28" s="423">
        <v>155.71</v>
      </c>
      <c r="HW28" s="423">
        <v>155.41</v>
      </c>
      <c r="HX28" s="423">
        <v>158.30364981255639</v>
      </c>
      <c r="HY28" s="423">
        <v>163.49188001661858</v>
      </c>
      <c r="HZ28" s="423">
        <v>164.49049071140206</v>
      </c>
      <c r="IA28" s="423">
        <v>165.84836801138854</v>
      </c>
      <c r="IB28" s="423">
        <v>168.67</v>
      </c>
      <c r="IC28" s="423">
        <v>166.83536953519408</v>
      </c>
      <c r="ID28" s="423">
        <v>168.28775480188045</v>
      </c>
      <c r="IE28" s="423">
        <v>170.098525314894</v>
      </c>
      <c r="IF28" s="423">
        <v>171.00870289688191</v>
      </c>
      <c r="IG28" s="423">
        <v>171.97621263945368</v>
      </c>
      <c r="IH28" s="423">
        <v>172.53853339846179</v>
      </c>
      <c r="II28" s="423">
        <v>172.93057728319545</v>
      </c>
      <c r="IJ28" s="423">
        <v>170.64910024373461</v>
      </c>
      <c r="IK28" s="423">
        <v>171.48108345307966</v>
      </c>
      <c r="IL28" s="423">
        <v>175.42176927750668</v>
      </c>
      <c r="IM28" s="423">
        <v>171.75527868009016</v>
      </c>
      <c r="IN28" s="423">
        <v>169.74149130786131</v>
      </c>
      <c r="IO28" s="423">
        <v>169.8705166468425</v>
      </c>
      <c r="IP28" s="423">
        <v>169.93222527125164</v>
      </c>
    </row>
    <row r="29" spans="5:316" x14ac:dyDescent="0.2">
      <c r="E29" t="s">
        <v>358</v>
      </c>
      <c r="AO29" s="13"/>
      <c r="AP29" s="13"/>
      <c r="AQ29" s="13"/>
      <c r="AR29" s="260"/>
      <c r="AS29" s="260"/>
      <c r="AT29" s="13"/>
      <c r="AU29" s="13"/>
      <c r="AV29" s="436" t="e">
        <f t="shared" si="341"/>
        <v>#DIV/0!</v>
      </c>
      <c r="AW29" s="436">
        <f t="shared" si="342"/>
        <v>95.883333333333326</v>
      </c>
      <c r="AX29" s="583">
        <f t="shared" si="343"/>
        <v>98.44083333333333</v>
      </c>
      <c r="AY29" s="436">
        <f t="shared" si="344"/>
        <v>112.03499999999998</v>
      </c>
      <c r="AZ29" s="436">
        <f t="shared" si="345"/>
        <v>122.17095164541399</v>
      </c>
      <c r="BA29" s="38">
        <f t="shared" si="346"/>
        <v>128.55923253875125</v>
      </c>
      <c r="BB29" s="38">
        <f t="shared" si="346"/>
        <v>128.603060929045</v>
      </c>
      <c r="FZ29" s="726">
        <v>96.14</v>
      </c>
      <c r="GA29" s="726">
        <v>95.66</v>
      </c>
      <c r="GB29" s="726">
        <v>95.85</v>
      </c>
      <c r="GC29" s="726">
        <v>95.97</v>
      </c>
      <c r="GD29" s="726">
        <v>96.73</v>
      </c>
      <c r="GE29" s="726">
        <v>96.67</v>
      </c>
      <c r="GF29" s="726">
        <v>97.67</v>
      </c>
      <c r="GG29" s="423">
        <v>97.51</v>
      </c>
      <c r="GH29" s="423">
        <v>97.98</v>
      </c>
      <c r="GI29" s="423">
        <v>98.41</v>
      </c>
      <c r="GJ29" s="423">
        <v>99.47</v>
      </c>
      <c r="GK29" s="423">
        <v>100</v>
      </c>
      <c r="GL29" s="423">
        <v>99.5</v>
      </c>
      <c r="GM29" s="423">
        <v>100.08</v>
      </c>
      <c r="GN29" s="423">
        <v>101.3</v>
      </c>
      <c r="GO29" s="423">
        <v>102.84</v>
      </c>
      <c r="GP29" s="423">
        <v>110.21</v>
      </c>
      <c r="GQ29" s="423">
        <v>110.7</v>
      </c>
      <c r="GR29" s="423">
        <v>110.91</v>
      </c>
      <c r="GS29" s="423">
        <v>111.22</v>
      </c>
      <c r="GT29" s="423">
        <v>112.09</v>
      </c>
      <c r="GU29" s="423">
        <v>112.68</v>
      </c>
      <c r="GV29" s="423">
        <v>113.31</v>
      </c>
      <c r="GW29" s="423">
        <v>114.23</v>
      </c>
      <c r="GX29" s="423">
        <v>114.79</v>
      </c>
      <c r="GY29" s="423">
        <v>115.34</v>
      </c>
      <c r="GZ29" s="423">
        <v>116.1</v>
      </c>
      <c r="HA29" s="423">
        <v>117.64</v>
      </c>
      <c r="HB29" s="423">
        <v>119.28</v>
      </c>
      <c r="HC29" s="423">
        <v>120.71</v>
      </c>
      <c r="HD29" s="423">
        <v>121.05</v>
      </c>
      <c r="HE29" s="423">
        <v>121.39</v>
      </c>
      <c r="HF29" s="423">
        <v>122.19</v>
      </c>
      <c r="HG29" s="423">
        <v>122.53154437749139</v>
      </c>
      <c r="HH29" s="423">
        <v>123.01</v>
      </c>
      <c r="HI29" s="423">
        <v>123.74</v>
      </c>
      <c r="HJ29" s="423">
        <v>123.8698753674764</v>
      </c>
      <c r="HK29" s="423">
        <v>124.99</v>
      </c>
      <c r="HL29" s="423">
        <v>125.65</v>
      </c>
      <c r="HM29" s="423">
        <v>126.08</v>
      </c>
      <c r="HN29" s="423">
        <v>126.57</v>
      </c>
      <c r="HO29" s="423">
        <v>126.84403625689826</v>
      </c>
      <c r="HP29" s="423">
        <v>126.62</v>
      </c>
      <c r="HQ29" s="423">
        <v>126.69</v>
      </c>
      <c r="HR29" s="423">
        <v>127.04</v>
      </c>
      <c r="HS29" s="423">
        <v>127.19</v>
      </c>
      <c r="HT29" s="423">
        <v>127.27</v>
      </c>
      <c r="HU29" s="423">
        <v>127.65</v>
      </c>
      <c r="HV29" s="423">
        <v>127.94</v>
      </c>
      <c r="HW29" s="423">
        <v>128.09</v>
      </c>
      <c r="HX29" s="423">
        <v>128.55923253875125</v>
      </c>
      <c r="HY29" s="423">
        <v>128.603060929045</v>
      </c>
      <c r="HZ29" s="423">
        <v>128.82478182530954</v>
      </c>
      <c r="IA29" s="423">
        <v>129.11845452661535</v>
      </c>
      <c r="IB29" s="423">
        <v>129.74</v>
      </c>
      <c r="IC29" s="423">
        <v>129.77791076728013</v>
      </c>
      <c r="ID29" s="423">
        <v>129.79929434887114</v>
      </c>
      <c r="IE29" s="423">
        <v>129.86495777902061</v>
      </c>
      <c r="IF29" s="423">
        <v>129.84059793741164</v>
      </c>
      <c r="IG29" s="423">
        <v>129.83418797782033</v>
      </c>
      <c r="IH29" s="423">
        <v>129.9094017429118</v>
      </c>
      <c r="II29" s="423">
        <v>129.83052071279471</v>
      </c>
      <c r="IJ29" s="423">
        <v>130.10451953946458</v>
      </c>
      <c r="IK29" s="423">
        <v>130.50987664121266</v>
      </c>
      <c r="IL29" s="423">
        <v>130.76779674481151</v>
      </c>
      <c r="IM29" s="423">
        <v>130.3646104634893</v>
      </c>
      <c r="IN29" s="423">
        <v>130.15576880146332</v>
      </c>
      <c r="IO29" s="423">
        <v>130.64319823004612</v>
      </c>
      <c r="IP29" s="423">
        <v>130.94268376778874</v>
      </c>
    </row>
    <row r="30" spans="5:316" x14ac:dyDescent="0.2">
      <c r="E30" t="s">
        <v>119</v>
      </c>
      <c r="AO30" s="13"/>
      <c r="AP30" s="13"/>
      <c r="AQ30" s="13"/>
      <c r="AR30" s="260"/>
      <c r="AS30" s="260"/>
      <c r="AT30" s="13"/>
      <c r="AU30" s="13"/>
      <c r="AV30" s="436" t="e">
        <f t="shared" si="341"/>
        <v>#DIV/0!</v>
      </c>
      <c r="AW30" s="436">
        <f t="shared" si="342"/>
        <v>100.96333333333332</v>
      </c>
      <c r="AX30" s="583">
        <f t="shared" si="343"/>
        <v>99.892499999999984</v>
      </c>
      <c r="AY30" s="436">
        <f t="shared" si="344"/>
        <v>102.00333333333333</v>
      </c>
      <c r="AZ30" s="436">
        <f t="shared" si="345"/>
        <v>105.13732930532285</v>
      </c>
      <c r="BA30" s="38">
        <f t="shared" si="346"/>
        <v>108.48728832664024</v>
      </c>
      <c r="BB30" s="38">
        <f t="shared" si="346"/>
        <v>108.74610978944898</v>
      </c>
      <c r="FJ30" s="13"/>
      <c r="FK30" s="13"/>
      <c r="FL30" s="13"/>
      <c r="FZ30" s="726">
        <v>100.47</v>
      </c>
      <c r="GA30" s="726">
        <v>100.88</v>
      </c>
      <c r="GB30" s="726">
        <v>101.54</v>
      </c>
      <c r="GC30" s="726">
        <v>99.84</v>
      </c>
      <c r="GD30" s="726">
        <v>99.3</v>
      </c>
      <c r="GE30" s="726">
        <v>100.07</v>
      </c>
      <c r="GF30" s="726">
        <v>100.08</v>
      </c>
      <c r="GG30" s="423">
        <v>99.67</v>
      </c>
      <c r="GH30" s="423">
        <v>100.24</v>
      </c>
      <c r="GI30" s="423">
        <v>100.25</v>
      </c>
      <c r="GJ30" s="423">
        <v>100.13</v>
      </c>
      <c r="GK30" s="423">
        <v>100</v>
      </c>
      <c r="GL30" s="423">
        <v>99.04</v>
      </c>
      <c r="GM30" s="423">
        <v>99.73</v>
      </c>
      <c r="GN30" s="423">
        <v>100.36</v>
      </c>
      <c r="GO30" s="423">
        <v>100.41</v>
      </c>
      <c r="GP30" s="423">
        <v>101.4</v>
      </c>
      <c r="GQ30" s="423">
        <v>101.45</v>
      </c>
      <c r="GR30" s="423">
        <v>101.51</v>
      </c>
      <c r="GS30" s="423">
        <v>101.71</v>
      </c>
      <c r="GT30" s="423">
        <v>101.72</v>
      </c>
      <c r="GU30" s="423">
        <v>101.83</v>
      </c>
      <c r="GV30" s="423">
        <v>101.99</v>
      </c>
      <c r="GW30" s="423">
        <v>102.29</v>
      </c>
      <c r="GX30" s="423">
        <v>103.1</v>
      </c>
      <c r="GY30" s="423">
        <v>103.25</v>
      </c>
      <c r="GZ30" s="423">
        <v>103.38</v>
      </c>
      <c r="HA30" s="423">
        <v>103.83</v>
      </c>
      <c r="HB30" s="423">
        <v>103.89</v>
      </c>
      <c r="HC30" s="423">
        <v>104.25</v>
      </c>
      <c r="HD30" s="423">
        <v>104.74</v>
      </c>
      <c r="HE30" s="423">
        <v>105</v>
      </c>
      <c r="HF30" s="423">
        <v>105.06</v>
      </c>
      <c r="HG30" s="423">
        <v>105.56321152155445</v>
      </c>
      <c r="HH30" s="423">
        <v>105.31</v>
      </c>
      <c r="HI30" s="423">
        <v>105.35</v>
      </c>
      <c r="HJ30" s="423">
        <v>105.49474014231973</v>
      </c>
      <c r="HK30" s="423">
        <v>106.29</v>
      </c>
      <c r="HL30" s="423">
        <v>106.87</v>
      </c>
      <c r="HM30" s="423">
        <v>106.85</v>
      </c>
      <c r="HN30" s="423">
        <v>106.98</v>
      </c>
      <c r="HO30" s="423">
        <v>108.08433477381847</v>
      </c>
      <c r="HP30" s="423">
        <v>108.1</v>
      </c>
      <c r="HQ30" s="423">
        <v>108.1</v>
      </c>
      <c r="HR30" s="423">
        <v>108.1</v>
      </c>
      <c r="HS30" s="423">
        <v>108.39</v>
      </c>
      <c r="HT30" s="423">
        <v>108.4</v>
      </c>
      <c r="HU30" s="423">
        <v>108.4</v>
      </c>
      <c r="HV30" s="423">
        <v>108.48</v>
      </c>
      <c r="HW30" s="423">
        <v>108.5</v>
      </c>
      <c r="HX30" s="423">
        <v>108.48728832664024</v>
      </c>
      <c r="HY30" s="423">
        <v>108.74610978944898</v>
      </c>
      <c r="HZ30" s="423">
        <v>109.10738275912563</v>
      </c>
      <c r="IA30" s="423">
        <v>110.33181887746024</v>
      </c>
      <c r="IB30" s="423">
        <v>111.96</v>
      </c>
      <c r="IC30" s="423">
        <v>112.04448311308821</v>
      </c>
      <c r="ID30" s="423">
        <v>112.65808923136419</v>
      </c>
      <c r="IE30" s="423">
        <v>112.64867147009375</v>
      </c>
      <c r="IF30" s="423">
        <v>112.76831822858463</v>
      </c>
      <c r="IG30" s="423">
        <v>113.52394039205311</v>
      </c>
      <c r="IH30" s="423">
        <v>113.47036145090377</v>
      </c>
      <c r="II30" s="423">
        <v>113.47695391930704</v>
      </c>
      <c r="IJ30" s="423">
        <v>113.39283813916252</v>
      </c>
      <c r="IK30" s="423">
        <v>113.84208018428988</v>
      </c>
      <c r="IL30" s="423">
        <v>113.86447504157476</v>
      </c>
      <c r="IM30" s="423">
        <v>113.91374528132123</v>
      </c>
      <c r="IN30" s="423">
        <v>114.26487830695841</v>
      </c>
      <c r="IO30" s="423">
        <v>114.26533346255908</v>
      </c>
      <c r="IP30" s="423">
        <v>114.81999443032451</v>
      </c>
    </row>
    <row r="31" spans="5:316" x14ac:dyDescent="0.2">
      <c r="E31" t="s">
        <v>113</v>
      </c>
      <c r="AO31" s="13"/>
      <c r="AP31" s="13"/>
      <c r="AQ31" s="13"/>
      <c r="AR31" s="260"/>
      <c r="AS31" s="260"/>
      <c r="AT31" s="13"/>
      <c r="AU31" s="13"/>
      <c r="AV31" s="436" t="e">
        <f t="shared" si="341"/>
        <v>#DIV/0!</v>
      </c>
      <c r="AW31" s="436">
        <f t="shared" si="342"/>
        <v>100.57666666666667</v>
      </c>
      <c r="AX31" s="583">
        <f t="shared" si="343"/>
        <v>100.69583333333334</v>
      </c>
      <c r="AY31" s="436">
        <f t="shared" si="344"/>
        <v>108.12166666666666</v>
      </c>
      <c r="AZ31" s="436">
        <f t="shared" si="345"/>
        <v>114.69574286509487</v>
      </c>
      <c r="BA31" s="38">
        <f t="shared" si="346"/>
        <v>125.43076634029944</v>
      </c>
      <c r="BB31" s="38">
        <f t="shared" si="346"/>
        <v>125.60253620463143</v>
      </c>
      <c r="FJ31" s="13"/>
      <c r="FK31" s="13"/>
      <c r="FL31" s="13"/>
      <c r="FZ31" s="726">
        <v>100.92</v>
      </c>
      <c r="GA31" s="726">
        <v>100.39</v>
      </c>
      <c r="GB31" s="726">
        <v>100.42</v>
      </c>
      <c r="GC31" s="726">
        <v>100.98</v>
      </c>
      <c r="GD31" s="726">
        <v>101.25</v>
      </c>
      <c r="GE31" s="726">
        <v>100.92</v>
      </c>
      <c r="GF31" s="726">
        <v>102.02</v>
      </c>
      <c r="GG31" s="423">
        <v>99.92</v>
      </c>
      <c r="GH31" s="423">
        <v>100.46</v>
      </c>
      <c r="GI31" s="423">
        <v>100.24</v>
      </c>
      <c r="GJ31" s="423">
        <v>101.1</v>
      </c>
      <c r="GK31" s="423">
        <v>100</v>
      </c>
      <c r="GL31" s="423">
        <v>99.89</v>
      </c>
      <c r="GM31" s="423">
        <v>100.54</v>
      </c>
      <c r="GN31" s="423">
        <v>101.03</v>
      </c>
      <c r="GO31" s="423">
        <v>101.32</v>
      </c>
      <c r="GP31" s="423">
        <v>101.58</v>
      </c>
      <c r="GQ31" s="423">
        <v>104.21</v>
      </c>
      <c r="GR31" s="423">
        <v>106.05</v>
      </c>
      <c r="GS31" s="423">
        <v>107.89</v>
      </c>
      <c r="GT31" s="423">
        <v>108.87</v>
      </c>
      <c r="GU31" s="423">
        <v>110.18</v>
      </c>
      <c r="GV31" s="423">
        <v>109.99</v>
      </c>
      <c r="GW31" s="423">
        <v>110.78</v>
      </c>
      <c r="GX31" s="423">
        <v>111.67</v>
      </c>
      <c r="GY31" s="423">
        <v>112.58</v>
      </c>
      <c r="GZ31" s="423">
        <v>112.34</v>
      </c>
      <c r="HA31" s="423">
        <v>112.34</v>
      </c>
      <c r="HB31" s="423">
        <v>112.64</v>
      </c>
      <c r="HC31" s="423">
        <v>114.32</v>
      </c>
      <c r="HD31" s="423">
        <v>115.14</v>
      </c>
      <c r="HE31" s="423">
        <v>115.08</v>
      </c>
      <c r="HF31" s="423">
        <v>115.25</v>
      </c>
      <c r="HG31" s="423">
        <v>115.39721828426175</v>
      </c>
      <c r="HH31" s="423">
        <v>114.2</v>
      </c>
      <c r="HI31" s="423">
        <v>116.12</v>
      </c>
      <c r="HJ31" s="423">
        <v>114.67169609687657</v>
      </c>
      <c r="HK31" s="423">
        <v>115.22</v>
      </c>
      <c r="HL31" s="423">
        <v>115.97</v>
      </c>
      <c r="HM31" s="423">
        <v>115.39</v>
      </c>
      <c r="HN31" s="423">
        <v>115.43</v>
      </c>
      <c r="HO31" s="423">
        <v>115.77725857255514</v>
      </c>
      <c r="HP31" s="423">
        <v>119.96</v>
      </c>
      <c r="HQ31" s="423">
        <v>123.68</v>
      </c>
      <c r="HR31" s="423">
        <v>123.49</v>
      </c>
      <c r="HS31" s="423">
        <v>124.09</v>
      </c>
      <c r="HT31" s="423">
        <v>124.47</v>
      </c>
      <c r="HU31" s="423">
        <v>125.2</v>
      </c>
      <c r="HV31" s="423">
        <v>125.29</v>
      </c>
      <c r="HW31" s="423">
        <v>125.17</v>
      </c>
      <c r="HX31" s="423">
        <v>125.43076634029944</v>
      </c>
      <c r="HY31" s="423">
        <v>125.60253620463143</v>
      </c>
      <c r="HZ31" s="423">
        <v>125.86450982390319</v>
      </c>
      <c r="IA31" s="423">
        <v>125.83531903817037</v>
      </c>
      <c r="IB31" s="423">
        <v>126.34</v>
      </c>
      <c r="IC31" s="423">
        <v>126.5707347395047</v>
      </c>
      <c r="ID31" s="423">
        <v>126.8441752851587</v>
      </c>
      <c r="IE31" s="423">
        <v>127.09245701118373</v>
      </c>
      <c r="IF31" s="423">
        <v>127.11830898212551</v>
      </c>
      <c r="IG31" s="423">
        <v>127.73639145776612</v>
      </c>
      <c r="IH31" s="423">
        <v>127.31588198599457</v>
      </c>
      <c r="II31" s="423">
        <v>127.12460519223427</v>
      </c>
      <c r="IJ31" s="423">
        <v>126.09017059885683</v>
      </c>
      <c r="IK31" s="423">
        <v>125.58982379865735</v>
      </c>
      <c r="IL31" s="423">
        <v>124.14353642432872</v>
      </c>
      <c r="IM31" s="423">
        <v>122.77500654372434</v>
      </c>
      <c r="IN31" s="423">
        <v>123.48200975804306</v>
      </c>
      <c r="IO31" s="423">
        <v>124.2630700084748</v>
      </c>
      <c r="IP31" s="423">
        <v>125.14807358245393</v>
      </c>
    </row>
    <row r="32" spans="5:316" x14ac:dyDescent="0.2">
      <c r="E32" t="s">
        <v>359</v>
      </c>
      <c r="AO32" s="13"/>
      <c r="AP32" s="13"/>
      <c r="AQ32" s="13"/>
      <c r="AR32" s="260"/>
      <c r="AS32" s="260"/>
      <c r="AT32" s="13"/>
      <c r="AU32" s="13"/>
      <c r="AV32" s="436" t="e">
        <f t="shared" si="341"/>
        <v>#DIV/0!</v>
      </c>
      <c r="AW32" s="436">
        <f t="shared" si="342"/>
        <v>98.639999999999986</v>
      </c>
      <c r="AX32" s="583">
        <f t="shared" si="343"/>
        <v>99.394166666666663</v>
      </c>
      <c r="AY32" s="436">
        <f t="shared" si="344"/>
        <v>97.868333333333339</v>
      </c>
      <c r="AZ32" s="436">
        <f t="shared" si="345"/>
        <v>96.670901209369049</v>
      </c>
      <c r="BA32" s="38">
        <f t="shared" si="346"/>
        <v>96.728317414969979</v>
      </c>
      <c r="BB32" s="38">
        <f t="shared" si="346"/>
        <v>96.725707860629086</v>
      </c>
      <c r="FJ32" s="13"/>
      <c r="FK32" s="13"/>
      <c r="FL32" s="13"/>
      <c r="FZ32" s="726">
        <v>98.66</v>
      </c>
      <c r="GA32" s="726">
        <v>98.69</v>
      </c>
      <c r="GB32" s="726">
        <v>98.57</v>
      </c>
      <c r="GC32" s="726">
        <v>98.69</v>
      </c>
      <c r="GD32" s="726">
        <v>98.6</v>
      </c>
      <c r="GE32" s="726">
        <v>99.1</v>
      </c>
      <c r="GF32" s="726">
        <v>99.37</v>
      </c>
      <c r="GG32" s="423">
        <v>99.45</v>
      </c>
      <c r="GH32" s="423">
        <v>99.42</v>
      </c>
      <c r="GI32" s="423">
        <v>99.52</v>
      </c>
      <c r="GJ32" s="423">
        <v>99.49</v>
      </c>
      <c r="GK32" s="423">
        <v>100</v>
      </c>
      <c r="GL32" s="423">
        <v>99.82</v>
      </c>
      <c r="GM32" s="423">
        <v>99.91</v>
      </c>
      <c r="GN32" s="423">
        <v>99.36</v>
      </c>
      <c r="GO32" s="423">
        <v>98.48</v>
      </c>
      <c r="GP32" s="423">
        <v>97.32</v>
      </c>
      <c r="GQ32" s="423">
        <v>97.3</v>
      </c>
      <c r="GR32" s="423">
        <v>97.36</v>
      </c>
      <c r="GS32" s="423">
        <v>97.31</v>
      </c>
      <c r="GT32" s="423">
        <v>97.44</v>
      </c>
      <c r="GU32" s="423">
        <v>98.15</v>
      </c>
      <c r="GV32" s="423">
        <v>98.25</v>
      </c>
      <c r="GW32" s="423">
        <v>98.23</v>
      </c>
      <c r="GX32" s="423">
        <v>98.24</v>
      </c>
      <c r="GY32" s="423">
        <v>98.2</v>
      </c>
      <c r="GZ32" s="423">
        <v>98.14</v>
      </c>
      <c r="HA32" s="423">
        <v>98.06</v>
      </c>
      <c r="HB32" s="423">
        <v>96.55</v>
      </c>
      <c r="HC32" s="423">
        <v>96.62</v>
      </c>
      <c r="HD32" s="423">
        <v>96.68</v>
      </c>
      <c r="HE32" s="423">
        <v>96.64</v>
      </c>
      <c r="HF32" s="423">
        <v>96.54</v>
      </c>
      <c r="HG32" s="423">
        <v>96.57553269671422</v>
      </c>
      <c r="HH32" s="423">
        <v>96.58</v>
      </c>
      <c r="HI32" s="423">
        <v>96.58</v>
      </c>
      <c r="HJ32" s="423">
        <v>96.425281815714285</v>
      </c>
      <c r="HK32" s="423">
        <v>96.52</v>
      </c>
      <c r="HL32" s="423">
        <v>96.28</v>
      </c>
      <c r="HM32" s="423">
        <v>96.27</v>
      </c>
      <c r="HN32" s="423">
        <v>96.22</v>
      </c>
      <c r="HO32" s="423">
        <v>96.241208765861657</v>
      </c>
      <c r="HP32" s="423">
        <v>96.07</v>
      </c>
      <c r="HQ32" s="423">
        <v>95.96</v>
      </c>
      <c r="HR32" s="423">
        <v>95.99</v>
      </c>
      <c r="HS32" s="423">
        <v>96.46</v>
      </c>
      <c r="HT32" s="423">
        <v>96.55</v>
      </c>
      <c r="HU32" s="423">
        <v>96.58</v>
      </c>
      <c r="HV32" s="423">
        <v>96.59</v>
      </c>
      <c r="HW32" s="423">
        <v>96.61</v>
      </c>
      <c r="HX32" s="423">
        <v>96.728317414969979</v>
      </c>
      <c r="HY32" s="423">
        <v>96.725707860629086</v>
      </c>
      <c r="HZ32" s="423">
        <v>96.668345719430761</v>
      </c>
      <c r="IA32" s="423">
        <v>96.712750543277693</v>
      </c>
      <c r="IB32" s="423">
        <v>96.71</v>
      </c>
      <c r="IC32" s="423">
        <v>96.630182321761993</v>
      </c>
      <c r="ID32" s="423">
        <v>97.51959012517662</v>
      </c>
      <c r="IE32" s="423">
        <v>97.523517318900588</v>
      </c>
      <c r="IF32" s="423">
        <v>97.502518072227772</v>
      </c>
      <c r="IG32" s="423">
        <v>97.25463807717432</v>
      </c>
      <c r="IH32" s="423">
        <v>97.224289760538312</v>
      </c>
      <c r="II32" s="423">
        <v>97.208095063221862</v>
      </c>
      <c r="IJ32" s="423">
        <v>97.122273777112781</v>
      </c>
      <c r="IK32" s="423">
        <v>97.255732166450315</v>
      </c>
      <c r="IL32" s="423">
        <v>97.32702212869863</v>
      </c>
      <c r="IM32" s="423">
        <v>97.329850860507591</v>
      </c>
      <c r="IN32" s="423">
        <v>97.302420304911934</v>
      </c>
      <c r="IO32" s="423">
        <v>97.236929332546339</v>
      </c>
      <c r="IP32" s="423">
        <v>97.355105027917588</v>
      </c>
    </row>
    <row r="33" spans="5:258" x14ac:dyDescent="0.2">
      <c r="E33" t="s">
        <v>360</v>
      </c>
      <c r="AO33" s="13"/>
      <c r="AP33" s="13"/>
      <c r="AQ33" s="13"/>
      <c r="AR33" s="260"/>
      <c r="AS33" s="260"/>
      <c r="AT33" s="13"/>
      <c r="AU33" s="13"/>
      <c r="AV33" s="436" t="e">
        <f t="shared" si="341"/>
        <v>#DIV/0!</v>
      </c>
      <c r="AW33" s="436">
        <f t="shared" si="342"/>
        <v>95.19</v>
      </c>
      <c r="AX33" s="583">
        <f t="shared" si="343"/>
        <v>97.350833333333355</v>
      </c>
      <c r="AY33" s="436">
        <f t="shared" si="344"/>
        <v>100.24250000000002</v>
      </c>
      <c r="AZ33" s="436">
        <f t="shared" si="345"/>
        <v>110.19672658257831</v>
      </c>
      <c r="BA33" s="38">
        <f t="shared" si="346"/>
        <v>112.84856736143433</v>
      </c>
      <c r="BB33" s="38">
        <f t="shared" si="346"/>
        <v>113.00994496941524</v>
      </c>
      <c r="FJ33" s="13"/>
      <c r="FK33" s="13"/>
      <c r="FL33" s="13"/>
      <c r="FZ33" s="726">
        <v>95.6</v>
      </c>
      <c r="GA33" s="726">
        <v>94.87</v>
      </c>
      <c r="GB33" s="726">
        <v>95.1</v>
      </c>
      <c r="GC33" s="726">
        <v>95.39</v>
      </c>
      <c r="GD33" s="726">
        <v>95.92</v>
      </c>
      <c r="GE33" s="726">
        <v>95.8</v>
      </c>
      <c r="GF33" s="726">
        <v>96.49</v>
      </c>
      <c r="GG33" s="423">
        <v>97.2</v>
      </c>
      <c r="GH33" s="423">
        <v>96.83</v>
      </c>
      <c r="GI33" s="423">
        <v>97.56</v>
      </c>
      <c r="GJ33" s="423">
        <v>98.34</v>
      </c>
      <c r="GK33" s="423">
        <v>100</v>
      </c>
      <c r="GL33" s="423">
        <v>98.82</v>
      </c>
      <c r="GM33" s="423">
        <v>97.91</v>
      </c>
      <c r="GN33" s="423">
        <v>97.95</v>
      </c>
      <c r="GO33" s="423">
        <v>98.74</v>
      </c>
      <c r="GP33" s="423">
        <v>99.33</v>
      </c>
      <c r="GQ33" s="423">
        <v>99.44</v>
      </c>
      <c r="GR33" s="423">
        <v>99.46</v>
      </c>
      <c r="GS33" s="423">
        <v>99.55</v>
      </c>
      <c r="GT33" s="423">
        <v>100.35</v>
      </c>
      <c r="GU33" s="423">
        <v>100.62</v>
      </c>
      <c r="GV33" s="423">
        <v>101</v>
      </c>
      <c r="GW33" s="423">
        <v>101.08</v>
      </c>
      <c r="GX33" s="423">
        <v>101.06</v>
      </c>
      <c r="GY33" s="423">
        <v>101.15</v>
      </c>
      <c r="GZ33" s="423">
        <v>101.13</v>
      </c>
      <c r="HA33" s="423">
        <v>103.16</v>
      </c>
      <c r="HB33" s="423">
        <v>107.94</v>
      </c>
      <c r="HC33" s="423">
        <v>108.48</v>
      </c>
      <c r="HD33" s="423">
        <v>108.56</v>
      </c>
      <c r="HE33" s="423">
        <v>108.69</v>
      </c>
      <c r="HF33" s="423">
        <v>112.07</v>
      </c>
      <c r="HG33" s="423">
        <v>112.58655564793145</v>
      </c>
      <c r="HH33" s="423">
        <v>112.16</v>
      </c>
      <c r="HI33" s="423">
        <v>112.5</v>
      </c>
      <c r="HJ33" s="423">
        <v>112.32416334300861</v>
      </c>
      <c r="HK33" s="423">
        <v>112.11</v>
      </c>
      <c r="HL33" s="423">
        <v>111.78</v>
      </c>
      <c r="HM33" s="423">
        <v>112.37</v>
      </c>
      <c r="HN33" s="423">
        <v>111.79</v>
      </c>
      <c r="HO33" s="423">
        <v>111.86663253473188</v>
      </c>
      <c r="HP33" s="423">
        <v>112.36</v>
      </c>
      <c r="HQ33" s="423">
        <v>112.54</v>
      </c>
      <c r="HR33" s="423">
        <v>112.41</v>
      </c>
      <c r="HS33" s="423">
        <v>112.81</v>
      </c>
      <c r="HT33" s="423">
        <v>112.93</v>
      </c>
      <c r="HU33" s="423">
        <v>112.94</v>
      </c>
      <c r="HV33" s="423">
        <v>112.87</v>
      </c>
      <c r="HW33" s="423">
        <v>112.87</v>
      </c>
      <c r="HX33" s="423">
        <v>112.84856736143433</v>
      </c>
      <c r="HY33" s="423">
        <v>113.00994496941524</v>
      </c>
      <c r="HZ33" s="423">
        <v>113.14981110721554</v>
      </c>
      <c r="IA33" s="423">
        <v>113.30856906261666</v>
      </c>
      <c r="IB33" s="423">
        <v>113.24</v>
      </c>
      <c r="IC33" s="423">
        <v>113.25015911254496</v>
      </c>
      <c r="ID33" s="423">
        <v>113.33940401443142</v>
      </c>
      <c r="IE33" s="423">
        <v>113.46642071470669</v>
      </c>
      <c r="IF33" s="423">
        <v>113.50118573090845</v>
      </c>
      <c r="IG33" s="423">
        <v>113.63346849696956</v>
      </c>
      <c r="IH33" s="423">
        <v>113.63610110954444</v>
      </c>
      <c r="II33" s="423">
        <v>113.65223256803301</v>
      </c>
      <c r="IJ33" s="423">
        <v>113.53789671141676</v>
      </c>
      <c r="IK33" s="423">
        <v>113.71908252601041</v>
      </c>
      <c r="IL33" s="423">
        <v>113.9437886021835</v>
      </c>
      <c r="IM33" s="423">
        <v>113.63563884030344</v>
      </c>
      <c r="IN33" s="423">
        <v>113.52835132599017</v>
      </c>
      <c r="IO33" s="423">
        <v>114.00293202026344</v>
      </c>
      <c r="IP33" s="423">
        <v>115.04795239265067</v>
      </c>
    </row>
    <row r="34" spans="5:258" x14ac:dyDescent="0.2">
      <c r="E34" t="s">
        <v>118</v>
      </c>
      <c r="AO34" s="13"/>
      <c r="AP34" s="13"/>
      <c r="AQ34" s="13"/>
      <c r="AR34" s="260"/>
      <c r="AS34" s="260"/>
      <c r="AT34" s="13"/>
      <c r="AU34" s="13"/>
      <c r="AV34" s="436" t="e">
        <f t="shared" si="341"/>
        <v>#DIV/0!</v>
      </c>
      <c r="AW34" s="436">
        <f t="shared" si="342"/>
        <v>101.92333333333333</v>
      </c>
      <c r="AX34" s="583">
        <f t="shared" si="343"/>
        <v>101.5625</v>
      </c>
      <c r="AY34" s="436">
        <f t="shared" si="344"/>
        <v>105.69916666666664</v>
      </c>
      <c r="AZ34" s="436">
        <f t="shared" si="345"/>
        <v>110.51228753487044</v>
      </c>
      <c r="BA34" s="38">
        <f t="shared" si="346"/>
        <v>113.4022028120183</v>
      </c>
      <c r="BB34" s="38">
        <f t="shared" si="346"/>
        <v>119.14457258256013</v>
      </c>
      <c r="FJ34" s="13"/>
      <c r="FK34" s="13"/>
      <c r="FL34" s="13"/>
      <c r="FZ34" s="726">
        <v>100.9</v>
      </c>
      <c r="GA34" s="726">
        <v>102.35</v>
      </c>
      <c r="GB34" s="726">
        <v>102.52</v>
      </c>
      <c r="GC34" s="726">
        <v>102.59</v>
      </c>
      <c r="GD34" s="726">
        <v>102.45</v>
      </c>
      <c r="GE34" s="726">
        <v>102.85</v>
      </c>
      <c r="GF34" s="726">
        <v>103.43</v>
      </c>
      <c r="GG34" s="423">
        <v>102.59</v>
      </c>
      <c r="GH34" s="423">
        <v>102.19</v>
      </c>
      <c r="GI34" s="423">
        <v>101.48</v>
      </c>
      <c r="GJ34" s="423">
        <v>100.93</v>
      </c>
      <c r="GK34" s="423">
        <v>100</v>
      </c>
      <c r="GL34" s="423">
        <v>100.15</v>
      </c>
      <c r="GM34" s="423">
        <v>100.15</v>
      </c>
      <c r="GN34" s="423">
        <v>99.94</v>
      </c>
      <c r="GO34" s="423">
        <v>104.88</v>
      </c>
      <c r="GP34" s="423">
        <v>105.7</v>
      </c>
      <c r="GQ34" s="423">
        <v>105.72</v>
      </c>
      <c r="GR34" s="423">
        <v>105.74</v>
      </c>
      <c r="GS34" s="423">
        <v>105.79</v>
      </c>
      <c r="GT34" s="423">
        <v>105.79</v>
      </c>
      <c r="GU34" s="423">
        <v>105.79</v>
      </c>
      <c r="GV34" s="423">
        <v>105.79</v>
      </c>
      <c r="GW34" s="423">
        <v>105.79</v>
      </c>
      <c r="GX34" s="423">
        <v>105.79</v>
      </c>
      <c r="GY34" s="423">
        <v>105.82</v>
      </c>
      <c r="GZ34" s="423">
        <v>105.79</v>
      </c>
      <c r="HA34" s="423">
        <v>107.89</v>
      </c>
      <c r="HB34" s="423">
        <v>110.75</v>
      </c>
      <c r="HC34" s="423">
        <v>110.75</v>
      </c>
      <c r="HD34" s="423">
        <v>110.75</v>
      </c>
      <c r="HE34" s="423">
        <v>110.75</v>
      </c>
      <c r="HF34" s="423">
        <v>110.75</v>
      </c>
      <c r="HG34" s="423">
        <v>110.75372520922262</v>
      </c>
      <c r="HH34" s="423">
        <v>110.75</v>
      </c>
      <c r="HI34" s="423">
        <v>110.75</v>
      </c>
      <c r="HJ34" s="423">
        <v>110.75372520922262</v>
      </c>
      <c r="HK34" s="423">
        <v>110.75</v>
      </c>
      <c r="HL34" s="423">
        <v>110.75</v>
      </c>
      <c r="HM34" s="423">
        <v>112.46</v>
      </c>
      <c r="HN34" s="423">
        <v>113.16</v>
      </c>
      <c r="HO34" s="423">
        <v>113.15755574708287</v>
      </c>
      <c r="HP34" s="423">
        <v>113.16</v>
      </c>
      <c r="HQ34" s="423">
        <v>113.16</v>
      </c>
      <c r="HR34" s="423">
        <v>113.16</v>
      </c>
      <c r="HS34" s="423">
        <v>113.37</v>
      </c>
      <c r="HT34" s="423">
        <v>113.38</v>
      </c>
      <c r="HU34" s="423">
        <v>113.38</v>
      </c>
      <c r="HV34" s="423">
        <v>113.38</v>
      </c>
      <c r="HW34" s="423">
        <v>113.38</v>
      </c>
      <c r="HX34" s="423">
        <v>113.4022028120183</v>
      </c>
      <c r="HY34" s="423">
        <v>119.14457258256013</v>
      </c>
      <c r="HZ34" s="423">
        <v>119.15638271552325</v>
      </c>
      <c r="IA34" s="423">
        <v>119.16713428004132</v>
      </c>
      <c r="IB34" s="423">
        <v>119.18</v>
      </c>
      <c r="IC34" s="423">
        <v>119.1636843573681</v>
      </c>
      <c r="ID34" s="423">
        <v>119.16235283785618</v>
      </c>
      <c r="IE34" s="423">
        <v>119.16188622272374</v>
      </c>
      <c r="IF34" s="423">
        <v>119.16350457256836</v>
      </c>
      <c r="IG34" s="423">
        <v>119.16107282344271</v>
      </c>
      <c r="IH34" s="423">
        <v>119.1639603056356</v>
      </c>
      <c r="II34" s="423">
        <v>119.17091127945928</v>
      </c>
      <c r="IJ34" s="423">
        <v>119.16677986269323</v>
      </c>
      <c r="IK34" s="423">
        <v>120.54392144060495</v>
      </c>
      <c r="IL34" s="423">
        <v>121.80060229549591</v>
      </c>
      <c r="IM34" s="423">
        <v>121.79573820065343</v>
      </c>
      <c r="IN34" s="423">
        <v>123.07691889870354</v>
      </c>
      <c r="IO34" s="423">
        <v>123.07740915366712</v>
      </c>
      <c r="IP34" s="423">
        <v>123.07476016100307</v>
      </c>
    </row>
    <row r="35" spans="5:258" x14ac:dyDescent="0.2">
      <c r="E35" t="s">
        <v>361</v>
      </c>
      <c r="AO35" s="13"/>
      <c r="AP35" s="13"/>
      <c r="AQ35" s="13"/>
      <c r="AR35" s="260"/>
      <c r="AS35" s="260"/>
      <c r="AT35" s="13"/>
      <c r="AU35" s="13"/>
      <c r="AV35" s="436" t="e">
        <f t="shared" si="341"/>
        <v>#DIV/0!</v>
      </c>
      <c r="AW35" s="436">
        <f t="shared" si="342"/>
        <v>101.38666666666666</v>
      </c>
      <c r="AX35" s="583">
        <f t="shared" si="343"/>
        <v>100.62166666666667</v>
      </c>
      <c r="AY35" s="436">
        <f t="shared" si="344"/>
        <v>108.79583333333333</v>
      </c>
      <c r="AZ35" s="436">
        <f t="shared" si="345"/>
        <v>126.80814172372216</v>
      </c>
      <c r="BA35" s="38">
        <f t="shared" si="346"/>
        <v>134.73753181773628</v>
      </c>
      <c r="BB35" s="38">
        <f t="shared" si="346"/>
        <v>134.85466558928053</v>
      </c>
      <c r="FJ35" s="13"/>
      <c r="FK35" s="13"/>
      <c r="FL35" s="13"/>
      <c r="FZ35" s="726">
        <v>101.06</v>
      </c>
      <c r="GA35" s="726">
        <v>101.28</v>
      </c>
      <c r="GB35" s="726">
        <v>101.82</v>
      </c>
      <c r="GC35" s="726">
        <v>100.65</v>
      </c>
      <c r="GD35" s="726">
        <v>101.34</v>
      </c>
      <c r="GE35" s="726">
        <v>100.09</v>
      </c>
      <c r="GF35" s="726">
        <v>100.8</v>
      </c>
      <c r="GG35" s="423">
        <v>100.32</v>
      </c>
      <c r="GH35" s="423">
        <v>100.97</v>
      </c>
      <c r="GI35" s="423">
        <v>101.83</v>
      </c>
      <c r="GJ35" s="423">
        <v>101.75</v>
      </c>
      <c r="GK35" s="423">
        <v>100</v>
      </c>
      <c r="GL35" s="423">
        <v>99.55</v>
      </c>
      <c r="GM35" s="423">
        <v>99.8</v>
      </c>
      <c r="GN35" s="423">
        <v>100.36</v>
      </c>
      <c r="GO35" s="423">
        <v>103.56</v>
      </c>
      <c r="GP35" s="423">
        <v>105.25</v>
      </c>
      <c r="GQ35" s="423">
        <v>105.83</v>
      </c>
      <c r="GR35" s="423">
        <v>106.04</v>
      </c>
      <c r="GS35" s="423">
        <v>107.7</v>
      </c>
      <c r="GT35" s="423">
        <v>107.69</v>
      </c>
      <c r="GU35" s="423">
        <v>108.76</v>
      </c>
      <c r="GV35" s="423">
        <v>109.93</v>
      </c>
      <c r="GW35" s="423">
        <v>111.53</v>
      </c>
      <c r="GX35" s="423">
        <v>112.3</v>
      </c>
      <c r="GY35" s="423">
        <v>112.97</v>
      </c>
      <c r="GZ35" s="423">
        <v>113.99</v>
      </c>
      <c r="HA35" s="423">
        <v>116.86</v>
      </c>
      <c r="HB35" s="423">
        <v>121.88</v>
      </c>
      <c r="HC35" s="423">
        <v>125.07</v>
      </c>
      <c r="HD35" s="423">
        <v>126</v>
      </c>
      <c r="HE35" s="423">
        <v>126.59</v>
      </c>
      <c r="HF35" s="423">
        <v>126.83</v>
      </c>
      <c r="HG35" s="423">
        <v>126.25138459375624</v>
      </c>
      <c r="HH35" s="423">
        <v>127.53</v>
      </c>
      <c r="HI35" s="423">
        <v>131</v>
      </c>
      <c r="HJ35" s="423">
        <v>130.59631609090954</v>
      </c>
      <c r="HK35" s="423">
        <v>131.19</v>
      </c>
      <c r="HL35" s="423">
        <v>131.9</v>
      </c>
      <c r="HM35" s="423">
        <v>132.63</v>
      </c>
      <c r="HN35" s="423">
        <v>132.88999999999999</v>
      </c>
      <c r="HO35" s="423">
        <v>133.51505545252999</v>
      </c>
      <c r="HP35" s="423">
        <v>133.41999999999999</v>
      </c>
      <c r="HQ35" s="423">
        <v>133.53</v>
      </c>
      <c r="HR35" s="423">
        <v>133.78</v>
      </c>
      <c r="HS35" s="423">
        <v>133.66</v>
      </c>
      <c r="HT35" s="423">
        <v>133.83000000000001</v>
      </c>
      <c r="HU35" s="423">
        <v>133.9</v>
      </c>
      <c r="HV35" s="423">
        <v>134.35</v>
      </c>
      <c r="HW35" s="423">
        <v>134.69</v>
      </c>
      <c r="HX35" s="423">
        <v>134.73753181773628</v>
      </c>
      <c r="HY35" s="423">
        <v>134.85466558928053</v>
      </c>
      <c r="HZ35" s="423">
        <v>134.94444033850016</v>
      </c>
      <c r="IA35" s="423">
        <v>135.77768590183118</v>
      </c>
      <c r="IB35" s="423">
        <v>136.38</v>
      </c>
      <c r="IC35" s="423">
        <v>137.06233576732023</v>
      </c>
      <c r="ID35" s="423">
        <v>137.31739286061296</v>
      </c>
      <c r="IE35" s="423">
        <v>136.91094931073445</v>
      </c>
      <c r="IF35" s="423">
        <v>137.50846872365867</v>
      </c>
      <c r="IG35" s="423">
        <v>139.38213987289228</v>
      </c>
      <c r="IH35" s="423">
        <v>139.21504395384409</v>
      </c>
      <c r="II35" s="423">
        <v>138.94285296805367</v>
      </c>
      <c r="IJ35" s="423">
        <v>139.5021107306537</v>
      </c>
      <c r="IK35" s="423">
        <v>139.76728123590851</v>
      </c>
      <c r="IL35" s="423">
        <v>141.92522728705751</v>
      </c>
      <c r="IM35" s="423">
        <v>142.64046124919702</v>
      </c>
      <c r="IN35" s="423">
        <v>143.62483306432671</v>
      </c>
      <c r="IO35" s="423">
        <v>143.34836754301779</v>
      </c>
      <c r="IP35" s="423">
        <v>143.21804737321534</v>
      </c>
    </row>
    <row r="36" spans="5:258" x14ac:dyDescent="0.2">
      <c r="E36" t="s">
        <v>362</v>
      </c>
      <c r="AO36" s="13"/>
      <c r="AP36" s="13"/>
      <c r="AQ36" s="13"/>
      <c r="AR36" s="260"/>
      <c r="AS36" s="260"/>
      <c r="AT36" s="13"/>
      <c r="AU36" s="13"/>
      <c r="AV36" s="436" t="e">
        <f t="shared" si="341"/>
        <v>#DIV/0!</v>
      </c>
      <c r="AW36" s="436">
        <f t="shared" si="342"/>
        <v>95.436666666666667</v>
      </c>
      <c r="AX36" s="583">
        <f t="shared" si="343"/>
        <v>98.724166666666648</v>
      </c>
      <c r="AY36" s="436">
        <f t="shared" si="344"/>
        <v>103.33999999999999</v>
      </c>
      <c r="AZ36" s="436">
        <f t="shared" si="345"/>
        <v>114.38351956677435</v>
      </c>
      <c r="BA36" s="38">
        <f t="shared" si="346"/>
        <v>123.22439800452449</v>
      </c>
      <c r="BB36" s="38">
        <f t="shared" si="346"/>
        <v>123.53978034348374</v>
      </c>
      <c r="FJ36" s="13"/>
      <c r="FK36" s="13"/>
      <c r="FL36" s="13"/>
      <c r="FZ36" s="726">
        <v>95.42</v>
      </c>
      <c r="GA36" s="726">
        <v>95.1</v>
      </c>
      <c r="GB36" s="726">
        <v>95.79</v>
      </c>
      <c r="GC36" s="726">
        <v>96.08</v>
      </c>
      <c r="GD36" s="726">
        <v>98.4</v>
      </c>
      <c r="GE36" s="726">
        <v>96.88</v>
      </c>
      <c r="GF36" s="726">
        <v>97.49</v>
      </c>
      <c r="GG36" s="423">
        <v>97.26</v>
      </c>
      <c r="GH36" s="423">
        <v>98.61</v>
      </c>
      <c r="GI36" s="423">
        <v>99.81</v>
      </c>
      <c r="GJ36" s="423">
        <v>100.32</v>
      </c>
      <c r="GK36" s="423">
        <v>100</v>
      </c>
      <c r="GL36" s="423">
        <v>99.8</v>
      </c>
      <c r="GM36" s="423">
        <v>100.02</v>
      </c>
      <c r="GN36" s="423">
        <v>100.02</v>
      </c>
      <c r="GO36" s="423">
        <v>99.97</v>
      </c>
      <c r="GP36" s="423">
        <v>99.45</v>
      </c>
      <c r="GQ36" s="423">
        <v>100.71</v>
      </c>
      <c r="GR36" s="423">
        <v>100.82</v>
      </c>
      <c r="GS36" s="423">
        <v>100.98</v>
      </c>
      <c r="GT36" s="423">
        <v>101.42</v>
      </c>
      <c r="GU36" s="423">
        <v>103.26</v>
      </c>
      <c r="GV36" s="423">
        <v>103.85</v>
      </c>
      <c r="GW36" s="423">
        <v>106.47</v>
      </c>
      <c r="GX36" s="423">
        <v>106.77</v>
      </c>
      <c r="GY36" s="423">
        <v>107.78</v>
      </c>
      <c r="GZ36" s="423">
        <v>108.6</v>
      </c>
      <c r="HA36" s="423">
        <v>109.06</v>
      </c>
      <c r="HB36" s="423">
        <v>111.52</v>
      </c>
      <c r="HC36" s="423">
        <v>113.09</v>
      </c>
      <c r="HD36" s="423">
        <v>113.73</v>
      </c>
      <c r="HE36" s="423">
        <v>114.29</v>
      </c>
      <c r="HF36" s="423">
        <v>114.68</v>
      </c>
      <c r="HG36" s="423">
        <v>114.44547407225456</v>
      </c>
      <c r="HH36" s="423">
        <v>115.89</v>
      </c>
      <c r="HI36" s="423">
        <v>115.33</v>
      </c>
      <c r="HJ36" s="423">
        <v>115.73676072903794</v>
      </c>
      <c r="HK36" s="423">
        <v>116.35</v>
      </c>
      <c r="HL36" s="423">
        <v>118.48</v>
      </c>
      <c r="HM36" s="423">
        <v>118.7</v>
      </c>
      <c r="HN36" s="423">
        <v>118.86</v>
      </c>
      <c r="HO36" s="423">
        <v>118.77111108842379</v>
      </c>
      <c r="HP36" s="423">
        <v>119.69</v>
      </c>
      <c r="HQ36" s="423">
        <v>119.87</v>
      </c>
      <c r="HR36" s="423">
        <v>120.17</v>
      </c>
      <c r="HS36" s="423">
        <v>121.22</v>
      </c>
      <c r="HT36" s="423">
        <v>121.61</v>
      </c>
      <c r="HU36" s="423">
        <v>122.79</v>
      </c>
      <c r="HV36" s="423">
        <v>122.67</v>
      </c>
      <c r="HW36" s="423">
        <v>122.91</v>
      </c>
      <c r="HX36" s="423">
        <v>123.22439800452449</v>
      </c>
      <c r="HY36" s="423">
        <v>123.53978034348374</v>
      </c>
      <c r="HZ36" s="423">
        <v>124.27652848958338</v>
      </c>
      <c r="IA36" s="423">
        <v>124.99699724438169</v>
      </c>
      <c r="IB36" s="423">
        <v>128.9</v>
      </c>
      <c r="IC36" s="423">
        <v>129.77817701394923</v>
      </c>
      <c r="ID36" s="423">
        <v>129.92721154598982</v>
      </c>
      <c r="IE36" s="423">
        <v>129.42490228373634</v>
      </c>
      <c r="IF36" s="423">
        <v>129.57563676762661</v>
      </c>
      <c r="IG36" s="423">
        <v>129.71220600815019</v>
      </c>
      <c r="IH36" s="423">
        <v>129.46940654472985</v>
      </c>
      <c r="II36" s="423">
        <v>129.74134515671383</v>
      </c>
      <c r="IJ36" s="423">
        <v>129.70188398983041</v>
      </c>
      <c r="IK36" s="423">
        <v>130.08962506143152</v>
      </c>
      <c r="IL36" s="423">
        <v>130.78514599768121</v>
      </c>
      <c r="IM36" s="423">
        <v>130.97792909316306</v>
      </c>
      <c r="IN36" s="423">
        <v>130.95579052196621</v>
      </c>
      <c r="IO36" s="423">
        <v>131.32831120925499</v>
      </c>
      <c r="IP36" s="423">
        <v>131.39769465516963</v>
      </c>
    </row>
    <row r="37" spans="5:258" x14ac:dyDescent="0.2">
      <c r="E37" t="s">
        <v>363</v>
      </c>
      <c r="AO37" s="13"/>
      <c r="AP37" s="13"/>
      <c r="AQ37" s="13"/>
      <c r="AR37" s="260"/>
      <c r="AS37" s="260"/>
      <c r="AT37" s="13"/>
      <c r="AU37" s="13"/>
      <c r="AV37" s="436" t="e">
        <f t="shared" si="341"/>
        <v>#DIV/0!</v>
      </c>
      <c r="AW37" s="436">
        <f t="shared" si="342"/>
        <v>95.729999999999976</v>
      </c>
      <c r="AX37" s="583">
        <f t="shared" si="343"/>
        <v>99.874166666666667</v>
      </c>
      <c r="AY37" s="436">
        <f t="shared" si="344"/>
        <v>112.54916666666666</v>
      </c>
      <c r="AZ37" s="436">
        <f t="shared" si="345"/>
        <v>130.5586627350522</v>
      </c>
      <c r="BA37" s="38">
        <f t="shared" si="346"/>
        <v>144.07239061477983</v>
      </c>
      <c r="BB37" s="38">
        <f t="shared" si="346"/>
        <v>146.6021994098414</v>
      </c>
      <c r="FJ37" s="13"/>
      <c r="FK37" s="13"/>
      <c r="FL37" s="13"/>
      <c r="FZ37" s="726">
        <v>95.88</v>
      </c>
      <c r="GA37" s="726">
        <v>94.96</v>
      </c>
      <c r="GB37" s="726">
        <v>96.35</v>
      </c>
      <c r="GC37" s="726">
        <v>97.82</v>
      </c>
      <c r="GD37" s="726">
        <v>98.99</v>
      </c>
      <c r="GE37" s="726">
        <v>99.9</v>
      </c>
      <c r="GF37" s="726">
        <v>100.47</v>
      </c>
      <c r="GG37" s="423">
        <v>100.12</v>
      </c>
      <c r="GH37" s="423">
        <v>99.89</v>
      </c>
      <c r="GI37" s="423">
        <v>99.56</v>
      </c>
      <c r="GJ37" s="423">
        <v>99.94</v>
      </c>
      <c r="GK37" s="423">
        <v>100</v>
      </c>
      <c r="GL37" s="423">
        <v>99.9</v>
      </c>
      <c r="GM37" s="423">
        <v>100.2</v>
      </c>
      <c r="GN37" s="423">
        <v>101.7</v>
      </c>
      <c r="GO37" s="423">
        <v>104.1</v>
      </c>
      <c r="GP37" s="423">
        <v>106.41</v>
      </c>
      <c r="GQ37" s="423">
        <v>107.93</v>
      </c>
      <c r="GR37" s="423">
        <v>109.09</v>
      </c>
      <c r="GS37" s="423">
        <v>109.88</v>
      </c>
      <c r="GT37" s="423">
        <v>110.79</v>
      </c>
      <c r="GU37" s="423">
        <v>112.51</v>
      </c>
      <c r="GV37" s="423">
        <v>114.08</v>
      </c>
      <c r="GW37" s="423">
        <v>116.8</v>
      </c>
      <c r="GX37" s="423">
        <v>117.8</v>
      </c>
      <c r="GY37" s="423">
        <v>119.41</v>
      </c>
      <c r="GZ37" s="423">
        <v>121.79</v>
      </c>
      <c r="HA37" s="423">
        <v>124.64</v>
      </c>
      <c r="HB37" s="423">
        <v>127.05</v>
      </c>
      <c r="HC37" s="423">
        <v>128.38999999999999</v>
      </c>
      <c r="HD37" s="423">
        <v>129.44999999999999</v>
      </c>
      <c r="HE37" s="423">
        <v>129.91999999999999</v>
      </c>
      <c r="HF37" s="423">
        <v>130.06</v>
      </c>
      <c r="HG37" s="423">
        <v>130.19117413660433</v>
      </c>
      <c r="HH37" s="423">
        <v>131.09</v>
      </c>
      <c r="HI37" s="423">
        <v>132.58000000000001</v>
      </c>
      <c r="HJ37" s="423">
        <v>132.98277868402221</v>
      </c>
      <c r="HK37" s="423">
        <v>133.87</v>
      </c>
      <c r="HL37" s="423">
        <v>136.47999999999999</v>
      </c>
      <c r="HM37" s="423">
        <v>138.26</v>
      </c>
      <c r="HN37" s="423">
        <v>140.22999999999999</v>
      </c>
      <c r="HO37" s="423">
        <v>140.92772174826379</v>
      </c>
      <c r="HP37" s="423">
        <v>141.59</v>
      </c>
      <c r="HQ37" s="423">
        <v>140.76</v>
      </c>
      <c r="HR37" s="423">
        <v>140</v>
      </c>
      <c r="HS37" s="423">
        <v>140.01</v>
      </c>
      <c r="HT37" s="423">
        <v>139.93</v>
      </c>
      <c r="HU37" s="423">
        <v>140.61000000000001</v>
      </c>
      <c r="HV37" s="423">
        <v>141.38999999999999</v>
      </c>
      <c r="HW37" s="423">
        <v>142.22999999999999</v>
      </c>
      <c r="HX37" s="423">
        <v>144.07239061477983</v>
      </c>
      <c r="HY37" s="423">
        <v>146.6021994098414</v>
      </c>
      <c r="HZ37" s="423">
        <v>148.61781658187223</v>
      </c>
      <c r="IA37" s="423">
        <v>149.48596909913482</v>
      </c>
      <c r="IB37" s="423">
        <v>150.5</v>
      </c>
      <c r="IC37" s="423">
        <v>149.88679828965434</v>
      </c>
      <c r="ID37" s="423">
        <v>148.97756509130676</v>
      </c>
      <c r="IE37" s="423">
        <v>149.16024677088581</v>
      </c>
      <c r="IF37" s="423">
        <v>149.31456534665756</v>
      </c>
      <c r="IG37" s="423">
        <v>149.92883882940649</v>
      </c>
      <c r="IH37" s="423">
        <v>149.69821894032634</v>
      </c>
      <c r="II37" s="423">
        <v>150.540826751651</v>
      </c>
      <c r="IJ37" s="423">
        <v>150.91683059697888</v>
      </c>
      <c r="IK37" s="423">
        <v>152.43067430067492</v>
      </c>
      <c r="IL37" s="423">
        <v>154.82921027215576</v>
      </c>
      <c r="IM37" s="423">
        <v>155.88098012906485</v>
      </c>
      <c r="IN37" s="423">
        <v>157.20519053825754</v>
      </c>
      <c r="IO37" s="423">
        <v>157.8631128307579</v>
      </c>
      <c r="IP37" s="423">
        <v>158.12324340336056</v>
      </c>
    </row>
    <row r="38" spans="5:258" x14ac:dyDescent="0.2">
      <c r="E38" s="447" t="s">
        <v>364</v>
      </c>
      <c r="AO38" s="13"/>
      <c r="AP38" s="13"/>
      <c r="AQ38" s="13"/>
      <c r="AR38" s="260"/>
      <c r="AS38" s="260"/>
      <c r="AT38" s="13"/>
      <c r="AU38" s="13"/>
      <c r="AV38" s="436"/>
      <c r="AW38" s="436"/>
      <c r="AX38" s="583"/>
      <c r="AY38" s="436"/>
      <c r="AZ38" s="436"/>
      <c r="BA38" s="38"/>
      <c r="FJ38" s="13"/>
      <c r="FK38" s="13"/>
      <c r="FL38" s="13"/>
      <c r="FZ38" s="727"/>
      <c r="GA38" s="727"/>
      <c r="GB38" s="727"/>
      <c r="GC38" s="727"/>
      <c r="GD38" s="727"/>
      <c r="GE38" s="727"/>
      <c r="GF38" s="727"/>
      <c r="GG38" s="423"/>
      <c r="GH38" s="423"/>
      <c r="GI38" s="423"/>
      <c r="GJ38" s="423"/>
      <c r="GK38" s="423"/>
      <c r="GL38" s="423"/>
      <c r="GM38" s="423"/>
      <c r="GN38" s="423"/>
      <c r="GO38" s="423"/>
      <c r="GP38" s="423"/>
      <c r="GQ38" s="423"/>
      <c r="GR38" s="423"/>
      <c r="GS38" s="423"/>
      <c r="GT38" s="423"/>
      <c r="GU38" s="423"/>
      <c r="GV38" s="423"/>
      <c r="GW38" s="423"/>
      <c r="GX38" s="423"/>
      <c r="GY38" s="423"/>
      <c r="GZ38" s="423"/>
      <c r="HA38" s="423"/>
      <c r="HB38" s="423"/>
      <c r="HC38" s="423"/>
      <c r="HD38" s="423"/>
      <c r="HE38" s="423"/>
      <c r="HF38" s="423"/>
      <c r="HG38" s="423"/>
      <c r="HH38" s="423"/>
      <c r="HI38" s="423"/>
      <c r="HJ38" s="423"/>
      <c r="HK38" s="423"/>
      <c r="HL38" s="423"/>
      <c r="HM38" s="423"/>
      <c r="HN38" s="423"/>
      <c r="HO38" s="423"/>
      <c r="HP38" s="423"/>
      <c r="HQ38" s="423"/>
      <c r="HR38" s="423"/>
      <c r="HS38" s="423"/>
      <c r="HT38" s="423"/>
      <c r="HU38" s="423"/>
      <c r="HV38" s="423"/>
      <c r="HW38" s="423"/>
      <c r="HX38" s="423"/>
      <c r="HY38" s="423"/>
      <c r="HZ38" s="423"/>
      <c r="IA38" s="423"/>
      <c r="IB38" s="423"/>
      <c r="IC38" s="423"/>
      <c r="ID38" s="423"/>
      <c r="IE38" s="423"/>
      <c r="IF38" s="423"/>
      <c r="IG38" s="423"/>
      <c r="IH38" s="423"/>
      <c r="II38" s="423"/>
      <c r="IJ38" s="423"/>
      <c r="IK38" s="423"/>
      <c r="IL38" s="423"/>
      <c r="IM38" s="423"/>
      <c r="IN38" s="423"/>
      <c r="IO38" s="423"/>
      <c r="IP38" s="423"/>
    </row>
    <row r="39" spans="5:258" x14ac:dyDescent="0.2">
      <c r="E39" s="422" t="s">
        <v>365</v>
      </c>
      <c r="AO39" s="13"/>
      <c r="AP39" s="13"/>
      <c r="AQ39" s="13"/>
      <c r="AR39" s="260"/>
      <c r="AS39" s="260"/>
      <c r="AT39" s="13"/>
      <c r="AU39" s="13"/>
      <c r="AV39" s="436" t="e">
        <f t="shared" si="341"/>
        <v>#DIV/0!</v>
      </c>
      <c r="AW39" s="436">
        <f t="shared" si="342"/>
        <v>95.756666666666661</v>
      </c>
      <c r="AX39" s="583">
        <f t="shared" si="343"/>
        <v>100.84749999999998</v>
      </c>
      <c r="AY39" s="436">
        <f t="shared" ref="AY39:AY59" si="347">AVERAGE(GO39:GZ39)</f>
        <v>116.08499999999999</v>
      </c>
      <c r="AZ39" s="436">
        <f t="shared" ref="AZ39:AZ59" si="348">AVERAGE(HA39:HL39)</f>
        <v>139.50742083612101</v>
      </c>
      <c r="BA39" s="38">
        <f t="shared" ref="BA39:BA59" si="349">HX39</f>
        <v>156.07972656122263</v>
      </c>
      <c r="BB39" s="38" t="e">
        <f>#REF!</f>
        <v>#REF!</v>
      </c>
      <c r="FJ39" s="13"/>
      <c r="FK39" s="13"/>
      <c r="FL39" s="13"/>
      <c r="FZ39" s="726">
        <v>95.73</v>
      </c>
      <c r="GA39" s="726">
        <v>94.74</v>
      </c>
      <c r="GB39" s="726">
        <v>96.8</v>
      </c>
      <c r="GC39" s="726">
        <v>99.27</v>
      </c>
      <c r="GD39" s="726">
        <v>100.21</v>
      </c>
      <c r="GE39" s="726">
        <v>101.89</v>
      </c>
      <c r="GF39" s="726">
        <v>102.08</v>
      </c>
      <c r="GG39" s="423">
        <v>101.87</v>
      </c>
      <c r="GH39" s="423">
        <v>101.31</v>
      </c>
      <c r="GI39" s="423">
        <v>100.12</v>
      </c>
      <c r="GJ39" s="423">
        <v>100.12</v>
      </c>
      <c r="GK39" s="423">
        <v>100</v>
      </c>
      <c r="GL39" s="423">
        <v>99.98</v>
      </c>
      <c r="GM39" s="423">
        <v>100.47</v>
      </c>
      <c r="GN39" s="423">
        <v>102.85</v>
      </c>
      <c r="GO39" s="423">
        <v>105.88</v>
      </c>
      <c r="GP39" s="423">
        <v>108.87</v>
      </c>
      <c r="GQ39" s="423">
        <v>110.37</v>
      </c>
      <c r="GR39" s="423">
        <v>111.52</v>
      </c>
      <c r="GS39" s="423">
        <v>112.14</v>
      </c>
      <c r="GT39" s="423">
        <v>113.16</v>
      </c>
      <c r="GU39" s="423">
        <v>114.98</v>
      </c>
      <c r="GV39" s="423">
        <v>117.56</v>
      </c>
      <c r="GW39" s="423">
        <v>121.32</v>
      </c>
      <c r="GX39" s="423">
        <v>122.75</v>
      </c>
      <c r="GY39" s="423">
        <v>125.27</v>
      </c>
      <c r="GZ39" s="423">
        <v>129.19999999999999</v>
      </c>
      <c r="HA39" s="423">
        <v>133.63</v>
      </c>
      <c r="HB39" s="423">
        <v>136.63999999999999</v>
      </c>
      <c r="HC39" s="423">
        <v>137.88</v>
      </c>
      <c r="HD39" s="423">
        <v>139.02000000000001</v>
      </c>
      <c r="HE39" s="423">
        <v>139.58000000000001</v>
      </c>
      <c r="HF39" s="423">
        <v>139.11000000000001</v>
      </c>
      <c r="HG39" s="423">
        <v>138.36789194420734</v>
      </c>
      <c r="HH39" s="423">
        <v>139.33000000000001</v>
      </c>
      <c r="HI39" s="423">
        <v>140.51</v>
      </c>
      <c r="HJ39" s="423">
        <v>141.19115808924505</v>
      </c>
      <c r="HK39" s="423">
        <v>142.38999999999999</v>
      </c>
      <c r="HL39" s="423">
        <v>146.44</v>
      </c>
      <c r="HM39" s="423">
        <v>149.76</v>
      </c>
      <c r="HN39" s="423">
        <v>152.69</v>
      </c>
      <c r="HO39" s="423">
        <v>152.58642114741764</v>
      </c>
      <c r="HP39" s="423">
        <v>152.57</v>
      </c>
      <c r="HQ39" s="423">
        <v>150.38999999999999</v>
      </c>
      <c r="HR39" s="423">
        <v>149.44</v>
      </c>
      <c r="HS39" s="423">
        <v>150.24</v>
      </c>
      <c r="HT39" s="423">
        <v>149.29</v>
      </c>
      <c r="HU39" s="423">
        <v>150.18</v>
      </c>
      <c r="HV39" s="423">
        <v>151.56</v>
      </c>
      <c r="HW39" s="423">
        <v>153.16999999999999</v>
      </c>
      <c r="HX39" s="423">
        <v>156.07972656122263</v>
      </c>
      <c r="HY39" s="423">
        <v>159.68526002066278</v>
      </c>
      <c r="HZ39" s="423">
        <v>163.29019934339689</v>
      </c>
      <c r="IA39" s="423">
        <v>164.6037465791363</v>
      </c>
      <c r="IB39" s="423">
        <v>165.48</v>
      </c>
      <c r="IC39" s="423">
        <v>164.45355378816691</v>
      </c>
      <c r="ID39" s="423">
        <v>162.38476294256324</v>
      </c>
      <c r="IE39" s="423">
        <v>162.05666570483947</v>
      </c>
      <c r="IF39" s="423">
        <v>162.00557136931849</v>
      </c>
      <c r="IG39" s="423">
        <v>162.7200500465203</v>
      </c>
      <c r="IH39" s="423">
        <v>162.12007517655573</v>
      </c>
      <c r="II39" s="423">
        <v>163.79042723905036</v>
      </c>
      <c r="IJ39" s="423">
        <v>164.97831021790228</v>
      </c>
      <c r="IK39" s="423">
        <v>167.62313790098284</v>
      </c>
      <c r="IL39" s="423">
        <v>171.64863119044605</v>
      </c>
      <c r="IM39" s="423">
        <v>174.60094604439692</v>
      </c>
      <c r="IN39" s="423">
        <v>177.34496727093997</v>
      </c>
      <c r="IO39" s="423">
        <v>178.2872512015671</v>
      </c>
      <c r="IP39" s="423">
        <v>178.45058218312192</v>
      </c>
      <c r="IQ39" s="423">
        <v>179.13134378845049</v>
      </c>
      <c r="IR39" s="423">
        <v>178.42991443606704</v>
      </c>
      <c r="IS39" s="423">
        <v>178.08</v>
      </c>
    </row>
    <row r="40" spans="5:258" x14ac:dyDescent="0.2">
      <c r="E40" t="s">
        <v>366</v>
      </c>
      <c r="AO40" s="13"/>
      <c r="AP40" s="13"/>
      <c r="AQ40" s="13"/>
      <c r="AR40" s="260"/>
      <c r="AS40" s="260"/>
      <c r="AT40" s="13"/>
      <c r="AU40" s="13"/>
      <c r="AV40" s="436" t="e">
        <f t="shared" si="341"/>
        <v>#DIV/0!</v>
      </c>
      <c r="AW40" s="436">
        <f t="shared" si="342"/>
        <v>86.323333333333323</v>
      </c>
      <c r="AX40" s="583">
        <f t="shared" si="343"/>
        <v>94.277499999999989</v>
      </c>
      <c r="AY40" s="436">
        <f t="shared" si="347"/>
        <v>121.19749999999999</v>
      </c>
      <c r="AZ40" s="436">
        <f t="shared" si="348"/>
        <v>147.54003471488579</v>
      </c>
      <c r="BA40" s="38">
        <f t="shared" si="349"/>
        <v>178.3897631162381</v>
      </c>
      <c r="BB40" s="38">
        <f>HY39</f>
        <v>159.68526002066278</v>
      </c>
      <c r="FJ40" s="13"/>
      <c r="FK40" s="13"/>
      <c r="FL40" s="13"/>
      <c r="FZ40" s="726">
        <v>90.73</v>
      </c>
      <c r="GA40" s="726">
        <v>83.47</v>
      </c>
      <c r="GB40" s="726">
        <v>84.77</v>
      </c>
      <c r="GC40" s="726">
        <v>85.33</v>
      </c>
      <c r="GD40" s="726">
        <v>89.35</v>
      </c>
      <c r="GE40" s="726">
        <v>91.34</v>
      </c>
      <c r="GF40" s="726">
        <v>93.72</v>
      </c>
      <c r="GG40" s="423">
        <v>95.25</v>
      </c>
      <c r="GH40" s="423">
        <v>93.95</v>
      </c>
      <c r="GI40" s="423">
        <v>95.77</v>
      </c>
      <c r="GJ40" s="423">
        <v>98.84</v>
      </c>
      <c r="GK40" s="423">
        <v>100</v>
      </c>
      <c r="GL40" s="423">
        <v>96.92</v>
      </c>
      <c r="GM40" s="423">
        <v>95.63</v>
      </c>
      <c r="GN40" s="423">
        <v>95.23</v>
      </c>
      <c r="GO40" s="423">
        <v>101.61</v>
      </c>
      <c r="GP40" s="423">
        <v>100.93</v>
      </c>
      <c r="GQ40" s="423">
        <v>107</v>
      </c>
      <c r="GR40" s="423">
        <v>114.41</v>
      </c>
      <c r="GS40" s="423">
        <v>118.55</v>
      </c>
      <c r="GT40" s="423">
        <v>121.16</v>
      </c>
      <c r="GU40" s="423">
        <v>128.5</v>
      </c>
      <c r="GV40" s="423">
        <v>128.61000000000001</v>
      </c>
      <c r="GW40" s="423">
        <v>133.06</v>
      </c>
      <c r="GX40" s="423">
        <v>133.21</v>
      </c>
      <c r="GY40" s="423">
        <v>133.08000000000001</v>
      </c>
      <c r="GZ40" s="423">
        <v>134.25</v>
      </c>
      <c r="HA40" s="423">
        <v>132.24</v>
      </c>
      <c r="HB40" s="423">
        <v>134.72999999999999</v>
      </c>
      <c r="HC40" s="423">
        <v>138.44</v>
      </c>
      <c r="HD40" s="423">
        <v>142.96</v>
      </c>
      <c r="HE40" s="423">
        <v>143.63</v>
      </c>
      <c r="HF40" s="423">
        <v>146.06</v>
      </c>
      <c r="HG40" s="423">
        <v>149.46281687205018</v>
      </c>
      <c r="HH40" s="423">
        <v>150.36000000000001</v>
      </c>
      <c r="HI40" s="423">
        <v>158.9</v>
      </c>
      <c r="HJ40" s="423">
        <v>157.7075997065794</v>
      </c>
      <c r="HK40" s="423">
        <v>157.87</v>
      </c>
      <c r="HL40" s="423">
        <v>158.12</v>
      </c>
      <c r="HM40" s="423">
        <v>155.22999999999999</v>
      </c>
      <c r="HN40" s="423">
        <v>159.41999999999999</v>
      </c>
      <c r="HO40" s="423">
        <v>169.7707662267749</v>
      </c>
      <c r="HP40" s="423">
        <v>173.81</v>
      </c>
      <c r="HQ40" s="423">
        <v>172.51</v>
      </c>
      <c r="HR40" s="423">
        <v>167.7</v>
      </c>
      <c r="HS40" s="423">
        <v>168.75</v>
      </c>
      <c r="HT40" s="423">
        <v>173.27</v>
      </c>
      <c r="HU40" s="423">
        <v>174.09</v>
      </c>
      <c r="HV40" s="423">
        <v>174.44</v>
      </c>
      <c r="HW40" s="423">
        <v>173.69</v>
      </c>
      <c r="HX40" s="423">
        <v>178.3897631162381</v>
      </c>
      <c r="HY40" s="423">
        <v>184.24952531363201</v>
      </c>
      <c r="HZ40" s="423">
        <v>185.08070438024006</v>
      </c>
      <c r="IA40" s="423">
        <v>187.19568175706749</v>
      </c>
      <c r="IB40" s="423">
        <v>191.93</v>
      </c>
      <c r="IC40" s="423">
        <v>188.97498937807168</v>
      </c>
      <c r="ID40" s="423">
        <v>190.7045834069491</v>
      </c>
      <c r="IE40" s="423">
        <v>192.34989995589629</v>
      </c>
      <c r="IF40" s="423">
        <v>193.66439349075725</v>
      </c>
      <c r="IG40" s="423">
        <v>195.12063016501583</v>
      </c>
      <c r="IH40" s="423">
        <v>194.73157986537313</v>
      </c>
      <c r="II40" s="423">
        <v>194.83748970949401</v>
      </c>
      <c r="IJ40" s="423">
        <v>189.38453743467207</v>
      </c>
      <c r="IK40" s="423">
        <v>188.64420939869126</v>
      </c>
      <c r="IL40" s="423">
        <v>193.18256678643374</v>
      </c>
      <c r="IM40" s="423">
        <v>186.29951960887516</v>
      </c>
      <c r="IN40" s="423">
        <v>183.93404734026402</v>
      </c>
      <c r="IO40" s="423">
        <v>185.00511386641887</v>
      </c>
      <c r="IP40" s="423">
        <v>186.264502162951</v>
      </c>
    </row>
    <row r="41" spans="5:258" x14ac:dyDescent="0.2">
      <c r="E41" t="s">
        <v>367</v>
      </c>
      <c r="AO41" s="13"/>
      <c r="AP41" s="13"/>
      <c r="AQ41" s="13"/>
      <c r="AR41" s="260"/>
      <c r="AS41" s="260"/>
      <c r="AT41" s="13"/>
      <c r="AU41" s="13"/>
      <c r="AV41" s="436" t="e">
        <f t="shared" si="341"/>
        <v>#DIV/0!</v>
      </c>
      <c r="AW41" s="436">
        <f t="shared" si="342"/>
        <v>95.69</v>
      </c>
      <c r="AX41" s="583">
        <f t="shared" si="343"/>
        <v>98.72166666666665</v>
      </c>
      <c r="AY41" s="436">
        <f t="shared" si="347"/>
        <v>108.36416666666668</v>
      </c>
      <c r="AZ41" s="436">
        <f t="shared" si="348"/>
        <v>119.9623449464188</v>
      </c>
      <c r="BA41" s="38">
        <f t="shared" si="349"/>
        <v>131.55294618496879</v>
      </c>
      <c r="BB41" s="38">
        <f>HY40</f>
        <v>184.24952531363201</v>
      </c>
      <c r="FJ41" s="13"/>
      <c r="FK41" s="13"/>
      <c r="FL41" s="13"/>
      <c r="FZ41" s="726">
        <v>96.05</v>
      </c>
      <c r="GA41" s="726">
        <v>95.21</v>
      </c>
      <c r="GB41" s="726">
        <v>95.81</v>
      </c>
      <c r="GC41" s="726">
        <v>96.11</v>
      </c>
      <c r="GD41" s="726">
        <v>97.55</v>
      </c>
      <c r="GE41" s="726">
        <v>97.55</v>
      </c>
      <c r="GF41" s="726">
        <v>98.57</v>
      </c>
      <c r="GG41" s="423">
        <v>98.06</v>
      </c>
      <c r="GH41" s="423">
        <v>98.2</v>
      </c>
      <c r="GI41" s="423">
        <v>98.88</v>
      </c>
      <c r="GJ41" s="423">
        <v>99.74</v>
      </c>
      <c r="GK41" s="423">
        <v>100</v>
      </c>
      <c r="GL41" s="423">
        <v>99.8</v>
      </c>
      <c r="GM41" s="423">
        <v>99.88</v>
      </c>
      <c r="GN41" s="423">
        <v>100.32</v>
      </c>
      <c r="GO41" s="423">
        <v>102</v>
      </c>
      <c r="GP41" s="423">
        <v>103.5</v>
      </c>
      <c r="GQ41" s="423">
        <v>105.04</v>
      </c>
      <c r="GR41" s="423">
        <v>106.22</v>
      </c>
      <c r="GS41" s="423">
        <v>107.21</v>
      </c>
      <c r="GT41" s="423">
        <v>107.98</v>
      </c>
      <c r="GU41" s="423">
        <v>109.57</v>
      </c>
      <c r="GV41" s="423">
        <v>109.96</v>
      </c>
      <c r="GW41" s="423">
        <v>111.45</v>
      </c>
      <c r="GX41" s="423">
        <v>111.93</v>
      </c>
      <c r="GY41" s="423">
        <v>112.48</v>
      </c>
      <c r="GZ41" s="423">
        <v>113.03</v>
      </c>
      <c r="HA41" s="423">
        <v>114</v>
      </c>
      <c r="HB41" s="423">
        <v>115.7</v>
      </c>
      <c r="HC41" s="423">
        <v>117.14</v>
      </c>
      <c r="HD41" s="423">
        <v>118.12</v>
      </c>
      <c r="HE41" s="423">
        <v>118.48</v>
      </c>
      <c r="HF41" s="423">
        <v>119.34</v>
      </c>
      <c r="HG41" s="423">
        <v>120.51200706906775</v>
      </c>
      <c r="HH41" s="423">
        <v>121.33</v>
      </c>
      <c r="HI41" s="423">
        <v>123.19</v>
      </c>
      <c r="HJ41" s="423">
        <v>123.26613228795789</v>
      </c>
      <c r="HK41" s="423">
        <v>123.78</v>
      </c>
      <c r="HL41" s="423">
        <v>124.69</v>
      </c>
      <c r="HM41" s="423">
        <v>124.64</v>
      </c>
      <c r="HN41" s="423">
        <v>125.47</v>
      </c>
      <c r="HO41" s="423">
        <v>127.12676861158091</v>
      </c>
      <c r="HP41" s="423">
        <v>128.61000000000001</v>
      </c>
      <c r="HQ41" s="423">
        <v>129.36000000000001</v>
      </c>
      <c r="HR41" s="423">
        <v>128.82</v>
      </c>
      <c r="HS41" s="423">
        <v>129.34</v>
      </c>
      <c r="HT41" s="423">
        <v>130.18</v>
      </c>
      <c r="HU41" s="423">
        <v>130.63</v>
      </c>
      <c r="HV41" s="423">
        <v>130.79</v>
      </c>
      <c r="HW41" s="423">
        <v>130.81</v>
      </c>
      <c r="HX41" s="423">
        <v>131.55294618496879</v>
      </c>
      <c r="HY41" s="423">
        <v>132.96129981321442</v>
      </c>
      <c r="HZ41" s="423">
        <v>133.31966206573708</v>
      </c>
      <c r="IA41" s="423">
        <v>133.72342394279661</v>
      </c>
      <c r="IB41" s="423">
        <v>134.87</v>
      </c>
      <c r="IC41" s="423">
        <v>134.69877600063862</v>
      </c>
      <c r="ID41" s="423">
        <v>134.99855515879844</v>
      </c>
      <c r="IE41" s="423">
        <v>135.71380028955554</v>
      </c>
      <c r="IF41" s="423">
        <v>136.0822925621045</v>
      </c>
      <c r="IG41" s="423">
        <v>136.59208713553275</v>
      </c>
      <c r="IH41" s="423">
        <v>136.74657508208585</v>
      </c>
      <c r="II41" s="423">
        <v>136.72613565288688</v>
      </c>
      <c r="IJ41" s="423">
        <v>136.25563401679793</v>
      </c>
      <c r="IK41" s="423">
        <v>136.59025768833473</v>
      </c>
      <c r="IL41" s="423">
        <v>137.29244720769609</v>
      </c>
      <c r="IM41" s="423">
        <v>136.36261451904895</v>
      </c>
      <c r="IN41" s="423">
        <v>136.20645969918942</v>
      </c>
      <c r="IO41" s="423">
        <v>136.56789243377472</v>
      </c>
      <c r="IP41" s="423">
        <v>136.9289510645543</v>
      </c>
      <c r="IQ41" s="423">
        <v>137.55907741279518</v>
      </c>
      <c r="IR41" s="423">
        <v>138.34493718177683</v>
      </c>
      <c r="IS41" s="423">
        <v>139.19999999999999</v>
      </c>
    </row>
    <row r="42" spans="5:258" x14ac:dyDescent="0.2">
      <c r="E42" t="s">
        <v>368</v>
      </c>
      <c r="AO42" s="13"/>
      <c r="AP42" s="13"/>
      <c r="AQ42" s="13"/>
      <c r="AR42" s="260"/>
      <c r="AS42" s="260"/>
      <c r="AT42" s="13"/>
      <c r="AU42" s="13"/>
      <c r="AV42" s="436" t="e">
        <f t="shared" si="341"/>
        <v>#DIV/0!</v>
      </c>
      <c r="AW42" s="436">
        <f t="shared" si="342"/>
        <v>97.097203957777069</v>
      </c>
      <c r="AX42" s="583">
        <f t="shared" si="343"/>
        <v>99.389835458283002</v>
      </c>
      <c r="AY42" s="436">
        <f t="shared" si="347"/>
        <v>106.43131091514016</v>
      </c>
      <c r="AZ42" s="436">
        <f t="shared" si="348"/>
        <v>115.8174682058952</v>
      </c>
      <c r="BA42" s="38">
        <f t="shared" si="349"/>
        <v>125.08771231170385</v>
      </c>
      <c r="BB42" s="38">
        <f>HY41</f>
        <v>132.96129981321442</v>
      </c>
      <c r="FJ42" s="13"/>
      <c r="FK42" s="13"/>
      <c r="FL42" s="13"/>
      <c r="FZ42" s="728">
        <v>96.854549486544869</v>
      </c>
      <c r="GA42" s="728">
        <v>96.972648781645475</v>
      </c>
      <c r="GB42" s="728">
        <v>97.464413605140876</v>
      </c>
      <c r="GC42" s="728">
        <v>97.726610608085579</v>
      </c>
      <c r="GD42" s="728">
        <v>98.778937937763928</v>
      </c>
      <c r="GE42" s="728">
        <v>98.487365164739813</v>
      </c>
      <c r="GF42" s="728">
        <v>99.297878858212712</v>
      </c>
      <c r="GG42" s="423">
        <v>98.478849403829173</v>
      </c>
      <c r="GH42" s="423">
        <v>98.841640448386627</v>
      </c>
      <c r="GI42" s="423">
        <v>99.349742529602565</v>
      </c>
      <c r="GJ42" s="423">
        <v>99.876380802643254</v>
      </c>
      <c r="GK42" s="423">
        <v>100</v>
      </c>
      <c r="GL42" s="423">
        <v>100.23279245728649</v>
      </c>
      <c r="GM42" s="423">
        <v>100.51782728884598</v>
      </c>
      <c r="GN42" s="423">
        <v>101.09</v>
      </c>
      <c r="GO42" s="423">
        <v>102.06</v>
      </c>
      <c r="GP42" s="423">
        <v>103.83</v>
      </c>
      <c r="GQ42" s="423">
        <v>104.74</v>
      </c>
      <c r="GR42" s="423">
        <v>104.99</v>
      </c>
      <c r="GS42" s="423">
        <v>105.514</v>
      </c>
      <c r="GT42" s="423">
        <v>106.00173098168189</v>
      </c>
      <c r="GU42" s="423">
        <v>106.73</v>
      </c>
      <c r="GV42" s="423">
        <v>107.15</v>
      </c>
      <c r="GW42" s="423">
        <v>108.2</v>
      </c>
      <c r="GX42" s="423">
        <v>108.74</v>
      </c>
      <c r="GY42" s="423">
        <v>109.38</v>
      </c>
      <c r="GZ42" s="423">
        <v>109.84</v>
      </c>
      <c r="HA42" s="423">
        <v>111.26</v>
      </c>
      <c r="HB42" s="423">
        <v>112.84</v>
      </c>
      <c r="HC42" s="423">
        <v>113.94</v>
      </c>
      <c r="HD42" s="423">
        <v>114.39</v>
      </c>
      <c r="HE42" s="423">
        <v>114.7</v>
      </c>
      <c r="HF42" s="423">
        <v>115.32</v>
      </c>
      <c r="HG42" s="423">
        <v>116.16039819850754</v>
      </c>
      <c r="HH42" s="423">
        <v>116.96</v>
      </c>
      <c r="HI42" s="423">
        <v>117.83</v>
      </c>
      <c r="HJ42" s="423">
        <v>118.08922027223466</v>
      </c>
      <c r="HK42" s="423">
        <v>118.66</v>
      </c>
      <c r="HL42" s="423">
        <v>119.66</v>
      </c>
      <c r="HM42" s="423">
        <v>120.04</v>
      </c>
      <c r="HN42" s="423">
        <v>120.37</v>
      </c>
      <c r="HO42" s="423">
        <v>120.71693069819503</v>
      </c>
      <c r="HP42" s="423">
        <v>121.81</v>
      </c>
      <c r="HQ42" s="423">
        <v>122.87</v>
      </c>
      <c r="HR42" s="423">
        <v>122.98</v>
      </c>
      <c r="HS42" s="423">
        <v>123.9</v>
      </c>
      <c r="HT42" s="423">
        <v>124.23</v>
      </c>
      <c r="HU42" s="423">
        <v>124.63</v>
      </c>
      <c r="HV42" s="423">
        <v>124.77</v>
      </c>
      <c r="HW42" s="423">
        <v>124.9</v>
      </c>
      <c r="HX42" s="423">
        <v>125.08771231170385</v>
      </c>
      <c r="HY42" s="423">
        <v>125.88160493788712</v>
      </c>
      <c r="HZ42" s="423">
        <v>126.17470077218243</v>
      </c>
      <c r="IA42" s="423">
        <v>126.34225085821038</v>
      </c>
      <c r="IB42" s="423">
        <v>126.99</v>
      </c>
      <c r="IC42" s="423">
        <v>127.20662695568375</v>
      </c>
      <c r="ID42" s="423">
        <v>127.30903814265487</v>
      </c>
      <c r="IE42" s="423">
        <v>127.89589860443965</v>
      </c>
      <c r="IF42" s="423">
        <v>128.13380729326158</v>
      </c>
      <c r="IG42" s="423">
        <v>128.51295743074638</v>
      </c>
      <c r="IH42" s="423">
        <v>128.74247400031371</v>
      </c>
      <c r="II42" s="423">
        <v>128.70459364204967</v>
      </c>
      <c r="IJ42" s="423">
        <v>128.92185669092379</v>
      </c>
      <c r="IK42" s="423">
        <v>129.40486393433665</v>
      </c>
      <c r="IL42" s="423">
        <v>129.57751869725664</v>
      </c>
      <c r="IM42" s="423">
        <v>129.46945244130714</v>
      </c>
      <c r="IN42" s="423">
        <v>129.61826612576391</v>
      </c>
      <c r="IO42" s="423">
        <v>129.88</v>
      </c>
      <c r="IP42" s="423">
        <v>130.12</v>
      </c>
      <c r="IQ42" s="423">
        <v>130.55000000000001</v>
      </c>
      <c r="IR42" s="423">
        <v>130.99</v>
      </c>
      <c r="IS42" s="423">
        <v>131.31</v>
      </c>
    </row>
    <row r="43" spans="5:258" x14ac:dyDescent="0.2">
      <c r="E43" t="s">
        <v>369</v>
      </c>
      <c r="AO43" s="13"/>
      <c r="AP43" s="13"/>
      <c r="AQ43" s="13"/>
      <c r="AR43" s="260"/>
      <c r="AS43" s="260"/>
      <c r="AT43" s="13"/>
      <c r="AU43" s="13"/>
      <c r="AV43" s="436"/>
      <c r="AW43" s="436"/>
      <c r="AX43" s="436"/>
      <c r="AY43" s="436"/>
      <c r="AZ43" s="436"/>
      <c r="BA43" s="38"/>
      <c r="FJ43" s="13"/>
      <c r="FK43" s="13"/>
      <c r="FL43" s="13"/>
      <c r="FZ43" s="444"/>
      <c r="GA43" s="444"/>
      <c r="GB43" s="444"/>
      <c r="GC43" s="444"/>
      <c r="GD43" s="444"/>
      <c r="GE43" s="444"/>
      <c r="GF43" s="444"/>
      <c r="GG43" s="444"/>
      <c r="GH43" s="444"/>
      <c r="GI43" s="444"/>
      <c r="GJ43" s="444"/>
      <c r="GK43" s="446"/>
      <c r="GL43" s="446">
        <f t="shared" ref="GL43:GV43" si="350">GL42/FZ42-1</f>
        <v>3.4879548649502823E-2</v>
      </c>
      <c r="GM43" s="446">
        <f t="shared" si="350"/>
        <v>3.6558540493033531E-2</v>
      </c>
      <c r="GN43" s="446">
        <f t="shared" si="350"/>
        <v>3.7199078727826906E-2</v>
      </c>
      <c r="GO43" s="446">
        <f t="shared" si="350"/>
        <v>4.434195931845708E-2</v>
      </c>
      <c r="GP43" s="446">
        <f t="shared" si="350"/>
        <v>5.1135010840251294E-2</v>
      </c>
      <c r="GQ43" s="446">
        <f t="shared" si="350"/>
        <v>6.3486669836292142E-2</v>
      </c>
      <c r="GR43" s="446">
        <f t="shared" si="350"/>
        <v>5.7323693186992042E-2</v>
      </c>
      <c r="GS43" s="446">
        <f t="shared" si="350"/>
        <v>7.1438188390301027E-2</v>
      </c>
      <c r="GT43" s="446">
        <f t="shared" si="350"/>
        <v>7.2440021238155516E-2</v>
      </c>
      <c r="GU43" s="446">
        <f t="shared" si="350"/>
        <v>7.4285622513801552E-2</v>
      </c>
      <c r="GV43" s="446">
        <f t="shared" si="350"/>
        <v>7.2826219161159722E-2</v>
      </c>
      <c r="GW43" s="446">
        <f t="shared" ref="GW43:HE43" si="351">GW42/GK42-1</f>
        <v>8.2000000000000073E-2</v>
      </c>
      <c r="GX43" s="446">
        <f t="shared" si="351"/>
        <v>8.4874494006926815E-2</v>
      </c>
      <c r="GY43" s="446">
        <f t="shared" si="351"/>
        <v>8.8165183730920305E-2</v>
      </c>
      <c r="GZ43" s="446">
        <f t="shared" si="351"/>
        <v>8.6556533781778633E-2</v>
      </c>
      <c r="HA43" s="446">
        <f t="shared" si="351"/>
        <v>9.0143053106016113E-2</v>
      </c>
      <c r="HB43" s="446">
        <f t="shared" si="351"/>
        <v>8.6776461523644377E-2</v>
      </c>
      <c r="HC43" s="446">
        <f t="shared" si="351"/>
        <v>8.7836547641779728E-2</v>
      </c>
      <c r="HD43" s="446">
        <f t="shared" si="351"/>
        <v>8.9532336412991853E-2</v>
      </c>
      <c r="HE43" s="446">
        <f t="shared" si="351"/>
        <v>8.7059537123035824E-2</v>
      </c>
      <c r="HF43" s="446">
        <f t="shared" ref="HF43" si="352">HF42/GT42-1</f>
        <v>8.7906762767189006E-2</v>
      </c>
      <c r="HG43" s="446">
        <f t="shared" ref="HG43" si="353">HG42/GU42-1</f>
        <v>8.8357520833013403E-2</v>
      </c>
      <c r="HH43" s="446">
        <f t="shared" ref="HH43" si="354">HH42/GV42-1</f>
        <v>9.1553896406906032E-2</v>
      </c>
      <c r="HI43" s="500"/>
      <c r="HJ43" s="502"/>
      <c r="HK43" s="502"/>
      <c r="HL43" s="502"/>
      <c r="HM43" s="501"/>
      <c r="HN43" s="501"/>
      <c r="HR43" s="500"/>
      <c r="HS43" s="500"/>
      <c r="HT43" s="502"/>
      <c r="HU43" s="502"/>
      <c r="HV43" s="502"/>
      <c r="HW43" s="501"/>
      <c r="HX43" s="501"/>
    </row>
    <row r="44" spans="5:258" ht="15.75" x14ac:dyDescent="0.2">
      <c r="E44" s="442" t="s">
        <v>331</v>
      </c>
      <c r="AO44" s="13"/>
      <c r="AP44" s="13"/>
      <c r="AQ44" s="13"/>
      <c r="AR44" s="260"/>
      <c r="AS44" s="260"/>
      <c r="AT44" s="13"/>
      <c r="AU44" s="13"/>
      <c r="AV44" s="436"/>
      <c r="AW44" s="436"/>
      <c r="AX44" s="436"/>
      <c r="AY44" s="436"/>
      <c r="AZ44" s="436"/>
      <c r="BA44" s="38"/>
      <c r="FJ44" s="13"/>
      <c r="FK44" s="13"/>
      <c r="FL44" s="13"/>
      <c r="HI44" s="500"/>
      <c r="HJ44" s="502"/>
      <c r="HK44" s="502"/>
      <c r="HL44" s="502"/>
      <c r="HM44" s="501"/>
      <c r="HN44" s="501"/>
      <c r="HR44" s="500"/>
      <c r="HS44" s="500"/>
      <c r="HT44" s="502"/>
      <c r="HU44" s="502"/>
      <c r="HV44" s="502"/>
      <c r="HW44" s="501"/>
      <c r="HX44" s="501"/>
      <c r="HY44" s="503"/>
      <c r="HZ44" s="33"/>
      <c r="IA44" s="312"/>
      <c r="IB44" s="312"/>
      <c r="IC44" s="312"/>
      <c r="ID44" s="312"/>
      <c r="IE44" s="312"/>
      <c r="IF44" s="312"/>
      <c r="IG44" s="312"/>
      <c r="IH44" s="312"/>
      <c r="II44" s="33"/>
      <c r="IT44" s="444"/>
      <c r="IU44" s="444"/>
      <c r="IV44" s="444"/>
      <c r="IW44" s="444"/>
      <c r="IX44" s="444"/>
    </row>
    <row r="45" spans="5:258" ht="15.75" x14ac:dyDescent="0.2">
      <c r="E45" s="442" t="s">
        <v>332</v>
      </c>
      <c r="AO45" s="13"/>
      <c r="AP45" s="13"/>
      <c r="AQ45" s="13"/>
      <c r="AR45" s="260"/>
      <c r="AS45" s="260"/>
      <c r="AT45" s="13"/>
      <c r="AU45" s="13"/>
      <c r="AV45" s="436"/>
      <c r="AW45" s="436"/>
      <c r="AX45" s="436"/>
      <c r="AY45" s="436"/>
      <c r="AZ45" s="436"/>
      <c r="BA45" s="38"/>
      <c r="FJ45" s="13"/>
      <c r="FK45" s="13"/>
      <c r="FL45" s="13"/>
      <c r="HI45" s="500"/>
      <c r="HJ45" s="502"/>
      <c r="HK45" s="502"/>
      <c r="HL45" s="502"/>
      <c r="HM45" s="501"/>
      <c r="HN45" s="501"/>
      <c r="HR45" s="500"/>
      <c r="HS45" s="500"/>
      <c r="HT45" s="502"/>
      <c r="HU45" s="502"/>
      <c r="HV45" s="502"/>
      <c r="HW45" s="501"/>
      <c r="HX45" s="501"/>
      <c r="HY45" s="503"/>
      <c r="IU45" s="714"/>
      <c r="IV45" s="714"/>
      <c r="IW45" s="444"/>
      <c r="IX45" s="714"/>
    </row>
    <row r="46" spans="5:258" ht="15.75" x14ac:dyDescent="0.2">
      <c r="E46" s="442" t="s">
        <v>333</v>
      </c>
      <c r="AO46" s="13"/>
      <c r="AP46" s="13"/>
      <c r="AQ46" s="13"/>
      <c r="AR46" s="260"/>
      <c r="AS46" s="260"/>
      <c r="AT46" s="13"/>
      <c r="AU46" s="13"/>
      <c r="AV46" s="436"/>
      <c r="AW46" s="436"/>
      <c r="AX46" s="436"/>
      <c r="AY46" s="436"/>
      <c r="AZ46" s="436"/>
      <c r="BA46" s="38"/>
      <c r="FJ46" s="13"/>
      <c r="FK46" s="13"/>
      <c r="FL46" s="13"/>
      <c r="HR46" s="500"/>
      <c r="HS46" s="500"/>
      <c r="HT46" s="502"/>
      <c r="HU46" s="502"/>
      <c r="HV46" s="502"/>
      <c r="HW46" s="501"/>
      <c r="HX46" s="501"/>
      <c r="HY46" s="503"/>
      <c r="IR46" s="444"/>
      <c r="IS46" s="713"/>
      <c r="IT46" s="714"/>
      <c r="IU46" s="714"/>
      <c r="IV46" s="714"/>
      <c r="IW46" s="444"/>
      <c r="IX46" s="714"/>
    </row>
    <row r="47" spans="5:258" ht="15.75" x14ac:dyDescent="0.2">
      <c r="AO47" s="13"/>
      <c r="AP47" s="13"/>
      <c r="AQ47" s="13"/>
      <c r="AR47" s="260"/>
      <c r="AS47" s="260"/>
      <c r="AT47" s="13"/>
      <c r="AU47" s="13"/>
      <c r="AV47" s="436"/>
      <c r="AW47" s="436"/>
      <c r="AX47" s="436"/>
      <c r="AY47" s="436"/>
      <c r="AZ47" s="436"/>
      <c r="BA47" s="38"/>
      <c r="FJ47" s="13"/>
      <c r="FK47" s="13"/>
      <c r="FL47" s="13"/>
      <c r="HR47" s="500"/>
      <c r="HS47" s="502"/>
      <c r="HT47" s="502"/>
      <c r="HU47" s="502"/>
      <c r="HV47" s="501"/>
      <c r="HW47" s="501"/>
      <c r="IR47" s="444"/>
      <c r="IS47" s="713"/>
      <c r="IT47" s="714"/>
      <c r="IU47" s="714"/>
      <c r="IV47" s="714"/>
      <c r="IW47" s="444"/>
      <c r="IX47" s="714"/>
    </row>
    <row r="48" spans="5:258" ht="15.75" x14ac:dyDescent="0.2">
      <c r="E48" s="452" t="s">
        <v>375</v>
      </c>
      <c r="AO48" s="13"/>
      <c r="AP48" s="13"/>
      <c r="AQ48" s="13"/>
      <c r="AR48" s="260"/>
      <c r="AS48" s="260"/>
      <c r="AT48" s="13"/>
      <c r="AU48" s="13"/>
      <c r="AV48" s="436"/>
      <c r="AW48" s="436"/>
      <c r="AX48" s="436"/>
      <c r="AY48" s="436"/>
      <c r="AZ48" s="436"/>
      <c r="BA48" s="38"/>
      <c r="CK48" s="449"/>
      <c r="CL48" s="449"/>
      <c r="CM48" s="449"/>
      <c r="CN48" s="449"/>
      <c r="CO48" s="449"/>
      <c r="CP48" s="449"/>
      <c r="CQ48" s="449"/>
      <c r="CR48" s="449"/>
      <c r="CS48" s="449"/>
      <c r="CT48" s="449"/>
      <c r="CU48" s="449"/>
      <c r="CV48" s="449"/>
      <c r="CW48" s="449"/>
      <c r="CX48" s="449"/>
      <c r="CY48" s="449"/>
      <c r="CZ48" s="449"/>
      <c r="DA48" s="449"/>
      <c r="DB48" s="449"/>
      <c r="DC48" s="449"/>
      <c r="DD48" s="449"/>
      <c r="DE48" s="449"/>
      <c r="DF48" s="449"/>
      <c r="DG48" s="449"/>
      <c r="DH48" s="449"/>
      <c r="DI48" s="449"/>
      <c r="DJ48" s="449"/>
      <c r="DK48" s="449"/>
      <c r="DL48" s="449"/>
      <c r="DM48" s="449"/>
      <c r="DN48" s="449"/>
      <c r="DO48" s="449"/>
      <c r="DP48" s="449"/>
      <c r="DQ48" s="449"/>
      <c r="DR48" s="449"/>
      <c r="DS48" s="449"/>
      <c r="DT48" s="449"/>
      <c r="DU48" s="449"/>
      <c r="DV48" s="449"/>
      <c r="DW48" s="449"/>
      <c r="DX48" s="449"/>
      <c r="DY48" s="449"/>
      <c r="DZ48" s="449"/>
      <c r="EA48" s="449"/>
      <c r="EB48" s="449"/>
      <c r="EC48" s="449"/>
      <c r="ED48" s="449"/>
      <c r="EE48" s="449"/>
      <c r="EF48" s="449"/>
      <c r="EG48" s="449"/>
      <c r="EH48" s="449"/>
      <c r="EI48" s="449"/>
      <c r="EJ48" s="449"/>
      <c r="EK48" s="449"/>
      <c r="EL48" s="449"/>
      <c r="EM48" s="449"/>
      <c r="EN48" s="449"/>
      <c r="EO48" s="449"/>
      <c r="EP48" s="449"/>
      <c r="EQ48" s="449"/>
      <c r="ER48" s="449"/>
      <c r="ES48" s="450"/>
      <c r="ET48" s="450"/>
      <c r="EU48" s="450"/>
      <c r="EV48" s="450"/>
      <c r="EW48" s="450"/>
      <c r="EX48" s="18"/>
      <c r="EY48" s="18"/>
      <c r="EZ48" s="18"/>
      <c r="FA48" s="18"/>
      <c r="FB48" s="18"/>
      <c r="FC48" s="18"/>
      <c r="FD48" s="18"/>
      <c r="FE48" s="18"/>
      <c r="FF48" s="18"/>
      <c r="FG48" s="18"/>
      <c r="FH48" s="18"/>
      <c r="FI48" s="18"/>
      <c r="FJ48" s="18"/>
      <c r="FK48" s="18"/>
      <c r="FL48" s="18"/>
      <c r="FM48" s="18"/>
      <c r="FN48" s="18"/>
      <c r="FO48" s="18"/>
      <c r="FP48" s="18"/>
      <c r="FQ48" s="18"/>
      <c r="FR48" s="18"/>
      <c r="FS48" s="18"/>
      <c r="FT48" s="18"/>
      <c r="FU48" s="18"/>
      <c r="FV48" s="18"/>
      <c r="FW48" s="18"/>
      <c r="FX48" s="18"/>
      <c r="FY48" s="18"/>
      <c r="FZ48" s="18"/>
      <c r="GA48" s="18"/>
      <c r="GB48" s="18"/>
      <c r="GC48" s="18"/>
      <c r="GD48" s="18"/>
      <c r="GE48" s="18"/>
      <c r="GF48" s="18"/>
      <c r="GG48" s="18"/>
      <c r="GH48" s="18"/>
      <c r="GI48" s="18"/>
      <c r="GJ48" s="18"/>
      <c r="GK48" s="18"/>
      <c r="GL48" s="18"/>
      <c r="GM48" s="450"/>
      <c r="GN48" s="450"/>
      <c r="GO48" s="450"/>
      <c r="GP48" s="450"/>
      <c r="GQ48" s="450"/>
      <c r="GR48" s="450"/>
      <c r="GS48" s="450"/>
      <c r="GT48" s="450"/>
      <c r="GU48" s="450"/>
      <c r="GV48" s="450"/>
      <c r="GW48" s="450"/>
      <c r="GX48" s="450"/>
      <c r="GY48" s="450"/>
      <c r="GZ48" s="450"/>
      <c r="HA48" s="450"/>
      <c r="HB48" s="450"/>
      <c r="HC48" s="450"/>
      <c r="HD48" s="450"/>
      <c r="HE48" s="450"/>
      <c r="HF48" s="450"/>
      <c r="HG48" s="450"/>
      <c r="IR48" s="444"/>
      <c r="IS48" s="713"/>
      <c r="IT48" s="714"/>
      <c r="IU48" s="714"/>
      <c r="IV48" s="714"/>
      <c r="IW48" s="444"/>
      <c r="IX48" s="714"/>
    </row>
    <row r="49" spans="5:278" ht="15.75" x14ac:dyDescent="0.2">
      <c r="E49" t="s">
        <v>370</v>
      </c>
      <c r="AO49" s="584" t="e">
        <f t="shared" ref="AO49:AO59" si="355">AVERAGE(BY49:CJ49)</f>
        <v>#DIV/0!</v>
      </c>
      <c r="AP49" s="451">
        <f t="shared" ref="AP49:AP59" si="356">AVERAGE(CK49:CV49)</f>
        <v>11762.416666666666</v>
      </c>
      <c r="AQ49" s="451">
        <f t="shared" ref="AQ49:AQ59" si="357">AVERAGE(CW49:DH49)</f>
        <v>15953.25</v>
      </c>
      <c r="AR49" s="451">
        <f t="shared" ref="AR49:AR59" si="358">AVERAGE(DI49:DT49)</f>
        <v>18608.833333333332</v>
      </c>
      <c r="AS49" s="451">
        <f t="shared" ref="AS49:AS59" si="359">AVERAGE(DU49:EF49)</f>
        <v>16717.166666666668</v>
      </c>
      <c r="AT49" s="451">
        <f t="shared" ref="AT49:AT59" si="360">AVERAGE(EG49:ER49)</f>
        <v>24995.221874999999</v>
      </c>
      <c r="AU49" s="451">
        <f t="shared" ref="AU49:AU59" si="361">AVERAGE(ES49:FD49)</f>
        <v>20290.355794554092</v>
      </c>
      <c r="AV49" s="585">
        <f t="shared" si="341"/>
        <v>31756.560747756143</v>
      </c>
      <c r="AW49" s="585">
        <f t="shared" si="342"/>
        <v>37306.37380604288</v>
      </c>
      <c r="AX49" s="585">
        <f t="shared" ref="AX49:AX59" si="362">AVERAGE(GC49:GN49)</f>
        <v>34052.583333333336</v>
      </c>
      <c r="AY49" s="585">
        <f t="shared" si="347"/>
        <v>42011.280263157896</v>
      </c>
      <c r="AZ49" s="585">
        <f t="shared" si="348"/>
        <v>52819.372266427694</v>
      </c>
      <c r="BA49" s="585">
        <f t="shared" si="349"/>
        <v>54648.800000000003</v>
      </c>
      <c r="CK49" s="451">
        <v>14363</v>
      </c>
      <c r="CL49" s="451">
        <v>14716</v>
      </c>
      <c r="CM49" s="451">
        <v>15267</v>
      </c>
      <c r="CN49" s="451">
        <v>14055</v>
      </c>
      <c r="CO49" s="451">
        <v>10987</v>
      </c>
      <c r="CP49" s="451">
        <v>9035</v>
      </c>
      <c r="CQ49" s="451">
        <v>9190</v>
      </c>
      <c r="CR49" s="451">
        <v>9237</v>
      </c>
      <c r="CS49" s="451">
        <v>10005</v>
      </c>
      <c r="CT49" s="451">
        <v>11262</v>
      </c>
      <c r="CU49" s="451">
        <v>11446</v>
      </c>
      <c r="CV49" s="451">
        <v>11586</v>
      </c>
      <c r="CW49" s="451">
        <v>13471</v>
      </c>
      <c r="CX49" s="451">
        <v>12413</v>
      </c>
      <c r="CY49" s="451">
        <v>13028</v>
      </c>
      <c r="CZ49" s="451">
        <v>14089</v>
      </c>
      <c r="DA49" s="451">
        <v>14333</v>
      </c>
      <c r="DB49" s="451">
        <v>15025</v>
      </c>
      <c r="DC49" s="451">
        <v>16347</v>
      </c>
      <c r="DD49" s="451">
        <v>17215</v>
      </c>
      <c r="DE49" s="451">
        <v>17323</v>
      </c>
      <c r="DF49" s="451">
        <v>17713</v>
      </c>
      <c r="DG49" s="451">
        <v>18678</v>
      </c>
      <c r="DH49" s="451">
        <v>21804</v>
      </c>
      <c r="DI49" s="451">
        <v>25260</v>
      </c>
      <c r="DJ49" s="451">
        <v>25957</v>
      </c>
      <c r="DK49" s="451">
        <v>25816</v>
      </c>
      <c r="DL49" s="451">
        <v>21154</v>
      </c>
      <c r="DM49" s="451">
        <v>15855</v>
      </c>
      <c r="DN49" s="451">
        <v>13400</v>
      </c>
      <c r="DO49" s="451">
        <v>13997</v>
      </c>
      <c r="DP49" s="451">
        <v>16069</v>
      </c>
      <c r="DQ49" s="451">
        <v>16239</v>
      </c>
      <c r="DR49" s="451">
        <v>16440</v>
      </c>
      <c r="DS49" s="451">
        <v>16652</v>
      </c>
      <c r="DT49" s="451">
        <v>16467</v>
      </c>
      <c r="DU49" s="451">
        <v>16221</v>
      </c>
      <c r="DV49" s="451">
        <v>14298</v>
      </c>
      <c r="DW49" s="451">
        <v>14656</v>
      </c>
      <c r="DX49" s="451">
        <v>15500</v>
      </c>
      <c r="DY49" s="451">
        <v>16020</v>
      </c>
      <c r="DZ49" s="451">
        <v>17072</v>
      </c>
      <c r="EA49" s="451">
        <v>16839</v>
      </c>
      <c r="EB49" s="451">
        <v>16372</v>
      </c>
      <c r="EC49" s="451">
        <v>16402</v>
      </c>
      <c r="ED49" s="451">
        <v>16364</v>
      </c>
      <c r="EE49" s="451">
        <v>18763</v>
      </c>
      <c r="EF49" s="451">
        <v>22099</v>
      </c>
      <c r="EG49" s="451">
        <v>29945</v>
      </c>
      <c r="EH49" s="451">
        <v>30594</v>
      </c>
      <c r="EI49" s="451">
        <v>32046</v>
      </c>
      <c r="EJ49" s="451">
        <v>33136</v>
      </c>
      <c r="EK49" s="451">
        <v>29711</v>
      </c>
      <c r="EL49" s="451">
        <v>25833</v>
      </c>
      <c r="EM49" s="451">
        <v>22309</v>
      </c>
      <c r="EN49" s="451">
        <v>20596.662500000002</v>
      </c>
      <c r="EO49" s="451">
        <v>19705</v>
      </c>
      <c r="EP49" s="451">
        <v>19416</v>
      </c>
      <c r="EQ49" s="451">
        <v>18716</v>
      </c>
      <c r="ER49" s="451">
        <v>17935</v>
      </c>
      <c r="ES49" s="451">
        <v>18368.73777777778</v>
      </c>
      <c r="ET49" s="451">
        <v>18343</v>
      </c>
      <c r="EU49" s="451">
        <v>18571.520243421051</v>
      </c>
      <c r="EV49" s="451">
        <v>16756.111055555557</v>
      </c>
      <c r="EW49" s="451">
        <v>16998.900457894739</v>
      </c>
      <c r="EX49" s="451">
        <v>16665</v>
      </c>
      <c r="EY49" s="451">
        <v>17653</v>
      </c>
      <c r="EZ49" s="451">
        <v>19326</v>
      </c>
      <c r="FA49" s="451">
        <v>21756</v>
      </c>
      <c r="FB49" s="451">
        <v>23530</v>
      </c>
      <c r="FC49" s="451">
        <v>25542</v>
      </c>
      <c r="FD49" s="451">
        <v>29974</v>
      </c>
      <c r="FE49" s="451">
        <v>33452.400000000001</v>
      </c>
      <c r="FF49" s="451">
        <v>36293.315789473687</v>
      </c>
      <c r="FG49" s="451">
        <v>35678.111111111109</v>
      </c>
      <c r="FH49" s="451">
        <v>33305.631578947367</v>
      </c>
      <c r="FI49" s="451">
        <v>30278</v>
      </c>
      <c r="FJ49" s="451">
        <v>28475.842105263157</v>
      </c>
      <c r="FK49" s="451">
        <v>28623</v>
      </c>
      <c r="FL49" s="451">
        <v>28627.15</v>
      </c>
      <c r="FM49" s="451">
        <v>29062.076923076922</v>
      </c>
      <c r="FN49" s="451">
        <v>31642.153846153848</v>
      </c>
      <c r="FO49" s="451">
        <v>30947.047619047618</v>
      </c>
      <c r="FP49" s="451">
        <v>34694</v>
      </c>
      <c r="FQ49" s="451">
        <v>36417.333333333336</v>
      </c>
      <c r="FR49" s="451">
        <v>39259</v>
      </c>
      <c r="FS49" s="451">
        <v>38138.444444444445</v>
      </c>
      <c r="FT49" s="451">
        <v>35900</v>
      </c>
      <c r="FU49" s="451">
        <v>34568.42105263158</v>
      </c>
      <c r="FV49" s="451">
        <v>34323.73684210526</v>
      </c>
      <c r="FW49" s="451">
        <v>34119.15</v>
      </c>
      <c r="FX49" s="451">
        <v>35043.550000000003</v>
      </c>
      <c r="FY49" s="451">
        <v>36790.85</v>
      </c>
      <c r="FZ49" s="451">
        <v>38364</v>
      </c>
      <c r="GA49" s="451">
        <v>40886</v>
      </c>
      <c r="GB49" s="451">
        <v>43866</v>
      </c>
      <c r="GC49" s="451">
        <v>46790</v>
      </c>
      <c r="GD49" s="451">
        <v>45739</v>
      </c>
      <c r="GE49" s="451">
        <v>41464</v>
      </c>
      <c r="GF49" s="451">
        <v>34600</v>
      </c>
      <c r="GG49" s="451">
        <v>29774</v>
      </c>
      <c r="GH49" s="451">
        <v>29381</v>
      </c>
      <c r="GI49" s="451">
        <v>27596</v>
      </c>
      <c r="GJ49" s="451">
        <v>28187</v>
      </c>
      <c r="GK49" s="451">
        <v>28942</v>
      </c>
      <c r="GL49" s="451">
        <v>30108</v>
      </c>
      <c r="GM49" s="451">
        <v>31803</v>
      </c>
      <c r="GN49" s="451">
        <v>34247</v>
      </c>
      <c r="GO49" s="451">
        <v>35086</v>
      </c>
      <c r="GP49" s="451">
        <v>38376</v>
      </c>
      <c r="GQ49" s="451">
        <v>43322</v>
      </c>
      <c r="GR49" s="451">
        <v>43706</v>
      </c>
      <c r="GS49" s="451">
        <v>41942.949999999997</v>
      </c>
      <c r="GT49" s="451">
        <v>45070.26315789474</v>
      </c>
      <c r="GU49" s="451">
        <v>44639.25</v>
      </c>
      <c r="GV49" s="451">
        <v>41994</v>
      </c>
      <c r="GW49" s="451">
        <v>42195</v>
      </c>
      <c r="GX49" s="451">
        <v>42452.800000000003</v>
      </c>
      <c r="GY49" s="451">
        <v>42381</v>
      </c>
      <c r="GZ49" s="451">
        <v>42970.1</v>
      </c>
      <c r="HA49" s="451">
        <v>44259.4</v>
      </c>
      <c r="HB49" s="451">
        <v>42449.1</v>
      </c>
      <c r="HC49" s="451">
        <v>42918.5</v>
      </c>
      <c r="HD49" s="451">
        <v>46934.9</v>
      </c>
      <c r="HE49" s="451">
        <v>52318.3</v>
      </c>
      <c r="HF49" s="451">
        <v>52326</v>
      </c>
      <c r="HG49" s="451">
        <v>52071.631578947367</v>
      </c>
      <c r="HH49" s="451">
        <v>50311.052631578947</v>
      </c>
      <c r="HI49" s="451">
        <v>54290.570175438603</v>
      </c>
      <c r="HJ49" s="451">
        <v>58115.789473684214</v>
      </c>
      <c r="HK49" s="451">
        <v>65340.647058823532</v>
      </c>
      <c r="HL49" s="451">
        <v>72496.576278659602</v>
      </c>
      <c r="HM49" s="451">
        <v>76740</v>
      </c>
      <c r="HN49" s="451">
        <v>78097.84210526316</v>
      </c>
      <c r="HO49" s="451">
        <v>67448.052631578947</v>
      </c>
      <c r="HP49" s="451">
        <v>66273.399999999994</v>
      </c>
      <c r="HQ49" s="451">
        <v>55949.333333333336</v>
      </c>
      <c r="HR49" s="451">
        <v>49486.28333333334</v>
      </c>
      <c r="HS49" s="451">
        <v>50373.342857142859</v>
      </c>
      <c r="HT49" s="451">
        <v>52107.75</v>
      </c>
      <c r="HU49" s="554">
        <v>53095</v>
      </c>
      <c r="HV49" s="555">
        <v>53252</v>
      </c>
      <c r="HW49" s="555">
        <v>53242.400000000001</v>
      </c>
      <c r="HX49" s="555">
        <v>54648.800000000003</v>
      </c>
      <c r="HY49" s="582">
        <v>56152.2</v>
      </c>
      <c r="HZ49" s="582">
        <v>54508.1</v>
      </c>
      <c r="IA49" s="582">
        <v>50632</v>
      </c>
      <c r="IB49" s="582">
        <v>49970</v>
      </c>
      <c r="IC49" s="582">
        <v>48571</v>
      </c>
      <c r="ID49" s="646">
        <v>48698.227272727272</v>
      </c>
      <c r="IE49" s="582">
        <v>45329</v>
      </c>
      <c r="IF49" s="582">
        <v>41492.879999999997</v>
      </c>
      <c r="IG49" s="658">
        <v>40287.599999999999</v>
      </c>
      <c r="IH49" s="659">
        <v>38857</v>
      </c>
      <c r="II49" s="659">
        <v>38153.800000000003</v>
      </c>
      <c r="IJ49" s="659">
        <v>38809.300000000003</v>
      </c>
      <c r="IK49" s="618">
        <v>37930</v>
      </c>
      <c r="IL49" s="618">
        <v>37205</v>
      </c>
      <c r="IM49" s="618">
        <v>38940</v>
      </c>
      <c r="IN49" s="618">
        <v>48628</v>
      </c>
      <c r="IO49" s="618">
        <v>47163.304347826088</v>
      </c>
      <c r="IP49" s="618">
        <v>47428.9</v>
      </c>
      <c r="IR49" s="444"/>
      <c r="IS49" s="713"/>
      <c r="IT49" s="714"/>
      <c r="IU49" s="714"/>
      <c r="IV49" s="714"/>
      <c r="IW49" s="444"/>
      <c r="IX49" s="714"/>
      <c r="IY49" s="444"/>
      <c r="IZ49" s="444"/>
    </row>
    <row r="50" spans="5:278" x14ac:dyDescent="0.2">
      <c r="E50" t="s">
        <v>371</v>
      </c>
      <c r="AO50" s="584" t="e">
        <f t="shared" si="355"/>
        <v>#DIV/0!</v>
      </c>
      <c r="AP50" s="451">
        <f t="shared" si="356"/>
        <v>29234.166666666668</v>
      </c>
      <c r="AQ50" s="451">
        <f t="shared" si="357"/>
        <v>37145.583333333336</v>
      </c>
      <c r="AR50" s="451">
        <f t="shared" si="358"/>
        <v>52096.916666666664</v>
      </c>
      <c r="AS50" s="451">
        <f t="shared" si="359"/>
        <v>51374</v>
      </c>
      <c r="AT50" s="451">
        <f t="shared" si="360"/>
        <v>73001.108333333337</v>
      </c>
      <c r="AU50" s="451">
        <f t="shared" si="361"/>
        <v>66624.024464568996</v>
      </c>
      <c r="AV50" s="585">
        <f t="shared" si="341"/>
        <v>90447.575473137971</v>
      </c>
      <c r="AW50" s="585">
        <f t="shared" si="342"/>
        <v>105968.54719785573</v>
      </c>
      <c r="AX50" s="585">
        <f t="shared" si="362"/>
        <v>94960.083333333328</v>
      </c>
      <c r="AY50" s="585">
        <f t="shared" si="347"/>
        <v>125387.29472639934</v>
      </c>
      <c r="AZ50" s="585">
        <f t="shared" si="348"/>
        <v>176258.03632893055</v>
      </c>
      <c r="BA50" s="585">
        <f t="shared" si="349"/>
        <v>121897.8</v>
      </c>
      <c r="CK50" s="451">
        <v>32100</v>
      </c>
      <c r="CL50" s="451">
        <v>32780</v>
      </c>
      <c r="CM50" s="451">
        <v>32823</v>
      </c>
      <c r="CN50" s="451">
        <v>32414</v>
      </c>
      <c r="CO50" s="451">
        <v>32474</v>
      </c>
      <c r="CP50" s="451">
        <v>25637</v>
      </c>
      <c r="CQ50" s="451">
        <v>25638</v>
      </c>
      <c r="CR50" s="451">
        <v>25638</v>
      </c>
      <c r="CS50" s="451">
        <v>25617</v>
      </c>
      <c r="CT50" s="451">
        <v>27143</v>
      </c>
      <c r="CU50" s="451">
        <v>28375</v>
      </c>
      <c r="CV50" s="451">
        <v>30171</v>
      </c>
      <c r="CW50" s="451">
        <v>30508</v>
      </c>
      <c r="CX50" s="451">
        <v>30338</v>
      </c>
      <c r="CY50" s="451">
        <v>32101</v>
      </c>
      <c r="CZ50" s="451">
        <v>36541</v>
      </c>
      <c r="DA50" s="451">
        <v>36381</v>
      </c>
      <c r="DB50" s="451">
        <v>35560</v>
      </c>
      <c r="DC50" s="451">
        <v>36054</v>
      </c>
      <c r="DD50" s="451">
        <v>36999</v>
      </c>
      <c r="DE50" s="451">
        <v>39913</v>
      </c>
      <c r="DF50" s="451">
        <v>42196</v>
      </c>
      <c r="DG50" s="451">
        <v>43566</v>
      </c>
      <c r="DH50" s="451">
        <v>45590</v>
      </c>
      <c r="DI50" s="451">
        <v>50635</v>
      </c>
      <c r="DJ50" s="451">
        <v>54761</v>
      </c>
      <c r="DK50" s="451">
        <v>56008</v>
      </c>
      <c r="DL50" s="451">
        <v>58360</v>
      </c>
      <c r="DM50" s="451">
        <v>54855</v>
      </c>
      <c r="DN50" s="451">
        <v>44663</v>
      </c>
      <c r="DO50" s="451">
        <v>44908</v>
      </c>
      <c r="DP50" s="451">
        <v>46882</v>
      </c>
      <c r="DQ50" s="451">
        <v>49908</v>
      </c>
      <c r="DR50" s="451">
        <v>53160</v>
      </c>
      <c r="DS50" s="451">
        <v>54858</v>
      </c>
      <c r="DT50" s="451">
        <v>56165</v>
      </c>
      <c r="DU50" s="451">
        <v>57464</v>
      </c>
      <c r="DV50" s="451">
        <v>54640</v>
      </c>
      <c r="DW50" s="451">
        <v>51906</v>
      </c>
      <c r="DX50" s="451">
        <v>52139</v>
      </c>
      <c r="DY50" s="451">
        <v>50974</v>
      </c>
      <c r="DZ50" s="451">
        <v>48122</v>
      </c>
      <c r="EA50" s="451">
        <v>48231</v>
      </c>
      <c r="EB50" s="451">
        <v>48647</v>
      </c>
      <c r="EC50" s="451">
        <v>49806</v>
      </c>
      <c r="ED50" s="451">
        <v>47654</v>
      </c>
      <c r="EE50" s="451">
        <v>52444</v>
      </c>
      <c r="EF50" s="451">
        <v>54461</v>
      </c>
      <c r="EG50" s="451">
        <v>61391</v>
      </c>
      <c r="EH50" s="451">
        <v>68641</v>
      </c>
      <c r="EI50" s="451">
        <v>75221</v>
      </c>
      <c r="EJ50" s="451">
        <v>87747</v>
      </c>
      <c r="EK50" s="451">
        <v>88411</v>
      </c>
      <c r="EL50" s="451">
        <v>74793</v>
      </c>
      <c r="EM50" s="451">
        <v>69551</v>
      </c>
      <c r="EN50" s="451">
        <v>65908.3</v>
      </c>
      <c r="EO50" s="451">
        <v>68447</v>
      </c>
      <c r="EP50" s="451">
        <v>71372</v>
      </c>
      <c r="EQ50" s="451">
        <v>71138</v>
      </c>
      <c r="ER50" s="451">
        <v>73393</v>
      </c>
      <c r="ES50" s="451">
        <v>73585.068888888884</v>
      </c>
      <c r="ET50" s="451">
        <v>72834</v>
      </c>
      <c r="EU50" s="451">
        <v>71104.225782894733</v>
      </c>
      <c r="EV50" s="451">
        <v>70142.62609778122</v>
      </c>
      <c r="EW50" s="451">
        <v>65650.372805263163</v>
      </c>
      <c r="EX50" s="451">
        <v>59405</v>
      </c>
      <c r="EY50" s="451">
        <v>58191</v>
      </c>
      <c r="EZ50" s="451">
        <v>59612</v>
      </c>
      <c r="FA50" s="451">
        <v>61832</v>
      </c>
      <c r="FB50" s="451">
        <v>65789</v>
      </c>
      <c r="FC50" s="451">
        <v>69084</v>
      </c>
      <c r="FD50" s="451">
        <v>72259</v>
      </c>
      <c r="FE50" s="451">
        <v>75925.600000000006</v>
      </c>
      <c r="FF50" s="451">
        <v>78987.783333333326</v>
      </c>
      <c r="FG50" s="451">
        <v>86901.75</v>
      </c>
      <c r="FH50" s="451">
        <v>91969.5</v>
      </c>
      <c r="FI50" s="451">
        <v>97486</v>
      </c>
      <c r="FJ50" s="451">
        <v>85206.3</v>
      </c>
      <c r="FK50" s="451">
        <v>85184.7</v>
      </c>
      <c r="FL50" s="451">
        <v>85372.45</v>
      </c>
      <c r="FM50" s="451">
        <v>95472.461538461532</v>
      </c>
      <c r="FN50" s="451">
        <v>99554.38461538461</v>
      </c>
      <c r="FO50" s="451">
        <v>95947.476190476184</v>
      </c>
      <c r="FP50" s="451">
        <v>107362.5</v>
      </c>
      <c r="FQ50" s="451">
        <v>110689.05555555556</v>
      </c>
      <c r="FR50" s="451">
        <v>112992.16666666667</v>
      </c>
      <c r="FS50" s="451">
        <v>116207.88888888889</v>
      </c>
      <c r="FT50" s="451">
        <v>115694.73684210527</v>
      </c>
      <c r="FU50" s="451">
        <v>108442.10526315789</v>
      </c>
      <c r="FV50" s="451">
        <v>98074.263157894733</v>
      </c>
      <c r="FW50" s="451">
        <v>99301.7</v>
      </c>
      <c r="FX50" s="451">
        <v>98647.75</v>
      </c>
      <c r="FY50" s="451">
        <v>99424.9</v>
      </c>
      <c r="FZ50" s="451">
        <v>102456</v>
      </c>
      <c r="GA50" s="451">
        <v>103333</v>
      </c>
      <c r="GB50" s="451">
        <v>106359</v>
      </c>
      <c r="GC50" s="451">
        <v>107476</v>
      </c>
      <c r="GD50" s="451">
        <v>106272</v>
      </c>
      <c r="GE50" s="451">
        <v>105607</v>
      </c>
      <c r="GF50" s="451">
        <v>100428</v>
      </c>
      <c r="GG50" s="451">
        <v>95416</v>
      </c>
      <c r="GH50" s="451">
        <v>94185</v>
      </c>
      <c r="GI50" s="451">
        <v>83472</v>
      </c>
      <c r="GJ50" s="451">
        <v>83443</v>
      </c>
      <c r="GK50" s="451">
        <v>83804</v>
      </c>
      <c r="GL50" s="451">
        <v>88269</v>
      </c>
      <c r="GM50" s="451">
        <v>91664</v>
      </c>
      <c r="GN50" s="451">
        <v>99485</v>
      </c>
      <c r="GO50" s="451">
        <v>103759</v>
      </c>
      <c r="GP50" s="451">
        <v>107864</v>
      </c>
      <c r="GQ50" s="451">
        <v>93358</v>
      </c>
      <c r="GR50" s="451">
        <v>119119</v>
      </c>
      <c r="GS50" s="451">
        <v>123766.75</v>
      </c>
      <c r="GT50" s="451">
        <v>123834.21052631579</v>
      </c>
      <c r="GU50" s="451">
        <v>120480.47619047618</v>
      </c>
      <c r="GV50" s="451">
        <v>121561.1</v>
      </c>
      <c r="GW50" s="451">
        <v>129661</v>
      </c>
      <c r="GX50" s="451">
        <v>143233.4</v>
      </c>
      <c r="GY50" s="451">
        <v>154469</v>
      </c>
      <c r="GZ50" s="451">
        <v>163541.6</v>
      </c>
      <c r="HA50" s="451">
        <v>175178.1</v>
      </c>
      <c r="HB50" s="451">
        <v>178627.8</v>
      </c>
      <c r="HC50" s="451">
        <v>191658.5</v>
      </c>
      <c r="HD50" s="451">
        <v>204025.4</v>
      </c>
      <c r="HE50" s="451">
        <v>183585.5</v>
      </c>
      <c r="HF50" s="451">
        <v>165444</v>
      </c>
      <c r="HG50" s="451">
        <v>160325.42105263157</v>
      </c>
      <c r="HH50" s="451">
        <v>158089.15789473685</v>
      </c>
      <c r="HI50" s="451">
        <v>163688.59649122806</v>
      </c>
      <c r="HJ50" s="451">
        <v>171835.47368421053</v>
      </c>
      <c r="HK50" s="451">
        <v>176828.58823529413</v>
      </c>
      <c r="HL50" s="451">
        <v>185809.89858906527</v>
      </c>
      <c r="HM50" s="451">
        <v>188418</v>
      </c>
      <c r="HN50" s="451">
        <v>182526.05263157896</v>
      </c>
      <c r="HO50" s="451">
        <v>162024.20000000001</v>
      </c>
      <c r="HP50" s="451">
        <v>159200.1</v>
      </c>
      <c r="HQ50" s="451">
        <v>139257.55555555556</v>
      </c>
      <c r="HR50" s="451">
        <v>131541.66666666666</v>
      </c>
      <c r="HS50" s="451">
        <v>128525.81999999999</v>
      </c>
      <c r="HT50" s="451">
        <v>123407.51000000001</v>
      </c>
      <c r="HU50" s="554">
        <v>120391</v>
      </c>
      <c r="HV50" s="555">
        <v>117913.9</v>
      </c>
      <c r="HW50" s="555">
        <v>120073.1</v>
      </c>
      <c r="HX50" s="555">
        <v>121897.8</v>
      </c>
      <c r="HY50" s="582">
        <v>124104.1</v>
      </c>
      <c r="HZ50" s="582">
        <v>123868.15</v>
      </c>
      <c r="IA50" s="582">
        <v>128953</v>
      </c>
      <c r="IB50" s="582">
        <v>135418</v>
      </c>
      <c r="IC50" s="582">
        <v>134868.71428571429</v>
      </c>
      <c r="ID50" s="646">
        <v>124138.09090909091</v>
      </c>
      <c r="IE50" s="582">
        <v>117881.60000000001</v>
      </c>
      <c r="IF50" s="582">
        <v>114128.08</v>
      </c>
      <c r="IG50" s="658">
        <v>115987.2</v>
      </c>
      <c r="IH50" s="659">
        <v>123876.9</v>
      </c>
      <c r="II50" s="659">
        <v>135506.6</v>
      </c>
      <c r="IJ50" s="659">
        <v>142323.70000000001</v>
      </c>
      <c r="IK50" s="618">
        <v>144929</v>
      </c>
      <c r="IL50" s="618">
        <v>149765</v>
      </c>
      <c r="IM50" s="618">
        <v>162022</v>
      </c>
      <c r="IN50" s="618">
        <v>166902</v>
      </c>
      <c r="IO50" s="618">
        <v>162701.65217391305</v>
      </c>
      <c r="IP50" s="618">
        <v>155359.9</v>
      </c>
      <c r="IR50" s="444"/>
      <c r="IS50" s="444"/>
      <c r="IT50" s="444"/>
      <c r="IU50" s="444"/>
      <c r="IV50" s="736"/>
      <c r="IW50" s="737"/>
      <c r="IX50" s="761"/>
      <c r="IY50" s="761"/>
      <c r="IZ50" s="444"/>
    </row>
    <row r="51" spans="5:278" ht="14.25" x14ac:dyDescent="0.2">
      <c r="E51" t="s">
        <v>372</v>
      </c>
      <c r="AO51" s="584" t="e">
        <f t="shared" si="355"/>
        <v>#DIV/0!</v>
      </c>
      <c r="AP51" s="451">
        <f t="shared" si="356"/>
        <v>18861.833333333332</v>
      </c>
      <c r="AQ51" s="451">
        <f t="shared" si="357"/>
        <v>20358.166666666668</v>
      </c>
      <c r="AR51" s="451">
        <f t="shared" si="358"/>
        <v>23775.25</v>
      </c>
      <c r="AS51" s="451">
        <f t="shared" si="359"/>
        <v>25187.5</v>
      </c>
      <c r="AT51" s="451">
        <f t="shared" si="360"/>
        <v>32546.205208333336</v>
      </c>
      <c r="AU51" s="451">
        <f t="shared" si="361"/>
        <v>35222.461516144162</v>
      </c>
      <c r="AV51" s="585">
        <f t="shared" si="341"/>
        <v>40364.084895197397</v>
      </c>
      <c r="AW51" s="585">
        <f t="shared" si="342"/>
        <v>50396.671807992192</v>
      </c>
      <c r="AX51" s="585">
        <f t="shared" si="362"/>
        <v>51549.083333333336</v>
      </c>
      <c r="AY51" s="585">
        <f t="shared" si="347"/>
        <v>59258.35109649122</v>
      </c>
      <c r="AZ51" s="585">
        <f t="shared" si="348"/>
        <v>70112.370744552187</v>
      </c>
      <c r="BA51" s="585">
        <f t="shared" si="349"/>
        <v>69589.399999999994</v>
      </c>
      <c r="CK51" s="451">
        <v>17400</v>
      </c>
      <c r="CL51" s="451">
        <v>18164</v>
      </c>
      <c r="CM51" s="451">
        <v>17230</v>
      </c>
      <c r="CN51" s="451">
        <v>19240</v>
      </c>
      <c r="CO51" s="451">
        <v>20694</v>
      </c>
      <c r="CP51" s="451">
        <v>19475</v>
      </c>
      <c r="CQ51" s="451">
        <v>18685</v>
      </c>
      <c r="CR51" s="451">
        <v>18068</v>
      </c>
      <c r="CS51" s="451">
        <v>17521</v>
      </c>
      <c r="CT51" s="451">
        <v>18175</v>
      </c>
      <c r="CU51" s="451">
        <v>20732</v>
      </c>
      <c r="CV51" s="451">
        <v>20958</v>
      </c>
      <c r="CW51" s="451">
        <v>19035</v>
      </c>
      <c r="CX51" s="451">
        <v>17519</v>
      </c>
      <c r="CY51" s="451">
        <v>18431</v>
      </c>
      <c r="CZ51" s="451">
        <v>20553</v>
      </c>
      <c r="DA51" s="451">
        <v>21039</v>
      </c>
      <c r="DB51" s="451">
        <v>21055</v>
      </c>
      <c r="DC51" s="451">
        <v>19707</v>
      </c>
      <c r="DD51" s="451">
        <v>19424</v>
      </c>
      <c r="DE51" s="451">
        <v>18130</v>
      </c>
      <c r="DF51" s="451">
        <v>20706</v>
      </c>
      <c r="DG51" s="451">
        <v>23450</v>
      </c>
      <c r="DH51" s="451">
        <v>25249</v>
      </c>
      <c r="DI51" s="451">
        <v>25295</v>
      </c>
      <c r="DJ51" s="451">
        <v>22445</v>
      </c>
      <c r="DK51" s="451">
        <v>21248</v>
      </c>
      <c r="DL51" s="451">
        <v>20769</v>
      </c>
      <c r="DM51" s="451">
        <v>20411</v>
      </c>
      <c r="DN51" s="451">
        <v>21666</v>
      </c>
      <c r="DO51" s="451">
        <v>22007</v>
      </c>
      <c r="DP51" s="451">
        <v>24612</v>
      </c>
      <c r="DQ51" s="451">
        <v>26750</v>
      </c>
      <c r="DR51" s="451">
        <v>28086</v>
      </c>
      <c r="DS51" s="451">
        <v>26684</v>
      </c>
      <c r="DT51" s="451">
        <v>25330</v>
      </c>
      <c r="DU51" s="451">
        <v>22842</v>
      </c>
      <c r="DV51" s="451">
        <v>21495</v>
      </c>
      <c r="DW51" s="451">
        <v>20950</v>
      </c>
      <c r="DX51" s="451">
        <v>27535</v>
      </c>
      <c r="DY51" s="451">
        <v>28142</v>
      </c>
      <c r="DZ51" s="451">
        <v>26002</v>
      </c>
      <c r="EA51" s="451">
        <v>23623</v>
      </c>
      <c r="EB51" s="451">
        <v>24112</v>
      </c>
      <c r="EC51" s="451">
        <v>23692</v>
      </c>
      <c r="ED51" s="451">
        <v>23100</v>
      </c>
      <c r="EE51" s="451">
        <v>28834</v>
      </c>
      <c r="EF51" s="451">
        <v>31923</v>
      </c>
      <c r="EG51" s="451">
        <v>38221</v>
      </c>
      <c r="EH51" s="451">
        <v>36884</v>
      </c>
      <c r="EI51" s="451">
        <v>33095</v>
      </c>
      <c r="EJ51" s="451">
        <v>32774</v>
      </c>
      <c r="EK51" s="451">
        <v>32575</v>
      </c>
      <c r="EL51" s="451">
        <v>29155</v>
      </c>
      <c r="EM51" s="451">
        <v>27320</v>
      </c>
      <c r="EN51" s="451">
        <v>28760.462500000001</v>
      </c>
      <c r="EO51" s="451">
        <v>29661</v>
      </c>
      <c r="EP51" s="451">
        <v>33084</v>
      </c>
      <c r="EQ51" s="451">
        <v>33785</v>
      </c>
      <c r="ER51" s="451">
        <v>35240</v>
      </c>
      <c r="ES51" s="451">
        <v>38431.151238390092</v>
      </c>
      <c r="ET51" s="451">
        <v>35022</v>
      </c>
      <c r="EU51" s="451">
        <v>35264.66961184211</v>
      </c>
      <c r="EV51" s="451">
        <v>32480.997825163398</v>
      </c>
      <c r="EW51" s="451">
        <v>34115.846624561404</v>
      </c>
      <c r="EX51" s="451">
        <v>33416</v>
      </c>
      <c r="EY51" s="451">
        <v>34219</v>
      </c>
      <c r="EZ51" s="451">
        <v>34853</v>
      </c>
      <c r="FA51" s="451">
        <v>37282</v>
      </c>
      <c r="FB51" s="451">
        <v>36736</v>
      </c>
      <c r="FC51" s="451">
        <v>29698.872893772896</v>
      </c>
      <c r="FD51" s="451">
        <v>41150</v>
      </c>
      <c r="FE51" s="451">
        <v>43811.1</v>
      </c>
      <c r="FF51" s="451">
        <v>42316.833333333328</v>
      </c>
      <c r="FG51" s="451">
        <v>36603.5</v>
      </c>
      <c r="FH51" s="451">
        <v>36809.35</v>
      </c>
      <c r="FI51" s="451">
        <v>38173</v>
      </c>
      <c r="FJ51" s="451">
        <v>40926.65</v>
      </c>
      <c r="FK51" s="451">
        <v>40936.550000000003</v>
      </c>
      <c r="FL51" s="451">
        <v>39157.428571428572</v>
      </c>
      <c r="FM51" s="451">
        <v>38958.692307692305</v>
      </c>
      <c r="FN51" s="451">
        <v>37932.692307692298</v>
      </c>
      <c r="FO51" s="451">
        <v>41993.333333333336</v>
      </c>
      <c r="FP51" s="451">
        <v>46749.888888888891</v>
      </c>
      <c r="FQ51" s="451">
        <v>50581</v>
      </c>
      <c r="FR51" s="451">
        <v>48138.611111111109</v>
      </c>
      <c r="FS51" s="451">
        <v>43374.611111111109</v>
      </c>
      <c r="FT51" s="451">
        <v>42036.842105263153</v>
      </c>
      <c r="FU51" s="451">
        <v>43584.210526315794</v>
      </c>
      <c r="FV51" s="451">
        <v>46510.684210526313</v>
      </c>
      <c r="FW51" s="451">
        <v>48521.052631578947</v>
      </c>
      <c r="FX51" s="451">
        <v>52322</v>
      </c>
      <c r="FY51" s="451">
        <v>52428.05</v>
      </c>
      <c r="FZ51" s="451">
        <v>54180</v>
      </c>
      <c r="GA51" s="451">
        <v>59301</v>
      </c>
      <c r="GB51" s="451">
        <v>63782</v>
      </c>
      <c r="GC51" s="451">
        <v>60244</v>
      </c>
      <c r="GD51" s="451">
        <v>51914</v>
      </c>
      <c r="GE51" s="451">
        <v>47246</v>
      </c>
      <c r="GF51" s="451">
        <v>49340</v>
      </c>
      <c r="GG51" s="451">
        <v>49321</v>
      </c>
      <c r="GH51" s="451">
        <v>49669</v>
      </c>
      <c r="GI51" s="451">
        <v>49836</v>
      </c>
      <c r="GJ51" s="451">
        <v>49185</v>
      </c>
      <c r="GK51" s="451">
        <v>50404</v>
      </c>
      <c r="GL51" s="451">
        <v>51808</v>
      </c>
      <c r="GM51" s="451">
        <v>53962</v>
      </c>
      <c r="GN51" s="451">
        <v>55660</v>
      </c>
      <c r="GO51" s="451">
        <v>61058</v>
      </c>
      <c r="GP51" s="451">
        <v>66134</v>
      </c>
      <c r="GQ51" s="451">
        <v>56766</v>
      </c>
      <c r="GR51" s="451">
        <v>56014</v>
      </c>
      <c r="GS51" s="451">
        <v>55372.1</v>
      </c>
      <c r="GT51" s="451">
        <v>58663.26315789474</v>
      </c>
      <c r="GU51" s="451">
        <v>53053.15</v>
      </c>
      <c r="GV51" s="451">
        <v>57021.3</v>
      </c>
      <c r="GW51" s="451">
        <v>59204.800000000003</v>
      </c>
      <c r="GX51" s="451">
        <v>56407</v>
      </c>
      <c r="GY51" s="451">
        <v>64742</v>
      </c>
      <c r="GZ51" s="451">
        <v>66664.600000000006</v>
      </c>
      <c r="HA51" s="451">
        <v>63193.2</v>
      </c>
      <c r="HB51" s="451">
        <v>60939.199999999997</v>
      </c>
      <c r="HC51" s="451">
        <v>60077.5</v>
      </c>
      <c r="HD51" s="451">
        <v>62383.3</v>
      </c>
      <c r="HE51" s="451">
        <v>60627.3</v>
      </c>
      <c r="HF51" s="451">
        <v>69925</v>
      </c>
      <c r="HG51" s="451">
        <v>75909.2</v>
      </c>
      <c r="HH51" s="451">
        <v>69914.631578947374</v>
      </c>
      <c r="HI51" s="451">
        <v>76517.563795853275</v>
      </c>
      <c r="HJ51" s="451">
        <v>70795.210526315786</v>
      </c>
      <c r="HK51" s="451">
        <v>84010.571428571435</v>
      </c>
      <c r="HL51" s="451">
        <v>87055.771604938273</v>
      </c>
      <c r="HM51" s="451">
        <v>82023.31578947368</v>
      </c>
      <c r="HN51" s="451">
        <v>76765.368421052626</v>
      </c>
      <c r="HO51" s="451">
        <v>65552.399999999994</v>
      </c>
      <c r="HP51" s="451">
        <v>64973.25</v>
      </c>
      <c r="HQ51" s="451">
        <v>65567.111111111109</v>
      </c>
      <c r="HR51" s="451">
        <v>65769.449999999983</v>
      </c>
      <c r="HS51" s="451">
        <v>66757.09</v>
      </c>
      <c r="HT51" s="451">
        <v>65545.885714285701</v>
      </c>
      <c r="HU51" s="554">
        <v>66017</v>
      </c>
      <c r="HV51" s="555">
        <v>65684</v>
      </c>
      <c r="HW51" s="555">
        <v>66896.2</v>
      </c>
      <c r="HX51" s="555">
        <v>69589.399999999994</v>
      </c>
      <c r="HY51" s="582">
        <v>72145.3</v>
      </c>
      <c r="HZ51" s="582">
        <v>71732.149999999994</v>
      </c>
      <c r="IA51" s="582">
        <v>69178</v>
      </c>
      <c r="IB51" s="582">
        <v>67986</v>
      </c>
      <c r="IC51" s="582">
        <v>69149.523809523816</v>
      </c>
      <c r="ID51" s="646">
        <v>72128.727272727279</v>
      </c>
      <c r="IE51" s="582">
        <v>63896</v>
      </c>
      <c r="IF51" s="582">
        <v>68631.958333333328</v>
      </c>
      <c r="IG51" s="658">
        <v>66476</v>
      </c>
      <c r="IH51" s="659">
        <v>68171.199999999997</v>
      </c>
      <c r="II51" s="659">
        <v>69535</v>
      </c>
      <c r="IJ51" s="659">
        <v>73174.8</v>
      </c>
      <c r="IK51" s="618">
        <v>73316</v>
      </c>
      <c r="IL51" s="618">
        <v>69975</v>
      </c>
      <c r="IM51" s="618">
        <v>68287</v>
      </c>
      <c r="IN51" s="716">
        <v>71221</v>
      </c>
      <c r="IO51" s="618">
        <v>77508.478260869568</v>
      </c>
      <c r="IP51" s="618">
        <v>77753.399999999994</v>
      </c>
      <c r="IQ51" s="660"/>
      <c r="IR51" s="136"/>
      <c r="IS51" s="136"/>
      <c r="IU51" s="444"/>
      <c r="IV51" s="738"/>
      <c r="IW51" s="737"/>
      <c r="IX51" s="737"/>
      <c r="IY51" s="737"/>
      <c r="IZ51" s="444"/>
    </row>
    <row r="52" spans="5:278" x14ac:dyDescent="0.2">
      <c r="E52" t="s">
        <v>373</v>
      </c>
      <c r="AO52" s="584" t="e">
        <f t="shared" si="355"/>
        <v>#DIV/0!</v>
      </c>
      <c r="AP52" s="451">
        <f t="shared" si="356"/>
        <v>29846.916666666668</v>
      </c>
      <c r="AQ52" s="451">
        <f t="shared" si="357"/>
        <v>39451.25</v>
      </c>
      <c r="AR52" s="451">
        <f t="shared" si="358"/>
        <v>40909.916666666664</v>
      </c>
      <c r="AS52" s="451">
        <f t="shared" si="359"/>
        <v>47540.416666666664</v>
      </c>
      <c r="AT52" s="451">
        <f t="shared" si="360"/>
        <v>58330.146874999999</v>
      </c>
      <c r="AU52" s="451">
        <f t="shared" si="361"/>
        <v>66412.755718353685</v>
      </c>
      <c r="AV52" s="585">
        <f t="shared" si="341"/>
        <v>91676.418410409009</v>
      </c>
      <c r="AW52" s="585">
        <f t="shared" si="342"/>
        <v>96627.970258980771</v>
      </c>
      <c r="AX52" s="585">
        <f t="shared" si="362"/>
        <v>100604</v>
      </c>
      <c r="AY52" s="585">
        <f t="shared" si="347"/>
        <v>120605.75570175437</v>
      </c>
      <c r="AZ52" s="585">
        <f t="shared" si="348"/>
        <v>127250.94286350698</v>
      </c>
      <c r="BA52" s="585">
        <f t="shared" si="349"/>
        <v>136601.1</v>
      </c>
      <c r="CK52" s="451">
        <v>28586</v>
      </c>
      <c r="CL52" s="451">
        <v>27177</v>
      </c>
      <c r="CM52" s="451">
        <v>27133</v>
      </c>
      <c r="CN52" s="451">
        <v>25474</v>
      </c>
      <c r="CO52" s="451">
        <v>26347</v>
      </c>
      <c r="CP52" s="451">
        <v>26440</v>
      </c>
      <c r="CQ52" s="451">
        <v>27108</v>
      </c>
      <c r="CR52" s="451">
        <v>28723</v>
      </c>
      <c r="CS52" s="451">
        <v>31287</v>
      </c>
      <c r="CT52" s="451">
        <v>35046</v>
      </c>
      <c r="CU52" s="451">
        <v>38000</v>
      </c>
      <c r="CV52" s="451">
        <v>36842</v>
      </c>
      <c r="CW52" s="451">
        <v>39066</v>
      </c>
      <c r="CX52" s="451">
        <v>36037</v>
      </c>
      <c r="CY52" s="451">
        <v>35921</v>
      </c>
      <c r="CZ52" s="451">
        <v>38486</v>
      </c>
      <c r="DA52" s="451">
        <v>39311</v>
      </c>
      <c r="DB52" s="451">
        <v>39292</v>
      </c>
      <c r="DC52" s="451">
        <v>40158</v>
      </c>
      <c r="DD52" s="451">
        <v>39112</v>
      </c>
      <c r="DE52" s="451">
        <v>40393</v>
      </c>
      <c r="DF52" s="451">
        <v>41485</v>
      </c>
      <c r="DG52" s="451">
        <v>41759</v>
      </c>
      <c r="DH52" s="451">
        <v>42395</v>
      </c>
      <c r="DI52" s="451">
        <v>41878</v>
      </c>
      <c r="DJ52" s="451">
        <v>39870</v>
      </c>
      <c r="DK52" s="451">
        <v>36824</v>
      </c>
      <c r="DL52" s="451">
        <v>34420</v>
      </c>
      <c r="DM52" s="451">
        <v>32007</v>
      </c>
      <c r="DN52" s="451">
        <v>33848</v>
      </c>
      <c r="DO52" s="451">
        <v>35510</v>
      </c>
      <c r="DP52" s="451">
        <v>40271</v>
      </c>
      <c r="DQ52" s="451">
        <v>44200</v>
      </c>
      <c r="DR52" s="451">
        <v>48026</v>
      </c>
      <c r="DS52" s="451">
        <v>51109</v>
      </c>
      <c r="DT52" s="451">
        <v>52956</v>
      </c>
      <c r="DU52" s="451">
        <v>52128</v>
      </c>
      <c r="DV52" s="451">
        <v>48055</v>
      </c>
      <c r="DW52" s="451">
        <v>43950</v>
      </c>
      <c r="DX52" s="451">
        <v>45633</v>
      </c>
      <c r="DY52" s="451">
        <v>50009</v>
      </c>
      <c r="DZ52" s="451">
        <v>49700</v>
      </c>
      <c r="EA52" s="451">
        <v>46119</v>
      </c>
      <c r="EB52" s="451">
        <v>46173</v>
      </c>
      <c r="EC52" s="451">
        <v>45861</v>
      </c>
      <c r="ED52" s="451">
        <v>43557</v>
      </c>
      <c r="EE52" s="451">
        <v>48380</v>
      </c>
      <c r="EF52" s="451">
        <v>50920</v>
      </c>
      <c r="EG52" s="451">
        <v>59128</v>
      </c>
      <c r="EH52" s="451">
        <v>65049</v>
      </c>
      <c r="EI52" s="451">
        <v>69587</v>
      </c>
      <c r="EJ52" s="451">
        <v>64891</v>
      </c>
      <c r="EK52" s="451">
        <v>58567</v>
      </c>
      <c r="EL52" s="451">
        <v>50729</v>
      </c>
      <c r="EM52" s="451">
        <v>48785</v>
      </c>
      <c r="EN52" s="451">
        <v>49538.762499999997</v>
      </c>
      <c r="EO52" s="451">
        <v>54651</v>
      </c>
      <c r="EP52" s="451">
        <v>59403</v>
      </c>
      <c r="EQ52" s="451">
        <v>59402</v>
      </c>
      <c r="ER52" s="451">
        <v>60231</v>
      </c>
      <c r="ES52" s="451">
        <v>61096.957777777781</v>
      </c>
      <c r="ET52" s="451">
        <v>59507</v>
      </c>
      <c r="EU52" s="451">
        <v>56821.763032894727</v>
      </c>
      <c r="EV52" s="451">
        <v>55712.418120098038</v>
      </c>
      <c r="EW52" s="451">
        <v>59246.929689473691</v>
      </c>
      <c r="EX52" s="451">
        <v>63162</v>
      </c>
      <c r="EY52" s="451">
        <v>62156</v>
      </c>
      <c r="EZ52" s="451">
        <v>64865</v>
      </c>
      <c r="FA52" s="451">
        <v>69348</v>
      </c>
      <c r="FB52" s="451">
        <v>79496</v>
      </c>
      <c r="FC52" s="451">
        <v>78469</v>
      </c>
      <c r="FD52" s="451">
        <v>87072</v>
      </c>
      <c r="FE52" s="451">
        <v>92189.5</v>
      </c>
      <c r="FF52" s="451">
        <v>95761.795833333337</v>
      </c>
      <c r="FG52" s="451">
        <v>86199.9</v>
      </c>
      <c r="FH52" s="451">
        <v>79681.55</v>
      </c>
      <c r="FI52" s="451">
        <v>83426</v>
      </c>
      <c r="FJ52" s="451">
        <v>85900</v>
      </c>
      <c r="FK52" s="451">
        <v>83627.649999999994</v>
      </c>
      <c r="FL52" s="451">
        <v>84317.883333333331</v>
      </c>
      <c r="FM52" s="451">
        <v>99455.076923076922</v>
      </c>
      <c r="FN52" s="451">
        <v>103976.30769230769</v>
      </c>
      <c r="FO52" s="451">
        <v>99009.5</v>
      </c>
      <c r="FP52" s="451">
        <v>106571.85714285714</v>
      </c>
      <c r="FQ52" s="451">
        <v>113393</v>
      </c>
      <c r="FR52" s="451">
        <v>110174.85714285714</v>
      </c>
      <c r="FS52" s="451">
        <v>94376.333333333328</v>
      </c>
      <c r="FT52" s="451">
        <v>90578.947368421053</v>
      </c>
      <c r="FU52" s="451">
        <v>88373.684210526306</v>
      </c>
      <c r="FV52" s="451">
        <v>87710.421052631573</v>
      </c>
      <c r="FW52" s="451">
        <v>88469.35</v>
      </c>
      <c r="FX52" s="451">
        <v>88459.35</v>
      </c>
      <c r="FY52" s="451">
        <v>92475.7</v>
      </c>
      <c r="FZ52" s="451">
        <v>95532</v>
      </c>
      <c r="GA52" s="451">
        <v>103278</v>
      </c>
      <c r="GB52" s="451">
        <v>106714</v>
      </c>
      <c r="GC52" s="451">
        <v>106919</v>
      </c>
      <c r="GD52" s="451">
        <v>103010</v>
      </c>
      <c r="GE52" s="451">
        <v>95098</v>
      </c>
      <c r="GF52" s="451">
        <v>93104</v>
      </c>
      <c r="GG52" s="451">
        <v>95495</v>
      </c>
      <c r="GH52" s="451">
        <v>95495</v>
      </c>
      <c r="GI52" s="451">
        <v>94167</v>
      </c>
      <c r="GJ52" s="451">
        <v>96220</v>
      </c>
      <c r="GK52" s="451">
        <v>100694</v>
      </c>
      <c r="GL52" s="451">
        <v>104508</v>
      </c>
      <c r="GM52" s="451">
        <v>108179</v>
      </c>
      <c r="GN52" s="451">
        <v>114359</v>
      </c>
      <c r="GO52" s="451">
        <v>115075</v>
      </c>
      <c r="GP52" s="451">
        <v>127675</v>
      </c>
      <c r="GQ52" s="451">
        <v>115472</v>
      </c>
      <c r="GR52" s="451">
        <v>115640</v>
      </c>
      <c r="GS52" s="451">
        <v>119515.15</v>
      </c>
      <c r="GT52" s="451">
        <v>118937.36842105263</v>
      </c>
      <c r="GU52" s="451">
        <v>112419.55</v>
      </c>
      <c r="GV52" s="451">
        <v>116223.2</v>
      </c>
      <c r="GW52" s="451">
        <v>119917.2</v>
      </c>
      <c r="GX52" s="451">
        <v>124830.9</v>
      </c>
      <c r="GY52" s="451">
        <v>130469</v>
      </c>
      <c r="GZ52" s="451">
        <v>131094.70000000001</v>
      </c>
      <c r="HA52" s="451">
        <v>132641.5</v>
      </c>
      <c r="HB52" s="451">
        <v>126981.7</v>
      </c>
      <c r="HC52" s="451">
        <v>121523.1</v>
      </c>
      <c r="HD52" s="451">
        <v>120567.1</v>
      </c>
      <c r="HE52" s="451">
        <v>120567.1</v>
      </c>
      <c r="HF52" s="451">
        <v>129575</v>
      </c>
      <c r="HG52" s="451">
        <v>124250.45</v>
      </c>
      <c r="HH52" s="451">
        <v>126322.78947368421</v>
      </c>
      <c r="HI52" s="451">
        <v>124326.55502392344</v>
      </c>
      <c r="HJ52" s="451">
        <v>129659.57894736843</v>
      </c>
      <c r="HK52" s="451">
        <v>134839.05555555556</v>
      </c>
      <c r="HL52" s="451">
        <v>135757.38536155203</v>
      </c>
      <c r="HM52" s="451">
        <v>144225</v>
      </c>
      <c r="HN52" s="451">
        <v>136129.42105263157</v>
      </c>
      <c r="HO52" s="451">
        <v>125862.6</v>
      </c>
      <c r="HP52" s="451">
        <v>124975.15</v>
      </c>
      <c r="HQ52" s="451">
        <v>123689.83333333333</v>
      </c>
      <c r="HR52" s="451">
        <v>127741.66666666667</v>
      </c>
      <c r="HS52" s="451">
        <v>125052.5</v>
      </c>
      <c r="HT52" s="451">
        <v>123313.33000000003</v>
      </c>
      <c r="HU52" s="554">
        <v>121427</v>
      </c>
      <c r="HV52" s="555">
        <v>131525.1</v>
      </c>
      <c r="HW52" s="555">
        <v>135023</v>
      </c>
      <c r="HX52" s="555">
        <v>136601.1</v>
      </c>
      <c r="HY52" s="582">
        <v>137264.5</v>
      </c>
      <c r="HZ52" s="582">
        <v>141277.65</v>
      </c>
      <c r="IA52" s="582">
        <v>141477</v>
      </c>
      <c r="IB52" s="582">
        <v>138796</v>
      </c>
      <c r="IC52" s="582">
        <v>143172.95238095237</v>
      </c>
      <c r="ID52" s="646">
        <v>142305.18181818182</v>
      </c>
      <c r="IE52" s="582">
        <v>132682.79999999999</v>
      </c>
      <c r="IF52" s="582">
        <v>131903.32</v>
      </c>
      <c r="IG52" s="658">
        <v>135030.39999999999</v>
      </c>
      <c r="IH52" s="659">
        <v>141356.6</v>
      </c>
      <c r="II52" s="659">
        <v>147696.29999999999</v>
      </c>
      <c r="IJ52" s="659">
        <v>149262.79999999999</v>
      </c>
      <c r="IK52" s="618">
        <v>153210</v>
      </c>
      <c r="IL52" s="618">
        <v>150431</v>
      </c>
      <c r="IM52" s="618">
        <v>149289</v>
      </c>
      <c r="IN52" s="715">
        <v>151733</v>
      </c>
      <c r="IO52" s="618">
        <v>156789.30434782608</v>
      </c>
      <c r="IP52" s="618">
        <v>163722.70000000001</v>
      </c>
      <c r="IQ52" s="582"/>
      <c r="IR52" s="582"/>
      <c r="IS52" s="582"/>
      <c r="IU52" s="444"/>
      <c r="IV52" s="737"/>
      <c r="IW52" s="739"/>
      <c r="IX52" s="739"/>
      <c r="IY52" s="739"/>
      <c r="IZ52" s="444"/>
    </row>
    <row r="53" spans="5:278" x14ac:dyDescent="0.2">
      <c r="E53" t="s">
        <v>374</v>
      </c>
      <c r="AO53" s="584" t="e">
        <f t="shared" si="355"/>
        <v>#DIV/0!</v>
      </c>
      <c r="AP53" s="451">
        <f t="shared" si="356"/>
        <v>14655.583333333334</v>
      </c>
      <c r="AQ53" s="451">
        <f t="shared" si="357"/>
        <v>18195.916666666668</v>
      </c>
      <c r="AR53" s="451">
        <f t="shared" si="358"/>
        <v>24010.25</v>
      </c>
      <c r="AS53" s="451">
        <f t="shared" si="359"/>
        <v>20486.833333333332</v>
      </c>
      <c r="AT53" s="451">
        <f t="shared" si="360"/>
        <v>31731.370833333334</v>
      </c>
      <c r="AU53" s="451">
        <f t="shared" si="361"/>
        <v>27972.153672438671</v>
      </c>
      <c r="AV53" s="585">
        <f t="shared" si="341"/>
        <v>38635.231715506721</v>
      </c>
      <c r="AW53" s="585">
        <f t="shared" si="342"/>
        <v>43965.793286112043</v>
      </c>
      <c r="AX53" s="585">
        <f t="shared" si="362"/>
        <v>35843.201754385962</v>
      </c>
      <c r="AY53" s="585">
        <f t="shared" si="347"/>
        <v>58358.466897759099</v>
      </c>
      <c r="AZ53" s="585">
        <f t="shared" si="348"/>
        <v>62641.715449134201</v>
      </c>
      <c r="BA53" s="585">
        <f t="shared" si="349"/>
        <v>74456</v>
      </c>
      <c r="CK53" s="451">
        <v>16374</v>
      </c>
      <c r="CL53" s="451">
        <v>16459</v>
      </c>
      <c r="CM53" s="451">
        <v>17626</v>
      </c>
      <c r="CN53" s="451">
        <v>17432</v>
      </c>
      <c r="CO53" s="451">
        <v>13944</v>
      </c>
      <c r="CP53" s="451">
        <v>13697</v>
      </c>
      <c r="CQ53" s="451">
        <v>13930</v>
      </c>
      <c r="CR53" s="451">
        <v>12723</v>
      </c>
      <c r="CS53" s="451">
        <v>12818</v>
      </c>
      <c r="CT53" s="451">
        <v>13239</v>
      </c>
      <c r="CU53" s="451">
        <v>14803</v>
      </c>
      <c r="CV53" s="451">
        <v>12822</v>
      </c>
      <c r="CW53" s="451">
        <v>15114</v>
      </c>
      <c r="CX53" s="451">
        <v>13692</v>
      </c>
      <c r="CY53" s="451">
        <v>14796</v>
      </c>
      <c r="CZ53" s="451">
        <v>15802</v>
      </c>
      <c r="DA53" s="451">
        <v>16228</v>
      </c>
      <c r="DB53" s="451">
        <v>17113</v>
      </c>
      <c r="DC53" s="451">
        <v>17910</v>
      </c>
      <c r="DD53" s="451">
        <v>18726</v>
      </c>
      <c r="DE53" s="451">
        <v>19572</v>
      </c>
      <c r="DF53" s="451">
        <v>21076</v>
      </c>
      <c r="DG53" s="451">
        <v>22600</v>
      </c>
      <c r="DH53" s="451">
        <v>25722</v>
      </c>
      <c r="DI53" s="451">
        <v>27892</v>
      </c>
      <c r="DJ53" s="451">
        <v>29685</v>
      </c>
      <c r="DK53" s="451">
        <v>27664</v>
      </c>
      <c r="DL53" s="451">
        <v>26467</v>
      </c>
      <c r="DM53" s="451">
        <v>28150</v>
      </c>
      <c r="DN53" s="451">
        <v>22582</v>
      </c>
      <c r="DO53" s="451">
        <v>21042</v>
      </c>
      <c r="DP53" s="451">
        <v>21420</v>
      </c>
      <c r="DQ53" s="451">
        <v>20652</v>
      </c>
      <c r="DR53" s="451">
        <v>21719</v>
      </c>
      <c r="DS53" s="451">
        <v>20475</v>
      </c>
      <c r="DT53" s="451">
        <v>20375</v>
      </c>
      <c r="DU53" s="451">
        <v>21797</v>
      </c>
      <c r="DV53" s="451">
        <v>19837</v>
      </c>
      <c r="DW53" s="451">
        <v>20385</v>
      </c>
      <c r="DX53" s="451">
        <v>19916</v>
      </c>
      <c r="DY53" s="451">
        <v>21010</v>
      </c>
      <c r="DZ53" s="451">
        <v>20474</v>
      </c>
      <c r="EA53" s="451">
        <v>20499</v>
      </c>
      <c r="EB53" s="451">
        <v>20572</v>
      </c>
      <c r="EC53" s="451">
        <v>20544</v>
      </c>
      <c r="ED53" s="451">
        <v>15801</v>
      </c>
      <c r="EE53" s="451">
        <v>21537</v>
      </c>
      <c r="EF53" s="451">
        <v>23470</v>
      </c>
      <c r="EG53" s="451">
        <v>28902</v>
      </c>
      <c r="EH53" s="451">
        <v>32385</v>
      </c>
      <c r="EI53" s="451">
        <v>36822</v>
      </c>
      <c r="EJ53" s="451">
        <v>40280</v>
      </c>
      <c r="EK53" s="451">
        <v>40453</v>
      </c>
      <c r="EL53" s="451">
        <v>38938</v>
      </c>
      <c r="EM53" s="451">
        <v>33968</v>
      </c>
      <c r="EN53" s="451">
        <v>27594.45</v>
      </c>
      <c r="EO53" s="451">
        <v>23642</v>
      </c>
      <c r="EP53" s="451">
        <v>26579</v>
      </c>
      <c r="EQ53" s="451">
        <v>25725</v>
      </c>
      <c r="ER53" s="451">
        <v>25488</v>
      </c>
      <c r="ES53" s="451">
        <v>26879.560439560439</v>
      </c>
      <c r="ET53" s="451">
        <v>26310</v>
      </c>
      <c r="EU53" s="451">
        <v>26636.005767982017</v>
      </c>
      <c r="EV53" s="451">
        <v>26352.27786172161</v>
      </c>
      <c r="EW53" s="451">
        <v>24901</v>
      </c>
      <c r="EX53" s="451">
        <v>25339</v>
      </c>
      <c r="EY53" s="451">
        <v>24436</v>
      </c>
      <c r="EZ53" s="451">
        <v>25731</v>
      </c>
      <c r="FA53" s="451">
        <v>27765</v>
      </c>
      <c r="FB53" s="451">
        <v>29380</v>
      </c>
      <c r="FC53" s="451">
        <v>38815</v>
      </c>
      <c r="FD53" s="451">
        <v>33121</v>
      </c>
      <c r="FE53" s="451">
        <v>33174.214285714283</v>
      </c>
      <c r="FF53" s="451">
        <v>38556.070512820515</v>
      </c>
      <c r="FG53" s="451">
        <v>36133.538461538461</v>
      </c>
      <c r="FH53" s="451">
        <v>35299.769230769234</v>
      </c>
      <c r="FI53" s="451">
        <v>38539</v>
      </c>
      <c r="FJ53" s="451">
        <v>40477.083333333336</v>
      </c>
      <c r="FK53" s="451">
        <v>37094.9</v>
      </c>
      <c r="FL53" s="451">
        <v>38125.466666666667</v>
      </c>
      <c r="FM53" s="451">
        <v>42825.5</v>
      </c>
      <c r="FN53" s="451">
        <v>43907.5</v>
      </c>
      <c r="FO53" s="451">
        <v>37690.571428571428</v>
      </c>
      <c r="FP53" s="451">
        <v>41799.166666666664</v>
      </c>
      <c r="FQ53" s="451">
        <v>41516.888888888891</v>
      </c>
      <c r="FR53" s="451">
        <v>42815.3</v>
      </c>
      <c r="FS53" s="451">
        <v>42823.333333333336</v>
      </c>
      <c r="FT53" s="451">
        <v>44838.625</v>
      </c>
      <c r="FU53" s="451">
        <v>44530.6</v>
      </c>
      <c r="FV53" s="451">
        <v>43361.090909090912</v>
      </c>
      <c r="FW53" s="451">
        <v>40240.923076923078</v>
      </c>
      <c r="FX53" s="451">
        <v>42653.416666666664</v>
      </c>
      <c r="FY53" s="451">
        <v>41884</v>
      </c>
      <c r="FZ53" s="451">
        <v>45083.714285714283</v>
      </c>
      <c r="GA53" s="451">
        <v>47970.727272727272</v>
      </c>
      <c r="GB53" s="451">
        <v>49870.9</v>
      </c>
      <c r="GC53" s="451">
        <v>39064.57894736842</v>
      </c>
      <c r="GD53" s="451">
        <v>38341.368421052633</v>
      </c>
      <c r="GE53" s="451">
        <v>35090</v>
      </c>
      <c r="GF53" s="451">
        <v>33665.473684210527</v>
      </c>
      <c r="GG53" s="451">
        <v>33361.526315789473</v>
      </c>
      <c r="GH53" s="451">
        <v>33477.26315789474</v>
      </c>
      <c r="GI53" s="451">
        <v>31661.052631578947</v>
      </c>
      <c r="GJ53" s="451">
        <v>33116.73684210526</v>
      </c>
      <c r="GK53" s="451">
        <v>34274.15789473684</v>
      </c>
      <c r="GL53" s="451">
        <v>36869.684210526313</v>
      </c>
      <c r="GM53" s="451">
        <v>40055.631578947367</v>
      </c>
      <c r="GN53" s="451">
        <v>41140.947368421053</v>
      </c>
      <c r="GO53" s="451">
        <v>50586</v>
      </c>
      <c r="GP53" s="451">
        <v>52928</v>
      </c>
      <c r="GQ53" s="451">
        <v>75939</v>
      </c>
      <c r="GR53" s="451">
        <v>63768</v>
      </c>
      <c r="GS53" s="451">
        <v>61306.87</v>
      </c>
      <c r="GT53" s="451">
        <v>60993.285714285717</v>
      </c>
      <c r="GU53" s="451">
        <v>59132.647058823532</v>
      </c>
      <c r="GV53" s="451">
        <v>53589.2</v>
      </c>
      <c r="GW53" s="451">
        <v>53838.9</v>
      </c>
      <c r="GX53" s="451">
        <v>54623</v>
      </c>
      <c r="GY53" s="451">
        <v>54582</v>
      </c>
      <c r="GZ53" s="451">
        <v>59014.7</v>
      </c>
      <c r="HA53" s="451">
        <v>55160.800000000003</v>
      </c>
      <c r="HB53" s="451">
        <v>55959.3</v>
      </c>
      <c r="HC53" s="451">
        <v>55398.7</v>
      </c>
      <c r="HD53" s="451">
        <v>63629.9</v>
      </c>
      <c r="HE53" s="451">
        <v>70651.3</v>
      </c>
      <c r="HF53" s="451">
        <v>65201</v>
      </c>
      <c r="HG53" s="451">
        <v>58974.933333333334</v>
      </c>
      <c r="HH53" s="451">
        <v>57378.571428571428</v>
      </c>
      <c r="HI53" s="451">
        <v>61804.292929292926</v>
      </c>
      <c r="HJ53" s="451">
        <v>66694.375</v>
      </c>
      <c r="HK53" s="451">
        <v>65089.357142857145</v>
      </c>
      <c r="HL53" s="451">
        <v>75758.055555555562</v>
      </c>
      <c r="HM53" s="451">
        <v>74122.857142857145</v>
      </c>
      <c r="HN53" s="451">
        <v>83722.2</v>
      </c>
      <c r="HO53" s="451">
        <v>87562.53333333334</v>
      </c>
      <c r="HP53" s="451">
        <v>82143.4375</v>
      </c>
      <c r="HQ53" s="451">
        <v>93086.625</v>
      </c>
      <c r="HR53" s="451">
        <v>85444.444444444453</v>
      </c>
      <c r="HS53" s="451">
        <v>104101.97647058823</v>
      </c>
      <c r="HT53" s="451">
        <v>86053.941176470587</v>
      </c>
      <c r="HU53" s="554">
        <v>73765</v>
      </c>
      <c r="HV53" s="555">
        <v>74869.2</v>
      </c>
      <c r="HW53" s="555">
        <v>76770.399999999994</v>
      </c>
      <c r="HX53" s="555">
        <v>74456</v>
      </c>
      <c r="HY53" s="582">
        <v>75424.5</v>
      </c>
      <c r="HZ53" s="582">
        <v>79782.058823529413</v>
      </c>
      <c r="IA53" s="582">
        <v>70264</v>
      </c>
      <c r="IB53" s="582">
        <v>68285</v>
      </c>
      <c r="IC53" s="582">
        <v>74297.933333333334</v>
      </c>
      <c r="ID53" s="646">
        <v>70461.28571428571</v>
      </c>
      <c r="IE53" s="582">
        <v>65418</v>
      </c>
      <c r="IF53" s="582">
        <v>56934.533333333333</v>
      </c>
      <c r="IG53" s="658">
        <v>56779.6</v>
      </c>
      <c r="IH53" s="659">
        <v>62872.9</v>
      </c>
      <c r="II53" s="659">
        <v>58797.7</v>
      </c>
      <c r="IJ53" s="659">
        <v>65989.600000000006</v>
      </c>
      <c r="IK53" s="618">
        <v>63886</v>
      </c>
      <c r="IL53" s="618">
        <v>62227</v>
      </c>
      <c r="IM53" s="618">
        <v>65418</v>
      </c>
      <c r="IN53" s="715">
        <v>65779</v>
      </c>
      <c r="IO53" s="618">
        <v>69222.2</v>
      </c>
      <c r="IP53" s="618">
        <v>69381.399999999994</v>
      </c>
      <c r="IQ53" s="582"/>
      <c r="IR53" s="582"/>
      <c r="IS53" s="582"/>
      <c r="IU53" s="444"/>
      <c r="IV53" s="737"/>
      <c r="IW53" s="739"/>
      <c r="IX53" s="739"/>
      <c r="IY53" s="739"/>
      <c r="IZ53" s="444"/>
    </row>
    <row r="54" spans="5:278" x14ac:dyDescent="0.2">
      <c r="AO54" s="584"/>
      <c r="AP54" s="451"/>
      <c r="AQ54" s="451"/>
      <c r="AR54" s="451"/>
      <c r="AS54" s="451"/>
      <c r="AT54" s="451"/>
      <c r="AU54" s="451"/>
      <c r="AV54" s="585"/>
      <c r="AW54" s="585"/>
      <c r="AX54" s="585"/>
      <c r="AY54" s="585"/>
      <c r="AZ54" s="585"/>
      <c r="BA54" s="585"/>
      <c r="IM54" s="18"/>
      <c r="IN54" s="582"/>
      <c r="IO54" s="582"/>
      <c r="IP54" s="582"/>
      <c r="IQ54" s="582"/>
      <c r="IR54" s="582"/>
      <c r="IS54" s="582"/>
      <c r="IU54" s="444"/>
      <c r="IV54" s="737"/>
      <c r="IW54" s="739"/>
      <c r="IX54" s="739"/>
      <c r="IY54" s="739"/>
      <c r="IZ54" s="444"/>
    </row>
    <row r="55" spans="5:278" x14ac:dyDescent="0.2">
      <c r="E55" s="422" t="s">
        <v>379</v>
      </c>
      <c r="AO55" s="584"/>
      <c r="AP55" s="451"/>
      <c r="AQ55" s="451"/>
      <c r="AR55" s="451"/>
      <c r="AS55" s="451"/>
      <c r="AT55" s="451"/>
      <c r="AU55" s="451"/>
      <c r="AV55" s="585"/>
      <c r="AW55" s="585"/>
      <c r="AX55" s="585"/>
      <c r="AY55" s="585"/>
      <c r="AZ55" s="585"/>
      <c r="BA55" s="585"/>
      <c r="GY55" s="384">
        <v>40848</v>
      </c>
      <c r="GZ55" s="384">
        <v>40878</v>
      </c>
      <c r="HA55" s="384">
        <v>40909</v>
      </c>
      <c r="HB55" s="384">
        <v>40940</v>
      </c>
      <c r="HC55" s="384">
        <v>40969</v>
      </c>
      <c r="HD55" s="384">
        <v>41000</v>
      </c>
      <c r="HE55" s="384">
        <v>41030</v>
      </c>
      <c r="HF55" s="384">
        <v>41061</v>
      </c>
      <c r="HG55" s="384">
        <v>41091</v>
      </c>
      <c r="HH55" s="384">
        <v>41122</v>
      </c>
      <c r="HI55" s="384">
        <v>41153</v>
      </c>
      <c r="HJ55" s="384">
        <v>41183</v>
      </c>
      <c r="HK55" s="384">
        <v>41214</v>
      </c>
      <c r="HL55" s="384">
        <v>41244</v>
      </c>
      <c r="HM55" s="384">
        <v>41275</v>
      </c>
      <c r="HN55" s="384">
        <v>41306</v>
      </c>
      <c r="HO55" s="384">
        <v>41334</v>
      </c>
      <c r="HP55" s="384">
        <v>41365</v>
      </c>
      <c r="HQ55" s="384">
        <v>41395</v>
      </c>
      <c r="HR55" s="384">
        <v>41426</v>
      </c>
      <c r="HS55" s="384">
        <v>41456</v>
      </c>
      <c r="HT55" s="384">
        <v>41487</v>
      </c>
      <c r="HU55" s="384">
        <v>41518</v>
      </c>
      <c r="HV55" s="384">
        <v>41548</v>
      </c>
      <c r="HW55" s="384">
        <v>41579</v>
      </c>
      <c r="HX55" s="384">
        <v>41609</v>
      </c>
      <c r="HY55" s="384">
        <v>41640</v>
      </c>
      <c r="HZ55" s="384">
        <v>41671</v>
      </c>
      <c r="IA55" s="384">
        <v>41699</v>
      </c>
      <c r="IB55" s="384">
        <v>41730</v>
      </c>
      <c r="IC55" s="384">
        <v>41760</v>
      </c>
      <c r="ID55" s="384">
        <v>41791</v>
      </c>
      <c r="IE55" s="384">
        <v>41821</v>
      </c>
      <c r="IF55" s="384">
        <v>41852</v>
      </c>
      <c r="IG55" s="384">
        <v>41883</v>
      </c>
      <c r="IH55" s="384">
        <v>41913</v>
      </c>
      <c r="II55" s="384">
        <v>41944</v>
      </c>
      <c r="IJ55" s="384">
        <v>41974</v>
      </c>
      <c r="IK55" s="384">
        <v>42005</v>
      </c>
      <c r="IL55" s="384">
        <v>42036</v>
      </c>
      <c r="IM55" s="384">
        <v>42064</v>
      </c>
      <c r="IN55" s="384">
        <v>42095</v>
      </c>
      <c r="IO55" s="384">
        <v>42125</v>
      </c>
      <c r="IP55" s="384">
        <v>42156</v>
      </c>
      <c r="IQ55" s="582"/>
      <c r="IR55" s="582"/>
      <c r="IS55" s="582"/>
      <c r="IU55" s="444"/>
      <c r="IV55" s="737"/>
      <c r="IW55" s="739"/>
      <c r="IX55" s="739"/>
      <c r="IY55" s="739"/>
      <c r="IZ55" s="444"/>
    </row>
    <row r="56" spans="5:278" x14ac:dyDescent="0.2">
      <c r="E56" s="456" t="s">
        <v>381</v>
      </c>
      <c r="AO56" s="584" t="e">
        <f t="shared" si="355"/>
        <v>#DIV/0!</v>
      </c>
      <c r="AP56" s="451" t="e">
        <f t="shared" si="356"/>
        <v>#DIV/0!</v>
      </c>
      <c r="AQ56" s="451" t="e">
        <f t="shared" si="357"/>
        <v>#DIV/0!</v>
      </c>
      <c r="AR56" s="451">
        <f t="shared" si="358"/>
        <v>904.96518640350871</v>
      </c>
      <c r="AS56" s="451">
        <f t="shared" si="359"/>
        <v>1094.7361111111111</v>
      </c>
      <c r="AT56" s="451">
        <f t="shared" si="360"/>
        <v>1334.0449305555558</v>
      </c>
      <c r="AU56" s="451">
        <f t="shared" si="361"/>
        <v>1432.6225000000002</v>
      </c>
      <c r="AV56" s="585">
        <f t="shared" si="341"/>
        <v>1700.8249671052629</v>
      </c>
      <c r="AW56" s="585">
        <f t="shared" si="342"/>
        <v>1440.8230555555556</v>
      </c>
      <c r="AX56" s="585">
        <f t="shared" si="362"/>
        <v>1695.7390140676389</v>
      </c>
      <c r="AY56" s="585">
        <f t="shared" si="347"/>
        <v>2073.751855955953</v>
      </c>
      <c r="AZ56" s="585">
        <f t="shared" si="348"/>
        <v>2212.6319817933104</v>
      </c>
      <c r="BA56" s="585">
        <f t="shared" si="349"/>
        <v>2209.6783832655265</v>
      </c>
      <c r="DI56" s="453">
        <v>752.95</v>
      </c>
      <c r="DJ56" s="453">
        <v>809.56140350877195</v>
      </c>
      <c r="DK56" s="453">
        <v>811.97500000000002</v>
      </c>
      <c r="DL56" s="453">
        <v>824.43333333333317</v>
      </c>
      <c r="DM56" s="453">
        <v>901.28333333333319</v>
      </c>
      <c r="DN56" s="453">
        <v>904.51250000000005</v>
      </c>
      <c r="DO56" s="453">
        <v>942.14583333333326</v>
      </c>
      <c r="DP56" s="453">
        <v>961.63333333333321</v>
      </c>
      <c r="DQ56" s="453">
        <v>966.75</v>
      </c>
      <c r="DR56" s="453">
        <v>983.55</v>
      </c>
      <c r="DS56" s="453">
        <v>996</v>
      </c>
      <c r="DT56" s="453">
        <v>1004.7875</v>
      </c>
      <c r="DU56" s="453">
        <v>1014.75</v>
      </c>
      <c r="DV56" s="453">
        <v>1010</v>
      </c>
      <c r="DW56" s="453">
        <v>1027.5</v>
      </c>
      <c r="DX56" s="453">
        <v>1056.2083333333335</v>
      </c>
      <c r="DY56" s="453">
        <v>1078.3666666666666</v>
      </c>
      <c r="DZ56" s="453">
        <v>1078.9083333333333</v>
      </c>
      <c r="EA56" s="453">
        <v>1084.8</v>
      </c>
      <c r="EB56" s="453">
        <v>1126.875</v>
      </c>
      <c r="EC56" s="453">
        <v>1148.5250000000001</v>
      </c>
      <c r="ED56" s="453">
        <v>1165.5666666666666</v>
      </c>
      <c r="EE56" s="453">
        <v>1171.75</v>
      </c>
      <c r="EF56" s="453">
        <v>1173.5833333333333</v>
      </c>
      <c r="EG56" s="453">
        <v>1195.8125</v>
      </c>
      <c r="EH56" s="453">
        <v>1199.4166666666667</v>
      </c>
      <c r="EI56" s="453">
        <v>1199.0833333333335</v>
      </c>
      <c r="EJ56" s="453">
        <v>1236.0666666666666</v>
      </c>
      <c r="EK56" s="453">
        <v>1362.62</v>
      </c>
      <c r="EL56" s="453">
        <v>1417.09</v>
      </c>
      <c r="EM56" s="453">
        <v>1418.48</v>
      </c>
      <c r="EN56" s="453">
        <v>1398.56</v>
      </c>
      <c r="EO56" s="453">
        <v>1435.34</v>
      </c>
      <c r="EP56" s="453">
        <v>1427.71</v>
      </c>
      <c r="EQ56" s="453">
        <v>1384.9</v>
      </c>
      <c r="ER56" s="453">
        <v>1333.46</v>
      </c>
      <c r="ES56" s="453">
        <v>1322.15</v>
      </c>
      <c r="ET56" s="453">
        <v>1310.28</v>
      </c>
      <c r="EU56" s="453">
        <v>1296.04</v>
      </c>
      <c r="EV56" s="453">
        <v>1282.6199999999999</v>
      </c>
      <c r="EW56" s="453">
        <v>1320.81</v>
      </c>
      <c r="EX56" s="453">
        <v>1370.68</v>
      </c>
      <c r="EY56" s="453">
        <v>1533.2</v>
      </c>
      <c r="EZ56" s="453">
        <v>1532.19</v>
      </c>
      <c r="FA56" s="453">
        <v>1551.52</v>
      </c>
      <c r="FB56" s="453">
        <v>1566.12</v>
      </c>
      <c r="FC56" s="453">
        <v>1551.24</v>
      </c>
      <c r="FD56" s="453">
        <v>1554.62</v>
      </c>
      <c r="FE56" s="453">
        <v>1554.4291666666666</v>
      </c>
      <c r="FF56" s="453">
        <v>1593.7280701754385</v>
      </c>
      <c r="FG56" s="453">
        <v>1603.1166666666666</v>
      </c>
      <c r="FH56" s="453">
        <v>1728.95</v>
      </c>
      <c r="FI56" s="453">
        <v>1783.6666666666667</v>
      </c>
      <c r="FJ56" s="453">
        <v>1806.6291666666668</v>
      </c>
      <c r="FK56" s="453">
        <v>1828.7458333333336</v>
      </c>
      <c r="FL56" s="453">
        <v>1833.4666666666665</v>
      </c>
      <c r="FM56" s="453">
        <v>1777.1140350877195</v>
      </c>
      <c r="FN56" s="453">
        <v>1697.3333333333333</v>
      </c>
      <c r="FO56" s="453">
        <v>1616.35</v>
      </c>
      <c r="FP56" s="453">
        <v>1586.37</v>
      </c>
      <c r="FQ56" s="453">
        <v>1409.52</v>
      </c>
      <c r="FR56" s="453">
        <v>1397.6291666666666</v>
      </c>
      <c r="FS56" s="453">
        <v>1381.8375000000001</v>
      </c>
      <c r="FT56" s="453">
        <v>1316.5083333333334</v>
      </c>
      <c r="FU56" s="453">
        <v>1307.3416666666667</v>
      </c>
      <c r="FV56" s="453">
        <v>1332.1566666666668</v>
      </c>
      <c r="FW56" s="453">
        <v>1405.2083333333335</v>
      </c>
      <c r="FX56" s="453">
        <v>1463.2833333333333</v>
      </c>
      <c r="FY56" s="453">
        <v>1553.9666666666667</v>
      </c>
      <c r="FZ56" s="453">
        <v>1566.9916666666666</v>
      </c>
      <c r="GA56" s="453">
        <v>1572.675</v>
      </c>
      <c r="GB56" s="453">
        <v>1582.7583333333334</v>
      </c>
      <c r="GC56" s="453">
        <v>1585.4166666666667</v>
      </c>
      <c r="GD56" s="453">
        <v>1592.425</v>
      </c>
      <c r="GE56" s="453">
        <v>1626.5416666666667</v>
      </c>
      <c r="GF56" s="453">
        <v>1623.8583333333331</v>
      </c>
      <c r="GG56" s="453">
        <v>1654.5833333333335</v>
      </c>
      <c r="GH56" s="453">
        <v>1703.85</v>
      </c>
      <c r="GI56" s="453">
        <v>1708.7991666666669</v>
      </c>
      <c r="GJ56" s="453">
        <v>1722.1041666666665</v>
      </c>
      <c r="GK56" s="453">
        <v>1733.9749999999999</v>
      </c>
      <c r="GL56" s="453">
        <v>1753.425</v>
      </c>
      <c r="GM56" s="453">
        <v>1798.7349975888931</v>
      </c>
      <c r="GN56" s="453">
        <v>1845.1548378894356</v>
      </c>
      <c r="GO56" s="453">
        <v>1850.5582384209479</v>
      </c>
      <c r="GP56" s="453">
        <v>1867.9941121769602</v>
      </c>
      <c r="GQ56" s="453">
        <v>1933.9146027971899</v>
      </c>
      <c r="GR56" s="453">
        <v>2044.377145757855</v>
      </c>
      <c r="GS56" s="453">
        <v>2134.7941785918511</v>
      </c>
      <c r="GT56" s="453">
        <v>2152.9646640927904</v>
      </c>
      <c r="GU56" s="453">
        <v>2176.4188509429714</v>
      </c>
      <c r="GV56" s="453">
        <v>2149.5158547774622</v>
      </c>
      <c r="GW56" s="453">
        <v>2163.9938964667917</v>
      </c>
      <c r="GX56" s="453">
        <v>2170.5999344712309</v>
      </c>
      <c r="GY56" s="453">
        <v>2145.13</v>
      </c>
      <c r="GZ56" s="453">
        <v>2094.7607929753858</v>
      </c>
      <c r="HA56" s="453">
        <v>2078.3922038441547</v>
      </c>
      <c r="HB56" s="453">
        <v>2091.2734267850706</v>
      </c>
      <c r="HC56" s="453">
        <v>2228.9391048339885</v>
      </c>
      <c r="HD56" s="453">
        <v>2303.116184013385</v>
      </c>
      <c r="HE56" s="556">
        <v>2303.116184013385</v>
      </c>
      <c r="HF56" s="453">
        <v>2273.08</v>
      </c>
      <c r="HG56" s="453">
        <v>2257.6851688787833</v>
      </c>
      <c r="HH56" s="497">
        <v>2155.37763241837</v>
      </c>
      <c r="HI56" s="497">
        <v>2350.8533818980013</v>
      </c>
      <c r="HJ56" s="497">
        <v>2149.5212034612041</v>
      </c>
      <c r="HK56" s="497">
        <v>2151.6190935695131</v>
      </c>
      <c r="HL56" s="498">
        <v>2208.6101978038696</v>
      </c>
      <c r="HM56" s="498">
        <v>2106.8874125447892</v>
      </c>
      <c r="HN56" s="497">
        <v>2104.1601225372528</v>
      </c>
      <c r="HO56" s="497">
        <v>2138.8242318849525</v>
      </c>
      <c r="HP56" s="557">
        <v>2186.0457578864221</v>
      </c>
      <c r="HQ56" s="557">
        <v>2170.1323466605431</v>
      </c>
      <c r="HR56" s="558">
        <v>2159.367330945473</v>
      </c>
      <c r="HS56" s="499">
        <v>2178.9168396235837</v>
      </c>
      <c r="HT56" s="499">
        <v>2195.0653982662302</v>
      </c>
      <c r="HU56" s="499">
        <v>2254.037457508276</v>
      </c>
      <c r="HV56" s="499">
        <v>2247.6044616729046</v>
      </c>
      <c r="HW56" s="559">
        <v>2210.9642532033868</v>
      </c>
      <c r="HX56" s="559">
        <v>2209.6783832655265</v>
      </c>
      <c r="HY56" s="499">
        <v>2218.5189719899213</v>
      </c>
      <c r="HZ56" s="717">
        <v>2236.4156308745373</v>
      </c>
      <c r="IA56" s="717">
        <v>2277.096784044586</v>
      </c>
      <c r="IB56" s="717">
        <v>2288.3278021755214</v>
      </c>
      <c r="IC56" s="717">
        <v>2293.1360781064477</v>
      </c>
      <c r="ID56" s="717">
        <v>2308.8827420465304</v>
      </c>
      <c r="IE56" s="717">
        <v>2324.4585888695278</v>
      </c>
      <c r="IF56" s="717">
        <v>2324.4585888695278</v>
      </c>
      <c r="IG56" s="717">
        <v>2349.423077359756</v>
      </c>
      <c r="IH56" s="717">
        <v>2355.4835976748313</v>
      </c>
      <c r="II56" s="717">
        <v>2309.1240667846114</v>
      </c>
      <c r="IJ56" s="717">
        <v>2266.1999999999998</v>
      </c>
      <c r="IK56" s="717">
        <v>2140.6999999999998</v>
      </c>
      <c r="IL56" s="717">
        <v>1870.9750417762286</v>
      </c>
      <c r="IM56" s="717">
        <v>1696.8022039843559</v>
      </c>
      <c r="IN56" s="717">
        <v>1768.5448180957333</v>
      </c>
      <c r="IO56" s="717">
        <v>1800.5024727552193</v>
      </c>
      <c r="IP56" s="717">
        <v>1880.8636484727447</v>
      </c>
      <c r="IQ56" s="582"/>
      <c r="IR56" s="582"/>
      <c r="IS56" s="582"/>
      <c r="IT56" s="444"/>
      <c r="IU56" s="444"/>
      <c r="IV56" s="737"/>
      <c r="IW56" s="739"/>
      <c r="IX56" s="739"/>
      <c r="IY56" s="739"/>
      <c r="IZ56" s="444"/>
    </row>
    <row r="57" spans="5:278" x14ac:dyDescent="0.2">
      <c r="E57" s="456" t="s">
        <v>382</v>
      </c>
      <c r="AO57" s="584" t="e">
        <f t="shared" si="355"/>
        <v>#DIV/0!</v>
      </c>
      <c r="AP57" s="451" t="e">
        <f t="shared" si="356"/>
        <v>#DIV/0!</v>
      </c>
      <c r="AQ57" s="451" t="e">
        <f t="shared" si="357"/>
        <v>#DIV/0!</v>
      </c>
      <c r="AR57" s="451">
        <f t="shared" si="358"/>
        <v>810.78748375568557</v>
      </c>
      <c r="AS57" s="451">
        <f t="shared" si="359"/>
        <v>1029.5772478070176</v>
      </c>
      <c r="AT57" s="451">
        <f t="shared" si="360"/>
        <v>1278.4868055555555</v>
      </c>
      <c r="AU57" s="451">
        <f t="shared" si="361"/>
        <v>1383.5762499999998</v>
      </c>
      <c r="AV57" s="585">
        <f t="shared" si="341"/>
        <v>1787.920990497076</v>
      </c>
      <c r="AW57" s="585">
        <f t="shared" si="342"/>
        <v>1412.6871527777776</v>
      </c>
      <c r="AX57" s="585">
        <f t="shared" si="362"/>
        <v>1639.2969523690979</v>
      </c>
      <c r="AY57" s="585">
        <f t="shared" si="347"/>
        <v>2043.3262683698583</v>
      </c>
      <c r="AZ57" s="585">
        <f t="shared" si="348"/>
        <v>2137.6764187776043</v>
      </c>
      <c r="BA57" s="585">
        <f t="shared" si="349"/>
        <v>2185.1599190476718</v>
      </c>
      <c r="DI57" s="453">
        <v>701.2</v>
      </c>
      <c r="DJ57" s="453">
        <v>745.46929824561403</v>
      </c>
      <c r="DK57" s="453">
        <v>756.34210526315792</v>
      </c>
      <c r="DL57" s="453">
        <v>756.34210526315792</v>
      </c>
      <c r="DM57" s="453">
        <v>752.12962962962956</v>
      </c>
      <c r="DN57" s="453">
        <v>785.60416666666674</v>
      </c>
      <c r="DO57" s="453">
        <v>837.73333333333335</v>
      </c>
      <c r="DP57" s="453">
        <v>785.60416666666674</v>
      </c>
      <c r="DQ57" s="453">
        <v>872.79166666666663</v>
      </c>
      <c r="DR57" s="453">
        <v>890.57500000000005</v>
      </c>
      <c r="DS57" s="453">
        <v>914.875</v>
      </c>
      <c r="DT57" s="453">
        <v>930.78333333333342</v>
      </c>
      <c r="DU57" s="453">
        <v>942.08333333333337</v>
      </c>
      <c r="DV57" s="453">
        <v>941.17499999999995</v>
      </c>
      <c r="DW57" s="453">
        <v>951.62280701754378</v>
      </c>
      <c r="DX57" s="453">
        <v>983.26666666666665</v>
      </c>
      <c r="DY57" s="453">
        <v>1005.5041666666668</v>
      </c>
      <c r="DZ57" s="453">
        <v>1007.875</v>
      </c>
      <c r="EA57" s="453">
        <v>1016.15</v>
      </c>
      <c r="EB57" s="453">
        <v>1066.6666666666667</v>
      </c>
      <c r="EC57" s="453">
        <v>1092.25</v>
      </c>
      <c r="ED57" s="453">
        <v>1107.5833333333335</v>
      </c>
      <c r="EE57" s="453">
        <v>1114.7083333333335</v>
      </c>
      <c r="EF57" s="453">
        <v>1126.0416666666665</v>
      </c>
      <c r="EG57" s="453">
        <v>1137.0833333333335</v>
      </c>
      <c r="EH57" s="453">
        <v>1143.9166666666665</v>
      </c>
      <c r="EI57" s="453">
        <v>1146.1666666666665</v>
      </c>
      <c r="EJ57" s="453">
        <v>1180.575</v>
      </c>
      <c r="EK57" s="453">
        <v>1288.4000000000001</v>
      </c>
      <c r="EL57" s="453">
        <v>1356.77</v>
      </c>
      <c r="EM57" s="453">
        <v>1356.25</v>
      </c>
      <c r="EN57" s="453">
        <v>1336.31</v>
      </c>
      <c r="EO57" s="453">
        <v>1376.8</v>
      </c>
      <c r="EP57" s="453">
        <v>1373.78</v>
      </c>
      <c r="EQ57" s="453">
        <v>1336.86</v>
      </c>
      <c r="ER57" s="453">
        <v>1308.93</v>
      </c>
      <c r="ES57" s="453">
        <v>1298.27</v>
      </c>
      <c r="ET57" s="453">
        <v>1276.42</v>
      </c>
      <c r="EU57" s="453">
        <v>1307.0250000000001</v>
      </c>
      <c r="EV57" s="453">
        <v>1259.3</v>
      </c>
      <c r="EW57" s="453">
        <v>1287.2</v>
      </c>
      <c r="EX57" s="453">
        <v>1311.64</v>
      </c>
      <c r="EY57" s="453">
        <v>1461.09</v>
      </c>
      <c r="EZ57" s="453">
        <v>1453.83</v>
      </c>
      <c r="FA57" s="453">
        <v>1481.14</v>
      </c>
      <c r="FB57" s="453">
        <v>1487.39</v>
      </c>
      <c r="FC57" s="453">
        <v>1485.74</v>
      </c>
      <c r="FD57" s="453">
        <v>1493.87</v>
      </c>
      <c r="FE57" s="453">
        <v>1493.45</v>
      </c>
      <c r="FF57" s="453">
        <v>1555.8</v>
      </c>
      <c r="FG57" s="453">
        <v>1567.2</v>
      </c>
      <c r="FH57" s="453">
        <v>1720.7666666666669</v>
      </c>
      <c r="FI57" s="453">
        <v>1805.0416666666667</v>
      </c>
      <c r="FJ57" s="453">
        <v>1958.0708333333332</v>
      </c>
      <c r="FK57" s="453">
        <v>2060.4666666666662</v>
      </c>
      <c r="FL57" s="453">
        <v>2086.8291666666669</v>
      </c>
      <c r="FM57" s="453">
        <v>2011.7458333333332</v>
      </c>
      <c r="FN57" s="453">
        <v>1923.921052631579</v>
      </c>
      <c r="FO57" s="453">
        <v>1714.61</v>
      </c>
      <c r="FP57" s="453">
        <v>1557.15</v>
      </c>
      <c r="FQ57" s="453">
        <v>1453.32</v>
      </c>
      <c r="FR57" s="453">
        <v>1423.5616666666667</v>
      </c>
      <c r="FS57" s="453">
        <v>1388.7533333333333</v>
      </c>
      <c r="FT57" s="453">
        <v>1293.2666666666667</v>
      </c>
      <c r="FU57" s="453">
        <v>1282.2750000000001</v>
      </c>
      <c r="FV57" s="453">
        <v>1309.4566666666667</v>
      </c>
      <c r="FW57" s="453">
        <v>1385.8083333333332</v>
      </c>
      <c r="FX57" s="453">
        <v>1436.0708333333334</v>
      </c>
      <c r="FY57" s="453">
        <v>1491.75</v>
      </c>
      <c r="FZ57" s="453">
        <v>1484.0166666666669</v>
      </c>
      <c r="GA57" s="453">
        <v>1496.0916666666667</v>
      </c>
      <c r="GB57" s="453">
        <v>1507.8749999999998</v>
      </c>
      <c r="GC57" s="453">
        <v>1508.4</v>
      </c>
      <c r="GD57" s="453">
        <v>1531.7249999999999</v>
      </c>
      <c r="GE57" s="453">
        <v>1549.2</v>
      </c>
      <c r="GF57" s="453">
        <v>1542.6833333333332</v>
      </c>
      <c r="GG57" s="453">
        <v>1580.9583333333333</v>
      </c>
      <c r="GH57" s="453">
        <v>1634.6666666666665</v>
      </c>
      <c r="GI57" s="453">
        <v>1652.686666666667</v>
      </c>
      <c r="GJ57" s="453">
        <v>1676.2791666666665</v>
      </c>
      <c r="GK57" s="453">
        <v>1711.4541666666669</v>
      </c>
      <c r="GL57" s="453">
        <v>1722.675</v>
      </c>
      <c r="GM57" s="453">
        <v>1776.9814786387419</v>
      </c>
      <c r="GN57" s="453">
        <v>1783.8536164570985</v>
      </c>
      <c r="GO57" s="453">
        <v>1781.1063455741858</v>
      </c>
      <c r="GP57" s="453">
        <v>1821.483999471624</v>
      </c>
      <c r="GQ57" s="453">
        <v>1906.674719585367</v>
      </c>
      <c r="GR57" s="453">
        <v>2037.3275059590833</v>
      </c>
      <c r="GS57" s="453">
        <v>2126.3792582004617</v>
      </c>
      <c r="GT57" s="453">
        <v>2159.6614888015747</v>
      </c>
      <c r="GU57" s="453">
        <v>2161.7045731922781</v>
      </c>
      <c r="GV57" s="453">
        <v>2086.4137552775514</v>
      </c>
      <c r="GW57" s="453">
        <v>2082.4072073676416</v>
      </c>
      <c r="GX57" s="453">
        <v>2106.1292437703228</v>
      </c>
      <c r="GY57" s="453">
        <v>2098.84</v>
      </c>
      <c r="GZ57" s="453">
        <v>2151.7871232382086</v>
      </c>
      <c r="HA57" s="453">
        <v>2090.6441332318705</v>
      </c>
      <c r="HB57" s="453">
        <v>2078.9122614809489</v>
      </c>
      <c r="HC57" s="453">
        <v>2189.9062202662749</v>
      </c>
      <c r="HD57" s="453">
        <v>2202.2453129442388</v>
      </c>
      <c r="HE57" s="556">
        <v>2202.2453129442388</v>
      </c>
      <c r="HF57" s="453">
        <v>2173.935905147528</v>
      </c>
      <c r="HG57" s="453">
        <v>2155.0303024711443</v>
      </c>
      <c r="HH57" s="497">
        <v>2070.5164075739458</v>
      </c>
      <c r="HI57" s="497">
        <v>2210.1590209262135</v>
      </c>
      <c r="HJ57" s="497">
        <v>2087.6890954735522</v>
      </c>
      <c r="HK57" s="497">
        <v>2092.369213062449</v>
      </c>
      <c r="HL57" s="498">
        <v>2098.4638398088478</v>
      </c>
      <c r="HM57" s="498">
        <v>2071.6089079384933</v>
      </c>
      <c r="HN57" s="497">
        <v>2066.4072299519707</v>
      </c>
      <c r="HO57" s="497">
        <v>2072.5223104457045</v>
      </c>
      <c r="HP57" s="557">
        <v>2071.7764371340127</v>
      </c>
      <c r="HQ57" s="557">
        <v>2036.390414808267</v>
      </c>
      <c r="HR57" s="558">
        <v>1997.5590868261213</v>
      </c>
      <c r="HS57" s="499">
        <v>2088.6679292687759</v>
      </c>
      <c r="HT57" s="499">
        <v>2124.1474873181187</v>
      </c>
      <c r="HU57" s="499">
        <v>2159.6781435081953</v>
      </c>
      <c r="HV57" s="499">
        <v>2162.3622160778168</v>
      </c>
      <c r="HW57" s="559">
        <v>2165.045110707983</v>
      </c>
      <c r="HX57" s="559">
        <v>2185.1599190476718</v>
      </c>
      <c r="HY57" s="499">
        <v>2183.9052430730239</v>
      </c>
      <c r="HZ57" s="717">
        <v>2209.5516120140865</v>
      </c>
      <c r="IA57" s="717">
        <v>2152.6796343509841</v>
      </c>
      <c r="IB57" s="717">
        <v>2246.5387814304163</v>
      </c>
      <c r="IC57" s="717">
        <v>2241.9217745005221</v>
      </c>
      <c r="ID57" s="717">
        <v>2228.4143920405613</v>
      </c>
      <c r="IE57" s="717">
        <v>2225.7961711441803</v>
      </c>
      <c r="IF57" s="717">
        <v>2225.7961711441803</v>
      </c>
      <c r="IG57" s="717">
        <v>2208.4080724239689</v>
      </c>
      <c r="IH57" s="717">
        <v>2197.0059701810706</v>
      </c>
      <c r="II57" s="717">
        <v>2174.4706877114691</v>
      </c>
      <c r="IJ57" s="717">
        <v>2128.8000000000002</v>
      </c>
      <c r="IK57" s="717">
        <v>2020.7</v>
      </c>
      <c r="IL57" s="717">
        <v>1811.3453679130876</v>
      </c>
      <c r="IM57" s="717">
        <v>1698.6958076317756</v>
      </c>
      <c r="IN57" s="717">
        <v>1763.7052357116349</v>
      </c>
      <c r="IO57" s="717">
        <v>1789.9133911907902</v>
      </c>
      <c r="IP57" s="717">
        <v>1763.5552632241988</v>
      </c>
      <c r="IQ57" s="646"/>
      <c r="IR57" s="646"/>
      <c r="IS57" s="582"/>
      <c r="IT57" s="444"/>
      <c r="IU57" s="444"/>
      <c r="IV57" s="444"/>
      <c r="IW57" s="444"/>
      <c r="IX57" s="444"/>
      <c r="IY57" s="444"/>
      <c r="IZ57" s="444"/>
    </row>
    <row r="58" spans="5:278" x14ac:dyDescent="0.2">
      <c r="E58" s="454" t="s">
        <v>376</v>
      </c>
      <c r="AO58" s="584" t="e">
        <f t="shared" si="355"/>
        <v>#DIV/0!</v>
      </c>
      <c r="AP58" s="451" t="e">
        <f t="shared" si="356"/>
        <v>#DIV/0!</v>
      </c>
      <c r="AQ58" s="451" t="e">
        <f t="shared" si="357"/>
        <v>#DIV/0!</v>
      </c>
      <c r="AR58" s="451">
        <f t="shared" si="358"/>
        <v>315.26000358974358</v>
      </c>
      <c r="AS58" s="451">
        <f t="shared" si="359"/>
        <v>457.4019418853789</v>
      </c>
      <c r="AT58" s="451">
        <f t="shared" si="360"/>
        <v>586.4165507403992</v>
      </c>
      <c r="AU58" s="451">
        <f t="shared" si="361"/>
        <v>641.3462103750212</v>
      </c>
      <c r="AV58" s="585">
        <f t="shared" si="341"/>
        <v>839.15807972009372</v>
      </c>
      <c r="AW58" s="585">
        <f t="shared" si="342"/>
        <v>562.32041329832589</v>
      </c>
      <c r="AX58" s="585">
        <f t="shared" si="362"/>
        <v>750.2612913251063</v>
      </c>
      <c r="AY58" s="585">
        <f t="shared" si="347"/>
        <v>1171.9979364556646</v>
      </c>
      <c r="AZ58" s="585">
        <f t="shared" si="348"/>
        <v>1201.0741219806569</v>
      </c>
      <c r="BA58" s="585">
        <f t="shared" si="349"/>
        <v>1160.2966740000002</v>
      </c>
      <c r="DI58" s="453">
        <v>253.04130976923079</v>
      </c>
      <c r="DJ58" s="453">
        <v>249.16165107692305</v>
      </c>
      <c r="DK58" s="453">
        <v>271.04266184615381</v>
      </c>
      <c r="DL58" s="453">
        <v>290.6060310769231</v>
      </c>
      <c r="DM58" s="453">
        <v>326.82137046153838</v>
      </c>
      <c r="DN58" s="453">
        <v>299.77003000000002</v>
      </c>
      <c r="DO58" s="453">
        <v>329.94417500000003</v>
      </c>
      <c r="DP58" s="453">
        <v>340.32827415384611</v>
      </c>
      <c r="DQ58" s="453">
        <v>347.59722430769233</v>
      </c>
      <c r="DR58" s="453">
        <v>391.70826707692311</v>
      </c>
      <c r="DS58" s="453">
        <v>363.10409999999996</v>
      </c>
      <c r="DT58" s="453">
        <v>319.99494830769231</v>
      </c>
      <c r="DU58" s="453">
        <v>340.47919784076925</v>
      </c>
      <c r="DV58" s="453">
        <v>364.16346222769232</v>
      </c>
      <c r="DW58" s="453">
        <v>427.40267027846153</v>
      </c>
      <c r="DX58" s="453">
        <v>443.94224815384621</v>
      </c>
      <c r="DY58" s="453">
        <v>407.82087241846153</v>
      </c>
      <c r="DZ58" s="453">
        <v>462.58444266461532</v>
      </c>
      <c r="EA58" s="453">
        <v>482.09765836461548</v>
      </c>
      <c r="EB58" s="453">
        <v>524.46607048384612</v>
      </c>
      <c r="EC58" s="453">
        <v>572.76701050384622</v>
      </c>
      <c r="ED58" s="453">
        <v>531.10754956685503</v>
      </c>
      <c r="EE58" s="453">
        <v>464.28036575384618</v>
      </c>
      <c r="EF58" s="453">
        <v>467.71175436769238</v>
      </c>
      <c r="EG58" s="453">
        <v>514.89610544759955</v>
      </c>
      <c r="EH58" s="453">
        <v>502.12008725072354</v>
      </c>
      <c r="EI58" s="453">
        <v>540.33595802899697</v>
      </c>
      <c r="EJ58" s="453">
        <v>614.01170912646432</v>
      </c>
      <c r="EK58" s="453">
        <v>642.21915367614235</v>
      </c>
      <c r="EL58" s="453">
        <v>649.70717314462979</v>
      </c>
      <c r="EM58" s="453">
        <v>684.46729409678028</v>
      </c>
      <c r="EN58" s="453">
        <v>682.55784330078427</v>
      </c>
      <c r="EO58" s="453">
        <v>579.97631988059754</v>
      </c>
      <c r="EP58" s="453">
        <v>528.03657182941674</v>
      </c>
      <c r="EQ58" s="453">
        <v>543.9810026595062</v>
      </c>
      <c r="ER58" s="453">
        <v>554.68939044314823</v>
      </c>
      <c r="ES58" s="453">
        <v>502.85952039752306</v>
      </c>
      <c r="ET58" s="453">
        <v>538.86211858165336</v>
      </c>
      <c r="EU58" s="453">
        <v>568.06052091282049</v>
      </c>
      <c r="EV58" s="453">
        <v>625.39763177280213</v>
      </c>
      <c r="EW58" s="453">
        <v>646.25036781520248</v>
      </c>
      <c r="EX58" s="453">
        <v>653.87609192674142</v>
      </c>
      <c r="EY58" s="453">
        <v>683.64067448350329</v>
      </c>
      <c r="EZ58" s="453">
        <v>628.45683870562584</v>
      </c>
      <c r="FA58" s="453">
        <v>682.67076006711397</v>
      </c>
      <c r="FB58" s="453">
        <v>671.65053951307141</v>
      </c>
      <c r="FC58" s="453">
        <v>754.28342628961082</v>
      </c>
      <c r="FD58" s="453">
        <v>740.14603403458602</v>
      </c>
      <c r="FE58" s="453">
        <v>732.61990971648424</v>
      </c>
      <c r="FF58" s="453">
        <v>768.28386769210897</v>
      </c>
      <c r="FG58" s="453">
        <v>869.39039683769408</v>
      </c>
      <c r="FH58" s="453">
        <v>975.83272708135769</v>
      </c>
      <c r="FI58" s="453">
        <v>1089.1302489322873</v>
      </c>
      <c r="FJ58" s="453">
        <v>1112.0642536928233</v>
      </c>
      <c r="FK58" s="453">
        <v>1101.92262918045</v>
      </c>
      <c r="FL58" s="453">
        <v>934.52903545392928</v>
      </c>
      <c r="FM58" s="453">
        <v>853.36962048511361</v>
      </c>
      <c r="FN58" s="453">
        <v>679.88430540494653</v>
      </c>
      <c r="FO58" s="453">
        <v>530.00701426921535</v>
      </c>
      <c r="FP58" s="453">
        <v>422.86294789471475</v>
      </c>
      <c r="FQ58" s="453">
        <v>460.46340308443564</v>
      </c>
      <c r="FR58" s="453">
        <v>427.65468034157442</v>
      </c>
      <c r="FS58" s="453">
        <v>422.2390225901737</v>
      </c>
      <c r="FT58" s="453">
        <v>473.98590230518869</v>
      </c>
      <c r="FU58" s="453">
        <v>536.18310969422907</v>
      </c>
      <c r="FV58" s="453">
        <v>622.09833638409009</v>
      </c>
      <c r="FW58" s="453">
        <v>586.61266830378986</v>
      </c>
      <c r="FX58" s="453">
        <v>651.36613977678508</v>
      </c>
      <c r="FY58" s="453">
        <v>592.25396571116607</v>
      </c>
      <c r="FZ58" s="453">
        <v>648.22966000620636</v>
      </c>
      <c r="GA58" s="453">
        <v>669.48061898052651</v>
      </c>
      <c r="GB58" s="453">
        <v>657.27745240174488</v>
      </c>
      <c r="GC58" s="453">
        <v>688.53347104392526</v>
      </c>
      <c r="GD58" s="453">
        <v>657.47422927643686</v>
      </c>
      <c r="GE58" s="453">
        <v>730.46020931466285</v>
      </c>
      <c r="GF58" s="453">
        <v>772.38801340215025</v>
      </c>
      <c r="GG58" s="453">
        <v>717.9107259142321</v>
      </c>
      <c r="GH58" s="453">
        <v>722.2458792535424</v>
      </c>
      <c r="GI58" s="453">
        <v>703.28187686778438</v>
      </c>
      <c r="GJ58" s="453">
        <v>724.68633798596488</v>
      </c>
      <c r="GK58" s="453">
        <v>761.49093828409741</v>
      </c>
      <c r="GL58" s="453">
        <v>803.1543121170215</v>
      </c>
      <c r="GM58" s="453">
        <v>824.13087646275449</v>
      </c>
      <c r="GN58" s="453">
        <v>897.37862597870298</v>
      </c>
      <c r="GO58" s="453">
        <v>952.05323571610711</v>
      </c>
      <c r="GP58" s="453">
        <v>1043.0084067726762</v>
      </c>
      <c r="GQ58" s="453">
        <v>1149.6960283724595</v>
      </c>
      <c r="GR58" s="453">
        <v>1232.0572210763555</v>
      </c>
      <c r="GS58" s="453">
        <v>1180.6599483010532</v>
      </c>
      <c r="GT58" s="453">
        <v>1192.0586338124092</v>
      </c>
      <c r="GU58" s="453">
        <v>1240.9497640528339</v>
      </c>
      <c r="GV58" s="453">
        <v>1213.272881923077</v>
      </c>
      <c r="GW58" s="453">
        <v>1233.5745074410052</v>
      </c>
      <c r="GX58" s="453">
        <v>1229.4828</v>
      </c>
      <c r="GY58" s="453">
        <v>1249.198733076923</v>
      </c>
      <c r="GZ58" s="453">
        <v>1147.9630769230769</v>
      </c>
      <c r="HA58" s="453">
        <v>1175.7085999999999</v>
      </c>
      <c r="HB58" s="453">
        <v>1253.4869230769229</v>
      </c>
      <c r="HC58" s="453">
        <v>1300.902201923077</v>
      </c>
      <c r="HD58" s="453">
        <v>1278.5732907692309</v>
      </c>
      <c r="HE58" s="453">
        <v>1174.6931935384616</v>
      </c>
      <c r="HF58" s="453">
        <v>1060.646777846154</v>
      </c>
      <c r="HG58" s="453">
        <v>1124.3504886923076</v>
      </c>
      <c r="HH58" s="453">
        <v>1234.9220755384615</v>
      </c>
      <c r="HI58" s="453">
        <v>1277.4368790000001</v>
      </c>
      <c r="HJ58" s="453">
        <v>1217.8954016278128</v>
      </c>
      <c r="HK58" s="453">
        <v>1152.9107453745069</v>
      </c>
      <c r="HL58" s="453">
        <v>1161.3628863809458</v>
      </c>
      <c r="HM58" s="453">
        <v>1193.5807904090959</v>
      </c>
      <c r="HN58" s="453">
        <v>1256.0439089822919</v>
      </c>
      <c r="HO58" s="453">
        <v>1156.9542624266944</v>
      </c>
      <c r="HP58" s="453">
        <v>1100.1938447056357</v>
      </c>
      <c r="HQ58" s="453">
        <v>1101.4640300399501</v>
      </c>
      <c r="HR58" s="453">
        <v>1119.8336646153848</v>
      </c>
      <c r="HS58" s="453">
        <v>1171.4210369230768</v>
      </c>
      <c r="HT58" s="453">
        <v>1205.8511326153846</v>
      </c>
      <c r="HU58" s="453">
        <v>1183.495348923077</v>
      </c>
      <c r="HV58" s="453">
        <v>1151.7107043692306</v>
      </c>
      <c r="HW58" s="559">
        <v>1146.3718607076923</v>
      </c>
      <c r="HX58" s="559">
        <v>1160.2966740000002</v>
      </c>
      <c r="HY58" s="559">
        <v>1213.6930726153846</v>
      </c>
      <c r="HZ58" s="451">
        <v>1167.430372483077</v>
      </c>
      <c r="IA58" s="451">
        <v>1154.7314892307693</v>
      </c>
      <c r="IB58" s="451">
        <v>1175.8783430769231</v>
      </c>
      <c r="IC58" s="451">
        <v>1188.612796923077</v>
      </c>
      <c r="ID58" s="585">
        <v>1212.7432204476922</v>
      </c>
      <c r="IE58" s="585">
        <v>1189.8273508694231</v>
      </c>
      <c r="IF58" s="585">
        <v>1149.9464970375284</v>
      </c>
      <c r="IG58" s="451"/>
      <c r="IH58" s="451"/>
      <c r="II58" s="451"/>
      <c r="IJ58" s="451"/>
      <c r="IK58" s="451"/>
      <c r="IL58" s="451"/>
      <c r="IM58" s="719"/>
      <c r="IN58" s="718"/>
      <c r="IO58" s="718"/>
      <c r="IP58" s="718"/>
      <c r="IQ58" s="582"/>
      <c r="IR58" s="582"/>
      <c r="IS58" s="657"/>
      <c r="IT58" s="444"/>
      <c r="IU58" s="444"/>
      <c r="IV58" s="444"/>
      <c r="IW58" s="444"/>
      <c r="IX58" s="444"/>
      <c r="IY58" s="444"/>
      <c r="IZ58" s="444"/>
    </row>
    <row r="59" spans="5:278" x14ac:dyDescent="0.2">
      <c r="E59" s="455" t="s">
        <v>377</v>
      </c>
      <c r="AO59" s="584" t="e">
        <f t="shared" si="355"/>
        <v>#DIV/0!</v>
      </c>
      <c r="AP59" s="451" t="e">
        <f t="shared" si="356"/>
        <v>#DIV/0!</v>
      </c>
      <c r="AQ59" s="451" t="e">
        <f t="shared" si="357"/>
        <v>#DIV/0!</v>
      </c>
      <c r="AR59" s="451">
        <f t="shared" si="358"/>
        <v>409.83800466666662</v>
      </c>
      <c r="AS59" s="451">
        <f t="shared" si="359"/>
        <v>594.62252445099261</v>
      </c>
      <c r="AT59" s="451">
        <f t="shared" si="360"/>
        <v>762.34151596251888</v>
      </c>
      <c r="AU59" s="451">
        <f t="shared" si="361"/>
        <v>833.75007348752752</v>
      </c>
      <c r="AV59" s="585">
        <f t="shared" si="341"/>
        <v>1090.9055036361219</v>
      </c>
      <c r="AW59" s="585">
        <f t="shared" si="342"/>
        <v>731.01653728782355</v>
      </c>
      <c r="AX59" s="585">
        <f t="shared" si="362"/>
        <v>975.33967872263804</v>
      </c>
      <c r="AY59" s="585">
        <f t="shared" si="347"/>
        <v>1523.5973173923639</v>
      </c>
      <c r="AZ59" s="585">
        <f t="shared" si="348"/>
        <v>1561.3963585748536</v>
      </c>
      <c r="BA59" s="585">
        <f t="shared" si="349"/>
        <v>1508.3856762</v>
      </c>
      <c r="DI59" s="453">
        <v>328.95370270000001</v>
      </c>
      <c r="DJ59" s="453">
        <v>323.91014639999997</v>
      </c>
      <c r="DK59" s="453">
        <v>352.35546039999997</v>
      </c>
      <c r="DL59" s="453">
        <v>377.78784040000005</v>
      </c>
      <c r="DM59" s="453">
        <v>424.86778159999994</v>
      </c>
      <c r="DN59" s="453">
        <v>389.70103899999998</v>
      </c>
      <c r="DO59" s="453">
        <v>428.92742750000002</v>
      </c>
      <c r="DP59" s="453">
        <v>442.42675639999993</v>
      </c>
      <c r="DQ59" s="453">
        <v>451.87639160000003</v>
      </c>
      <c r="DR59" s="453">
        <v>509.22074720000006</v>
      </c>
      <c r="DS59" s="453">
        <v>472.03532999999993</v>
      </c>
      <c r="DT59" s="453">
        <v>415.99343279999999</v>
      </c>
      <c r="DU59" s="453">
        <v>442.62295719299999</v>
      </c>
      <c r="DV59" s="453">
        <v>473.41250089600004</v>
      </c>
      <c r="DW59" s="453">
        <v>555.62347136200003</v>
      </c>
      <c r="DX59" s="453">
        <v>577.1249226000001</v>
      </c>
      <c r="DY59" s="453">
        <v>530.16713414399999</v>
      </c>
      <c r="DZ59" s="453">
        <v>601.35977546399999</v>
      </c>
      <c r="EA59" s="453">
        <v>626.72695587400005</v>
      </c>
      <c r="EB59" s="453">
        <v>681.80589162899992</v>
      </c>
      <c r="EC59" s="453">
        <v>744.59711365500016</v>
      </c>
      <c r="ED59" s="453">
        <v>690.43981443691143</v>
      </c>
      <c r="EE59" s="453">
        <v>603.56447548000006</v>
      </c>
      <c r="EF59" s="453">
        <v>608.02528067800006</v>
      </c>
      <c r="EG59" s="453">
        <v>669.36493708187936</v>
      </c>
      <c r="EH59" s="453">
        <v>652.75611342594061</v>
      </c>
      <c r="EI59" s="453">
        <v>702.436745437696</v>
      </c>
      <c r="EJ59" s="453">
        <v>798.2152218644037</v>
      </c>
      <c r="EK59" s="453">
        <v>834.88489977898507</v>
      </c>
      <c r="EL59" s="453">
        <v>844.61932508801863</v>
      </c>
      <c r="EM59" s="453">
        <v>889.80748232581436</v>
      </c>
      <c r="EN59" s="453">
        <v>887.32519629101955</v>
      </c>
      <c r="EO59" s="453">
        <v>753.96921584477684</v>
      </c>
      <c r="EP59" s="453">
        <v>686.44754337824168</v>
      </c>
      <c r="EQ59" s="453">
        <v>707.17530345735804</v>
      </c>
      <c r="ER59" s="453">
        <v>721.09620757609264</v>
      </c>
      <c r="ES59" s="453">
        <v>653.71737651677995</v>
      </c>
      <c r="ET59" s="453">
        <v>700.52075415614934</v>
      </c>
      <c r="EU59" s="453">
        <v>738.47867718666669</v>
      </c>
      <c r="EV59" s="453">
        <v>813.01692130464278</v>
      </c>
      <c r="EW59" s="453">
        <v>840.12547815976313</v>
      </c>
      <c r="EX59" s="453">
        <v>850.03891950476395</v>
      </c>
      <c r="EY59" s="453">
        <v>888.73287682855425</v>
      </c>
      <c r="EZ59" s="453">
        <v>816.99389031731357</v>
      </c>
      <c r="FA59" s="453">
        <v>887.47198808724818</v>
      </c>
      <c r="FB59" s="453">
        <v>873.14570136699274</v>
      </c>
      <c r="FC59" s="453">
        <v>980.56845417649401</v>
      </c>
      <c r="FD59" s="453">
        <v>962.18984424496182</v>
      </c>
      <c r="FE59" s="453">
        <v>952.40588263142945</v>
      </c>
      <c r="FF59" s="453">
        <v>998.76902799974175</v>
      </c>
      <c r="FG59" s="453">
        <v>1130.2075158890023</v>
      </c>
      <c r="FH59" s="453">
        <v>1268.582545205765</v>
      </c>
      <c r="FI59" s="453">
        <v>1415.8693236119734</v>
      </c>
      <c r="FJ59" s="453">
        <v>1445.6835298006702</v>
      </c>
      <c r="FK59" s="453">
        <v>1432.4994179345852</v>
      </c>
      <c r="FL59" s="453">
        <v>1214.8877460901081</v>
      </c>
      <c r="FM59" s="453">
        <v>1109.3805066306477</v>
      </c>
      <c r="FN59" s="453">
        <v>883.84959702643039</v>
      </c>
      <c r="FO59" s="453">
        <v>689.00911854998003</v>
      </c>
      <c r="FP59" s="453">
        <v>549.72183226312916</v>
      </c>
      <c r="FQ59" s="453">
        <v>598.60242400976631</v>
      </c>
      <c r="FR59" s="453">
        <v>555.95108444404673</v>
      </c>
      <c r="FS59" s="453">
        <v>548.91072936722583</v>
      </c>
      <c r="FT59" s="453">
        <v>616.18167299674531</v>
      </c>
      <c r="FU59" s="453">
        <v>697.03804260249785</v>
      </c>
      <c r="FV59" s="453">
        <v>808.72783729931712</v>
      </c>
      <c r="FW59" s="453">
        <v>762.59646879492675</v>
      </c>
      <c r="FX59" s="453">
        <v>846.7759817098206</v>
      </c>
      <c r="FY59" s="453">
        <v>769.93015542451587</v>
      </c>
      <c r="FZ59" s="453">
        <v>842.69855800806829</v>
      </c>
      <c r="GA59" s="453">
        <v>870.3248046746844</v>
      </c>
      <c r="GB59" s="453">
        <v>854.46068812226838</v>
      </c>
      <c r="GC59" s="453">
        <v>895.09351235710278</v>
      </c>
      <c r="GD59" s="453">
        <v>854.71649805936784</v>
      </c>
      <c r="GE59" s="453">
        <v>949.59827210906167</v>
      </c>
      <c r="GF59" s="453">
        <v>1004.1044174227953</v>
      </c>
      <c r="GG59" s="453">
        <v>933.28394368850172</v>
      </c>
      <c r="GH59" s="453">
        <v>938.91964302960514</v>
      </c>
      <c r="GI59" s="453">
        <v>914.26643992811967</v>
      </c>
      <c r="GJ59" s="453">
        <v>942.09223938175444</v>
      </c>
      <c r="GK59" s="453">
        <v>989.93821976932657</v>
      </c>
      <c r="GL59" s="453">
        <v>1044.1006057521279</v>
      </c>
      <c r="GM59" s="453">
        <v>1071.3701394015809</v>
      </c>
      <c r="GN59" s="453">
        <v>1166.5922137723139</v>
      </c>
      <c r="GO59" s="453">
        <v>1237.6692064309393</v>
      </c>
      <c r="GP59" s="453">
        <v>1355.910928804479</v>
      </c>
      <c r="GQ59" s="453">
        <v>1494.6048368841973</v>
      </c>
      <c r="GR59" s="453">
        <v>1601.6743873992623</v>
      </c>
      <c r="GS59" s="453">
        <v>1534.857932791369</v>
      </c>
      <c r="GT59" s="453">
        <v>1549.6762239561319</v>
      </c>
      <c r="GU59" s="453">
        <v>1613.2346932686839</v>
      </c>
      <c r="GV59" s="453">
        <v>1577.2547465000002</v>
      </c>
      <c r="GW59" s="453">
        <v>1603.6468596733066</v>
      </c>
      <c r="GX59" s="453">
        <v>1598.3276400000002</v>
      </c>
      <c r="GY59" s="453">
        <v>1623.958353</v>
      </c>
      <c r="GZ59" s="453">
        <v>1492.3520000000001</v>
      </c>
      <c r="HA59" s="453">
        <v>1528.4211799999998</v>
      </c>
      <c r="HB59" s="453">
        <v>1629.5329999999997</v>
      </c>
      <c r="HC59" s="453">
        <v>1691.1728625000001</v>
      </c>
      <c r="HD59" s="453">
        <v>1662.1452780000002</v>
      </c>
      <c r="HE59" s="453">
        <v>1527.1011516000001</v>
      </c>
      <c r="HF59" s="453">
        <v>1378.8408112000002</v>
      </c>
      <c r="HG59" s="453">
        <v>1461.6556352999999</v>
      </c>
      <c r="HH59" s="453">
        <v>1605.3986981999999</v>
      </c>
      <c r="HI59" s="453">
        <v>1660.6679426999999</v>
      </c>
      <c r="HJ59" s="453">
        <v>1583.2640221161566</v>
      </c>
      <c r="HK59" s="453">
        <v>1498.7839689868588</v>
      </c>
      <c r="HL59" s="453">
        <v>1509.7717522952296</v>
      </c>
      <c r="HM59" s="453">
        <v>1551.6550275318248</v>
      </c>
      <c r="HN59" s="453">
        <v>1632.8570816769795</v>
      </c>
      <c r="HO59" s="453">
        <v>1504.0405411547026</v>
      </c>
      <c r="HP59" s="453">
        <v>1430.2519981173266</v>
      </c>
      <c r="HQ59" s="453">
        <v>1431.9032390519353</v>
      </c>
      <c r="HR59" s="453">
        <v>1455.7837640000002</v>
      </c>
      <c r="HS59" s="453">
        <v>1522.847348</v>
      </c>
      <c r="HT59" s="453">
        <v>1567.6064724</v>
      </c>
      <c r="HU59" s="453">
        <v>1538.5439536000001</v>
      </c>
      <c r="HV59" s="453">
        <v>1497.2239156799999</v>
      </c>
      <c r="HW59" s="559">
        <v>1490.28341892</v>
      </c>
      <c r="HX59" s="559">
        <v>1508.3856762</v>
      </c>
      <c r="HY59" s="559">
        <v>1577.8009944</v>
      </c>
      <c r="HZ59" s="451">
        <v>1517.6594842280001</v>
      </c>
      <c r="IA59" s="451">
        <v>1501.150936</v>
      </c>
      <c r="IB59" s="451">
        <v>1528.641846</v>
      </c>
      <c r="IC59" s="451">
        <v>1545.1966360000001</v>
      </c>
      <c r="ID59" s="585">
        <v>1576.566186582</v>
      </c>
      <c r="IE59" s="585">
        <v>1546.7755561302499</v>
      </c>
      <c r="IF59" s="585">
        <v>1494.9304461487868</v>
      </c>
      <c r="IG59" s="451"/>
      <c r="IH59" s="451"/>
      <c r="II59" s="451"/>
      <c r="IJ59" s="451"/>
      <c r="IK59" s="451"/>
      <c r="IL59" s="451"/>
      <c r="IM59" s="719"/>
      <c r="IN59" s="718"/>
      <c r="IO59" s="718"/>
      <c r="IP59" s="718"/>
      <c r="IQ59" s="582"/>
      <c r="IR59" s="582"/>
      <c r="IS59" s="582"/>
      <c r="IT59" s="444"/>
      <c r="IU59" s="444"/>
      <c r="IV59" s="444"/>
      <c r="IW59" s="444"/>
      <c r="IX59" s="444"/>
      <c r="IY59" s="444"/>
      <c r="IZ59" s="444"/>
    </row>
    <row r="60" spans="5:278" s="28" customFormat="1" ht="15" x14ac:dyDescent="0.2">
      <c r="E60" s="626" t="s">
        <v>378</v>
      </c>
      <c r="DI60" s="627">
        <v>303.83</v>
      </c>
      <c r="DJ60" s="627">
        <v>292.19</v>
      </c>
      <c r="DK60" s="627">
        <v>317.93</v>
      </c>
      <c r="DL60" s="627">
        <v>340.04</v>
      </c>
      <c r="DM60" s="627">
        <v>381.02</v>
      </c>
      <c r="DN60" s="627">
        <v>349.79</v>
      </c>
      <c r="DO60" s="627">
        <v>389.35</v>
      </c>
      <c r="DP60" s="627">
        <v>407.08</v>
      </c>
      <c r="DQ60" s="627">
        <v>421.22</v>
      </c>
      <c r="DR60" s="627">
        <v>479.42</v>
      </c>
      <c r="DS60" s="627">
        <v>445.8</v>
      </c>
      <c r="DT60" s="627">
        <v>396.91</v>
      </c>
      <c r="DU60" s="627">
        <v>404.37</v>
      </c>
      <c r="DV60" s="627">
        <v>426.32</v>
      </c>
      <c r="DW60" s="627">
        <v>501.22</v>
      </c>
      <c r="DX60" s="627">
        <v>522</v>
      </c>
      <c r="DY60" s="627">
        <v>474.86</v>
      </c>
      <c r="DZ60" s="627">
        <v>532.55999999999995</v>
      </c>
      <c r="EA60" s="627">
        <v>550.63</v>
      </c>
      <c r="EB60" s="627">
        <v>604.33000000000004</v>
      </c>
      <c r="EC60" s="627">
        <v>654.33000000000004</v>
      </c>
      <c r="ED60" s="627">
        <v>604.24</v>
      </c>
      <c r="EE60" s="627">
        <v>516.20000000000005</v>
      </c>
      <c r="EF60" s="627">
        <v>520.22</v>
      </c>
      <c r="EG60" s="627">
        <v>568.26</v>
      </c>
      <c r="EH60" s="627">
        <v>548.80999999999995</v>
      </c>
      <c r="EI60" s="627">
        <v>578.39</v>
      </c>
      <c r="EJ60" s="627">
        <v>651.53</v>
      </c>
      <c r="EK60" s="627">
        <v>670.77</v>
      </c>
      <c r="EL60" s="627">
        <v>673.69</v>
      </c>
      <c r="EM60" s="627">
        <v>696.9</v>
      </c>
      <c r="EN60" s="627">
        <v>679.33</v>
      </c>
      <c r="EO60" s="627">
        <v>575.37</v>
      </c>
      <c r="EP60" s="627">
        <v>540.12</v>
      </c>
      <c r="EQ60" s="627">
        <v>542.64333333333332</v>
      </c>
      <c r="ER60" s="627">
        <v>566.03</v>
      </c>
      <c r="ES60" s="627">
        <v>505.8</v>
      </c>
      <c r="ET60" s="627">
        <v>543.04999999999995</v>
      </c>
      <c r="EU60" s="627">
        <v>585.89</v>
      </c>
      <c r="EV60" s="627">
        <v>644.82000000000005</v>
      </c>
      <c r="EW60" s="627">
        <v>661.27</v>
      </c>
      <c r="EX60" s="627">
        <v>670.82</v>
      </c>
      <c r="EY60" s="627">
        <v>695.72</v>
      </c>
      <c r="EZ60" s="627">
        <v>637.96</v>
      </c>
      <c r="FA60" s="627">
        <v>715</v>
      </c>
      <c r="FB60" s="627">
        <v>743.01666666666677</v>
      </c>
      <c r="FC60" s="627">
        <v>854.18</v>
      </c>
      <c r="FD60" s="627">
        <v>825.80666666666673</v>
      </c>
      <c r="FE60" s="627">
        <v>818.33333333333337</v>
      </c>
      <c r="FF60" s="627">
        <v>860.60666666666668</v>
      </c>
      <c r="FG60" s="627">
        <v>952.57</v>
      </c>
      <c r="FH60" s="627">
        <v>1042.3333333333333</v>
      </c>
      <c r="FI60" s="627">
        <v>1176.3033333333333</v>
      </c>
      <c r="FJ60" s="627">
        <v>1221.2466666666667</v>
      </c>
      <c r="FK60" s="627">
        <v>1226.99</v>
      </c>
      <c r="FL60" s="627">
        <v>1046.2666666666667</v>
      </c>
      <c r="FM60" s="627">
        <v>956.78666666666675</v>
      </c>
      <c r="FN60" s="627">
        <v>719.3366666666667</v>
      </c>
      <c r="FO60" s="627">
        <v>551.34</v>
      </c>
      <c r="FP60" s="627">
        <v>431.55</v>
      </c>
      <c r="FQ60" s="627">
        <v>454.00666666666666</v>
      </c>
      <c r="FR60" s="627">
        <v>421.91666666666669</v>
      </c>
      <c r="FS60" s="627">
        <v>419.37666666666672</v>
      </c>
      <c r="FT60" s="627">
        <v>461.62000000000006</v>
      </c>
      <c r="FU60" s="627">
        <v>524.06666666666672</v>
      </c>
      <c r="FV60" s="627">
        <v>615.72666666666669</v>
      </c>
      <c r="FW60" s="627">
        <v>575.70333333333338</v>
      </c>
      <c r="FX60" s="627">
        <v>641.82000000000005</v>
      </c>
      <c r="FY60" s="627">
        <v>588.26333333333332</v>
      </c>
      <c r="FZ60" s="627">
        <v>640.61333333333334</v>
      </c>
      <c r="GA60" s="627">
        <v>656.78666666666663</v>
      </c>
      <c r="GB60" s="627">
        <v>643.90333333333331</v>
      </c>
      <c r="GC60" s="627">
        <v>671.81333333333339</v>
      </c>
      <c r="GD60" s="627">
        <v>638.60666666666657</v>
      </c>
      <c r="GE60" s="627">
        <v>708.25333333333344</v>
      </c>
      <c r="GF60" s="627">
        <v>743.53000000000009</v>
      </c>
      <c r="GG60" s="627">
        <v>679.74</v>
      </c>
      <c r="GH60" s="627">
        <v>674.68333333333328</v>
      </c>
      <c r="GI60" s="627">
        <v>655.52</v>
      </c>
      <c r="GJ60" s="627">
        <v>651.86333333333334</v>
      </c>
      <c r="GK60" s="627">
        <v>662.25</v>
      </c>
      <c r="GL60" s="627">
        <v>698.37333333333333</v>
      </c>
      <c r="GM60" s="627">
        <v>718.09666666666669</v>
      </c>
      <c r="GN60" s="627">
        <v>797.46333333333325</v>
      </c>
      <c r="GO60" s="627">
        <v>833.20000000000016</v>
      </c>
      <c r="GP60" s="627">
        <v>900.69</v>
      </c>
      <c r="GQ60" s="627">
        <v>990.31</v>
      </c>
      <c r="GR60" s="627">
        <v>1060.78</v>
      </c>
      <c r="GS60" s="627">
        <v>1009.43</v>
      </c>
      <c r="GT60" s="627">
        <v>993.33</v>
      </c>
      <c r="GU60" s="627">
        <v>1022.31</v>
      </c>
      <c r="GV60" s="627">
        <v>979.85</v>
      </c>
      <c r="GW60" s="627">
        <v>976.86</v>
      </c>
      <c r="GX60" s="627">
        <v>958.23</v>
      </c>
      <c r="GY60" s="627">
        <v>970.35</v>
      </c>
      <c r="GZ60" s="627">
        <v>932.72</v>
      </c>
      <c r="HA60" s="627">
        <v>971.66</v>
      </c>
      <c r="HB60" s="627">
        <v>1031.3499999999999</v>
      </c>
      <c r="HC60" s="627">
        <v>1074.75</v>
      </c>
      <c r="HD60" s="627">
        <v>1059.1500000000001</v>
      </c>
      <c r="HE60" s="627">
        <v>973.24</v>
      </c>
      <c r="HF60" s="627">
        <v>875.36</v>
      </c>
      <c r="HG60" s="627">
        <v>927.45</v>
      </c>
      <c r="HH60" s="628">
        <v>1017.06</v>
      </c>
      <c r="HI60" s="628">
        <v>1053.73</v>
      </c>
      <c r="HJ60" s="629">
        <v>1008.3100000000001</v>
      </c>
      <c r="HK60" s="628">
        <v>953.01333333333332</v>
      </c>
      <c r="HL60" s="628">
        <v>960</v>
      </c>
      <c r="HM60" s="628">
        <v>984.00999999999988</v>
      </c>
      <c r="HN60" s="628">
        <v>1029.07</v>
      </c>
      <c r="HO60" s="628">
        <v>947.85666666666668</v>
      </c>
      <c r="HP60" s="628">
        <v>899.06</v>
      </c>
      <c r="HQ60" s="628">
        <v>897.61</v>
      </c>
      <c r="HR60" s="629">
        <v>909.2</v>
      </c>
      <c r="HS60" s="628">
        <v>946.15</v>
      </c>
      <c r="HT60" s="628">
        <v>967.73</v>
      </c>
      <c r="HU60" s="628">
        <v>956</v>
      </c>
      <c r="HV60" s="628">
        <v>934.8</v>
      </c>
      <c r="HW60" s="628">
        <v>928.86</v>
      </c>
      <c r="HX60" s="628">
        <v>946.2</v>
      </c>
      <c r="HY60" s="28">
        <v>984.01</v>
      </c>
      <c r="HZ60" s="720">
        <v>938.12</v>
      </c>
      <c r="IA60" s="720">
        <v>922.99</v>
      </c>
      <c r="IB60" s="720">
        <v>938.22</v>
      </c>
      <c r="IC60" s="720">
        <v>938.2</v>
      </c>
      <c r="ID60" s="721">
        <v>956.58</v>
      </c>
      <c r="IE60" s="722">
        <v>934.11166666666668</v>
      </c>
      <c r="IF60" s="722">
        <v>901.89</v>
      </c>
      <c r="IG60" s="720">
        <v>871.54666666666674</v>
      </c>
      <c r="IH60" s="720">
        <v>784.50666666666666</v>
      </c>
      <c r="II60" s="720">
        <v>762.20666666666659</v>
      </c>
      <c r="IJ60" s="720">
        <v>688.91</v>
      </c>
      <c r="IK60" s="720">
        <v>591.17999999999995</v>
      </c>
      <c r="IL60" s="720">
        <v>677.56</v>
      </c>
      <c r="IM60" s="723">
        <v>657.86</v>
      </c>
      <c r="IN60" s="724">
        <v>682.38</v>
      </c>
      <c r="IO60" s="724">
        <v>725.62</v>
      </c>
      <c r="IP60" s="724">
        <v>724.38</v>
      </c>
      <c r="IQ60" s="658"/>
      <c r="IR60" s="658"/>
      <c r="IS60" s="582"/>
      <c r="IT60" s="665"/>
      <c r="IU60" s="665"/>
      <c r="IV60" s="665"/>
      <c r="IW60" s="665"/>
      <c r="IX60" s="665"/>
      <c r="IY60" s="665"/>
      <c r="IZ60" s="665"/>
      <c r="JA60" s="665"/>
      <c r="JB60" s="665"/>
      <c r="JC60" s="665"/>
      <c r="JD60" s="665"/>
      <c r="JE60" s="665"/>
      <c r="JF60" s="665"/>
      <c r="JG60" s="665"/>
      <c r="JH60" s="665"/>
      <c r="JI60" s="665"/>
      <c r="JJ60" s="665"/>
      <c r="JK60" s="665"/>
      <c r="JL60" s="665"/>
      <c r="JM60" s="665"/>
      <c r="JN60" s="665"/>
      <c r="JO60" s="665"/>
      <c r="JP60" s="665"/>
      <c r="JQ60" s="665"/>
      <c r="JR60" s="665"/>
    </row>
    <row r="61" spans="5:278" s="28" customFormat="1" ht="15" x14ac:dyDescent="0.2">
      <c r="E61" s="456" t="s">
        <v>380</v>
      </c>
      <c r="DI61" s="627">
        <v>1082.69</v>
      </c>
      <c r="DJ61" s="627">
        <v>1108.56</v>
      </c>
      <c r="DK61" s="627">
        <v>1108.28</v>
      </c>
      <c r="DL61" s="627">
        <v>1111.01</v>
      </c>
      <c r="DM61" s="627">
        <v>1115.08</v>
      </c>
      <c r="DN61" s="627">
        <v>1114.0999999999999</v>
      </c>
      <c r="DO61" s="627">
        <v>1101.6500000000001</v>
      </c>
      <c r="DP61" s="627">
        <v>1086.83</v>
      </c>
      <c r="DQ61" s="627">
        <v>1072.78</v>
      </c>
      <c r="DR61" s="627">
        <v>1062.1600000000001</v>
      </c>
      <c r="DS61" s="627">
        <v>1058.8499999999999</v>
      </c>
      <c r="DT61" s="627">
        <v>1048.08</v>
      </c>
      <c r="DU61" s="627">
        <v>1094.5989</v>
      </c>
      <c r="DV61" s="627">
        <v>1110.4628</v>
      </c>
      <c r="DW61" s="627">
        <v>1108.5420999999999</v>
      </c>
      <c r="DX61" s="627">
        <v>1105.6033</v>
      </c>
      <c r="DY61" s="627">
        <v>1116.4703999999999</v>
      </c>
      <c r="DZ61" s="627">
        <v>1129.1868999999999</v>
      </c>
      <c r="EA61" s="627">
        <v>1138.1998000000001</v>
      </c>
      <c r="EB61" s="627">
        <v>1128.2012999999999</v>
      </c>
      <c r="EC61" s="627">
        <v>1137.9535000000001</v>
      </c>
      <c r="ED61" s="627">
        <v>1142.6582391713748</v>
      </c>
      <c r="EE61" s="627">
        <v>1169.2454</v>
      </c>
      <c r="EF61" s="627">
        <v>1168.7849000000001</v>
      </c>
      <c r="EG61" s="627">
        <v>1177.9202074435634</v>
      </c>
      <c r="EH61" s="627">
        <v>1189.4027321403412</v>
      </c>
      <c r="EI61" s="627">
        <v>1214.4690354910977</v>
      </c>
      <c r="EJ61" s="627">
        <v>1225.1396280515153</v>
      </c>
      <c r="EK61" s="627">
        <v>1244.6664278053358</v>
      </c>
      <c r="EL61" s="627">
        <v>1253.7210365123701</v>
      </c>
      <c r="EM61" s="627">
        <v>1276.807981526495</v>
      </c>
      <c r="EN61" s="627">
        <v>1306.1769630238905</v>
      </c>
      <c r="EO61" s="627">
        <v>1310.4075913669062</v>
      </c>
      <c r="EP61" s="627">
        <v>1270.9167284644925</v>
      </c>
      <c r="EQ61" s="627">
        <v>1303.2046281916755</v>
      </c>
      <c r="ER61" s="627">
        <v>1273.9540440896997</v>
      </c>
      <c r="ES61" s="627">
        <v>1292.4424209505337</v>
      </c>
      <c r="ET61" s="627">
        <v>1289.9746877012235</v>
      </c>
      <c r="EU61" s="627">
        <v>1260.4391219967342</v>
      </c>
      <c r="EV61" s="627">
        <v>1260.8432140824459</v>
      </c>
      <c r="EW61" s="627">
        <v>1270.4726936951067</v>
      </c>
      <c r="EX61" s="627">
        <v>1267.1639478619657</v>
      </c>
      <c r="EY61" s="627">
        <v>1277.4289611173376</v>
      </c>
      <c r="EZ61" s="627">
        <v>1280.6349776119405</v>
      </c>
      <c r="FA61" s="627">
        <v>1241.2195637583891</v>
      </c>
      <c r="FB61" s="627">
        <v>1175.1360912052121</v>
      </c>
      <c r="FC61" s="627">
        <v>1147.9646610509426</v>
      </c>
      <c r="FD61" s="627">
        <v>1165.1514610905238</v>
      </c>
      <c r="FE61" s="627">
        <v>1163.8361091219097</v>
      </c>
      <c r="FF61" s="627">
        <v>1160.5406589147287</v>
      </c>
      <c r="FG61" s="627">
        <v>1186.4823749320283</v>
      </c>
      <c r="FH61" s="627">
        <v>1217.060324789669</v>
      </c>
      <c r="FI61" s="627">
        <v>1203.6600454066327</v>
      </c>
      <c r="FJ61" s="627">
        <v>1183.7768480847469</v>
      </c>
      <c r="FK61" s="627">
        <v>1167.490703212402</v>
      </c>
      <c r="FL61" s="627">
        <v>1161.1645336658355</v>
      </c>
      <c r="FM61" s="627">
        <v>1159.4857508786156</v>
      </c>
      <c r="FN61" s="627">
        <v>1228.7008823310787</v>
      </c>
      <c r="FO61" s="627">
        <v>1249.6991303913737</v>
      </c>
      <c r="FP61" s="627">
        <v>1273.8311487964991</v>
      </c>
      <c r="FQ61" s="627">
        <v>1318.4881808118082</v>
      </c>
      <c r="FR61" s="627">
        <v>1317.6798367230022</v>
      </c>
      <c r="FS61" s="627">
        <v>1308.8728415200949</v>
      </c>
      <c r="FT61" s="627">
        <v>1334.824472502806</v>
      </c>
      <c r="FU61" s="627">
        <v>1330.056053814714</v>
      </c>
      <c r="FV61" s="627">
        <v>1313.4526748329622</v>
      </c>
      <c r="FW61" s="627">
        <v>1324.63445083682</v>
      </c>
      <c r="FX61" s="627">
        <v>1319.3356107784434</v>
      </c>
      <c r="FY61" s="627">
        <v>1308.8188771885309</v>
      </c>
      <c r="FZ61" s="627">
        <v>1315.4558516963975</v>
      </c>
      <c r="GA61" s="627">
        <v>1325.1255679287306</v>
      </c>
      <c r="GB61" s="627">
        <v>1327.0014983443712</v>
      </c>
      <c r="GC61" s="627">
        <v>1332.3544918585064</v>
      </c>
      <c r="GD61" s="627">
        <v>1338.4083547400612</v>
      </c>
      <c r="GE61" s="627">
        <v>1340.7607524271846</v>
      </c>
      <c r="GF61" s="627">
        <v>1350.4558221225709</v>
      </c>
      <c r="GG61" s="627">
        <v>1373.0013588850175</v>
      </c>
      <c r="GH61" s="627">
        <v>1391.6449342105263</v>
      </c>
      <c r="GI61" s="627">
        <v>1394.7193677204657</v>
      </c>
      <c r="GJ61" s="627">
        <v>1445.2296842105263</v>
      </c>
      <c r="GK61" s="627">
        <v>1494.8104488778054</v>
      </c>
      <c r="GL61" s="627">
        <v>1495.0464972203902</v>
      </c>
      <c r="GM61" s="627">
        <v>1491.9581013720265</v>
      </c>
      <c r="GN61" s="627">
        <v>1462.8788121154753</v>
      </c>
      <c r="GO61" s="627">
        <v>1485.440718232044</v>
      </c>
      <c r="GP61" s="627">
        <v>1505.4135482846252</v>
      </c>
      <c r="GQ61" s="627">
        <v>1509.229268495923</v>
      </c>
      <c r="GR61" s="627">
        <v>1509.9025126786537</v>
      </c>
      <c r="GS61" s="627">
        <v>1520.5194345238097</v>
      </c>
      <c r="GT61" s="627">
        <v>1560.0819707007056</v>
      </c>
      <c r="GU61" s="627">
        <v>1578.0288691969013</v>
      </c>
      <c r="GV61" s="627">
        <v>1609.69</v>
      </c>
      <c r="GW61" s="627">
        <v>1641.6342768393695</v>
      </c>
      <c r="GX61" s="627">
        <v>1668</v>
      </c>
      <c r="GY61" s="627">
        <v>1673.58</v>
      </c>
      <c r="GZ61" s="627">
        <v>1600</v>
      </c>
      <c r="HA61" s="627">
        <v>1573</v>
      </c>
      <c r="HB61" s="627">
        <v>1580</v>
      </c>
      <c r="HC61" s="627">
        <v>1573.55</v>
      </c>
      <c r="HD61" s="627">
        <v>1569.32</v>
      </c>
      <c r="HE61" s="627">
        <v>1569.09</v>
      </c>
      <c r="HF61" s="627">
        <v>1575.17</v>
      </c>
      <c r="HG61" s="627">
        <v>1574.7951980198018</v>
      </c>
      <c r="HH61" s="28">
        <v>1567.2029702970299</v>
      </c>
      <c r="HI61" s="28">
        <v>1569.2627227722771</v>
      </c>
      <c r="HJ61" s="630">
        <v>1571.9891584158415</v>
      </c>
      <c r="HK61" s="28">
        <v>1571.3821782178215</v>
      </c>
      <c r="HL61" s="28">
        <v>1571.62099009901</v>
      </c>
      <c r="HM61" s="28">
        <v>1584.1586138613859</v>
      </c>
      <c r="HN61" s="28">
        <v>1587.5218811881186</v>
      </c>
      <c r="HO61" s="28">
        <v>1590.5169801980198</v>
      </c>
      <c r="HP61" s="28">
        <v>1591.0443564356435</v>
      </c>
      <c r="HQ61" s="28">
        <v>1599.3729207920792</v>
      </c>
      <c r="HR61" s="630">
        <v>1602.6565841584159</v>
      </c>
      <c r="HS61" s="28">
        <v>1613.1444059405942</v>
      </c>
      <c r="HT61" s="28">
        <v>1610.9055445544554</v>
      </c>
      <c r="HU61" s="28">
        <v>1604.8755445544555</v>
      </c>
      <c r="HV61" s="28">
        <v>1601.6515841584157</v>
      </c>
      <c r="HW61" s="28">
        <v>1607.6417821782179</v>
      </c>
      <c r="HX61" s="28">
        <v>1578.5664356435643</v>
      </c>
      <c r="HY61" s="28">
        <v>1616.75</v>
      </c>
      <c r="HZ61" s="585">
        <v>1620.3983168316831</v>
      </c>
      <c r="IA61" s="585">
        <v>1629.6025247524753</v>
      </c>
      <c r="IB61" s="585">
        <v>1634.9857425742573</v>
      </c>
      <c r="IC61" s="585">
        <v>1645.8516831683169</v>
      </c>
      <c r="ID61" s="585">
        <v>1650.9662376237625</v>
      </c>
      <c r="IE61" s="585">
        <v>1654.2897029702972</v>
      </c>
      <c r="IF61" s="585">
        <v>1660.727673267327</v>
      </c>
      <c r="IG61" s="585">
        <v>1666.0312871287128</v>
      </c>
      <c r="IH61" s="585">
        <v>1684.5889603960397</v>
      </c>
      <c r="II61" s="585">
        <v>1731.3065346534654</v>
      </c>
      <c r="IJ61" s="585">
        <v>1723.2466336633663</v>
      </c>
      <c r="IK61" s="585">
        <v>1745.6053960396041</v>
      </c>
      <c r="IL61" s="585">
        <v>1791.6662376237625</v>
      </c>
      <c r="IM61" s="719">
        <v>1786.3029207920792</v>
      </c>
      <c r="IN61" s="646">
        <v>1845.6775247524754</v>
      </c>
      <c r="IO61" s="646">
        <v>1999.1738613861387</v>
      </c>
      <c r="IP61" s="646">
        <v>2058.3627000000001</v>
      </c>
      <c r="IQ61" s="659"/>
      <c r="IR61" s="659"/>
      <c r="IS61" s="657"/>
      <c r="IT61" s="665"/>
      <c r="IU61" s="665"/>
      <c r="IV61" s="665"/>
      <c r="IW61" s="665"/>
      <c r="IX61" s="665"/>
      <c r="IY61" s="665"/>
      <c r="IZ61" s="665"/>
      <c r="JA61" s="665"/>
      <c r="JB61" s="665"/>
      <c r="JC61" s="665"/>
      <c r="JD61" s="665"/>
      <c r="JE61" s="665"/>
      <c r="JF61" s="665"/>
      <c r="JG61" s="665"/>
      <c r="JH61" s="665"/>
      <c r="JI61" s="665"/>
      <c r="JJ61" s="665"/>
      <c r="JK61" s="665"/>
      <c r="JL61" s="665"/>
      <c r="JM61" s="665"/>
      <c r="JN61" s="665"/>
      <c r="JO61" s="665"/>
      <c r="JP61" s="665"/>
      <c r="JQ61" s="665"/>
      <c r="JR61" s="665"/>
    </row>
    <row r="62" spans="5:278" s="28" customFormat="1" x14ac:dyDescent="0.2">
      <c r="DJ62" s="631">
        <f t="shared" ref="DJ62:FU62" si="363">DJ56-DI56</f>
        <v>56.6114035087719</v>
      </c>
      <c r="DK62" s="631">
        <f t="shared" si="363"/>
        <v>2.413596491228077</v>
      </c>
      <c r="DL62" s="631">
        <f t="shared" si="363"/>
        <v>12.458333333333144</v>
      </c>
      <c r="DM62" s="631">
        <f t="shared" si="363"/>
        <v>76.850000000000023</v>
      </c>
      <c r="DN62" s="631">
        <f t="shared" si="363"/>
        <v>3.2291666666668561</v>
      </c>
      <c r="DO62" s="631">
        <f t="shared" si="363"/>
        <v>37.633333333333212</v>
      </c>
      <c r="DP62" s="631">
        <f t="shared" si="363"/>
        <v>19.487499999999955</v>
      </c>
      <c r="DQ62" s="631">
        <f t="shared" si="363"/>
        <v>5.1166666666667879</v>
      </c>
      <c r="DR62" s="631">
        <f t="shared" si="363"/>
        <v>16.799999999999955</v>
      </c>
      <c r="DS62" s="631">
        <f t="shared" si="363"/>
        <v>12.450000000000045</v>
      </c>
      <c r="DT62" s="631">
        <f t="shared" si="363"/>
        <v>8.7875000000000227</v>
      </c>
      <c r="DU62" s="631">
        <f t="shared" si="363"/>
        <v>9.9624999999999773</v>
      </c>
      <c r="DV62" s="631">
        <f t="shared" si="363"/>
        <v>-4.75</v>
      </c>
      <c r="DW62" s="631">
        <f t="shared" si="363"/>
        <v>17.5</v>
      </c>
      <c r="DX62" s="631">
        <f t="shared" si="363"/>
        <v>28.708333333333485</v>
      </c>
      <c r="DY62" s="631">
        <f t="shared" si="363"/>
        <v>22.158333333333076</v>
      </c>
      <c r="DZ62" s="631">
        <f t="shared" si="363"/>
        <v>0.54166666666674246</v>
      </c>
      <c r="EA62" s="631">
        <f t="shared" si="363"/>
        <v>5.8916666666666515</v>
      </c>
      <c r="EB62" s="631">
        <f t="shared" si="363"/>
        <v>42.075000000000045</v>
      </c>
      <c r="EC62" s="631">
        <f t="shared" si="363"/>
        <v>21.650000000000091</v>
      </c>
      <c r="ED62" s="631">
        <f t="shared" si="363"/>
        <v>17.041666666666515</v>
      </c>
      <c r="EE62" s="631">
        <f t="shared" si="363"/>
        <v>6.183333333333394</v>
      </c>
      <c r="EF62" s="631">
        <f t="shared" si="363"/>
        <v>1.8333333333332575</v>
      </c>
      <c r="EG62" s="631">
        <f t="shared" si="363"/>
        <v>22.229166666666742</v>
      </c>
      <c r="EH62" s="631">
        <f t="shared" si="363"/>
        <v>3.6041666666667425</v>
      </c>
      <c r="EI62" s="631">
        <f t="shared" si="363"/>
        <v>-0.33333333333325754</v>
      </c>
      <c r="EJ62" s="631">
        <f t="shared" si="363"/>
        <v>36.983333333333121</v>
      </c>
      <c r="EK62" s="631">
        <f t="shared" si="363"/>
        <v>126.55333333333328</v>
      </c>
      <c r="EL62" s="631">
        <f t="shared" si="363"/>
        <v>54.470000000000027</v>
      </c>
      <c r="EM62" s="631">
        <f t="shared" si="363"/>
        <v>1.3900000000001</v>
      </c>
      <c r="EN62" s="631">
        <f t="shared" si="363"/>
        <v>-19.920000000000073</v>
      </c>
      <c r="EO62" s="631">
        <f t="shared" si="363"/>
        <v>36.779999999999973</v>
      </c>
      <c r="EP62" s="631">
        <f t="shared" si="363"/>
        <v>-7.6299999999998818</v>
      </c>
      <c r="EQ62" s="631">
        <f t="shared" si="363"/>
        <v>-42.809999999999945</v>
      </c>
      <c r="ER62" s="631">
        <f t="shared" si="363"/>
        <v>-51.440000000000055</v>
      </c>
      <c r="ES62" s="631">
        <f t="shared" si="363"/>
        <v>-11.309999999999945</v>
      </c>
      <c r="ET62" s="631">
        <f t="shared" si="363"/>
        <v>-11.870000000000118</v>
      </c>
      <c r="EU62" s="631">
        <f t="shared" si="363"/>
        <v>-14.240000000000009</v>
      </c>
      <c r="EV62" s="631">
        <f t="shared" si="363"/>
        <v>-13.420000000000073</v>
      </c>
      <c r="EW62" s="631">
        <f t="shared" si="363"/>
        <v>38.190000000000055</v>
      </c>
      <c r="EX62" s="631">
        <f t="shared" si="363"/>
        <v>49.870000000000118</v>
      </c>
      <c r="EY62" s="631">
        <f t="shared" si="363"/>
        <v>162.51999999999998</v>
      </c>
      <c r="EZ62" s="631">
        <f t="shared" si="363"/>
        <v>-1.0099999999999909</v>
      </c>
      <c r="FA62" s="631">
        <f t="shared" si="363"/>
        <v>19.329999999999927</v>
      </c>
      <c r="FB62" s="631">
        <f t="shared" si="363"/>
        <v>14.599999999999909</v>
      </c>
      <c r="FC62" s="631">
        <f t="shared" si="363"/>
        <v>-14.879999999999882</v>
      </c>
      <c r="FD62" s="631">
        <f t="shared" si="363"/>
        <v>3.3799999999998818</v>
      </c>
      <c r="FE62" s="631">
        <f t="shared" si="363"/>
        <v>-0.1908333333333303</v>
      </c>
      <c r="FF62" s="631">
        <f t="shared" si="363"/>
        <v>39.2989035087719</v>
      </c>
      <c r="FG62" s="631">
        <f t="shared" si="363"/>
        <v>9.3885964912280997</v>
      </c>
      <c r="FH62" s="631">
        <f t="shared" si="363"/>
        <v>125.83333333333348</v>
      </c>
      <c r="FI62" s="631">
        <f t="shared" si="363"/>
        <v>54.716666666666697</v>
      </c>
      <c r="FJ62" s="631">
        <f t="shared" si="363"/>
        <v>22.962500000000091</v>
      </c>
      <c r="FK62" s="631">
        <f t="shared" si="363"/>
        <v>22.116666666666788</v>
      </c>
      <c r="FL62" s="631">
        <f t="shared" si="363"/>
        <v>4.7208333333328483</v>
      </c>
      <c r="FM62" s="631">
        <f t="shared" si="363"/>
        <v>-56.352631578947012</v>
      </c>
      <c r="FN62" s="631">
        <f t="shared" si="363"/>
        <v>-79.7807017543862</v>
      </c>
      <c r="FO62" s="631">
        <f t="shared" si="363"/>
        <v>-80.983333333333348</v>
      </c>
      <c r="FP62" s="631">
        <f t="shared" si="363"/>
        <v>-29.980000000000018</v>
      </c>
      <c r="FQ62" s="631">
        <f t="shared" si="363"/>
        <v>-176.84999999999991</v>
      </c>
      <c r="FR62" s="631">
        <f t="shared" si="363"/>
        <v>-11.890833333333376</v>
      </c>
      <c r="FS62" s="631">
        <f t="shared" si="363"/>
        <v>-15.791666666666515</v>
      </c>
      <c r="FT62" s="631">
        <f t="shared" si="363"/>
        <v>-65.329166666666652</v>
      </c>
      <c r="FU62" s="631">
        <f t="shared" si="363"/>
        <v>-9.1666666666667425</v>
      </c>
      <c r="FV62" s="631">
        <f t="shared" ref="FV62:HF62" si="364">FV56-FU56</f>
        <v>24.815000000000055</v>
      </c>
      <c r="FW62" s="631">
        <f t="shared" si="364"/>
        <v>73.051666666666733</v>
      </c>
      <c r="FX62" s="631">
        <f t="shared" si="364"/>
        <v>58.074999999999818</v>
      </c>
      <c r="FY62" s="631">
        <f t="shared" si="364"/>
        <v>90.683333333333394</v>
      </c>
      <c r="FZ62" s="631">
        <f t="shared" si="364"/>
        <v>13.024999999999864</v>
      </c>
      <c r="GA62" s="631">
        <f t="shared" si="364"/>
        <v>5.683333333333394</v>
      </c>
      <c r="GB62" s="631">
        <f t="shared" si="364"/>
        <v>10.083333333333485</v>
      </c>
      <c r="GC62" s="631">
        <f t="shared" si="364"/>
        <v>2.658333333333303</v>
      </c>
      <c r="GD62" s="631">
        <f t="shared" si="364"/>
        <v>7.0083333333332121</v>
      </c>
      <c r="GE62" s="631">
        <f t="shared" si="364"/>
        <v>34.116666666666788</v>
      </c>
      <c r="GF62" s="631">
        <f t="shared" si="364"/>
        <v>-2.6833333333336213</v>
      </c>
      <c r="GG62" s="631">
        <f t="shared" si="364"/>
        <v>30.725000000000364</v>
      </c>
      <c r="GH62" s="631">
        <f t="shared" si="364"/>
        <v>49.266666666666424</v>
      </c>
      <c r="GI62" s="631">
        <f t="shared" si="364"/>
        <v>4.9491666666669971</v>
      </c>
      <c r="GJ62" s="631">
        <f t="shared" si="364"/>
        <v>13.304999999999609</v>
      </c>
      <c r="GK62" s="631">
        <f t="shared" si="364"/>
        <v>11.870833333333394</v>
      </c>
      <c r="GL62" s="631">
        <f t="shared" si="364"/>
        <v>19.450000000000045</v>
      </c>
      <c r="GM62" s="631">
        <f t="shared" si="364"/>
        <v>45.309997588893111</v>
      </c>
      <c r="GN62" s="631">
        <f t="shared" si="364"/>
        <v>46.419840300542546</v>
      </c>
      <c r="GO62" s="631">
        <f t="shared" si="364"/>
        <v>5.4034005315122613</v>
      </c>
      <c r="GP62" s="631">
        <f t="shared" si="364"/>
        <v>17.43587375601237</v>
      </c>
      <c r="GQ62" s="631">
        <f t="shared" si="364"/>
        <v>65.920490620229657</v>
      </c>
      <c r="GR62" s="631">
        <f t="shared" si="364"/>
        <v>110.46254296066513</v>
      </c>
      <c r="GS62" s="631">
        <f t="shared" si="364"/>
        <v>90.417032833996018</v>
      </c>
      <c r="GT62" s="631">
        <f t="shared" si="364"/>
        <v>18.170485500939321</v>
      </c>
      <c r="GU62" s="631">
        <f t="shared" si="364"/>
        <v>23.454186850181031</v>
      </c>
      <c r="GV62" s="631">
        <f t="shared" si="364"/>
        <v>-26.902996165509194</v>
      </c>
      <c r="GW62" s="631">
        <f t="shared" si="364"/>
        <v>14.47804168932953</v>
      </c>
      <c r="GX62" s="631">
        <f t="shared" si="364"/>
        <v>6.6060380044391422</v>
      </c>
      <c r="GY62" s="631">
        <f t="shared" si="364"/>
        <v>-25.469934471230772</v>
      </c>
      <c r="GZ62" s="631">
        <f t="shared" si="364"/>
        <v>-50.369207024614298</v>
      </c>
      <c r="HA62" s="631">
        <f t="shared" si="364"/>
        <v>-16.368589131231147</v>
      </c>
      <c r="HB62" s="631">
        <f t="shared" si="364"/>
        <v>12.881222940915904</v>
      </c>
      <c r="HC62" s="631">
        <f t="shared" si="364"/>
        <v>137.66567804891793</v>
      </c>
      <c r="HD62" s="631">
        <f t="shared" si="364"/>
        <v>74.177079179396515</v>
      </c>
      <c r="HE62" s="631">
        <f t="shared" si="364"/>
        <v>0</v>
      </c>
      <c r="HF62" s="631">
        <f t="shared" si="364"/>
        <v>-30.036184013385082</v>
      </c>
      <c r="HG62" s="631">
        <f>HG56-HF56</f>
        <v>-15.394831121216612</v>
      </c>
      <c r="IM62" s="450"/>
      <c r="IN62" s="659"/>
      <c r="IO62" s="659"/>
      <c r="IP62" s="659"/>
      <c r="IQ62" s="659"/>
      <c r="IR62" s="659"/>
      <c r="IS62" s="657"/>
      <c r="IT62" s="665"/>
      <c r="IU62" s="665"/>
      <c r="IV62" s="734"/>
      <c r="IW62" s="734"/>
      <c r="IX62" s="734"/>
      <c r="IY62" s="734"/>
      <c r="IZ62" s="734"/>
      <c r="JA62" s="734"/>
      <c r="JB62" s="734"/>
      <c r="JC62" s="734"/>
      <c r="JD62" s="734"/>
      <c r="JE62" s="734"/>
      <c r="JF62" s="734"/>
      <c r="JG62" s="734"/>
      <c r="JH62" s="740"/>
      <c r="JI62" s="734"/>
      <c r="JJ62" s="734"/>
      <c r="JK62" s="734"/>
      <c r="JL62" s="734"/>
      <c r="JM62" s="734"/>
      <c r="JN62" s="665"/>
      <c r="JO62" s="665"/>
      <c r="JP62" s="665"/>
      <c r="JQ62" s="665"/>
      <c r="JR62" s="665"/>
    </row>
    <row r="63" spans="5:278" s="28" customFormat="1" x14ac:dyDescent="0.2">
      <c r="E63" s="15" t="s">
        <v>479</v>
      </c>
      <c r="FQ63" s="19">
        <f t="shared" ref="FQ63:HG63" si="365">FQ4</f>
        <v>39814</v>
      </c>
      <c r="FR63" s="19">
        <f t="shared" si="365"/>
        <v>39845</v>
      </c>
      <c r="FS63" s="19">
        <f t="shared" si="365"/>
        <v>39873</v>
      </c>
      <c r="FT63" s="19">
        <f t="shared" si="365"/>
        <v>39904</v>
      </c>
      <c r="FU63" s="19">
        <f t="shared" si="365"/>
        <v>39934</v>
      </c>
      <c r="FV63" s="19">
        <f t="shared" si="365"/>
        <v>39965</v>
      </c>
      <c r="FW63" s="19">
        <f t="shared" si="365"/>
        <v>39995</v>
      </c>
      <c r="FX63" s="19">
        <f t="shared" si="365"/>
        <v>40026</v>
      </c>
      <c r="FY63" s="19">
        <f t="shared" si="365"/>
        <v>40057</v>
      </c>
      <c r="FZ63" s="19">
        <f t="shared" si="365"/>
        <v>40087</v>
      </c>
      <c r="GA63" s="19">
        <f t="shared" si="365"/>
        <v>40118</v>
      </c>
      <c r="GB63" s="19">
        <f t="shared" si="365"/>
        <v>40148</v>
      </c>
      <c r="GC63" s="19">
        <f t="shared" si="365"/>
        <v>40179</v>
      </c>
      <c r="GD63" s="19">
        <f t="shared" si="365"/>
        <v>40210</v>
      </c>
      <c r="GE63" s="19">
        <f t="shared" si="365"/>
        <v>40238</v>
      </c>
      <c r="GF63" s="19">
        <f t="shared" si="365"/>
        <v>40269</v>
      </c>
      <c r="GG63" s="19">
        <f t="shared" si="365"/>
        <v>40299</v>
      </c>
      <c r="GH63" s="19">
        <f t="shared" si="365"/>
        <v>40330</v>
      </c>
      <c r="GI63" s="19">
        <f t="shared" si="365"/>
        <v>40360</v>
      </c>
      <c r="GJ63" s="19">
        <f t="shared" si="365"/>
        <v>40391</v>
      </c>
      <c r="GK63" s="19">
        <f t="shared" si="365"/>
        <v>40422</v>
      </c>
      <c r="GL63" s="19">
        <f t="shared" si="365"/>
        <v>40452</v>
      </c>
      <c r="GM63" s="19">
        <f t="shared" si="365"/>
        <v>40483</v>
      </c>
      <c r="GN63" s="19">
        <f t="shared" si="365"/>
        <v>40513</v>
      </c>
      <c r="GO63" s="19">
        <f t="shared" si="365"/>
        <v>40544</v>
      </c>
      <c r="GP63" s="19">
        <f t="shared" si="365"/>
        <v>40575</v>
      </c>
      <c r="GQ63" s="19">
        <f t="shared" si="365"/>
        <v>40603</v>
      </c>
      <c r="GR63" s="19">
        <f t="shared" si="365"/>
        <v>40634</v>
      </c>
      <c r="GS63" s="19">
        <f t="shared" si="365"/>
        <v>40664</v>
      </c>
      <c r="GT63" s="19">
        <f t="shared" si="365"/>
        <v>40695</v>
      </c>
      <c r="GU63" s="19">
        <f t="shared" si="365"/>
        <v>40725</v>
      </c>
      <c r="GV63" s="19">
        <f t="shared" si="365"/>
        <v>40756</v>
      </c>
      <c r="GW63" s="19">
        <f t="shared" si="365"/>
        <v>40787</v>
      </c>
      <c r="GX63" s="19">
        <f t="shared" si="365"/>
        <v>40817</v>
      </c>
      <c r="GY63" s="19">
        <f t="shared" si="365"/>
        <v>40848</v>
      </c>
      <c r="GZ63" s="19">
        <f t="shared" si="365"/>
        <v>40878</v>
      </c>
      <c r="HA63" s="19">
        <f t="shared" si="365"/>
        <v>40909</v>
      </c>
      <c r="HB63" s="19">
        <f t="shared" si="365"/>
        <v>40940</v>
      </c>
      <c r="HC63" s="19">
        <f t="shared" si="365"/>
        <v>40969</v>
      </c>
      <c r="HD63" s="19">
        <f t="shared" si="365"/>
        <v>41000</v>
      </c>
      <c r="HE63" s="19">
        <f t="shared" si="365"/>
        <v>41030</v>
      </c>
      <c r="HF63" s="19">
        <f t="shared" si="365"/>
        <v>41061</v>
      </c>
      <c r="HG63" s="19">
        <f t="shared" si="365"/>
        <v>41091</v>
      </c>
      <c r="IM63" s="450"/>
      <c r="IN63" s="659"/>
      <c r="IO63" s="659"/>
      <c r="IP63" s="659"/>
      <c r="IQ63" s="659"/>
      <c r="IR63" s="659"/>
      <c r="IS63" s="582"/>
      <c r="IT63" s="665"/>
      <c r="IU63" s="665"/>
      <c r="IV63" s="734"/>
      <c r="IW63" s="734"/>
      <c r="IX63" s="734"/>
      <c r="IY63" s="734"/>
      <c r="IZ63" s="734"/>
      <c r="JA63" s="734"/>
      <c r="JB63" s="734"/>
      <c r="JC63" s="734"/>
      <c r="JD63" s="734"/>
      <c r="JE63" s="734"/>
      <c r="JF63" s="734"/>
      <c r="JG63" s="734"/>
      <c r="JH63" s="740"/>
      <c r="JI63" s="734"/>
      <c r="JJ63" s="734"/>
      <c r="JK63" s="734"/>
      <c r="JL63" s="734"/>
      <c r="JM63" s="734"/>
      <c r="JN63" s="665"/>
      <c r="JO63" s="665"/>
      <c r="JP63" s="665"/>
      <c r="JQ63" s="665"/>
      <c r="JR63" s="665"/>
    </row>
    <row r="64" spans="5:278" s="28" customFormat="1" x14ac:dyDescent="0.2">
      <c r="E64" s="28" t="s">
        <v>370</v>
      </c>
      <c r="DI64" s="632">
        <f t="shared" ref="DI64:DI73" si="366">DI49/CW49-1</f>
        <v>0.87513918788508649</v>
      </c>
      <c r="DJ64" s="632">
        <f t="shared" ref="DJ64:DJ73" si="367">DJ49/CX49-1</f>
        <v>1.0911141545154273</v>
      </c>
      <c r="DK64" s="632">
        <f t="shared" ref="DK64:DK73" si="368">DK49/CY49-1</f>
        <v>0.98157813939207861</v>
      </c>
      <c r="DL64" s="632">
        <f t="shared" ref="DL64:DL73" si="369">DL49/CZ49-1</f>
        <v>0.50145503584356588</v>
      </c>
      <c r="DM64" s="632">
        <f t="shared" ref="DM64:DM73" si="370">DM49/DA49-1</f>
        <v>0.10618851601200019</v>
      </c>
      <c r="DN64" s="632">
        <f t="shared" ref="DN64:DN73" si="371">DN49/DB49-1</f>
        <v>-0.10815307820299502</v>
      </c>
      <c r="DO64" s="632">
        <f t="shared" ref="DO64:DO73" si="372">DO49/DC49-1</f>
        <v>-0.14375726432984648</v>
      </c>
      <c r="DP64" s="632">
        <f t="shared" ref="DP64:DP73" si="373">DP49/DD49-1</f>
        <v>-6.6569851873366281E-2</v>
      </c>
      <c r="DQ64" s="632">
        <f t="shared" ref="DQ64:DQ73" si="374">DQ49/DE49-1</f>
        <v>-6.2575766322230608E-2</v>
      </c>
      <c r="DR64" s="632">
        <f t="shared" ref="DR64:DR73" si="375">DR49/DF49-1</f>
        <v>-7.1868119460283375E-2</v>
      </c>
      <c r="DS64" s="632">
        <f t="shared" ref="DS64:DS73" si="376">DS49/DG49-1</f>
        <v>-0.10846985758646532</v>
      </c>
      <c r="DT64" s="632">
        <f t="shared" ref="DT64:DT73" si="377">DT49/DH49-1</f>
        <v>-0.24477160154100164</v>
      </c>
      <c r="DU64" s="632">
        <f t="shared" ref="DU64:DU73" si="378">DU49/DI49-1</f>
        <v>-0.3578384798099763</v>
      </c>
      <c r="DV64" s="632">
        <f t="shared" ref="DV64:DV73" si="379">DV49/DJ49-1</f>
        <v>-0.44916592826597834</v>
      </c>
      <c r="DW64" s="632">
        <f t="shared" ref="DW64:DW73" si="380">DW49/DK49-1</f>
        <v>-0.43229005268050824</v>
      </c>
      <c r="DX64" s="632">
        <f t="shared" ref="DX64:DX73" si="381">DX49/DL49-1</f>
        <v>-0.26727805615959155</v>
      </c>
      <c r="DY64" s="632">
        <f t="shared" ref="DY64:DY73" si="382">DY49/DM49-1</f>
        <v>1.0406811731314969E-2</v>
      </c>
      <c r="DZ64" s="632">
        <f t="shared" ref="DZ64:DZ73" si="383">DZ49/DN49-1</f>
        <v>0.27402985074626862</v>
      </c>
      <c r="EA64" s="632">
        <f t="shared" ref="EA64:EA73" si="384">EA49/DO49-1</f>
        <v>0.20304350932342641</v>
      </c>
      <c r="EB64" s="632">
        <f t="shared" ref="EB64:EB73" si="385">EB49/DP49-1</f>
        <v>1.8856182712054359E-2</v>
      </c>
      <c r="EC64" s="632">
        <f t="shared" ref="EC64:EC73" si="386">EC49/DQ49-1</f>
        <v>1.0037563889402135E-2</v>
      </c>
      <c r="ED64" s="632">
        <f t="shared" ref="ED64:ED73" si="387">ED49/DR49-1</f>
        <v>-4.6228710462287159E-3</v>
      </c>
      <c r="EE64" s="632">
        <f t="shared" ref="EE64:EE73" si="388">EE49/DS49-1</f>
        <v>0.12677155897189518</v>
      </c>
      <c r="EF64" s="632">
        <f t="shared" ref="EF64:EF73" si="389">EF49/DT49-1</f>
        <v>0.34201736806947225</v>
      </c>
      <c r="EG64" s="632">
        <f t="shared" ref="EG64:EG73" si="390">EG49/DU49-1</f>
        <v>0.84606374452869737</v>
      </c>
      <c r="EH64" s="632">
        <f t="shared" ref="EH64:EH73" si="391">EH49/DV49-1</f>
        <v>1.1397398237515737</v>
      </c>
      <c r="EI64" s="632">
        <f t="shared" ref="EI64:EI73" si="392">EI49/DW49-1</f>
        <v>1.1865447598253276</v>
      </c>
      <c r="EJ64" s="632">
        <f t="shared" ref="EJ64:EJ73" si="393">EJ49/DX49-1</f>
        <v>1.1378064516129034</v>
      </c>
      <c r="EK64" s="632">
        <f t="shared" ref="EK64:EK73" si="394">EK49/DY49-1</f>
        <v>0.85461922596754047</v>
      </c>
      <c r="EL64" s="632">
        <f t="shared" ref="EL64:EL73" si="395">EL49/DZ49-1</f>
        <v>0.5131794751640113</v>
      </c>
      <c r="EM64" s="632">
        <f t="shared" ref="EM64:EM73" si="396">EM49/EA49-1</f>
        <v>0.32484114258566432</v>
      </c>
      <c r="EN64" s="632">
        <f t="shared" ref="EN64:EN73" si="397">EN49/EB49-1</f>
        <v>0.25804193134620101</v>
      </c>
      <c r="EO64" s="632">
        <f t="shared" ref="EO64:EO73" si="398">EO49/EC49-1</f>
        <v>0.20137788074625051</v>
      </c>
      <c r="EP64" s="632">
        <f t="shared" ref="EP64:EP73" si="399">EP49/ED49-1</f>
        <v>0.18650696651185528</v>
      </c>
      <c r="EQ64" s="632">
        <f t="shared" ref="EQ64:EQ73" si="400">EQ49/EE49-1</f>
        <v>-2.5049299152587468E-3</v>
      </c>
      <c r="ER64" s="632">
        <f t="shared" ref="ER64:ER73" si="401">ER49/EF49-1</f>
        <v>-0.188424815602516</v>
      </c>
      <c r="ES64" s="632">
        <f t="shared" ref="ES64:ES73" si="402">ES49/EG49-1</f>
        <v>-0.38658414500658611</v>
      </c>
      <c r="ET64" s="632">
        <f t="shared" ref="ET64:ET73" si="403">ET49/EH49-1</f>
        <v>-0.40043799437798266</v>
      </c>
      <c r="EU64" s="632">
        <f t="shared" ref="EU64:EU73" si="404">EU49/EI49-1</f>
        <v>-0.42047306236594106</v>
      </c>
      <c r="EV64" s="632">
        <f t="shared" ref="EV64:EV73" si="405">EV49/EJ49-1</f>
        <v>-0.49432306085358657</v>
      </c>
      <c r="EW64" s="632">
        <f t="shared" ref="EW64:EW73" si="406">EW49/EK49-1</f>
        <v>-0.42785835354263613</v>
      </c>
      <c r="EX64" s="632">
        <f t="shared" ref="EX64:EX73" si="407">EX49/EL49-1</f>
        <v>-0.35489490186970152</v>
      </c>
      <c r="EY64" s="632">
        <f t="shared" ref="EY64:EY73" si="408">EY49/EM49-1</f>
        <v>-0.20870500694786853</v>
      </c>
      <c r="EZ64" s="632">
        <f t="shared" ref="EZ64:EZ73" si="409">EZ49/EN49-1</f>
        <v>-6.1692640737304072E-2</v>
      </c>
      <c r="FA64" s="632">
        <f t="shared" ref="FA64:FA73" si="410">FA49/EO49-1</f>
        <v>0.10408525754884557</v>
      </c>
      <c r="FB64" s="632">
        <f t="shared" ref="FB64:FB73" si="411">FB49/EP49-1</f>
        <v>0.21188710341985995</v>
      </c>
      <c r="FC64" s="632">
        <f t="shared" ref="FC64:FC73" si="412">FC49/EQ49-1</f>
        <v>0.36471468262449247</v>
      </c>
      <c r="FD64" s="632">
        <f t="shared" ref="FD64:FD73" si="413">FD49/ER49-1</f>
        <v>0.67125731809311406</v>
      </c>
      <c r="FE64" s="632">
        <f t="shared" ref="FE64:FE73" si="414">FE49/ES49-1</f>
        <v>0.82115942884601512</v>
      </c>
      <c r="FF64" s="632">
        <f t="shared" ref="FF64:FF73" si="415">FF49/ET49-1</f>
        <v>0.97859214901999048</v>
      </c>
      <c r="FG64" s="632">
        <f t="shared" ref="FG64:FG73" si="416">FG49/EU49-1</f>
        <v>0.92111957682893819</v>
      </c>
      <c r="FH64" s="632">
        <f t="shared" ref="FH64:FH73" si="417">FH49/EV49-1</f>
        <v>0.98767073508412606</v>
      </c>
      <c r="FI64" s="632">
        <f t="shared" ref="FI64:FI73" si="418">FI49/EW49-1</f>
        <v>0.78117402799062186</v>
      </c>
      <c r="FJ64" s="632">
        <f t="shared" ref="FJ64:FJ73" si="419">FJ49/EX49-1</f>
        <v>0.70872139845563487</v>
      </c>
      <c r="FK64" s="632">
        <f t="shared" ref="FK64:FK73" si="420">FK49/EY49-1</f>
        <v>0.62142412054608287</v>
      </c>
      <c r="FL64" s="632">
        <f t="shared" ref="FL64:FL73" si="421">FL49/EZ49-1</f>
        <v>0.48127651867949917</v>
      </c>
      <c r="FM64" s="632">
        <f t="shared" ref="FM64:FM73" si="422">FM49/FA49-1</f>
        <v>0.33581894296180015</v>
      </c>
      <c r="FN64" s="632">
        <f t="shared" ref="FN64:FN73" si="423">FN49/FB49-1</f>
        <v>0.34475791951355061</v>
      </c>
      <c r="FO64" s="632">
        <f t="shared" ref="FO64:FO73" si="424">FO49/FC49-1</f>
        <v>0.21161411083891712</v>
      </c>
      <c r="FP64" s="632">
        <f t="shared" ref="FP64:FP73" si="425">FP49/FD49-1</f>
        <v>0.15746980716621062</v>
      </c>
      <c r="FQ64" s="632">
        <f t="shared" ref="FQ64:FQ73" si="426">FQ49/FE49-1</f>
        <v>8.8631408608450535E-2</v>
      </c>
      <c r="FR64" s="632">
        <f t="shared" ref="FR64:FR73" si="427">FR49/FF49-1</f>
        <v>8.1714336263165599E-2</v>
      </c>
      <c r="FS64" s="632">
        <f t="shared" ref="FS64:FS73" si="428">FS49/FG49-1</f>
        <v>6.895918132188128E-2</v>
      </c>
      <c r="FT64" s="632">
        <f t="shared" ref="FT64:FT73" si="429">FT49/FH49-1</f>
        <v>7.7895788131294497E-2</v>
      </c>
      <c r="FU64" s="632">
        <f t="shared" ref="FU64:FU73" si="430">FU49/FI49-1</f>
        <v>0.14170093971304509</v>
      </c>
      <c r="FV64" s="632">
        <f t="shared" ref="FV64:FV73" si="431">FV49/FJ49-1</f>
        <v>0.20536336432913571</v>
      </c>
      <c r="FW64" s="632">
        <f t="shared" ref="FW64:FW73" si="432">FW49/FK49-1</f>
        <v>0.19201865632533277</v>
      </c>
      <c r="FX64" s="632">
        <f t="shared" ref="FX64:FX73" si="433">FX49/FL49-1</f>
        <v>0.22413687705552254</v>
      </c>
      <c r="FY64" s="632">
        <f t="shared" ref="FY64:FY73" si="434">FY49/FM49-1</f>
        <v>0.26594014933550736</v>
      </c>
      <c r="FZ64" s="632">
        <f t="shared" ref="FZ64:FZ73" si="435">FZ49/FN49-1</f>
        <v>0.21243326818168562</v>
      </c>
      <c r="GA64" s="632">
        <f t="shared" ref="GA64:GA73" si="436">GA49/FO49-1</f>
        <v>0.32115995371510175</v>
      </c>
      <c r="GB64" s="632">
        <f t="shared" ref="GB64:GB73" si="437">GB49/FP49-1</f>
        <v>0.26436847869948688</v>
      </c>
      <c r="GC64" s="632">
        <f t="shared" ref="GC64:GC73" si="438">GC49/FQ49-1</f>
        <v>0.28482773770731873</v>
      </c>
      <c r="GD64" s="632">
        <f t="shared" ref="GD64:GD73" si="439">GD49/FR49-1</f>
        <v>0.16505769377722301</v>
      </c>
      <c r="GE64" s="632">
        <f t="shared" ref="GE64:GE73" si="440">GE49/FS49-1</f>
        <v>8.7196937473415614E-2</v>
      </c>
      <c r="GF64" s="632">
        <f t="shared" ref="GF64:GF73" si="441">GF49/FT49-1</f>
        <v>-3.6211699164345412E-2</v>
      </c>
      <c r="GG64" s="632">
        <f t="shared" ref="GG64:GG73" si="442">GG49/FU49-1</f>
        <v>-0.13869366626065771</v>
      </c>
      <c r="GH64" s="632">
        <f t="shared" ref="GH64:GH73" si="443">GH49/FV49-1</f>
        <v>-0.14400345932153746</v>
      </c>
      <c r="GI64" s="632">
        <f t="shared" ref="GI64:GI73" si="444">GI49/FW49-1</f>
        <v>-0.1911873537295038</v>
      </c>
      <c r="GJ64" s="632">
        <f t="shared" ref="GJ64:GJ73" si="445">GJ49/FX49-1</f>
        <v>-0.19565797414930852</v>
      </c>
      <c r="GK64" s="632">
        <f t="shared" ref="GK64:GK73" si="446">GK49/FY49-1</f>
        <v>-0.21333701178417996</v>
      </c>
      <c r="GL64" s="632">
        <f t="shared" ref="GL64:GL73" si="447">GL49/FZ49-1</f>
        <v>-0.21520175164216448</v>
      </c>
      <c r="GM64" s="632">
        <f t="shared" ref="GM64:GM73" si="448">GM49/GA49-1</f>
        <v>-0.2221542826395343</v>
      </c>
      <c r="GN64" s="632">
        <f t="shared" ref="GN64:GN73" si="449">GN49/GB49-1</f>
        <v>-0.21928144804632288</v>
      </c>
      <c r="GO64" s="632">
        <f t="shared" ref="GO64:GO73" si="450">GO49/GC49-1</f>
        <v>-0.25013891857234449</v>
      </c>
      <c r="GP64" s="632">
        <f t="shared" ref="GP64:GP73" si="451">GP49/GD49-1</f>
        <v>-0.16097859594656638</v>
      </c>
      <c r="GQ64" s="632">
        <f t="shared" ref="GQ64:GQ73" si="452">GQ49/GE49-1</f>
        <v>4.4809955624155906E-2</v>
      </c>
      <c r="GR64" s="632">
        <f t="shared" ref="GR64:GR73" si="453">GR49/GF49-1</f>
        <v>0.26317919075144514</v>
      </c>
      <c r="GS64" s="632">
        <f t="shared" ref="GS64:GS73" si="454">GS49/GG49-1</f>
        <v>0.40871062000403025</v>
      </c>
      <c r="GT64" s="632">
        <f t="shared" ref="GT64:GT73" si="455">GT49/GH49-1</f>
        <v>0.53399350457420569</v>
      </c>
      <c r="GU64" s="632">
        <f t="shared" ref="GU64:GU73" si="456">GU49/GI49-1</f>
        <v>0.61759856500942156</v>
      </c>
      <c r="GV64" s="632">
        <f t="shared" ref="GV64:GV73" si="457">GV49/GJ49-1</f>
        <v>0.48983573988008655</v>
      </c>
      <c r="GW64" s="632">
        <f t="shared" ref="GW64:GW73" si="458">GW49/GK49-1</f>
        <v>0.45791583166332672</v>
      </c>
      <c r="GX64" s="632">
        <f t="shared" ref="GX64:GX73" si="459">GX49/GL49-1</f>
        <v>0.41001727115716768</v>
      </c>
      <c r="GY64" s="632">
        <f t="shared" ref="GY64:GY73" si="460">GY49/GM49-1</f>
        <v>0.33261013111970561</v>
      </c>
      <c r="GZ64" s="632">
        <f t="shared" ref="GZ64:GZ73" si="461">GZ49/GN49-1</f>
        <v>0.25471136157911634</v>
      </c>
      <c r="HA64" s="632">
        <f t="shared" ref="HA64:HA73" si="462">HA49/GO49-1</f>
        <v>0.26145471128085274</v>
      </c>
      <c r="HB64" s="632">
        <f t="shared" ref="HB64:HB73" si="463">HB49/GP49-1</f>
        <v>0.1061366479049406</v>
      </c>
      <c r="HC64" s="632">
        <f t="shared" ref="HC64:HC73" si="464">HC49/GQ49-1</f>
        <v>-9.313974424080107E-3</v>
      </c>
      <c r="HD64" s="632">
        <f t="shared" ref="HD64:HD73" si="465">HD49/GR49-1</f>
        <v>7.3877728458335179E-2</v>
      </c>
      <c r="HE64" s="632">
        <f t="shared" ref="HE64:HE73" si="466">HE49/GS49-1</f>
        <v>0.24736815126260803</v>
      </c>
      <c r="HF64" s="632">
        <f t="shared" ref="HF64:HF73" si="467">HF49/GT49-1</f>
        <v>0.16098723046471286</v>
      </c>
      <c r="HG64" s="632">
        <f t="shared" ref="HG64:HG73" si="468">HG49/GU49-1</f>
        <v>0.16649880047149912</v>
      </c>
      <c r="HH64" s="632">
        <f t="shared" ref="HH64:HH73" si="469">HH49/GV49-1</f>
        <v>0.19805335599321205</v>
      </c>
      <c r="HI64" s="632">
        <f t="shared" ref="HI64:HI73" si="470">HI49/GW49-1</f>
        <v>0.28665884999262015</v>
      </c>
      <c r="HJ64" s="632">
        <f t="shared" ref="HJ64:HJ73" si="471">HJ49/GX49-1</f>
        <v>0.36895068107837914</v>
      </c>
      <c r="HK64" s="632">
        <f t="shared" ref="HK64:HK73" si="472">HK49/GY49-1</f>
        <v>0.54174387246227163</v>
      </c>
      <c r="HL64" s="632">
        <f t="shared" ref="HL64:HL73" si="473">HL49/GZ49-1</f>
        <v>0.68714004106715154</v>
      </c>
      <c r="HM64" s="632">
        <f t="shared" ref="HM64:HM73" si="474">HM49/HA49-1</f>
        <v>0.73386896342923746</v>
      </c>
      <c r="HN64" s="632">
        <f t="shared" ref="HN64:HN73" si="475">HN49/HB49-1</f>
        <v>0.83979971554787181</v>
      </c>
      <c r="HO64" s="632">
        <f t="shared" ref="HO64:HO73" si="476">HO49/HC49-1</f>
        <v>0.57153797620091451</v>
      </c>
      <c r="HP64" s="632">
        <f t="shared" ref="HP64:HP73" si="477">HP49/HD49-1</f>
        <v>0.41202814962852785</v>
      </c>
      <c r="HQ64" s="632">
        <f t="shared" ref="HQ64:HQ73" si="478">HQ49/HE49-1</f>
        <v>6.9402739258219937E-2</v>
      </c>
      <c r="HR64" s="632">
        <f t="shared" ref="HR64:HR72" si="479">HR49/HF49-1</f>
        <v>-5.426970658308794E-2</v>
      </c>
      <c r="HS64" s="632">
        <f t="shared" ref="HS64:HS73" si="480">HS49/HG49-1</f>
        <v>-3.2614471072020867E-2</v>
      </c>
      <c r="HT64" s="632">
        <f t="shared" ref="HT64:HT73" si="481">HT49/HH49-1</f>
        <v>3.5711782489983301E-2</v>
      </c>
      <c r="HU64" s="632">
        <f t="shared" ref="HU64:HU73" si="482">HU49/HI49-1</f>
        <v>-2.2021691272999133E-2</v>
      </c>
      <c r="HV64" s="632">
        <f t="shared" ref="HV64:HV73" si="483">HV49/HJ49-1</f>
        <v>-8.3691360260822356E-2</v>
      </c>
      <c r="HW64" s="632">
        <f t="shared" ref="HW64:HW73" si="484">HW49/HK49-1</f>
        <v>-0.18515652359444756</v>
      </c>
      <c r="HX64" s="632">
        <f t="shared" ref="HX64:HX73" si="485">HX49/HL49-1</f>
        <v>-0.24618785044492297</v>
      </c>
      <c r="HY64" s="632">
        <f t="shared" ref="HY64:HY73" si="486">HY49/HM49-1</f>
        <v>-0.26827990617670061</v>
      </c>
      <c r="HZ64" s="632">
        <f t="shared" ref="HZ64:HZ73" si="487">HZ49/HN49-1</f>
        <v>-0.30205369917222602</v>
      </c>
      <c r="IA64" s="632">
        <f t="shared" ref="IA64:IA73" si="488">IA49/HO49-1</f>
        <v>-0.24931857889853637</v>
      </c>
      <c r="IB64" s="632">
        <f t="shared" ref="IB64:IB73" si="489">IB49/HP49-1</f>
        <v>-0.24600216678184605</v>
      </c>
      <c r="IC64" s="632">
        <f t="shared" ref="IC64:IC73" si="490">IC49/HQ49-1</f>
        <v>-0.13187526809970929</v>
      </c>
      <c r="ID64" s="632">
        <f t="shared" ref="ID64:ID72" si="491">ID49/HR49-1</f>
        <v>-1.5924737271090339E-2</v>
      </c>
      <c r="IE64" s="632">
        <f t="shared" ref="IE64:IE72" si="492">IE49/HS49-1</f>
        <v>-0.10013913254572859</v>
      </c>
      <c r="IF64" s="632">
        <f t="shared" ref="IF64:IF72" si="493">IF49/HT49-1</f>
        <v>-0.20371000474977341</v>
      </c>
      <c r="IG64" s="632">
        <f t="shared" ref="IG64:IG68" si="494">IG49/HU49-1</f>
        <v>-0.2412166870703456</v>
      </c>
      <c r="IH64" s="632">
        <f t="shared" ref="IH64:IH68" si="495">IH49/HV49-1</f>
        <v>-0.27031848569067829</v>
      </c>
      <c r="II64" s="632">
        <f t="shared" ref="II64:II68" si="496">II49/HW49-1</f>
        <v>-0.28339443751596471</v>
      </c>
      <c r="IJ64" s="632">
        <f t="shared" ref="IJ64:IJ68" si="497">IJ49/HX49-1</f>
        <v>-0.28984167996369548</v>
      </c>
      <c r="IK64" s="632">
        <f t="shared" ref="IK64:IK68" si="498">IK49/HY49-1</f>
        <v>-0.32451444467002177</v>
      </c>
      <c r="IL64" s="632">
        <f t="shared" ref="IL64:IL68" si="499">IL49/HZ49-1</f>
        <v>-0.31744089410564669</v>
      </c>
      <c r="IM64" s="632">
        <f t="shared" ref="IM64:IP68" si="500">IM49/IA49-1</f>
        <v>-0.23092115658081847</v>
      </c>
      <c r="IN64" s="632">
        <f t="shared" si="500"/>
        <v>-2.6856113668200954E-2</v>
      </c>
      <c r="IO64" s="632">
        <f t="shared" si="500"/>
        <v>-2.8982225034977938E-2</v>
      </c>
      <c r="IP64" s="632">
        <f t="shared" si="500"/>
        <v>-2.6065163842999617E-2</v>
      </c>
      <c r="IQ64" s="665"/>
      <c r="IR64" s="665"/>
      <c r="IS64" s="665"/>
      <c r="IT64" s="665"/>
      <c r="IU64" s="665"/>
      <c r="IV64" s="734"/>
      <c r="IW64" s="734"/>
      <c r="IX64" s="734"/>
      <c r="IY64" s="734"/>
      <c r="IZ64" s="734"/>
      <c r="JA64" s="734"/>
      <c r="JB64" s="734"/>
      <c r="JC64" s="734"/>
      <c r="JD64" s="734"/>
      <c r="JE64" s="735"/>
      <c r="JF64" s="740"/>
      <c r="JG64" s="740"/>
      <c r="JH64" s="740"/>
      <c r="JI64" s="734"/>
      <c r="JJ64" s="734"/>
      <c r="JK64" s="734"/>
      <c r="JL64" s="734"/>
      <c r="JM64" s="734"/>
      <c r="JN64" s="665"/>
      <c r="JO64" s="665"/>
      <c r="JP64" s="665"/>
      <c r="JQ64" s="665"/>
      <c r="JR64" s="665"/>
    </row>
    <row r="65" spans="5:278" s="28" customFormat="1" x14ac:dyDescent="0.2">
      <c r="E65" s="28" t="s">
        <v>371</v>
      </c>
      <c r="DI65" s="632">
        <f t="shared" si="366"/>
        <v>0.65972859577815646</v>
      </c>
      <c r="DJ65" s="632">
        <f t="shared" si="367"/>
        <v>0.80502999538532527</v>
      </c>
      <c r="DK65" s="632">
        <f t="shared" si="368"/>
        <v>0.74474315441886541</v>
      </c>
      <c r="DL65" s="632">
        <f t="shared" si="369"/>
        <v>0.59711009550915417</v>
      </c>
      <c r="DM65" s="632">
        <f t="shared" si="370"/>
        <v>0.50779252906737038</v>
      </c>
      <c r="DN65" s="632">
        <f t="shared" si="371"/>
        <v>0.25598987626546688</v>
      </c>
      <c r="DO65" s="632">
        <f t="shared" si="372"/>
        <v>0.24557608032395861</v>
      </c>
      <c r="DP65" s="632">
        <f t="shared" si="373"/>
        <v>0.2671153274412823</v>
      </c>
      <c r="DQ65" s="632">
        <f t="shared" si="374"/>
        <v>0.25041966276651717</v>
      </c>
      <c r="DR65" s="632">
        <f t="shared" si="375"/>
        <v>0.25983505545549335</v>
      </c>
      <c r="DS65" s="632">
        <f t="shared" si="376"/>
        <v>0.25919294862966535</v>
      </c>
      <c r="DT65" s="632">
        <f t="shared" si="377"/>
        <v>0.231958762886598</v>
      </c>
      <c r="DU65" s="632">
        <f t="shared" si="378"/>
        <v>0.13486718672854736</v>
      </c>
      <c r="DV65" s="632">
        <f t="shared" si="379"/>
        <v>-2.2096017238545373E-3</v>
      </c>
      <c r="DW65" s="632">
        <f t="shared" si="380"/>
        <v>-7.323953720897014E-2</v>
      </c>
      <c r="DX65" s="632">
        <f t="shared" si="381"/>
        <v>-0.1065969842357779</v>
      </c>
      <c r="DY65" s="632">
        <f t="shared" si="382"/>
        <v>-7.0750159511439259E-2</v>
      </c>
      <c r="DZ65" s="632">
        <f t="shared" si="383"/>
        <v>7.7446656068781872E-2</v>
      </c>
      <c r="EA65" s="632">
        <f t="shared" si="384"/>
        <v>7.3995724592500256E-2</v>
      </c>
      <c r="EB65" s="632">
        <f t="shared" si="385"/>
        <v>3.7647711275116347E-2</v>
      </c>
      <c r="EC65" s="632">
        <f t="shared" si="386"/>
        <v>-2.0437605193556196E-3</v>
      </c>
      <c r="ED65" s="632">
        <f t="shared" si="387"/>
        <v>-0.10357411587659893</v>
      </c>
      <c r="EE65" s="632">
        <f t="shared" si="388"/>
        <v>-4.4004520762696453E-2</v>
      </c>
      <c r="EF65" s="632">
        <f t="shared" si="389"/>
        <v>-3.0339179204130651E-2</v>
      </c>
      <c r="EG65" s="632">
        <f t="shared" si="390"/>
        <v>6.833843797856054E-2</v>
      </c>
      <c r="EH65" s="632">
        <f t="shared" si="391"/>
        <v>0.25624084919472923</v>
      </c>
      <c r="EI65" s="632">
        <f t="shared" si="392"/>
        <v>0.44917735907216882</v>
      </c>
      <c r="EJ65" s="632">
        <f t="shared" si="393"/>
        <v>0.68294366980571164</v>
      </c>
      <c r="EK65" s="632">
        <f t="shared" si="394"/>
        <v>0.73443324047553649</v>
      </c>
      <c r="EL65" s="632">
        <f t="shared" si="395"/>
        <v>0.55423714725073769</v>
      </c>
      <c r="EM65" s="632">
        <f t="shared" si="396"/>
        <v>0.44203935228380087</v>
      </c>
      <c r="EN65" s="632">
        <f t="shared" si="397"/>
        <v>0.3548276358254363</v>
      </c>
      <c r="EO65" s="632">
        <f t="shared" si="398"/>
        <v>0.37427217604304697</v>
      </c>
      <c r="EP65" s="632">
        <f t="shared" si="399"/>
        <v>0.49771267889369208</v>
      </c>
      <c r="EQ65" s="632">
        <f t="shared" si="400"/>
        <v>0.35645641064754785</v>
      </c>
      <c r="ER65" s="632">
        <f t="shared" si="401"/>
        <v>0.34762490589596218</v>
      </c>
      <c r="ES65" s="632">
        <f t="shared" si="402"/>
        <v>0.19862958558891175</v>
      </c>
      <c r="ET65" s="632">
        <f t="shared" si="403"/>
        <v>6.1085939890153096E-2</v>
      </c>
      <c r="EU65" s="632">
        <f t="shared" si="404"/>
        <v>-5.472905461380817E-2</v>
      </c>
      <c r="EV65" s="632">
        <f t="shared" si="405"/>
        <v>-0.20062650463513032</v>
      </c>
      <c r="EW65" s="632">
        <f t="shared" si="406"/>
        <v>-0.25744112378252526</v>
      </c>
      <c r="EX65" s="632">
        <f t="shared" si="407"/>
        <v>-0.20574117898733835</v>
      </c>
      <c r="EY65" s="632">
        <f t="shared" si="408"/>
        <v>-0.16333338125979502</v>
      </c>
      <c r="EZ65" s="632">
        <f t="shared" si="409"/>
        <v>-9.5531215340101339E-2</v>
      </c>
      <c r="FA65" s="632">
        <f t="shared" si="410"/>
        <v>-9.6644118807252322E-2</v>
      </c>
      <c r="FB65" s="632">
        <f t="shared" si="411"/>
        <v>-7.822395337106991E-2</v>
      </c>
      <c r="FC65" s="632">
        <f t="shared" si="412"/>
        <v>-2.8873457223987153E-2</v>
      </c>
      <c r="FD65" s="632">
        <f t="shared" si="413"/>
        <v>-1.545106481544567E-2</v>
      </c>
      <c r="FE65" s="632">
        <f t="shared" si="414"/>
        <v>3.1807147108134703E-2</v>
      </c>
      <c r="FF65" s="632">
        <f t="shared" si="415"/>
        <v>8.4490530979121292E-2</v>
      </c>
      <c r="FG65" s="632">
        <f t="shared" si="416"/>
        <v>0.22217419630361279</v>
      </c>
      <c r="FH65" s="632">
        <f t="shared" si="417"/>
        <v>0.31117845333864991</v>
      </c>
      <c r="FI65" s="632">
        <f t="shared" si="418"/>
        <v>0.48492683033453532</v>
      </c>
      <c r="FJ65" s="632">
        <f t="shared" si="419"/>
        <v>0.43432876020537003</v>
      </c>
      <c r="FK65" s="632">
        <f t="shared" si="420"/>
        <v>0.46388101252771041</v>
      </c>
      <c r="FL65" s="632">
        <f t="shared" si="421"/>
        <v>0.43213530832718239</v>
      </c>
      <c r="FM65" s="632">
        <f t="shared" si="422"/>
        <v>0.54406232272062249</v>
      </c>
      <c r="FN65" s="632">
        <f t="shared" si="423"/>
        <v>0.51323754146414458</v>
      </c>
      <c r="FO65" s="632">
        <f t="shared" si="424"/>
        <v>0.38885235641358618</v>
      </c>
      <c r="FP65" s="632">
        <f t="shared" si="425"/>
        <v>0.4858010766824894</v>
      </c>
      <c r="FQ65" s="632">
        <f t="shared" si="426"/>
        <v>0.45786211179833347</v>
      </c>
      <c r="FR65" s="632">
        <f t="shared" si="427"/>
        <v>0.43050180544797345</v>
      </c>
      <c r="FS65" s="632">
        <f t="shared" si="428"/>
        <v>0.33723301186557109</v>
      </c>
      <c r="FT65" s="632">
        <f t="shared" si="429"/>
        <v>0.25796853132946529</v>
      </c>
      <c r="FU65" s="632">
        <f t="shared" si="430"/>
        <v>0.11238644793260466</v>
      </c>
      <c r="FV65" s="632">
        <f t="shared" si="431"/>
        <v>0.15102126436536656</v>
      </c>
      <c r="FW65" s="632">
        <f t="shared" si="432"/>
        <v>0.16572224824410964</v>
      </c>
      <c r="FX65" s="632">
        <f t="shared" si="433"/>
        <v>0.15549864154068449</v>
      </c>
      <c r="FY65" s="632">
        <f t="shared" si="434"/>
        <v>4.139872794571442E-2</v>
      </c>
      <c r="FZ65" s="632">
        <f t="shared" si="435"/>
        <v>2.9146033053445208E-2</v>
      </c>
      <c r="GA65" s="632">
        <f t="shared" si="436"/>
        <v>7.6974654287539357E-2</v>
      </c>
      <c r="GB65" s="632">
        <f t="shared" si="437"/>
        <v>-9.3468389800908103E-3</v>
      </c>
      <c r="GC65" s="632">
        <f t="shared" si="438"/>
        <v>-2.9027761953781539E-2</v>
      </c>
      <c r="GD65" s="632">
        <f t="shared" si="439"/>
        <v>-5.947462434711559E-2</v>
      </c>
      <c r="GE65" s="632">
        <f t="shared" si="440"/>
        <v>-9.1223487409059056E-2</v>
      </c>
      <c r="GF65" s="632">
        <f t="shared" si="441"/>
        <v>-0.13195705577290517</v>
      </c>
      <c r="GG65" s="632">
        <f t="shared" si="442"/>
        <v>-0.1201203649776742</v>
      </c>
      <c r="GH65" s="632">
        <f t="shared" si="443"/>
        <v>-3.9656307706673388E-2</v>
      </c>
      <c r="GI65" s="632">
        <f t="shared" si="444"/>
        <v>-0.15941016115534778</v>
      </c>
      <c r="GJ65" s="632">
        <f t="shared" si="445"/>
        <v>-0.15413174654262263</v>
      </c>
      <c r="GK65" s="632">
        <f t="shared" si="446"/>
        <v>-0.157112554299778</v>
      </c>
      <c r="GL65" s="632">
        <f t="shared" si="447"/>
        <v>-0.13846919653314593</v>
      </c>
      <c r="GM65" s="632">
        <f t="shared" si="448"/>
        <v>-0.112926170729583</v>
      </c>
      <c r="GN65" s="632">
        <f t="shared" si="449"/>
        <v>-6.4630167639786018E-2</v>
      </c>
      <c r="GO65" s="632">
        <f t="shared" si="450"/>
        <v>-3.4584465369012607E-2</v>
      </c>
      <c r="GP65" s="632">
        <f t="shared" si="451"/>
        <v>1.4980427582053535E-2</v>
      </c>
      <c r="GQ65" s="632">
        <f t="shared" si="452"/>
        <v>-0.11598662967416928</v>
      </c>
      <c r="GR65" s="632">
        <f t="shared" si="453"/>
        <v>0.18611343450033857</v>
      </c>
      <c r="GS65" s="632">
        <f t="shared" si="454"/>
        <v>0.29712784019451655</v>
      </c>
      <c r="GT65" s="632">
        <f t="shared" si="455"/>
        <v>0.31479758482046805</v>
      </c>
      <c r="GU65" s="632">
        <f t="shared" si="456"/>
        <v>0.44336395666182882</v>
      </c>
      <c r="GV65" s="632">
        <f t="shared" si="457"/>
        <v>0.45681603010438265</v>
      </c>
      <c r="GW65" s="632">
        <f t="shared" si="458"/>
        <v>0.54719345138656861</v>
      </c>
      <c r="GX65" s="632">
        <f t="shared" si="459"/>
        <v>0.62269199832330702</v>
      </c>
      <c r="GY65" s="632">
        <f t="shared" si="460"/>
        <v>0.68516538662942916</v>
      </c>
      <c r="GZ65" s="632">
        <f t="shared" si="461"/>
        <v>0.64388199226013976</v>
      </c>
      <c r="HA65" s="632">
        <f t="shared" si="462"/>
        <v>0.68831715802966498</v>
      </c>
      <c r="HB65" s="632">
        <f t="shared" si="463"/>
        <v>0.65604650300378253</v>
      </c>
      <c r="HC65" s="632">
        <f t="shared" si="464"/>
        <v>1.0529413654962618</v>
      </c>
      <c r="HD65" s="632">
        <f t="shared" si="465"/>
        <v>0.71278637329057482</v>
      </c>
      <c r="HE65" s="632">
        <f t="shared" si="466"/>
        <v>0.4833184195270539</v>
      </c>
      <c r="HF65" s="632">
        <f t="shared" si="467"/>
        <v>0.33601207046773074</v>
      </c>
      <c r="HG65" s="632">
        <f t="shared" si="468"/>
        <v>0.33071702670864012</v>
      </c>
      <c r="HH65" s="632">
        <f t="shared" si="469"/>
        <v>0.30049134052535598</v>
      </c>
      <c r="HI65" s="632">
        <f t="shared" si="470"/>
        <v>0.26243509221144423</v>
      </c>
      <c r="HJ65" s="632">
        <f t="shared" si="471"/>
        <v>0.19968857601795764</v>
      </c>
      <c r="HK65" s="632">
        <f t="shared" si="472"/>
        <v>0.14475129789986418</v>
      </c>
      <c r="HL65" s="632">
        <f t="shared" si="473"/>
        <v>0.13616290038170886</v>
      </c>
      <c r="HM65" s="632">
        <f t="shared" si="474"/>
        <v>7.5579652936069053E-2</v>
      </c>
      <c r="HN65" s="632">
        <f t="shared" si="475"/>
        <v>2.1823325549432893E-2</v>
      </c>
      <c r="HO65" s="632">
        <f>HO50/HC50-1</f>
        <v>-0.15462032730090236</v>
      </c>
      <c r="HP65" s="632">
        <f t="shared" si="477"/>
        <v>-0.21970450737996339</v>
      </c>
      <c r="HQ65" s="632">
        <f t="shared" si="478"/>
        <v>-0.24145667519735725</v>
      </c>
      <c r="HR65" s="632">
        <f t="shared" si="479"/>
        <v>-0.20491727311557595</v>
      </c>
      <c r="HS65" s="632">
        <f t="shared" si="480"/>
        <v>-0.19834409817138365</v>
      </c>
      <c r="HT65" s="632">
        <f t="shared" si="481"/>
        <v>-0.21938030638274075</v>
      </c>
      <c r="HU65" s="632">
        <f t="shared" si="482"/>
        <v>-0.26451199056831276</v>
      </c>
      <c r="HV65" s="632">
        <f t="shared" si="483"/>
        <v>-0.31379768407601649</v>
      </c>
      <c r="HW65" s="632">
        <f t="shared" si="484"/>
        <v>-0.32096330577368715</v>
      </c>
      <c r="HX65" s="632">
        <f t="shared" si="485"/>
        <v>-0.34396498289045641</v>
      </c>
      <c r="HY65" s="632">
        <f t="shared" si="486"/>
        <v>-0.34133628421912976</v>
      </c>
      <c r="HZ65" s="632">
        <f t="shared" si="487"/>
        <v>-0.32136728859182329</v>
      </c>
      <c r="IA65" s="632">
        <f t="shared" si="488"/>
        <v>-0.20411271896420413</v>
      </c>
      <c r="IB65" s="632">
        <f t="shared" si="489"/>
        <v>-0.14938495641648475</v>
      </c>
      <c r="IC65" s="632">
        <f t="shared" si="490"/>
        <v>-3.1516001069617938E-2</v>
      </c>
      <c r="ID65" s="632">
        <f t="shared" si="491"/>
        <v>-5.6283122642324379E-2</v>
      </c>
      <c r="IE65" s="632">
        <f t="shared" si="492"/>
        <v>-8.2817755996421494E-2</v>
      </c>
      <c r="IF65" s="632">
        <f t="shared" si="493"/>
        <v>-7.5193397873435819E-2</v>
      </c>
      <c r="IG65" s="632">
        <f t="shared" si="494"/>
        <v>-3.6579146281698782E-2</v>
      </c>
      <c r="IH65" s="632">
        <f t="shared" si="495"/>
        <v>5.0570797844868176E-2</v>
      </c>
      <c r="II65" s="632">
        <f t="shared" si="496"/>
        <v>0.12853420124907244</v>
      </c>
      <c r="IJ65" s="632">
        <f t="shared" si="497"/>
        <v>0.16756578051449655</v>
      </c>
      <c r="IK65" s="632">
        <f t="shared" si="498"/>
        <v>0.16780186955950693</v>
      </c>
      <c r="IL65" s="632">
        <f t="shared" si="499"/>
        <v>0.20906786772870989</v>
      </c>
      <c r="IM65" s="632">
        <f t="shared" si="500"/>
        <v>0.2564422696641413</v>
      </c>
      <c r="IN65" s="632">
        <f t="shared" si="500"/>
        <v>0.23249494158826733</v>
      </c>
      <c r="IO65" s="632">
        <f t="shared" si="500"/>
        <v>0.20637060296456688</v>
      </c>
      <c r="IP65" s="632">
        <f t="shared" si="500"/>
        <v>0.25150869376405605</v>
      </c>
      <c r="IQ65" s="665"/>
      <c r="IR65" s="665"/>
      <c r="IS65" s="665"/>
      <c r="IT65" s="665"/>
      <c r="IU65" s="665"/>
      <c r="IV65" s="665"/>
      <c r="IW65" s="665"/>
      <c r="IX65" s="665"/>
      <c r="IY65" s="665"/>
      <c r="IZ65" s="665"/>
      <c r="JA65" s="665"/>
      <c r="JB65" s="665"/>
      <c r="JC65" s="665"/>
      <c r="JD65" s="665"/>
      <c r="JE65" s="665"/>
      <c r="JF65" s="665"/>
      <c r="JG65" s="665"/>
      <c r="JH65" s="665"/>
      <c r="JI65" s="665"/>
      <c r="JJ65" s="665"/>
      <c r="JK65" s="665"/>
      <c r="JL65" s="665"/>
      <c r="JM65" s="665"/>
      <c r="JN65" s="665"/>
      <c r="JO65" s="665"/>
      <c r="JP65" s="665"/>
      <c r="JQ65" s="665"/>
      <c r="JR65" s="665"/>
    </row>
    <row r="66" spans="5:278" s="28" customFormat="1" x14ac:dyDescent="0.2">
      <c r="E66" s="28" t="s">
        <v>372</v>
      </c>
      <c r="DI66" s="632">
        <f t="shared" si="366"/>
        <v>0.32886787496716585</v>
      </c>
      <c r="DJ66" s="632">
        <f t="shared" si="367"/>
        <v>0.28118043267309778</v>
      </c>
      <c r="DK66" s="632">
        <f t="shared" si="368"/>
        <v>0.15284032336823827</v>
      </c>
      <c r="DL66" s="632">
        <f t="shared" si="369"/>
        <v>1.0509414683987695E-2</v>
      </c>
      <c r="DM66" s="632">
        <f t="shared" si="370"/>
        <v>-2.984932743951707E-2</v>
      </c>
      <c r="DN66" s="632">
        <f t="shared" si="371"/>
        <v>2.9019235336024796E-2</v>
      </c>
      <c r="DO66" s="632">
        <f t="shared" si="372"/>
        <v>0.11670979854873909</v>
      </c>
      <c r="DP66" s="632">
        <f t="shared" si="373"/>
        <v>0.2670922570016474</v>
      </c>
      <c r="DQ66" s="632">
        <f t="shared" si="374"/>
        <v>0.47545504688361828</v>
      </c>
      <c r="DR66" s="632">
        <f t="shared" si="375"/>
        <v>0.35641842944074176</v>
      </c>
      <c r="DS66" s="632">
        <f t="shared" si="376"/>
        <v>0.1379104477611941</v>
      </c>
      <c r="DT66" s="632">
        <f t="shared" si="377"/>
        <v>3.208047843479056E-3</v>
      </c>
      <c r="DU66" s="632">
        <f t="shared" si="378"/>
        <v>-9.6975686894643198E-2</v>
      </c>
      <c r="DV66" s="632">
        <f t="shared" si="379"/>
        <v>-4.2325685007796876E-2</v>
      </c>
      <c r="DW66" s="632">
        <f t="shared" si="380"/>
        <v>-1.4024849397590411E-2</v>
      </c>
      <c r="DX66" s="632">
        <f t="shared" si="381"/>
        <v>0.3257739900813712</v>
      </c>
      <c r="DY66" s="632">
        <f t="shared" si="382"/>
        <v>0.37876635147714466</v>
      </c>
      <c r="DZ66" s="632">
        <f t="shared" si="383"/>
        <v>0.20012923474568445</v>
      </c>
      <c r="EA66" s="632">
        <f t="shared" si="384"/>
        <v>7.3431180987867606E-2</v>
      </c>
      <c r="EB66" s="632">
        <f t="shared" si="385"/>
        <v>-2.0315293352835995E-2</v>
      </c>
      <c r="EC66" s="632">
        <f t="shared" si="386"/>
        <v>-0.11431775700934577</v>
      </c>
      <c r="ED66" s="632">
        <f t="shared" si="387"/>
        <v>-0.17752616962187562</v>
      </c>
      <c r="EE66" s="632">
        <f t="shared" si="388"/>
        <v>8.0572627791935192E-2</v>
      </c>
      <c r="EF66" s="632">
        <f t="shared" si="389"/>
        <v>0.26028424792735882</v>
      </c>
      <c r="EG66" s="632">
        <f t="shared" si="390"/>
        <v>0.67327729620873833</v>
      </c>
      <c r="EH66" s="632">
        <f t="shared" si="391"/>
        <v>0.71593393812514527</v>
      </c>
      <c r="EI66" s="632">
        <f t="shared" si="392"/>
        <v>0.5797136038186157</v>
      </c>
      <c r="EJ66" s="632">
        <f t="shared" si="393"/>
        <v>0.1902669329943707</v>
      </c>
      <c r="EK66" s="632">
        <f t="shared" si="394"/>
        <v>0.15752256413900922</v>
      </c>
      <c r="EL66" s="632">
        <f t="shared" si="395"/>
        <v>0.12125990308437817</v>
      </c>
      <c r="EM66" s="632">
        <f t="shared" si="396"/>
        <v>0.15650002116581296</v>
      </c>
      <c r="EN66" s="632">
        <f t="shared" si="397"/>
        <v>0.19278626824817535</v>
      </c>
      <c r="EO66" s="632">
        <f t="shared" si="398"/>
        <v>0.25194158365693053</v>
      </c>
      <c r="EP66" s="632">
        <f t="shared" si="399"/>
        <v>0.43220779220779226</v>
      </c>
      <c r="EQ66" s="632">
        <f t="shared" si="400"/>
        <v>0.17170701255462295</v>
      </c>
      <c r="ER66" s="632">
        <f t="shared" si="401"/>
        <v>0.10390627447295064</v>
      </c>
      <c r="ES66" s="632">
        <f t="shared" si="402"/>
        <v>5.4983186831869535E-3</v>
      </c>
      <c r="ET66" s="632">
        <f t="shared" si="403"/>
        <v>-5.0482594078733345E-2</v>
      </c>
      <c r="EU66" s="632">
        <f t="shared" si="404"/>
        <v>6.5558834018495604E-2</v>
      </c>
      <c r="EV66" s="632">
        <f t="shared" si="405"/>
        <v>-8.9400797838714574E-3</v>
      </c>
      <c r="EW66" s="632">
        <f t="shared" si="406"/>
        <v>4.7301508044862661E-2</v>
      </c>
      <c r="EX66" s="632">
        <f t="shared" si="407"/>
        <v>0.1461498885268393</v>
      </c>
      <c r="EY66" s="632">
        <f t="shared" si="408"/>
        <v>0.2525256222547585</v>
      </c>
      <c r="EZ66" s="632">
        <f t="shared" si="409"/>
        <v>0.21183725748499338</v>
      </c>
      <c r="FA66" s="632">
        <f t="shared" si="410"/>
        <v>0.25693671824955322</v>
      </c>
      <c r="FB66" s="632">
        <f t="shared" si="411"/>
        <v>0.11038568492322565</v>
      </c>
      <c r="FC66" s="632">
        <f t="shared" si="412"/>
        <v>-0.12094500832402266</v>
      </c>
      <c r="FD66" s="632">
        <f t="shared" si="413"/>
        <v>0.1677071509648127</v>
      </c>
      <c r="FE66" s="632">
        <f t="shared" si="414"/>
        <v>0.13998926881575446</v>
      </c>
      <c r="FF66" s="632">
        <f t="shared" si="415"/>
        <v>0.20829288256905176</v>
      </c>
      <c r="FG66" s="632">
        <f t="shared" si="416"/>
        <v>3.7965204350257187E-2</v>
      </c>
      <c r="FH66" s="632">
        <f t="shared" si="417"/>
        <v>0.13325798050093707</v>
      </c>
      <c r="FI66" s="632">
        <f t="shared" si="418"/>
        <v>0.11892284017122079</v>
      </c>
      <c r="FJ66" s="632">
        <f t="shared" si="419"/>
        <v>0.2247620900167584</v>
      </c>
      <c r="FK66" s="632">
        <f t="shared" si="420"/>
        <v>0.19631052923814263</v>
      </c>
      <c r="FL66" s="632">
        <f t="shared" si="421"/>
        <v>0.12350238348000375</v>
      </c>
      <c r="FM66" s="632">
        <f t="shared" si="422"/>
        <v>4.4973239302942503E-2</v>
      </c>
      <c r="FN66" s="632">
        <f t="shared" si="423"/>
        <v>3.2575465692843419E-2</v>
      </c>
      <c r="FO66" s="632">
        <f t="shared" si="424"/>
        <v>0.41397060701715316</v>
      </c>
      <c r="FP66" s="632">
        <f t="shared" si="425"/>
        <v>0.13608478466315654</v>
      </c>
      <c r="FQ66" s="632">
        <f t="shared" si="426"/>
        <v>0.15452476655459457</v>
      </c>
      <c r="FR66" s="632">
        <f t="shared" si="427"/>
        <v>0.1375759318264469</v>
      </c>
      <c r="FS66" s="632">
        <f t="shared" si="428"/>
        <v>0.18498534596721927</v>
      </c>
      <c r="FT66" s="632">
        <f t="shared" si="429"/>
        <v>0.14201533320374193</v>
      </c>
      <c r="FU66" s="632">
        <f t="shared" si="430"/>
        <v>0.14175491908720272</v>
      </c>
      <c r="FV66" s="632">
        <f t="shared" si="431"/>
        <v>0.13644005093322598</v>
      </c>
      <c r="FW66" s="632">
        <f t="shared" si="432"/>
        <v>0.1852745927924786</v>
      </c>
      <c r="FX66" s="632">
        <f t="shared" si="433"/>
        <v>0.33619601462229376</v>
      </c>
      <c r="FY66" s="632">
        <f t="shared" si="434"/>
        <v>0.34573433794768826</v>
      </c>
      <c r="FZ66" s="632">
        <f t="shared" si="435"/>
        <v>0.42831939163498145</v>
      </c>
      <c r="GA66" s="632">
        <f t="shared" si="436"/>
        <v>0.41215272265438951</v>
      </c>
      <c r="GB66" s="632">
        <f t="shared" si="437"/>
        <v>0.36432409821532552</v>
      </c>
      <c r="GC66" s="632">
        <f t="shared" si="438"/>
        <v>0.19104011387675213</v>
      </c>
      <c r="GD66" s="632">
        <f t="shared" si="439"/>
        <v>7.8427457746438334E-2</v>
      </c>
      <c r="GE66" s="632">
        <f t="shared" si="440"/>
        <v>8.9254722744872561E-2</v>
      </c>
      <c r="GF66" s="632">
        <f t="shared" si="441"/>
        <v>0.17373231501189457</v>
      </c>
      <c r="GG66" s="632">
        <f t="shared" si="442"/>
        <v>0.13162540755947338</v>
      </c>
      <c r="GH66" s="632">
        <f t="shared" si="443"/>
        <v>6.7905167233787811E-2</v>
      </c>
      <c r="GI66" s="632">
        <f t="shared" si="444"/>
        <v>2.7100553205336775E-2</v>
      </c>
      <c r="GJ66" s="632">
        <f t="shared" si="445"/>
        <v>-5.9955659187339916E-2</v>
      </c>
      <c r="GK66" s="632">
        <f t="shared" si="446"/>
        <v>-3.860624226916709E-2</v>
      </c>
      <c r="GL66" s="632">
        <f t="shared" si="447"/>
        <v>-4.3779992617201891E-2</v>
      </c>
      <c r="GM66" s="632">
        <f t="shared" si="448"/>
        <v>-9.0032208563093352E-2</v>
      </c>
      <c r="GN66" s="632">
        <f t="shared" si="449"/>
        <v>-0.12734000188140859</v>
      </c>
      <c r="GO66" s="632">
        <f t="shared" si="450"/>
        <v>1.3511719009361878E-2</v>
      </c>
      <c r="GP66" s="632">
        <f t="shared" si="451"/>
        <v>0.27391455098817286</v>
      </c>
      <c r="GQ66" s="632">
        <f t="shared" si="452"/>
        <v>0.2014985395589044</v>
      </c>
      <c r="GR66" s="632">
        <f t="shared" si="453"/>
        <v>0.13526550466153231</v>
      </c>
      <c r="GS66" s="632">
        <f t="shared" si="454"/>
        <v>0.12268810445854705</v>
      </c>
      <c r="GT66" s="632">
        <f t="shared" si="455"/>
        <v>0.18108403949938068</v>
      </c>
      <c r="GU66" s="632">
        <f t="shared" si="456"/>
        <v>6.4554739545710005E-2</v>
      </c>
      <c r="GV66" s="632">
        <f t="shared" si="457"/>
        <v>0.15932296431838977</v>
      </c>
      <c r="GW66" s="632">
        <f t="shared" si="458"/>
        <v>0.17460519006428066</v>
      </c>
      <c r="GX66" s="632">
        <f t="shared" si="459"/>
        <v>8.8770074119826958E-2</v>
      </c>
      <c r="GY66" s="632">
        <f t="shared" si="460"/>
        <v>0.199770208665357</v>
      </c>
      <c r="GZ66" s="632">
        <f t="shared" si="461"/>
        <v>0.19771110312612294</v>
      </c>
      <c r="HA66" s="632">
        <f t="shared" si="462"/>
        <v>3.4970028497494088E-2</v>
      </c>
      <c r="HB66" s="632">
        <f t="shared" si="463"/>
        <v>-7.8549611395046459E-2</v>
      </c>
      <c r="HC66" s="632">
        <f t="shared" si="464"/>
        <v>5.8335975760138048E-2</v>
      </c>
      <c r="HD66" s="632">
        <f t="shared" si="465"/>
        <v>0.11370907273181707</v>
      </c>
      <c r="HE66" s="632">
        <f t="shared" si="466"/>
        <v>9.4907001901679777E-2</v>
      </c>
      <c r="HF66" s="632">
        <f t="shared" si="467"/>
        <v>0.1919725606090783</v>
      </c>
      <c r="HG66" s="632">
        <f t="shared" si="468"/>
        <v>0.43081419293670575</v>
      </c>
      <c r="HH66" s="632">
        <f t="shared" si="469"/>
        <v>0.22611430428536994</v>
      </c>
      <c r="HI66" s="632">
        <f t="shared" si="470"/>
        <v>0.29242162452796516</v>
      </c>
      <c r="HJ66" s="632">
        <f t="shared" si="471"/>
        <v>0.25507845704107268</v>
      </c>
      <c r="HK66" s="632">
        <f t="shared" si="472"/>
        <v>0.29762088641950246</v>
      </c>
      <c r="HL66" s="632">
        <f t="shared" si="473"/>
        <v>0.30587705626281814</v>
      </c>
      <c r="HM66" s="632">
        <f t="shared" si="474"/>
        <v>0.29797693089562927</v>
      </c>
      <c r="HN66" s="632">
        <f t="shared" si="475"/>
        <v>0.25970423669908094</v>
      </c>
      <c r="HO66" s="632">
        <f t="shared" si="476"/>
        <v>9.1130622945362116E-2</v>
      </c>
      <c r="HP66" s="632">
        <f t="shared" si="477"/>
        <v>4.1516720019620479E-2</v>
      </c>
      <c r="HQ66" s="632">
        <f t="shared" si="478"/>
        <v>8.1478329252846704E-2</v>
      </c>
      <c r="HR66" s="632">
        <f t="shared" si="479"/>
        <v>-5.9428673578834745E-2</v>
      </c>
      <c r="HS66" s="632">
        <f t="shared" si="480"/>
        <v>-0.12056654529358757</v>
      </c>
      <c r="HT66" s="632">
        <f t="shared" si="481"/>
        <v>-6.248686099029932E-2</v>
      </c>
      <c r="HU66" s="632">
        <f t="shared" si="482"/>
        <v>-0.13723076474139306</v>
      </c>
      <c r="HV66" s="632">
        <f t="shared" si="483"/>
        <v>-7.2197123058428736E-2</v>
      </c>
      <c r="HW66" s="632">
        <f t="shared" si="484"/>
        <v>-0.20371687916826808</v>
      </c>
      <c r="HX66" s="632">
        <f t="shared" si="485"/>
        <v>-0.20063427482098717</v>
      </c>
      <c r="HY66" s="632">
        <f t="shared" si="486"/>
        <v>-0.12042936443617114</v>
      </c>
      <c r="HZ66" s="632">
        <f t="shared" si="487"/>
        <v>-6.5566264118551265E-2</v>
      </c>
      <c r="IA66" s="632">
        <f t="shared" si="488"/>
        <v>5.5308425015712759E-2</v>
      </c>
      <c r="IB66" s="632">
        <f t="shared" si="489"/>
        <v>4.6369082660941308E-2</v>
      </c>
      <c r="IC66" s="632">
        <f t="shared" si="490"/>
        <v>5.4637342376453013E-2</v>
      </c>
      <c r="ID66" s="632">
        <f t="shared" si="491"/>
        <v>9.6690443248762081E-2</v>
      </c>
      <c r="IE66" s="632">
        <f t="shared" si="492"/>
        <v>-4.2858219254314323E-2</v>
      </c>
      <c r="IF66" s="632">
        <f t="shared" si="493"/>
        <v>4.7082628992150655E-2</v>
      </c>
      <c r="IG66" s="632">
        <f t="shared" si="494"/>
        <v>6.9527545935137436E-3</v>
      </c>
      <c r="IH66" s="632">
        <f t="shared" si="495"/>
        <v>3.786614700688129E-2</v>
      </c>
      <c r="II66" s="632">
        <f t="shared" si="496"/>
        <v>3.94461867789202E-2</v>
      </c>
      <c r="IJ66" s="632">
        <f t="shared" si="497"/>
        <v>5.152221459015327E-2</v>
      </c>
      <c r="IK66" s="632">
        <f t="shared" si="498"/>
        <v>1.6226975284599154E-2</v>
      </c>
      <c r="IL66" s="632">
        <f t="shared" si="499"/>
        <v>-2.4495989594623846E-2</v>
      </c>
      <c r="IM66" s="632">
        <f t="shared" si="500"/>
        <v>-1.2879817282951178E-2</v>
      </c>
      <c r="IN66" s="632">
        <f t="shared" si="500"/>
        <v>4.7583325978878044E-2</v>
      </c>
      <c r="IO66" s="632">
        <f t="shared" si="500"/>
        <v>0.12088231401811167</v>
      </c>
      <c r="IP66" s="632">
        <f t="shared" si="500"/>
        <v>7.7981033909071407E-2</v>
      </c>
      <c r="IQ66" s="450"/>
      <c r="IR66" s="450"/>
      <c r="IS66" s="450"/>
      <c r="IT66" s="450"/>
      <c r="IU66" s="450"/>
      <c r="IV66" s="450"/>
      <c r="IW66" s="450"/>
      <c r="IX66" s="450"/>
      <c r="IY66" s="450"/>
      <c r="IZ66" s="665"/>
      <c r="JA66" s="665"/>
      <c r="JB66" s="665"/>
      <c r="JC66" s="665"/>
      <c r="JD66" s="665"/>
      <c r="JE66" s="665"/>
      <c r="JF66" s="665"/>
      <c r="JG66" s="665"/>
      <c r="JH66" s="665"/>
      <c r="JI66" s="665"/>
      <c r="JJ66" s="665"/>
      <c r="JK66" s="665"/>
      <c r="JL66" s="665"/>
      <c r="JM66" s="665"/>
      <c r="JN66" s="665"/>
      <c r="JO66" s="665"/>
      <c r="JP66" s="665"/>
      <c r="JQ66" s="665"/>
      <c r="JR66" s="665"/>
    </row>
    <row r="67" spans="5:278" s="28" customFormat="1" x14ac:dyDescent="0.2">
      <c r="E67" s="28" t="s">
        <v>373</v>
      </c>
      <c r="DI67" s="632">
        <f t="shared" si="366"/>
        <v>7.1980750524752946E-2</v>
      </c>
      <c r="DJ67" s="632">
        <f t="shared" si="367"/>
        <v>0.10636290479229671</v>
      </c>
      <c r="DK67" s="632">
        <f t="shared" si="368"/>
        <v>2.5138498371426232E-2</v>
      </c>
      <c r="DL67" s="632">
        <f t="shared" si="369"/>
        <v>-0.10564880735852</v>
      </c>
      <c r="DM67" s="632">
        <f t="shared" si="370"/>
        <v>-0.18580041209839482</v>
      </c>
      <c r="DN67" s="632">
        <f t="shared" si="371"/>
        <v>-0.13855237707421353</v>
      </c>
      <c r="DO67" s="632">
        <f t="shared" si="372"/>
        <v>-0.11574281587728474</v>
      </c>
      <c r="DP67" s="632">
        <f t="shared" si="373"/>
        <v>2.963284925342613E-2</v>
      </c>
      <c r="DQ67" s="632">
        <f t="shared" si="374"/>
        <v>9.4249003540217258E-2</v>
      </c>
      <c r="DR67" s="632">
        <f t="shared" si="375"/>
        <v>0.1576714475111487</v>
      </c>
      <c r="DS67" s="632">
        <f t="shared" si="376"/>
        <v>0.22390382911468176</v>
      </c>
      <c r="DT67" s="632">
        <f t="shared" si="377"/>
        <v>0.24910956480717061</v>
      </c>
      <c r="DU67" s="632">
        <f t="shared" si="378"/>
        <v>0.24475858445962073</v>
      </c>
      <c r="DV67" s="632">
        <f t="shared" si="379"/>
        <v>0.20529219964885881</v>
      </c>
      <c r="DW67" s="632">
        <f t="shared" si="380"/>
        <v>0.19351509884857698</v>
      </c>
      <c r="DX67" s="632">
        <f t="shared" si="381"/>
        <v>0.32576990122022087</v>
      </c>
      <c r="DY67" s="632">
        <f t="shared" si="382"/>
        <v>0.56243946636673225</v>
      </c>
      <c r="DZ67" s="632">
        <f t="shared" si="383"/>
        <v>0.46832900023635071</v>
      </c>
      <c r="EA67" s="632">
        <f t="shared" si="384"/>
        <v>0.29876091241903691</v>
      </c>
      <c r="EB67" s="632">
        <f t="shared" si="385"/>
        <v>0.14655707581137789</v>
      </c>
      <c r="EC67" s="632">
        <f t="shared" si="386"/>
        <v>3.7579185520361991E-2</v>
      </c>
      <c r="ED67" s="632">
        <f t="shared" si="387"/>
        <v>-9.3053762545287966E-2</v>
      </c>
      <c r="EE67" s="632">
        <f t="shared" si="388"/>
        <v>-5.3395683734763E-2</v>
      </c>
      <c r="EF67" s="632">
        <f t="shared" si="389"/>
        <v>-3.8447012614245768E-2</v>
      </c>
      <c r="EG67" s="632">
        <f t="shared" si="390"/>
        <v>0.13428483732351126</v>
      </c>
      <c r="EH67" s="632">
        <f t="shared" si="391"/>
        <v>0.35363645822495049</v>
      </c>
      <c r="EI67" s="632">
        <f t="shared" si="392"/>
        <v>0.58332195676905574</v>
      </c>
      <c r="EJ67" s="632">
        <f t="shared" si="393"/>
        <v>0.42201915280608326</v>
      </c>
      <c r="EK67" s="632">
        <f t="shared" si="394"/>
        <v>0.17112919674458604</v>
      </c>
      <c r="EL67" s="632">
        <f t="shared" si="395"/>
        <v>2.0704225352112582E-2</v>
      </c>
      <c r="EM67" s="632">
        <f t="shared" si="396"/>
        <v>5.7806977601422505E-2</v>
      </c>
      <c r="EN67" s="632">
        <f t="shared" si="397"/>
        <v>7.2894602906460326E-2</v>
      </c>
      <c r="EO67" s="632">
        <f t="shared" si="398"/>
        <v>0.19166612154117879</v>
      </c>
      <c r="EP67" s="632">
        <f t="shared" si="399"/>
        <v>0.36379915972174381</v>
      </c>
      <c r="EQ67" s="632">
        <f t="shared" si="400"/>
        <v>0.22782141380735843</v>
      </c>
      <c r="ER67" s="632">
        <f t="shared" si="401"/>
        <v>0.18285545954438343</v>
      </c>
      <c r="ES67" s="632">
        <f t="shared" si="402"/>
        <v>3.3299921826846601E-2</v>
      </c>
      <c r="ET67" s="632">
        <f t="shared" si="403"/>
        <v>-8.5197312794969893E-2</v>
      </c>
      <c r="EU67" s="632">
        <f t="shared" si="404"/>
        <v>-0.18344284086259321</v>
      </c>
      <c r="EV67" s="632">
        <f t="shared" si="405"/>
        <v>-0.141446146305373</v>
      </c>
      <c r="EW67" s="632">
        <f t="shared" si="406"/>
        <v>1.1609433460373353E-2</v>
      </c>
      <c r="EX67" s="632">
        <f t="shared" si="407"/>
        <v>0.24508663683494647</v>
      </c>
      <c r="EY67" s="632">
        <f t="shared" si="408"/>
        <v>0.27408014758634835</v>
      </c>
      <c r="EZ67" s="632">
        <f t="shared" si="409"/>
        <v>0.30937869108054539</v>
      </c>
      <c r="FA67" s="632">
        <f t="shared" si="410"/>
        <v>0.26892463083932583</v>
      </c>
      <c r="FB67" s="632">
        <f t="shared" si="411"/>
        <v>0.33824890998771107</v>
      </c>
      <c r="FC67" s="632">
        <f t="shared" si="412"/>
        <v>0.32098245850308071</v>
      </c>
      <c r="FD67" s="632">
        <f t="shared" si="413"/>
        <v>0.44563430791452907</v>
      </c>
      <c r="FE67" s="632">
        <f t="shared" si="414"/>
        <v>0.50890491692421413</v>
      </c>
      <c r="FF67" s="632">
        <f t="shared" si="415"/>
        <v>0.60925262294071847</v>
      </c>
      <c r="FG67" s="632">
        <f t="shared" si="416"/>
        <v>0.51702262300622293</v>
      </c>
      <c r="FH67" s="632">
        <f t="shared" si="417"/>
        <v>0.43022960928086507</v>
      </c>
      <c r="FI67" s="632">
        <f t="shared" si="418"/>
        <v>0.40810672278300641</v>
      </c>
      <c r="FJ67" s="632">
        <f t="shared" si="419"/>
        <v>0.35999493366264534</v>
      </c>
      <c r="FK67" s="632">
        <f t="shared" si="420"/>
        <v>0.3454477443850954</v>
      </c>
      <c r="FL67" s="632">
        <f t="shared" si="421"/>
        <v>0.29989799326806965</v>
      </c>
      <c r="FM67" s="632">
        <f t="shared" si="422"/>
        <v>0.43414484805728959</v>
      </c>
      <c r="FN67" s="632">
        <f t="shared" si="423"/>
        <v>0.3079438926777156</v>
      </c>
      <c r="FO67" s="632">
        <f t="shared" si="424"/>
        <v>0.26176579286087498</v>
      </c>
      <c r="FP67" s="632">
        <f t="shared" si="425"/>
        <v>0.22395095028088408</v>
      </c>
      <c r="FQ67" s="632">
        <f t="shared" si="426"/>
        <v>0.22999907798610475</v>
      </c>
      <c r="FR67" s="632">
        <f t="shared" si="427"/>
        <v>0.15050951357061781</v>
      </c>
      <c r="FS67" s="632">
        <f t="shared" si="428"/>
        <v>9.4854325043687293E-2</v>
      </c>
      <c r="FT67" s="632">
        <f t="shared" si="429"/>
        <v>0.13676186480334596</v>
      </c>
      <c r="FU67" s="632">
        <f t="shared" si="430"/>
        <v>5.9306261963012696E-2</v>
      </c>
      <c r="FV67" s="632">
        <f t="shared" si="431"/>
        <v>2.1075914466025303E-2</v>
      </c>
      <c r="FW67" s="632">
        <f t="shared" si="432"/>
        <v>5.7895923178518327E-2</v>
      </c>
      <c r="FX67" s="632">
        <f t="shared" si="433"/>
        <v>4.9117298762046069E-2</v>
      </c>
      <c r="FY67" s="632">
        <f t="shared" si="434"/>
        <v>-7.0176175405053387E-2</v>
      </c>
      <c r="FZ67" s="632">
        <f t="shared" si="435"/>
        <v>-8.1213767633454892E-2</v>
      </c>
      <c r="GA67" s="632">
        <f t="shared" si="436"/>
        <v>4.3112024603699561E-2</v>
      </c>
      <c r="GB67" s="632">
        <f t="shared" si="437"/>
        <v>1.3337747971522429E-3</v>
      </c>
      <c r="GC67" s="632">
        <f t="shared" si="438"/>
        <v>-5.7093471378303784E-2</v>
      </c>
      <c r="GD67" s="632">
        <f t="shared" si="439"/>
        <v>-6.5031689885169608E-2</v>
      </c>
      <c r="GE67" s="632">
        <f t="shared" si="440"/>
        <v>7.6466910842760694E-3</v>
      </c>
      <c r="GF67" s="632">
        <f t="shared" si="441"/>
        <v>2.7876815804764643E-2</v>
      </c>
      <c r="GG67" s="632">
        <f t="shared" si="442"/>
        <v>8.0581859329402761E-2</v>
      </c>
      <c r="GH67" s="632">
        <f t="shared" si="443"/>
        <v>8.8753181822000426E-2</v>
      </c>
      <c r="GI67" s="632">
        <f t="shared" si="444"/>
        <v>6.4402530367861699E-2</v>
      </c>
      <c r="GJ67" s="632">
        <f t="shared" si="445"/>
        <v>8.7731257351540526E-2</v>
      </c>
      <c r="GK67" s="632">
        <f t="shared" si="446"/>
        <v>8.8869832831760087E-2</v>
      </c>
      <c r="GL67" s="632">
        <f t="shared" si="447"/>
        <v>9.3958045471674412E-2</v>
      </c>
      <c r="GM67" s="632">
        <f t="shared" si="448"/>
        <v>4.7454443347082709E-2</v>
      </c>
      <c r="GN67" s="632">
        <f t="shared" si="449"/>
        <v>7.1640084712408791E-2</v>
      </c>
      <c r="GO67" s="632">
        <f t="shared" si="450"/>
        <v>7.628204528661886E-2</v>
      </c>
      <c r="GP67" s="632">
        <f t="shared" si="451"/>
        <v>0.23944277254635482</v>
      </c>
      <c r="GQ67" s="632">
        <f t="shared" si="452"/>
        <v>0.21424215020294857</v>
      </c>
      <c r="GR67" s="632">
        <f t="shared" si="453"/>
        <v>0.24205189895170998</v>
      </c>
      <c r="GS67" s="632">
        <f t="shared" si="454"/>
        <v>0.25153306455835378</v>
      </c>
      <c r="GT67" s="632">
        <f t="shared" si="455"/>
        <v>0.24548267889473396</v>
      </c>
      <c r="GU67" s="632">
        <f t="shared" si="456"/>
        <v>0.19383170325060806</v>
      </c>
      <c r="GV67" s="632">
        <f t="shared" si="457"/>
        <v>0.20789025150696316</v>
      </c>
      <c r="GW67" s="632">
        <f t="shared" si="458"/>
        <v>0.19090710469342764</v>
      </c>
      <c r="GX67" s="632">
        <f t="shared" si="459"/>
        <v>0.19446262487082322</v>
      </c>
      <c r="GY67" s="632">
        <f t="shared" si="460"/>
        <v>0.20604738442766157</v>
      </c>
      <c r="GZ67" s="632">
        <f t="shared" si="461"/>
        <v>0.14634353220997043</v>
      </c>
      <c r="HA67" s="632">
        <f t="shared" si="462"/>
        <v>0.15265261785791884</v>
      </c>
      <c r="HB67" s="632">
        <f t="shared" si="463"/>
        <v>-5.4301938515762815E-3</v>
      </c>
      <c r="HC67" s="632">
        <f t="shared" si="464"/>
        <v>5.2403179991686422E-2</v>
      </c>
      <c r="HD67" s="632">
        <f t="shared" si="465"/>
        <v>4.2607229332410901E-2</v>
      </c>
      <c r="HE67" s="632">
        <f t="shared" si="466"/>
        <v>8.8018129919094079E-3</v>
      </c>
      <c r="HF67" s="632">
        <f t="shared" si="467"/>
        <v>8.9438935131714636E-2</v>
      </c>
      <c r="HG67" s="632">
        <f t="shared" si="468"/>
        <v>0.10523881300005189</v>
      </c>
      <c r="HH67" s="632">
        <f t="shared" si="469"/>
        <v>8.6898222331550201E-2</v>
      </c>
      <c r="HI67" s="632">
        <f t="shared" si="470"/>
        <v>3.6769996496945012E-2</v>
      </c>
      <c r="HJ67" s="632">
        <f t="shared" si="471"/>
        <v>3.8681760264232867E-2</v>
      </c>
      <c r="HK67" s="632">
        <f t="shared" si="472"/>
        <v>3.3494972411496793E-2</v>
      </c>
      <c r="HL67" s="632">
        <f t="shared" si="473"/>
        <v>3.5567306394171716E-2</v>
      </c>
      <c r="HM67" s="632">
        <f t="shared" si="474"/>
        <v>8.7329380322146433E-2</v>
      </c>
      <c r="HN67" s="632">
        <f t="shared" si="475"/>
        <v>7.2039680147860441E-2</v>
      </c>
      <c r="HO67" s="632">
        <f t="shared" si="476"/>
        <v>3.5709260214724647E-2</v>
      </c>
      <c r="HP67" s="632">
        <f t="shared" si="477"/>
        <v>3.656096895421701E-2</v>
      </c>
      <c r="HQ67" s="632">
        <f t="shared" si="478"/>
        <v>2.5900376913215339E-2</v>
      </c>
      <c r="HR67" s="632">
        <f t="shared" si="479"/>
        <v>-1.414881985979799E-2</v>
      </c>
      <c r="HS67" s="632">
        <f t="shared" si="480"/>
        <v>6.4551074060497093E-3</v>
      </c>
      <c r="HT67" s="632">
        <f t="shared" si="481"/>
        <v>-2.3823567277313162E-2</v>
      </c>
      <c r="HU67" s="632">
        <f t="shared" si="482"/>
        <v>-2.3322089342582508E-2</v>
      </c>
      <c r="HV67" s="632">
        <f t="shared" si="483"/>
        <v>1.4387838274477538E-2</v>
      </c>
      <c r="HW67" s="632">
        <f t="shared" si="484"/>
        <v>1.3641777872632765E-3</v>
      </c>
      <c r="HX67" s="632">
        <f t="shared" si="485"/>
        <v>6.2148710083136383E-3</v>
      </c>
      <c r="HY67" s="632">
        <f t="shared" si="486"/>
        <v>-4.8261397122551619E-2</v>
      </c>
      <c r="HZ67" s="632">
        <f t="shared" si="487"/>
        <v>3.7818635439417436E-2</v>
      </c>
      <c r="IA67" s="632">
        <f t="shared" si="488"/>
        <v>0.12405909301094997</v>
      </c>
      <c r="IB67" s="632">
        <f t="shared" si="489"/>
        <v>0.1105887850504681</v>
      </c>
      <c r="IC67" s="632">
        <f t="shared" si="490"/>
        <v>0.15751592934169234</v>
      </c>
      <c r="ID67" s="632">
        <f t="shared" si="491"/>
        <v>0.11400755549493247</v>
      </c>
      <c r="IE67" s="632">
        <f t="shared" si="492"/>
        <v>6.1016772955358567E-2</v>
      </c>
      <c r="IF67" s="632">
        <f t="shared" si="493"/>
        <v>6.9659865644695396E-2</v>
      </c>
      <c r="IG67" s="632">
        <f t="shared" si="494"/>
        <v>0.11202944979287954</v>
      </c>
      <c r="IH67" s="632">
        <f t="shared" si="495"/>
        <v>7.4749990686188372E-2</v>
      </c>
      <c r="II67" s="632">
        <f t="shared" si="496"/>
        <v>9.3860305281322276E-2</v>
      </c>
      <c r="IJ67" s="632">
        <f t="shared" si="497"/>
        <v>9.2691054464422162E-2</v>
      </c>
      <c r="IK67" s="632">
        <f t="shared" si="498"/>
        <v>0.11616623380407898</v>
      </c>
      <c r="IL67" s="632">
        <f t="shared" si="499"/>
        <v>6.478979513036931E-2</v>
      </c>
      <c r="IM67" s="632">
        <f t="shared" si="500"/>
        <v>5.5217455840878671E-2</v>
      </c>
      <c r="IN67" s="632">
        <f t="shared" si="500"/>
        <v>9.3208738003976999E-2</v>
      </c>
      <c r="IO67" s="632">
        <f t="shared" si="500"/>
        <v>9.5104220039016418E-2</v>
      </c>
      <c r="IP67" s="632">
        <f t="shared" si="500"/>
        <v>0.15050413420069675</v>
      </c>
      <c r="IQ67" s="582"/>
      <c r="IR67" s="582"/>
      <c r="IS67" s="646"/>
      <c r="IT67" s="582"/>
      <c r="IU67" s="582"/>
      <c r="IV67" s="658"/>
      <c r="IW67" s="659"/>
      <c r="IX67" s="659"/>
      <c r="IY67" s="659"/>
      <c r="IZ67" s="665"/>
      <c r="JA67" s="665"/>
      <c r="JB67" s="665"/>
      <c r="JC67" s="665"/>
      <c r="JD67" s="665"/>
      <c r="JE67" s="665"/>
      <c r="JF67" s="665"/>
      <c r="JG67" s="665"/>
      <c r="JH67" s="665"/>
      <c r="JI67" s="665"/>
      <c r="JJ67" s="665"/>
      <c r="JK67" s="665"/>
      <c r="JL67" s="665"/>
      <c r="JM67" s="665"/>
      <c r="JN67" s="665"/>
      <c r="JO67" s="665"/>
      <c r="JP67" s="665"/>
      <c r="JQ67" s="665"/>
      <c r="JR67" s="665"/>
    </row>
    <row r="68" spans="5:278" s="28" customFormat="1" x14ac:dyDescent="0.2">
      <c r="E68" s="28" t="s">
        <v>374</v>
      </c>
      <c r="DI68" s="632">
        <f t="shared" si="366"/>
        <v>0.84544131269022094</v>
      </c>
      <c r="DJ68" s="632">
        <f t="shared" si="367"/>
        <v>1.1680543382997373</v>
      </c>
      <c r="DK68" s="632">
        <f t="shared" si="368"/>
        <v>0.86969451203027837</v>
      </c>
      <c r="DL68" s="632">
        <f t="shared" si="369"/>
        <v>0.67491456777623093</v>
      </c>
      <c r="DM68" s="632">
        <f t="shared" si="370"/>
        <v>0.73465614986443195</v>
      </c>
      <c r="DN68" s="632">
        <f t="shared" si="371"/>
        <v>0.31958160462806062</v>
      </c>
      <c r="DO68" s="632">
        <f t="shared" si="372"/>
        <v>0.17487437185929644</v>
      </c>
      <c r="DP68" s="632">
        <f t="shared" si="373"/>
        <v>0.14386414610701692</v>
      </c>
      <c r="DQ68" s="632">
        <f t="shared" si="374"/>
        <v>5.5180870631514445E-2</v>
      </c>
      <c r="DR68" s="632">
        <f t="shared" si="375"/>
        <v>3.0508635414689733E-2</v>
      </c>
      <c r="DS68" s="632">
        <f t="shared" si="376"/>
        <v>-9.4026548672566324E-2</v>
      </c>
      <c r="DT68" s="632">
        <f t="shared" si="377"/>
        <v>-0.2078765259311095</v>
      </c>
      <c r="DU68" s="632">
        <f t="shared" si="378"/>
        <v>-0.21852143983938044</v>
      </c>
      <c r="DV68" s="632">
        <f t="shared" si="379"/>
        <v>-0.33175004210880921</v>
      </c>
      <c r="DW68" s="632">
        <f t="shared" si="380"/>
        <v>-0.26312174667437827</v>
      </c>
      <c r="DX68" s="632">
        <f t="shared" si="381"/>
        <v>-0.24751577436052441</v>
      </c>
      <c r="DY68" s="632">
        <f t="shared" si="382"/>
        <v>-0.25364120781527533</v>
      </c>
      <c r="DZ68" s="632">
        <f t="shared" si="383"/>
        <v>-9.3348684793198133E-2</v>
      </c>
      <c r="EA68" s="632">
        <f t="shared" si="384"/>
        <v>-2.5805531793555714E-2</v>
      </c>
      <c r="EB68" s="632">
        <f t="shared" si="385"/>
        <v>-3.9589169000933677E-2</v>
      </c>
      <c r="EC68" s="632">
        <f t="shared" si="386"/>
        <v>-5.2295177222545508E-3</v>
      </c>
      <c r="ED68" s="632">
        <f t="shared" si="387"/>
        <v>-0.27248031677333207</v>
      </c>
      <c r="EE68" s="632">
        <f t="shared" si="388"/>
        <v>5.1868131868131773E-2</v>
      </c>
      <c r="EF68" s="632">
        <f t="shared" si="389"/>
        <v>0.15190184049079747</v>
      </c>
      <c r="EG68" s="632">
        <f t="shared" si="390"/>
        <v>0.32596228838831043</v>
      </c>
      <c r="EH68" s="632">
        <f t="shared" si="391"/>
        <v>0.63255532590613495</v>
      </c>
      <c r="EI68" s="632">
        <f t="shared" si="392"/>
        <v>0.8063281824871229</v>
      </c>
      <c r="EJ68" s="632">
        <f t="shared" si="393"/>
        <v>1.0224944768025708</v>
      </c>
      <c r="EK68" s="632">
        <f t="shared" si="394"/>
        <v>0.92541646834840563</v>
      </c>
      <c r="EL68" s="632">
        <f t="shared" si="395"/>
        <v>0.90182670704307899</v>
      </c>
      <c r="EM68" s="632">
        <f t="shared" si="396"/>
        <v>0.65705644177764766</v>
      </c>
      <c r="EN68" s="632">
        <f t="shared" si="397"/>
        <v>0.34135961501069412</v>
      </c>
      <c r="EO68" s="632">
        <f t="shared" si="398"/>
        <v>0.15079828660436134</v>
      </c>
      <c r="EP68" s="632">
        <f t="shared" si="399"/>
        <v>0.68210872729574068</v>
      </c>
      <c r="EQ68" s="632">
        <f t="shared" si="400"/>
        <v>0.19445605237498254</v>
      </c>
      <c r="ER68" s="632">
        <f t="shared" si="401"/>
        <v>8.5982104814656957E-2</v>
      </c>
      <c r="ES68" s="632">
        <f t="shared" si="402"/>
        <v>-6.9975765014170688E-2</v>
      </c>
      <c r="ET68" s="632">
        <f t="shared" si="403"/>
        <v>-0.18758684576192686</v>
      </c>
      <c r="EU68" s="632">
        <f t="shared" si="404"/>
        <v>-0.27662794611965624</v>
      </c>
      <c r="EV68" s="632">
        <f t="shared" si="405"/>
        <v>-0.34577264494236326</v>
      </c>
      <c r="EW68" s="632">
        <f t="shared" si="406"/>
        <v>-0.38444614738091121</v>
      </c>
      <c r="EX68" s="632">
        <f t="shared" si="407"/>
        <v>-0.34924752170116591</v>
      </c>
      <c r="EY68" s="632">
        <f t="shared" si="408"/>
        <v>-0.28061705134243997</v>
      </c>
      <c r="EZ68" s="632">
        <f t="shared" si="409"/>
        <v>-6.7529883726618944E-2</v>
      </c>
      <c r="FA68" s="632">
        <f t="shared" si="410"/>
        <v>0.1743930293545386</v>
      </c>
      <c r="FB68" s="632">
        <f t="shared" si="411"/>
        <v>0.10538394973475307</v>
      </c>
      <c r="FC68" s="632">
        <f t="shared" si="412"/>
        <v>0.50884353741496602</v>
      </c>
      <c r="FD68" s="632">
        <f t="shared" si="413"/>
        <v>0.29947426239799113</v>
      </c>
      <c r="FE68" s="632">
        <f t="shared" si="414"/>
        <v>0.23417993982109842</v>
      </c>
      <c r="FF68" s="632">
        <f t="shared" si="415"/>
        <v>0.46545307916459588</v>
      </c>
      <c r="FG68" s="632">
        <f t="shared" si="416"/>
        <v>0.35656745145223745</v>
      </c>
      <c r="FH68" s="632">
        <f t="shared" si="417"/>
        <v>0.33953388834156284</v>
      </c>
      <c r="FI68" s="632">
        <f t="shared" si="418"/>
        <v>0.54768884783743621</v>
      </c>
      <c r="FJ68" s="632">
        <f t="shared" si="419"/>
        <v>0.59742228711998635</v>
      </c>
      <c r="FK68" s="632">
        <f t="shared" si="420"/>
        <v>0.51804305123588157</v>
      </c>
      <c r="FL68" s="632">
        <f t="shared" si="421"/>
        <v>0.48169393597865096</v>
      </c>
      <c r="FM68" s="632">
        <f t="shared" si="422"/>
        <v>0.54242751665766242</v>
      </c>
      <c r="FN68" s="632">
        <f t="shared" si="423"/>
        <v>0.49446902654867264</v>
      </c>
      <c r="FO68" s="632">
        <f t="shared" si="424"/>
        <v>-2.8968918496163121E-2</v>
      </c>
      <c r="FP68" s="632">
        <f t="shared" si="425"/>
        <v>0.26201402936706808</v>
      </c>
      <c r="FQ68" s="632">
        <f t="shared" si="426"/>
        <v>0.2514806991756604</v>
      </c>
      <c r="FR68" s="632">
        <f t="shared" si="427"/>
        <v>0.11046845361907986</v>
      </c>
      <c r="FS68" s="632">
        <f t="shared" si="428"/>
        <v>0.18514087345516073</v>
      </c>
      <c r="FT68" s="632">
        <f t="shared" si="429"/>
        <v>0.27022430959452759</v>
      </c>
      <c r="FU68" s="632">
        <f t="shared" si="430"/>
        <v>0.15546848646825295</v>
      </c>
      <c r="FV68" s="632">
        <f t="shared" si="431"/>
        <v>7.1250380172095173E-2</v>
      </c>
      <c r="FW68" s="632">
        <f t="shared" si="432"/>
        <v>8.4810124219854455E-2</v>
      </c>
      <c r="FX68" s="632">
        <f t="shared" si="433"/>
        <v>0.11876444791058294</v>
      </c>
      <c r="FY68" s="632">
        <f t="shared" si="434"/>
        <v>-2.1984565270691481E-2</v>
      </c>
      <c r="FZ68" s="632">
        <f t="shared" si="435"/>
        <v>2.6788459504965667E-2</v>
      </c>
      <c r="GA68" s="632">
        <f t="shared" si="436"/>
        <v>0.27275139257673731</v>
      </c>
      <c r="GB68" s="632">
        <f t="shared" si="437"/>
        <v>0.19310751809246596</v>
      </c>
      <c r="GC68" s="632">
        <f t="shared" si="438"/>
        <v>-5.9067767531511217E-2</v>
      </c>
      <c r="GD68" s="632">
        <f t="shared" si="439"/>
        <v>-0.10449375758075663</v>
      </c>
      <c r="GE68" s="632">
        <f t="shared" si="440"/>
        <v>-0.18058690744921002</v>
      </c>
      <c r="GF68" s="632">
        <f t="shared" si="441"/>
        <v>-0.24918585964198214</v>
      </c>
      <c r="GG68" s="632">
        <f t="shared" si="442"/>
        <v>-0.25081794730388829</v>
      </c>
      <c r="GH68" s="632">
        <f t="shared" si="443"/>
        <v>-0.22794232211357879</v>
      </c>
      <c r="GI68" s="632">
        <f t="shared" si="444"/>
        <v>-0.21321256545092582</v>
      </c>
      <c r="GJ68" s="632">
        <f t="shared" si="445"/>
        <v>-0.22358536712521437</v>
      </c>
      <c r="GK68" s="632">
        <f t="shared" si="446"/>
        <v>-0.18168852318936013</v>
      </c>
      <c r="GL68" s="632">
        <f t="shared" si="447"/>
        <v>-0.18219506101764904</v>
      </c>
      <c r="GM68" s="632">
        <f t="shared" si="448"/>
        <v>-0.16499845100909827</v>
      </c>
      <c r="GN68" s="632">
        <f t="shared" si="449"/>
        <v>-0.17505103440240599</v>
      </c>
      <c r="GO68" s="632">
        <f t="shared" si="450"/>
        <v>0.29493268231955994</v>
      </c>
      <c r="GP68" s="632">
        <f t="shared" si="451"/>
        <v>0.38044107916967507</v>
      </c>
      <c r="GQ68" s="632">
        <f t="shared" si="452"/>
        <v>1.1641208321459104</v>
      </c>
      <c r="GR68" s="632">
        <f t="shared" si="453"/>
        <v>0.8941661299097623</v>
      </c>
      <c r="GS68" s="632">
        <f t="shared" si="454"/>
        <v>0.83765183342299454</v>
      </c>
      <c r="GT68" s="632">
        <f t="shared" si="455"/>
        <v>0.82193166229307013</v>
      </c>
      <c r="GU68" s="632">
        <f t="shared" si="456"/>
        <v>0.86767786109057643</v>
      </c>
      <c r="GV68" s="632">
        <f t="shared" si="457"/>
        <v>0.6181908337015154</v>
      </c>
      <c r="GW68" s="632">
        <f t="shared" si="458"/>
        <v>0.57083071640594674</v>
      </c>
      <c r="GX68" s="632">
        <f t="shared" si="459"/>
        <v>0.48151526571537895</v>
      </c>
      <c r="GY68" s="632">
        <f t="shared" si="460"/>
        <v>0.36265483400060705</v>
      </c>
      <c r="GZ68" s="632">
        <f t="shared" si="461"/>
        <v>0.43445165400586938</v>
      </c>
      <c r="HA68" s="632">
        <f t="shared" si="462"/>
        <v>9.0436089036492362E-2</v>
      </c>
      <c r="HB68" s="632">
        <f t="shared" si="463"/>
        <v>5.7272143288996435E-2</v>
      </c>
      <c r="HC68" s="632">
        <f t="shared" si="464"/>
        <v>-0.27048420442723764</v>
      </c>
      <c r="HD68" s="632">
        <f t="shared" si="465"/>
        <v>-2.1656630284782041E-3</v>
      </c>
      <c r="HE68" s="632">
        <f t="shared" si="466"/>
        <v>0.15242060147582159</v>
      </c>
      <c r="HF68" s="632">
        <f t="shared" si="467"/>
        <v>6.8986516080224325E-2</v>
      </c>
      <c r="HG68" s="632">
        <f t="shared" si="468"/>
        <v>-2.6671176301866772E-3</v>
      </c>
      <c r="HH68" s="632">
        <f t="shared" si="469"/>
        <v>7.0711475979701621E-2</v>
      </c>
      <c r="HI68" s="632">
        <f t="shared" si="470"/>
        <v>0.14794865662732559</v>
      </c>
      <c r="HJ68" s="632">
        <f t="shared" si="471"/>
        <v>0.22099436134961459</v>
      </c>
      <c r="HK68" s="632">
        <f t="shared" si="472"/>
        <v>0.19250590199804241</v>
      </c>
      <c r="HL68" s="632">
        <f t="shared" si="473"/>
        <v>0.28371499906897046</v>
      </c>
      <c r="HM68" s="632">
        <f t="shared" si="474"/>
        <v>0.3437596471200044</v>
      </c>
      <c r="HN68" s="632">
        <f t="shared" si="475"/>
        <v>0.49612664918967875</v>
      </c>
      <c r="HO68" s="632">
        <f t="shared" si="476"/>
        <v>0.58058823281653438</v>
      </c>
      <c r="HP68" s="632">
        <f t="shared" si="477"/>
        <v>0.29095657073168435</v>
      </c>
      <c r="HQ68" s="632">
        <f t="shared" si="478"/>
        <v>0.31755006631158933</v>
      </c>
      <c r="HR68" s="632">
        <f t="shared" si="479"/>
        <v>0.31047751483020902</v>
      </c>
      <c r="HS68" s="632">
        <f t="shared" si="480"/>
        <v>0.7651902356920266</v>
      </c>
      <c r="HT68" s="632">
        <f t="shared" si="481"/>
        <v>0.49975747102027657</v>
      </c>
      <c r="HU68" s="632">
        <f t="shared" si="482"/>
        <v>0.19352550613904285</v>
      </c>
      <c r="HV68" s="632">
        <f t="shared" si="483"/>
        <v>0.12257143124888703</v>
      </c>
      <c r="HW68" s="632">
        <f t="shared" si="484"/>
        <v>0.17946164119435792</v>
      </c>
      <c r="HX68" s="632">
        <f t="shared" si="485"/>
        <v>-1.7187024482178348E-2</v>
      </c>
      <c r="HY68" s="632">
        <f t="shared" si="486"/>
        <v>1.7560613653008428E-2</v>
      </c>
      <c r="HZ68" s="632">
        <f t="shared" si="487"/>
        <v>-4.706208361068609E-2</v>
      </c>
      <c r="IA68" s="632">
        <f t="shared" si="488"/>
        <v>-0.19755633688076646</v>
      </c>
      <c r="IB68" s="632">
        <f t="shared" si="489"/>
        <v>-0.16871022106909028</v>
      </c>
      <c r="IC68" s="632">
        <f t="shared" si="490"/>
        <v>-0.20184093758546584</v>
      </c>
      <c r="ID68" s="632">
        <f t="shared" si="491"/>
        <v>-0.1753555638120009</v>
      </c>
      <c r="IE68" s="632">
        <f t="shared" si="492"/>
        <v>-0.37159694543856769</v>
      </c>
      <c r="IF68" s="632">
        <f t="shared" si="493"/>
        <v>-0.33838552244135067</v>
      </c>
      <c r="IG68" s="632">
        <f t="shared" si="494"/>
        <v>-0.23026367518470825</v>
      </c>
      <c r="IH68" s="632">
        <f t="shared" si="495"/>
        <v>-0.16023010797497494</v>
      </c>
      <c r="II68" s="632">
        <f t="shared" si="496"/>
        <v>-0.23410976105373948</v>
      </c>
      <c r="IJ68" s="632">
        <f t="shared" si="497"/>
        <v>-0.11371011066938852</v>
      </c>
      <c r="IK68" s="632">
        <f t="shared" si="498"/>
        <v>-0.15298079536490128</v>
      </c>
      <c r="IL68" s="632">
        <f t="shared" si="499"/>
        <v>-0.22003767616926995</v>
      </c>
      <c r="IM68" s="632">
        <f t="shared" si="500"/>
        <v>-6.896846180120686E-2</v>
      </c>
      <c r="IN68" s="632">
        <f t="shared" si="500"/>
        <v>-3.6699128651973334E-2</v>
      </c>
      <c r="IO68" s="632">
        <f t="shared" si="500"/>
        <v>-6.831594239050176E-2</v>
      </c>
      <c r="IP68" s="632">
        <f t="shared" si="500"/>
        <v>-1.5325943932737118E-2</v>
      </c>
      <c r="IQ68" s="582"/>
      <c r="IR68" s="582"/>
      <c r="IS68" s="646"/>
      <c r="IT68" s="582"/>
      <c r="IU68" s="582"/>
      <c r="IV68" s="658"/>
      <c r="IW68" s="659"/>
      <c r="IX68" s="659"/>
      <c r="IY68" s="659"/>
    </row>
    <row r="69" spans="5:278" s="28" customFormat="1" x14ac:dyDescent="0.2">
      <c r="DI69" s="632"/>
      <c r="DJ69" s="632"/>
      <c r="DK69" s="632"/>
      <c r="DL69" s="632"/>
      <c r="DM69" s="632"/>
      <c r="DN69" s="632"/>
      <c r="DO69" s="632"/>
      <c r="DP69" s="632"/>
      <c r="DQ69" s="632"/>
      <c r="DR69" s="632"/>
      <c r="DS69" s="632"/>
      <c r="DT69" s="632"/>
      <c r="DU69" s="632"/>
      <c r="DV69" s="632"/>
      <c r="DW69" s="632"/>
      <c r="DX69" s="632"/>
      <c r="DY69" s="632"/>
      <c r="DZ69" s="632"/>
      <c r="EA69" s="632"/>
      <c r="EB69" s="632"/>
      <c r="EC69" s="632"/>
      <c r="ED69" s="632"/>
      <c r="EE69" s="632"/>
      <c r="EF69" s="632"/>
      <c r="EG69" s="632"/>
      <c r="EH69" s="632"/>
      <c r="EI69" s="632"/>
      <c r="EJ69" s="632"/>
      <c r="EK69" s="632"/>
      <c r="EL69" s="632"/>
      <c r="EM69" s="632"/>
      <c r="EN69" s="632"/>
      <c r="EO69" s="632"/>
      <c r="EP69" s="632"/>
      <c r="EQ69" s="632"/>
      <c r="ER69" s="632"/>
      <c r="ES69" s="632"/>
      <c r="ET69" s="632"/>
      <c r="EU69" s="632"/>
      <c r="EV69" s="632"/>
      <c r="EW69" s="632"/>
      <c r="EX69" s="632"/>
      <c r="EY69" s="632"/>
      <c r="EZ69" s="632"/>
      <c r="FA69" s="632"/>
      <c r="FB69" s="632"/>
      <c r="FC69" s="632"/>
      <c r="FD69" s="632"/>
      <c r="FE69" s="632"/>
      <c r="FF69" s="632"/>
      <c r="FG69" s="632"/>
      <c r="FH69" s="632"/>
      <c r="FI69" s="632"/>
      <c r="FJ69" s="632"/>
      <c r="FK69" s="632"/>
      <c r="FL69" s="632"/>
      <c r="FM69" s="632"/>
      <c r="FN69" s="632"/>
      <c r="FO69" s="632"/>
      <c r="FP69" s="632"/>
      <c r="FQ69" s="632"/>
      <c r="FR69" s="632"/>
      <c r="FS69" s="632"/>
      <c r="FT69" s="632"/>
      <c r="FU69" s="632"/>
      <c r="FV69" s="632"/>
      <c r="FW69" s="632"/>
      <c r="FX69" s="632"/>
      <c r="FY69" s="632"/>
      <c r="FZ69" s="632"/>
      <c r="GA69" s="632"/>
      <c r="GB69" s="632"/>
      <c r="GC69" s="632"/>
      <c r="GD69" s="632"/>
      <c r="GE69" s="632"/>
      <c r="GF69" s="632"/>
      <c r="GG69" s="632"/>
      <c r="GH69" s="632"/>
      <c r="GI69" s="632"/>
      <c r="GJ69" s="632"/>
      <c r="GK69" s="632"/>
      <c r="GL69" s="632"/>
      <c r="GM69" s="632"/>
      <c r="GN69" s="632"/>
      <c r="GO69" s="632"/>
      <c r="GP69" s="632"/>
      <c r="GQ69" s="632"/>
      <c r="GR69" s="632"/>
      <c r="GS69" s="632"/>
      <c r="GT69" s="632"/>
      <c r="GU69" s="632"/>
      <c r="GV69" s="632"/>
      <c r="GW69" s="632"/>
      <c r="GX69" s="632"/>
      <c r="GY69" s="632"/>
      <c r="GZ69" s="632"/>
      <c r="HA69" s="632"/>
      <c r="HB69" s="632"/>
      <c r="HC69" s="632"/>
      <c r="HD69" s="632"/>
      <c r="HE69" s="632"/>
      <c r="HF69" s="632"/>
      <c r="HG69" s="632"/>
      <c r="HH69" s="632"/>
      <c r="HI69" s="632"/>
      <c r="HJ69" s="632"/>
      <c r="HK69" s="632"/>
      <c r="HL69" s="632"/>
      <c r="HM69" s="632"/>
      <c r="HN69" s="632"/>
      <c r="HO69" s="632"/>
      <c r="HP69" s="632"/>
      <c r="HQ69" s="632"/>
      <c r="HR69" s="632"/>
      <c r="HS69" s="632"/>
      <c r="HT69" s="632"/>
      <c r="HU69" s="632"/>
      <c r="HV69" s="632"/>
      <c r="HW69" s="632"/>
      <c r="HX69" s="632"/>
      <c r="HY69" s="632"/>
      <c r="HZ69" s="632"/>
      <c r="IA69" s="632"/>
      <c r="IB69" s="632"/>
      <c r="IC69" s="632"/>
      <c r="ID69" s="632"/>
      <c r="IE69" s="632"/>
      <c r="IF69" s="632"/>
      <c r="IO69" s="582"/>
      <c r="IP69" s="582"/>
      <c r="IQ69" s="582"/>
      <c r="IR69" s="582"/>
      <c r="IS69" s="646"/>
      <c r="IT69" s="582"/>
      <c r="IU69" s="582"/>
      <c r="IV69" s="658"/>
      <c r="IW69" s="659"/>
      <c r="IX69" s="659"/>
      <c r="IY69" s="659"/>
    </row>
    <row r="70" spans="5:278" s="28" customFormat="1" x14ac:dyDescent="0.2">
      <c r="E70" s="620" t="s">
        <v>379</v>
      </c>
      <c r="DI70" s="632" t="e">
        <f t="shared" si="366"/>
        <v>#DIV/0!</v>
      </c>
      <c r="DJ70" s="632" t="e">
        <f t="shared" si="367"/>
        <v>#DIV/0!</v>
      </c>
      <c r="DK70" s="632" t="e">
        <f t="shared" si="368"/>
        <v>#DIV/0!</v>
      </c>
      <c r="DL70" s="632" t="e">
        <f t="shared" si="369"/>
        <v>#DIV/0!</v>
      </c>
      <c r="DM70" s="632" t="e">
        <f t="shared" si="370"/>
        <v>#DIV/0!</v>
      </c>
      <c r="DN70" s="632" t="e">
        <f t="shared" si="371"/>
        <v>#DIV/0!</v>
      </c>
      <c r="DO70" s="632" t="e">
        <f t="shared" si="372"/>
        <v>#DIV/0!</v>
      </c>
      <c r="DP70" s="632" t="e">
        <f t="shared" si="373"/>
        <v>#DIV/0!</v>
      </c>
      <c r="DQ70" s="632" t="e">
        <f t="shared" si="374"/>
        <v>#DIV/0!</v>
      </c>
      <c r="DR70" s="632" t="e">
        <f t="shared" si="375"/>
        <v>#DIV/0!</v>
      </c>
      <c r="DS70" s="632" t="e">
        <f t="shared" si="376"/>
        <v>#DIV/0!</v>
      </c>
      <c r="DT70" s="632" t="e">
        <f t="shared" si="377"/>
        <v>#DIV/0!</v>
      </c>
      <c r="DU70" s="632" t="e">
        <f t="shared" si="378"/>
        <v>#DIV/0!</v>
      </c>
      <c r="DV70" s="632" t="e">
        <f t="shared" si="379"/>
        <v>#DIV/0!</v>
      </c>
      <c r="DW70" s="632" t="e">
        <f t="shared" si="380"/>
        <v>#DIV/0!</v>
      </c>
      <c r="DX70" s="632" t="e">
        <f t="shared" si="381"/>
        <v>#DIV/0!</v>
      </c>
      <c r="DY70" s="632" t="e">
        <f t="shared" si="382"/>
        <v>#DIV/0!</v>
      </c>
      <c r="DZ70" s="632" t="e">
        <f t="shared" si="383"/>
        <v>#DIV/0!</v>
      </c>
      <c r="EA70" s="632" t="e">
        <f t="shared" si="384"/>
        <v>#DIV/0!</v>
      </c>
      <c r="EB70" s="632" t="e">
        <f t="shared" si="385"/>
        <v>#DIV/0!</v>
      </c>
      <c r="EC70" s="632" t="e">
        <f t="shared" si="386"/>
        <v>#DIV/0!</v>
      </c>
      <c r="ED70" s="632" t="e">
        <f t="shared" si="387"/>
        <v>#DIV/0!</v>
      </c>
      <c r="EE70" s="632" t="e">
        <f t="shared" si="388"/>
        <v>#DIV/0!</v>
      </c>
      <c r="EF70" s="632" t="e">
        <f t="shared" si="389"/>
        <v>#DIV/0!</v>
      </c>
      <c r="EG70" s="632" t="e">
        <f t="shared" si="390"/>
        <v>#DIV/0!</v>
      </c>
      <c r="EH70" s="632" t="e">
        <f t="shared" si="391"/>
        <v>#DIV/0!</v>
      </c>
      <c r="EI70" s="632" t="e">
        <f t="shared" si="392"/>
        <v>#DIV/0!</v>
      </c>
      <c r="EJ70" s="632" t="e">
        <f t="shared" si="393"/>
        <v>#DIV/0!</v>
      </c>
      <c r="EK70" s="632" t="e">
        <f t="shared" si="394"/>
        <v>#DIV/0!</v>
      </c>
      <c r="EL70" s="632" t="e">
        <f t="shared" si="395"/>
        <v>#DIV/0!</v>
      </c>
      <c r="EM70" s="632" t="e">
        <f t="shared" si="396"/>
        <v>#DIV/0!</v>
      </c>
      <c r="EN70" s="632" t="e">
        <f t="shared" si="397"/>
        <v>#DIV/0!</v>
      </c>
      <c r="EO70" s="632" t="e">
        <f t="shared" si="398"/>
        <v>#DIV/0!</v>
      </c>
      <c r="EP70" s="632" t="e">
        <f t="shared" si="399"/>
        <v>#DIV/0!</v>
      </c>
      <c r="EQ70" s="632" t="e">
        <f t="shared" si="400"/>
        <v>#DIV/0!</v>
      </c>
      <c r="ER70" s="632" t="e">
        <f t="shared" si="401"/>
        <v>#DIV/0!</v>
      </c>
      <c r="ES70" s="632" t="e">
        <f t="shared" si="402"/>
        <v>#DIV/0!</v>
      </c>
      <c r="ET70" s="632" t="e">
        <f t="shared" si="403"/>
        <v>#DIV/0!</v>
      </c>
      <c r="EU70" s="632" t="e">
        <f t="shared" si="404"/>
        <v>#DIV/0!</v>
      </c>
      <c r="EV70" s="632" t="e">
        <f t="shared" si="405"/>
        <v>#DIV/0!</v>
      </c>
      <c r="EW70" s="632" t="e">
        <f t="shared" si="406"/>
        <v>#DIV/0!</v>
      </c>
      <c r="EX70" s="632" t="e">
        <f t="shared" si="407"/>
        <v>#DIV/0!</v>
      </c>
      <c r="EY70" s="632" t="e">
        <f t="shared" si="408"/>
        <v>#DIV/0!</v>
      </c>
      <c r="EZ70" s="632" t="e">
        <f t="shared" si="409"/>
        <v>#DIV/0!</v>
      </c>
      <c r="FA70" s="632" t="e">
        <f t="shared" si="410"/>
        <v>#DIV/0!</v>
      </c>
      <c r="FB70" s="632" t="e">
        <f t="shared" si="411"/>
        <v>#DIV/0!</v>
      </c>
      <c r="FC70" s="632" t="e">
        <f t="shared" si="412"/>
        <v>#DIV/0!</v>
      </c>
      <c r="FD70" s="632" t="e">
        <f t="shared" si="413"/>
        <v>#DIV/0!</v>
      </c>
      <c r="FE70" s="632" t="e">
        <f t="shared" si="414"/>
        <v>#DIV/0!</v>
      </c>
      <c r="FF70" s="632" t="e">
        <f t="shared" si="415"/>
        <v>#DIV/0!</v>
      </c>
      <c r="FG70" s="632" t="e">
        <f t="shared" si="416"/>
        <v>#DIV/0!</v>
      </c>
      <c r="FH70" s="632" t="e">
        <f t="shared" si="417"/>
        <v>#DIV/0!</v>
      </c>
      <c r="FI70" s="632" t="e">
        <f t="shared" si="418"/>
        <v>#DIV/0!</v>
      </c>
      <c r="FJ70" s="632" t="e">
        <f t="shared" si="419"/>
        <v>#DIV/0!</v>
      </c>
      <c r="FK70" s="632" t="e">
        <f t="shared" si="420"/>
        <v>#DIV/0!</v>
      </c>
      <c r="FL70" s="632" t="e">
        <f t="shared" si="421"/>
        <v>#DIV/0!</v>
      </c>
      <c r="FM70" s="632" t="e">
        <f t="shared" si="422"/>
        <v>#DIV/0!</v>
      </c>
      <c r="FN70" s="632" t="e">
        <f t="shared" si="423"/>
        <v>#DIV/0!</v>
      </c>
      <c r="FO70" s="632" t="e">
        <f t="shared" si="424"/>
        <v>#DIV/0!</v>
      </c>
      <c r="FP70" s="632" t="e">
        <f t="shared" si="425"/>
        <v>#DIV/0!</v>
      </c>
      <c r="FQ70" s="632" t="e">
        <f t="shared" si="426"/>
        <v>#DIV/0!</v>
      </c>
      <c r="FR70" s="632" t="e">
        <f t="shared" si="427"/>
        <v>#DIV/0!</v>
      </c>
      <c r="FS70" s="632" t="e">
        <f t="shared" si="428"/>
        <v>#DIV/0!</v>
      </c>
      <c r="FT70" s="632" t="e">
        <f t="shared" si="429"/>
        <v>#DIV/0!</v>
      </c>
      <c r="FU70" s="632" t="e">
        <f t="shared" si="430"/>
        <v>#DIV/0!</v>
      </c>
      <c r="FV70" s="632" t="e">
        <f t="shared" si="431"/>
        <v>#DIV/0!</v>
      </c>
      <c r="FW70" s="632" t="e">
        <f t="shared" si="432"/>
        <v>#DIV/0!</v>
      </c>
      <c r="FX70" s="632" t="e">
        <f t="shared" si="433"/>
        <v>#DIV/0!</v>
      </c>
      <c r="FY70" s="632" t="e">
        <f t="shared" si="434"/>
        <v>#DIV/0!</v>
      </c>
      <c r="FZ70" s="632" t="e">
        <f t="shared" si="435"/>
        <v>#DIV/0!</v>
      </c>
      <c r="GA70" s="632" t="e">
        <f t="shared" si="436"/>
        <v>#DIV/0!</v>
      </c>
      <c r="GB70" s="632" t="e">
        <f t="shared" si="437"/>
        <v>#DIV/0!</v>
      </c>
      <c r="GC70" s="632" t="e">
        <f t="shared" si="438"/>
        <v>#DIV/0!</v>
      </c>
      <c r="GD70" s="632" t="e">
        <f t="shared" si="439"/>
        <v>#DIV/0!</v>
      </c>
      <c r="GE70" s="632" t="e">
        <f t="shared" si="440"/>
        <v>#DIV/0!</v>
      </c>
      <c r="GF70" s="632" t="e">
        <f t="shared" si="441"/>
        <v>#DIV/0!</v>
      </c>
      <c r="GG70" s="632" t="e">
        <f t="shared" si="442"/>
        <v>#DIV/0!</v>
      </c>
      <c r="GH70" s="632" t="e">
        <f t="shared" si="443"/>
        <v>#DIV/0!</v>
      </c>
      <c r="GI70" s="632" t="e">
        <f t="shared" si="444"/>
        <v>#DIV/0!</v>
      </c>
      <c r="GJ70" s="632" t="e">
        <f t="shared" si="445"/>
        <v>#DIV/0!</v>
      </c>
      <c r="GK70" s="632" t="e">
        <f t="shared" si="446"/>
        <v>#DIV/0!</v>
      </c>
      <c r="GL70" s="632" t="e">
        <f t="shared" si="447"/>
        <v>#DIV/0!</v>
      </c>
      <c r="GM70" s="632" t="e">
        <f t="shared" si="448"/>
        <v>#DIV/0!</v>
      </c>
      <c r="GN70" s="632" t="e">
        <f t="shared" si="449"/>
        <v>#DIV/0!</v>
      </c>
      <c r="GO70" s="632" t="e">
        <f t="shared" si="450"/>
        <v>#DIV/0!</v>
      </c>
      <c r="GP70" s="632" t="e">
        <f t="shared" si="451"/>
        <v>#DIV/0!</v>
      </c>
      <c r="GQ70" s="632" t="e">
        <f t="shared" si="452"/>
        <v>#DIV/0!</v>
      </c>
      <c r="GR70" s="632" t="e">
        <f t="shared" si="453"/>
        <v>#DIV/0!</v>
      </c>
      <c r="GS70" s="632" t="e">
        <f t="shared" si="454"/>
        <v>#DIV/0!</v>
      </c>
      <c r="GT70" s="632" t="e">
        <f t="shared" si="455"/>
        <v>#DIV/0!</v>
      </c>
      <c r="GU70" s="632" t="e">
        <f t="shared" si="456"/>
        <v>#DIV/0!</v>
      </c>
      <c r="GV70" s="632" t="e">
        <f t="shared" si="457"/>
        <v>#DIV/0!</v>
      </c>
      <c r="GW70" s="632" t="e">
        <f t="shared" si="458"/>
        <v>#DIV/0!</v>
      </c>
      <c r="GX70" s="632" t="e">
        <f t="shared" si="459"/>
        <v>#DIV/0!</v>
      </c>
      <c r="GY70" s="632" t="e">
        <f t="shared" si="460"/>
        <v>#DIV/0!</v>
      </c>
      <c r="GZ70" s="632" t="e">
        <f t="shared" si="461"/>
        <v>#DIV/0!</v>
      </c>
      <c r="HA70" s="632" t="e">
        <f t="shared" si="462"/>
        <v>#DIV/0!</v>
      </c>
      <c r="HB70" s="632" t="e">
        <f t="shared" si="463"/>
        <v>#DIV/0!</v>
      </c>
      <c r="HC70" s="632" t="e">
        <f t="shared" si="464"/>
        <v>#DIV/0!</v>
      </c>
      <c r="HD70" s="632" t="e">
        <f t="shared" si="465"/>
        <v>#DIV/0!</v>
      </c>
      <c r="HE70" s="632" t="e">
        <f t="shared" si="466"/>
        <v>#DIV/0!</v>
      </c>
      <c r="HF70" s="632" t="e">
        <f t="shared" si="467"/>
        <v>#DIV/0!</v>
      </c>
      <c r="HG70" s="632" t="e">
        <f t="shared" si="468"/>
        <v>#DIV/0!</v>
      </c>
      <c r="HH70" s="632" t="e">
        <f t="shared" si="469"/>
        <v>#DIV/0!</v>
      </c>
      <c r="HI70" s="632" t="e">
        <f t="shared" si="470"/>
        <v>#DIV/0!</v>
      </c>
      <c r="HJ70" s="632" t="e">
        <f t="shared" si="471"/>
        <v>#DIV/0!</v>
      </c>
      <c r="HK70" s="632">
        <f t="shared" si="472"/>
        <v>8.9600470035253732E-3</v>
      </c>
      <c r="HL70" s="632">
        <f t="shared" si="473"/>
        <v>8.9534713048584624E-3</v>
      </c>
      <c r="HM70" s="632">
        <f t="shared" si="474"/>
        <v>8.9466865481924174E-3</v>
      </c>
      <c r="HN70" s="632">
        <f t="shared" si="475"/>
        <v>8.9399120664386267E-3</v>
      </c>
      <c r="HO70" s="632">
        <f t="shared" si="476"/>
        <v>8.9091752300520799E-3</v>
      </c>
      <c r="HP70" s="632">
        <f t="shared" si="477"/>
        <v>8.9024390243901408E-3</v>
      </c>
      <c r="HQ70" s="632">
        <f t="shared" si="478"/>
        <v>8.895929807458014E-3</v>
      </c>
      <c r="HR70" s="632">
        <f t="shared" si="479"/>
        <v>8.8892136090206186E-3</v>
      </c>
      <c r="HS70" s="632">
        <f t="shared" si="480"/>
        <v>8.8827237107882429E-3</v>
      </c>
      <c r="HT70" s="632">
        <f t="shared" si="481"/>
        <v>8.8760274305723641E-3</v>
      </c>
      <c r="HU70" s="632">
        <f t="shared" si="482"/>
        <v>8.8693412387919057E-3</v>
      </c>
      <c r="HV70" s="632">
        <f t="shared" si="483"/>
        <v>8.8628803146928448E-3</v>
      </c>
      <c r="HW70" s="632">
        <f t="shared" si="484"/>
        <v>8.8562139078953717E-3</v>
      </c>
      <c r="HX70" s="632">
        <f t="shared" ref="HX70" si="501">HX55/HL55-1</f>
        <v>8.8497720880613695E-3</v>
      </c>
      <c r="HY70" s="632">
        <f t="shared" ref="HY70" si="502">HY55/HM55-1</f>
        <v>8.8431253785583586E-3</v>
      </c>
      <c r="HZ70" s="632">
        <f t="shared" ref="HZ70" si="503">HZ55/HN55-1</f>
        <v>8.8364886457172886E-3</v>
      </c>
      <c r="IA70" s="632">
        <f t="shared" ref="IA70" si="504">IA55/HO55-1</f>
        <v>8.830502733826906E-3</v>
      </c>
      <c r="IB70" s="632">
        <f t="shared" ref="IB70" si="505">IB55/HP55-1</f>
        <v>8.8238849268704733E-3</v>
      </c>
      <c r="IC70" s="632">
        <f t="shared" ref="IC70" si="506">IC55/HQ55-1</f>
        <v>8.817490035028408E-3</v>
      </c>
      <c r="ID70" s="632">
        <f t="shared" ref="ID70" si="507">ID55/HR55-1</f>
        <v>8.8108917105198525E-3</v>
      </c>
      <c r="IE70" s="632">
        <f t="shared" ref="IE70" si="508">IE55/HS55-1</f>
        <v>8.8045156310305739E-3</v>
      </c>
      <c r="IF70" s="632">
        <f t="shared" ref="IF70" si="509">IF55/HT55-1</f>
        <v>8.7979367030635025E-3</v>
      </c>
      <c r="IG70" s="632">
        <f t="shared" ref="IG70:IG72" si="510">IG55/HU55-1</f>
        <v>8.7913675995954232E-3</v>
      </c>
      <c r="IH70" s="632">
        <f t="shared" ref="IH70:IH72" si="511">IH55/HV55-1</f>
        <v>8.7850197362087101E-3</v>
      </c>
      <c r="II70" s="632">
        <f t="shared" ref="II70:II72" si="512">II55/HW55-1</f>
        <v>8.7784699006709932E-3</v>
      </c>
      <c r="IJ70" s="632">
        <f t="shared" ref="IJ70:IJ72" si="513">IJ55/HX55-1</f>
        <v>8.7721406426495285E-3</v>
      </c>
      <c r="IK70" s="632">
        <f t="shared" ref="IK70:IK72" si="514">IK55/HY55-1</f>
        <v>8.7656099903938856E-3</v>
      </c>
      <c r="IL70" s="632">
        <f t="shared" ref="IL70:IL72" si="515">IL55/HZ55-1</f>
        <v>8.7590890547382116E-3</v>
      </c>
      <c r="IM70" s="632">
        <f t="shared" ref="IM70:IN72" si="516">IM55/IA55-1</f>
        <v>8.7532075109715279E-3</v>
      </c>
      <c r="IN70" s="632">
        <f t="shared" si="516"/>
        <v>8.7467050083871456E-3</v>
      </c>
      <c r="IO70" s="632">
        <f t="shared" ref="IO70:IO72" si="517">IO55/IC55-1</f>
        <v>8.7404214559387849E-3</v>
      </c>
      <c r="IP70" s="632">
        <f t="shared" ref="IP70:IP72" si="518">IP55/ID55-1</f>
        <v>8.733937929219282E-3</v>
      </c>
      <c r="IQ70" s="582"/>
      <c r="IR70" s="582"/>
      <c r="IS70" s="646"/>
      <c r="IT70" s="582"/>
      <c r="IU70" s="582"/>
      <c r="IV70" s="658"/>
      <c r="IW70" s="659"/>
      <c r="IX70" s="659"/>
      <c r="IY70" s="659"/>
    </row>
    <row r="71" spans="5:278" s="28" customFormat="1" x14ac:dyDescent="0.2">
      <c r="E71" s="456" t="s">
        <v>381</v>
      </c>
      <c r="DI71" s="632" t="e">
        <f t="shared" si="366"/>
        <v>#DIV/0!</v>
      </c>
      <c r="DJ71" s="632" t="e">
        <f t="shared" si="367"/>
        <v>#DIV/0!</v>
      </c>
      <c r="DK71" s="632" t="e">
        <f t="shared" si="368"/>
        <v>#DIV/0!</v>
      </c>
      <c r="DL71" s="632" t="e">
        <f t="shared" si="369"/>
        <v>#DIV/0!</v>
      </c>
      <c r="DM71" s="632" t="e">
        <f t="shared" si="370"/>
        <v>#DIV/0!</v>
      </c>
      <c r="DN71" s="632" t="e">
        <f t="shared" si="371"/>
        <v>#DIV/0!</v>
      </c>
      <c r="DO71" s="632" t="e">
        <f t="shared" si="372"/>
        <v>#DIV/0!</v>
      </c>
      <c r="DP71" s="632" t="e">
        <f t="shared" si="373"/>
        <v>#DIV/0!</v>
      </c>
      <c r="DQ71" s="632" t="e">
        <f t="shared" si="374"/>
        <v>#DIV/0!</v>
      </c>
      <c r="DR71" s="632" t="e">
        <f t="shared" si="375"/>
        <v>#DIV/0!</v>
      </c>
      <c r="DS71" s="632" t="e">
        <f t="shared" si="376"/>
        <v>#DIV/0!</v>
      </c>
      <c r="DT71" s="632" t="e">
        <f t="shared" si="377"/>
        <v>#DIV/0!</v>
      </c>
      <c r="DU71" s="632">
        <f t="shared" si="378"/>
        <v>0.34769905040175297</v>
      </c>
      <c r="DV71" s="632">
        <f t="shared" si="379"/>
        <v>0.24758912124823929</v>
      </c>
      <c r="DW71" s="632">
        <f t="shared" si="380"/>
        <v>0.26543304904707643</v>
      </c>
      <c r="DX71" s="632">
        <f t="shared" si="381"/>
        <v>0.28113249504710347</v>
      </c>
      <c r="DY71" s="632">
        <f t="shared" si="382"/>
        <v>0.196479094624332</v>
      </c>
      <c r="DZ71" s="632">
        <f t="shared" si="383"/>
        <v>0.19280643809049991</v>
      </c>
      <c r="EA71" s="632">
        <f t="shared" si="384"/>
        <v>0.15141410344293837</v>
      </c>
      <c r="EB71" s="632">
        <f t="shared" si="385"/>
        <v>0.17183437900793797</v>
      </c>
      <c r="EC71" s="632">
        <f t="shared" si="386"/>
        <v>0.18802689423325591</v>
      </c>
      <c r="ED71" s="632">
        <f t="shared" si="387"/>
        <v>0.1850609187806076</v>
      </c>
      <c r="EE71" s="632">
        <f t="shared" si="388"/>
        <v>0.17645582329317278</v>
      </c>
      <c r="EF71" s="632">
        <f t="shared" si="389"/>
        <v>0.16799157367436712</v>
      </c>
      <c r="EG71" s="632">
        <f t="shared" si="390"/>
        <v>0.17843064794284302</v>
      </c>
      <c r="EH71" s="632">
        <f t="shared" si="391"/>
        <v>0.18754125412541267</v>
      </c>
      <c r="EI71" s="632">
        <f t="shared" si="392"/>
        <v>0.16699107866991092</v>
      </c>
      <c r="EJ71" s="632">
        <f t="shared" si="393"/>
        <v>0.17028679632332611</v>
      </c>
      <c r="EK71" s="632">
        <f t="shared" si="394"/>
        <v>0.26359617940712798</v>
      </c>
      <c r="EL71" s="632">
        <f t="shared" si="395"/>
        <v>0.3134480068587846</v>
      </c>
      <c r="EM71" s="632">
        <f t="shared" si="396"/>
        <v>0.30759587020648982</v>
      </c>
      <c r="EN71" s="632">
        <f t="shared" si="397"/>
        <v>0.24109595119245686</v>
      </c>
      <c r="EO71" s="632">
        <f t="shared" si="398"/>
        <v>0.24972464682962903</v>
      </c>
      <c r="EP71" s="632">
        <f t="shared" si="399"/>
        <v>0.22490634026367728</v>
      </c>
      <c r="EQ71" s="632">
        <f t="shared" si="400"/>
        <v>0.1819074034563688</v>
      </c>
      <c r="ER71" s="632">
        <f t="shared" si="401"/>
        <v>0.1362294965561317</v>
      </c>
      <c r="ES71" s="632">
        <f t="shared" si="402"/>
        <v>0.10564992421470776</v>
      </c>
      <c r="ET71" s="632">
        <f t="shared" si="403"/>
        <v>9.2431042868060809E-2</v>
      </c>
      <c r="EU71" s="632">
        <f t="shared" si="404"/>
        <v>8.0858989505872447E-2</v>
      </c>
      <c r="EV71" s="632">
        <f t="shared" si="405"/>
        <v>3.7662477752008927E-2</v>
      </c>
      <c r="EW71" s="632">
        <f t="shared" si="406"/>
        <v>-3.0683536128928046E-2</v>
      </c>
      <c r="EX71" s="632">
        <f t="shared" si="407"/>
        <v>-3.2750213465623124E-2</v>
      </c>
      <c r="EY71" s="632">
        <f t="shared" si="408"/>
        <v>8.0875303141390908E-2</v>
      </c>
      <c r="EZ71" s="632">
        <f t="shared" si="409"/>
        <v>9.5548278229035555E-2</v>
      </c>
      <c r="FA71" s="632">
        <f t="shared" si="410"/>
        <v>8.0942494461242687E-2</v>
      </c>
      <c r="FB71" s="632">
        <f t="shared" si="411"/>
        <v>9.6945458111241001E-2</v>
      </c>
      <c r="FC71" s="632">
        <f t="shared" si="412"/>
        <v>0.12010975521698319</v>
      </c>
      <c r="FD71" s="632">
        <f t="shared" si="413"/>
        <v>0.16585424384683445</v>
      </c>
      <c r="FE71" s="632">
        <f t="shared" si="414"/>
        <v>0.17568291545336501</v>
      </c>
      <c r="FF71" s="632">
        <f t="shared" si="415"/>
        <v>0.21632633496309062</v>
      </c>
      <c r="FG71" s="632">
        <f t="shared" si="416"/>
        <v>0.23693455963293308</v>
      </c>
      <c r="FH71" s="632">
        <f t="shared" si="417"/>
        <v>0.34798303472579573</v>
      </c>
      <c r="FI71" s="632">
        <f t="shared" si="418"/>
        <v>0.35043395088367513</v>
      </c>
      <c r="FJ71" s="632">
        <f t="shared" si="419"/>
        <v>0.31805320473536258</v>
      </c>
      <c r="FK71" s="632">
        <f t="shared" si="420"/>
        <v>0.19276404469953934</v>
      </c>
      <c r="FL71" s="632">
        <f t="shared" si="421"/>
        <v>0.19663140124048994</v>
      </c>
      <c r="FM71" s="632">
        <f t="shared" si="422"/>
        <v>0.14540195104653475</v>
      </c>
      <c r="FN71" s="632">
        <f t="shared" si="423"/>
        <v>8.3782426208294014E-2</v>
      </c>
      <c r="FO71" s="632">
        <f t="shared" si="424"/>
        <v>4.1972873314251702E-2</v>
      </c>
      <c r="FP71" s="632">
        <f t="shared" si="425"/>
        <v>2.0422997259780473E-2</v>
      </c>
      <c r="FQ71" s="632">
        <f t="shared" si="426"/>
        <v>-9.3223396584491081E-2</v>
      </c>
      <c r="FR71" s="632">
        <f t="shared" si="427"/>
        <v>-0.12304414233425975</v>
      </c>
      <c r="FS71" s="632">
        <f t="shared" si="428"/>
        <v>-0.13803060704669023</v>
      </c>
      <c r="FT71" s="632">
        <f t="shared" si="429"/>
        <v>-0.23855037257680478</v>
      </c>
      <c r="FU71" s="632">
        <f t="shared" si="430"/>
        <v>-0.26704821528686229</v>
      </c>
      <c r="FV71" s="632">
        <f t="shared" si="431"/>
        <v>-0.26262860622107009</v>
      </c>
      <c r="FW71" s="632">
        <f t="shared" si="432"/>
        <v>-0.23159998086120048</v>
      </c>
      <c r="FX71" s="632">
        <f t="shared" si="433"/>
        <v>-0.20190349792742335</v>
      </c>
      <c r="FY71" s="632">
        <f t="shared" si="434"/>
        <v>-0.12556727594019479</v>
      </c>
      <c r="FZ71" s="632">
        <f t="shared" si="435"/>
        <v>-7.6792026708562444E-2</v>
      </c>
      <c r="GA71" s="632">
        <f t="shared" si="436"/>
        <v>-2.7020756643053812E-2</v>
      </c>
      <c r="GB71" s="632">
        <f t="shared" si="437"/>
        <v>-2.276686187123067E-3</v>
      </c>
      <c r="GC71" s="632">
        <f t="shared" si="438"/>
        <v>0.12479189132943613</v>
      </c>
      <c r="GD71" s="632">
        <f t="shared" si="439"/>
        <v>0.13937590741463968</v>
      </c>
      <c r="GE71" s="632">
        <f t="shared" si="440"/>
        <v>0.17708606595686294</v>
      </c>
      <c r="GF71" s="632">
        <f t="shared" si="441"/>
        <v>0.2334584538647051</v>
      </c>
      <c r="GG71" s="632">
        <f t="shared" si="442"/>
        <v>0.26560896475672657</v>
      </c>
      <c r="GH71" s="632">
        <f t="shared" si="443"/>
        <v>0.27901623182458501</v>
      </c>
      <c r="GI71" s="632">
        <f t="shared" si="444"/>
        <v>0.21604684951816155</v>
      </c>
      <c r="GJ71" s="632">
        <f t="shared" si="445"/>
        <v>0.17687677255487078</v>
      </c>
      <c r="GK71" s="632">
        <f t="shared" si="446"/>
        <v>0.11583796306227057</v>
      </c>
      <c r="GL71" s="632">
        <f t="shared" si="447"/>
        <v>0.11897531894979241</v>
      </c>
      <c r="GM71" s="632">
        <f t="shared" si="448"/>
        <v>0.14374234828486054</v>
      </c>
      <c r="GN71" s="632">
        <f t="shared" si="449"/>
        <v>0.16578431402315719</v>
      </c>
      <c r="GO71" s="632">
        <f t="shared" si="450"/>
        <v>0.16723778507497356</v>
      </c>
      <c r="GP71" s="632">
        <f t="shared" si="451"/>
        <v>0.17304997860304905</v>
      </c>
      <c r="GQ71" s="632">
        <f t="shared" si="452"/>
        <v>0.18897329372473703</v>
      </c>
      <c r="GR71" s="632">
        <f t="shared" si="453"/>
        <v>0.25896274557480203</v>
      </c>
      <c r="GS71" s="632">
        <f t="shared" si="454"/>
        <v>0.2902306795820806</v>
      </c>
      <c r="GT71" s="632">
        <f t="shared" si="455"/>
        <v>0.26358814689837162</v>
      </c>
      <c r="GU71" s="632">
        <f t="shared" si="456"/>
        <v>0.27365397490711807</v>
      </c>
      <c r="GV71" s="632">
        <f t="shared" si="457"/>
        <v>0.2481915417103373</v>
      </c>
      <c r="GW71" s="632">
        <f t="shared" si="458"/>
        <v>0.2479960186662391</v>
      </c>
      <c r="GX71" s="632">
        <f t="shared" si="459"/>
        <v>0.2379200333468674</v>
      </c>
      <c r="GY71" s="632">
        <f t="shared" si="460"/>
        <v>0.19257700710523262</v>
      </c>
      <c r="GZ71" s="632">
        <f t="shared" si="461"/>
        <v>0.13527642773408632</v>
      </c>
      <c r="HA71" s="632">
        <f t="shared" si="462"/>
        <v>0.12311634440514219</v>
      </c>
      <c r="HB71" s="632">
        <f t="shared" si="463"/>
        <v>0.11952891775868646</v>
      </c>
      <c r="HC71" s="632">
        <f t="shared" si="464"/>
        <v>0.15255301429033064</v>
      </c>
      <c r="HD71" s="632">
        <f t="shared" si="465"/>
        <v>0.12656130440140245</v>
      </c>
      <c r="HE71" s="632">
        <f t="shared" si="466"/>
        <v>7.8846947921022537E-2</v>
      </c>
      <c r="HF71" s="632">
        <f t="shared" si="467"/>
        <v>5.5790667589903808E-2</v>
      </c>
      <c r="HG71" s="632">
        <f t="shared" si="468"/>
        <v>3.7339466114531206E-2</v>
      </c>
      <c r="HH71" s="632">
        <f t="shared" si="469"/>
        <v>2.7270222863811089E-3</v>
      </c>
      <c r="HI71" s="632">
        <f t="shared" si="470"/>
        <v>8.6349358811177668E-2</v>
      </c>
      <c r="HJ71" s="632">
        <f t="shared" si="471"/>
        <v>-9.7110161459401656E-3</v>
      </c>
      <c r="HK71" s="632">
        <f t="shared" si="472"/>
        <v>3.0250351118641383E-3</v>
      </c>
      <c r="HL71" s="632">
        <f t="shared" si="473"/>
        <v>5.4349596961270619E-2</v>
      </c>
      <c r="HM71" s="632">
        <f t="shared" si="474"/>
        <v>1.3710217276571068E-2</v>
      </c>
      <c r="HN71" s="632">
        <f t="shared" si="475"/>
        <v>6.1621285801891634E-3</v>
      </c>
      <c r="HO71" s="632">
        <f t="shared" si="476"/>
        <v>-4.0429490762488918E-2</v>
      </c>
      <c r="HP71" s="632">
        <f t="shared" si="477"/>
        <v>-5.0831315823137158E-2</v>
      </c>
      <c r="HQ71" s="632">
        <f t="shared" si="478"/>
        <v>-5.7740828828316326E-2</v>
      </c>
      <c r="HR71" s="632">
        <f t="shared" si="479"/>
        <v>-5.002581037822118E-2</v>
      </c>
      <c r="HS71" s="632">
        <f t="shared" si="480"/>
        <v>-3.4888978472723764E-2</v>
      </c>
      <c r="HT71" s="632">
        <f t="shared" si="481"/>
        <v>1.8413370005760932E-2</v>
      </c>
      <c r="HU71" s="632">
        <f t="shared" si="482"/>
        <v>-4.1183310339651724E-2</v>
      </c>
      <c r="HV71" s="632">
        <f t="shared" si="483"/>
        <v>4.5630281782642834E-2</v>
      </c>
      <c r="HW71" s="632">
        <f t="shared" si="484"/>
        <v>2.7581629021250498E-2</v>
      </c>
      <c r="HX71" s="632">
        <f t="shared" si="485"/>
        <v>4.8364598819605753E-4</v>
      </c>
      <c r="HY71" s="632">
        <f t="shared" si="486"/>
        <v>5.2984112383251958E-2</v>
      </c>
      <c r="HZ71" s="632">
        <f t="shared" si="487"/>
        <v>6.2854298454153357E-2</v>
      </c>
      <c r="IA71" s="632">
        <f t="shared" si="488"/>
        <v>6.4648861789719625E-2</v>
      </c>
      <c r="IB71" s="632">
        <f t="shared" si="489"/>
        <v>4.6788610860547974E-2</v>
      </c>
      <c r="IC71" s="632">
        <f t="shared" si="490"/>
        <v>5.6680290322010052E-2</v>
      </c>
      <c r="ID71" s="632">
        <f t="shared" si="491"/>
        <v>6.9240378400831304E-2</v>
      </c>
      <c r="IE71" s="632">
        <f t="shared" si="492"/>
        <v>6.6795458458656531E-2</v>
      </c>
      <c r="IF71" s="632">
        <f t="shared" si="493"/>
        <v>5.8947305490532953E-2</v>
      </c>
      <c r="IG71" s="632">
        <f t="shared" si="510"/>
        <v>4.2317672909004678E-2</v>
      </c>
      <c r="IH71" s="632">
        <f t="shared" si="511"/>
        <v>4.799738470070114E-2</v>
      </c>
      <c r="II71" s="632">
        <f t="shared" si="512"/>
        <v>4.4396834294812448E-2</v>
      </c>
      <c r="IJ71" s="632">
        <f t="shared" si="513"/>
        <v>2.5579114663258906E-2</v>
      </c>
      <c r="IK71" s="632">
        <f t="shared" si="514"/>
        <v>-3.5076991890730103E-2</v>
      </c>
      <c r="IL71" s="632">
        <f t="shared" si="515"/>
        <v>-0.16340459441137301</v>
      </c>
      <c r="IM71" s="632">
        <f t="shared" si="516"/>
        <v>-0.25483966431567706</v>
      </c>
      <c r="IN71" s="632">
        <f t="shared" si="516"/>
        <v>-0.22714533450392405</v>
      </c>
      <c r="IO71" s="632">
        <f t="shared" si="517"/>
        <v>-0.21482964314879194</v>
      </c>
      <c r="IP71" s="632">
        <f t="shared" si="518"/>
        <v>-0.18537931172477007</v>
      </c>
      <c r="IQ71" s="582"/>
      <c r="IR71" s="582"/>
      <c r="IS71" s="646"/>
      <c r="IT71" s="582"/>
      <c r="IU71" s="582"/>
      <c r="IV71" s="658"/>
      <c r="IW71" s="659"/>
      <c r="IX71" s="659"/>
      <c r="IY71" s="659"/>
    </row>
    <row r="72" spans="5:278" s="28" customFormat="1" x14ac:dyDescent="0.2">
      <c r="E72" s="456" t="s">
        <v>382</v>
      </c>
      <c r="DI72" s="632" t="e">
        <f t="shared" si="366"/>
        <v>#DIV/0!</v>
      </c>
      <c r="DJ72" s="632" t="e">
        <f t="shared" si="367"/>
        <v>#DIV/0!</v>
      </c>
      <c r="DK72" s="632" t="e">
        <f t="shared" si="368"/>
        <v>#DIV/0!</v>
      </c>
      <c r="DL72" s="632" t="e">
        <f t="shared" si="369"/>
        <v>#DIV/0!</v>
      </c>
      <c r="DM72" s="632" t="e">
        <f t="shared" si="370"/>
        <v>#DIV/0!</v>
      </c>
      <c r="DN72" s="632" t="e">
        <f t="shared" si="371"/>
        <v>#DIV/0!</v>
      </c>
      <c r="DO72" s="632" t="e">
        <f t="shared" si="372"/>
        <v>#DIV/0!</v>
      </c>
      <c r="DP72" s="632" t="e">
        <f t="shared" si="373"/>
        <v>#DIV/0!</v>
      </c>
      <c r="DQ72" s="632" t="e">
        <f t="shared" si="374"/>
        <v>#DIV/0!</v>
      </c>
      <c r="DR72" s="632" t="e">
        <f t="shared" si="375"/>
        <v>#DIV/0!</v>
      </c>
      <c r="DS72" s="632" t="e">
        <f t="shared" si="376"/>
        <v>#DIV/0!</v>
      </c>
      <c r="DT72" s="632" t="e">
        <f t="shared" si="377"/>
        <v>#DIV/0!</v>
      </c>
      <c r="DU72" s="632">
        <f t="shared" si="378"/>
        <v>0.34353013880965966</v>
      </c>
      <c r="DV72" s="632">
        <f t="shared" si="379"/>
        <v>0.26252684344608057</v>
      </c>
      <c r="DW72" s="632">
        <f t="shared" si="380"/>
        <v>0.25819096992681745</v>
      </c>
      <c r="DX72" s="632">
        <f t="shared" si="381"/>
        <v>0.30002899458381171</v>
      </c>
      <c r="DY72" s="632">
        <f t="shared" si="382"/>
        <v>0.33687615413024785</v>
      </c>
      <c r="DZ72" s="632">
        <f t="shared" si="383"/>
        <v>0.28292980455594141</v>
      </c>
      <c r="EA72" s="632">
        <f t="shared" si="384"/>
        <v>0.21297548941588418</v>
      </c>
      <c r="EB72" s="632">
        <f t="shared" si="385"/>
        <v>0.35776605054496269</v>
      </c>
      <c r="EC72" s="632">
        <f t="shared" si="386"/>
        <v>0.25144412087649792</v>
      </c>
      <c r="ED72" s="632">
        <f t="shared" si="387"/>
        <v>0.24367215937269004</v>
      </c>
      <c r="EE72" s="632">
        <f t="shared" si="388"/>
        <v>0.21842692535410135</v>
      </c>
      <c r="EF72" s="632">
        <f t="shared" si="389"/>
        <v>0.2097785019786198</v>
      </c>
      <c r="EG72" s="632">
        <f t="shared" si="390"/>
        <v>0.20698805838124734</v>
      </c>
      <c r="EH72" s="632">
        <f t="shared" si="391"/>
        <v>0.21541335741670409</v>
      </c>
      <c r="EI72" s="632">
        <f t="shared" si="392"/>
        <v>0.20443379269023354</v>
      </c>
      <c r="EJ72" s="632">
        <f t="shared" si="393"/>
        <v>0.20066614685741402</v>
      </c>
      <c r="EK72" s="632">
        <f t="shared" si="394"/>
        <v>0.28134725117167569</v>
      </c>
      <c r="EL72" s="632">
        <f t="shared" si="395"/>
        <v>0.34616891975691422</v>
      </c>
      <c r="EM72" s="632">
        <f t="shared" si="396"/>
        <v>0.33469468090340992</v>
      </c>
      <c r="EN72" s="632">
        <f t="shared" si="397"/>
        <v>0.25279062499999982</v>
      </c>
      <c r="EO72" s="632">
        <f t="shared" si="398"/>
        <v>0.26051728084229797</v>
      </c>
      <c r="EP72" s="632">
        <f t="shared" si="399"/>
        <v>0.24034007975321625</v>
      </c>
      <c r="EQ72" s="632">
        <f t="shared" si="400"/>
        <v>0.19929129443426885</v>
      </c>
      <c r="ER72" s="632">
        <f t="shared" si="401"/>
        <v>0.16241702127659585</v>
      </c>
      <c r="ES72" s="632">
        <f t="shared" si="402"/>
        <v>0.14175448882374475</v>
      </c>
      <c r="ET72" s="632">
        <f t="shared" si="403"/>
        <v>0.11583302979529408</v>
      </c>
      <c r="EU72" s="632">
        <f t="shared" si="404"/>
        <v>0.1403446270175952</v>
      </c>
      <c r="EV72" s="632">
        <f t="shared" si="405"/>
        <v>6.6683607564110625E-2</v>
      </c>
      <c r="EW72" s="632">
        <f t="shared" si="406"/>
        <v>-9.3138776777401677E-4</v>
      </c>
      <c r="EX72" s="632">
        <f t="shared" si="407"/>
        <v>-3.326282273340353E-2</v>
      </c>
      <c r="EY72" s="632">
        <f t="shared" si="408"/>
        <v>7.7301382488479176E-2</v>
      </c>
      <c r="EZ72" s="632">
        <f t="shared" si="409"/>
        <v>8.7943665766176959E-2</v>
      </c>
      <c r="FA72" s="632">
        <f t="shared" si="410"/>
        <v>7.5784427658338371E-2</v>
      </c>
      <c r="FB72" s="632">
        <f t="shared" si="411"/>
        <v>8.2698830962745218E-2</v>
      </c>
      <c r="FC72" s="632">
        <f t="shared" si="412"/>
        <v>0.11136543841539148</v>
      </c>
      <c r="FD72" s="632">
        <f t="shared" si="413"/>
        <v>0.14129097812717251</v>
      </c>
      <c r="FE72" s="632">
        <f t="shared" si="414"/>
        <v>0.15033852742495779</v>
      </c>
      <c r="FF72" s="632">
        <f t="shared" si="415"/>
        <v>0.21887779884364078</v>
      </c>
      <c r="FG72" s="632">
        <f t="shared" si="416"/>
        <v>0.19905893154300802</v>
      </c>
      <c r="FH72" s="632">
        <f t="shared" si="417"/>
        <v>0.36644696789221554</v>
      </c>
      <c r="FI72" s="632">
        <f t="shared" si="418"/>
        <v>0.40230085974725505</v>
      </c>
      <c r="FJ72" s="632">
        <f t="shared" si="419"/>
        <v>0.49284165878848851</v>
      </c>
      <c r="FK72" s="632">
        <f t="shared" si="420"/>
        <v>0.41022569907854156</v>
      </c>
      <c r="FL72" s="632">
        <f t="shared" si="421"/>
        <v>0.43540108999447469</v>
      </c>
      <c r="FM72" s="632">
        <f t="shared" si="422"/>
        <v>0.35824151216855471</v>
      </c>
      <c r="FN72" s="632">
        <f t="shared" si="423"/>
        <v>0.29348795718108822</v>
      </c>
      <c r="FO72" s="632">
        <f t="shared" si="424"/>
        <v>0.15404444923068628</v>
      </c>
      <c r="FP72" s="632">
        <f t="shared" si="425"/>
        <v>4.2359776955156914E-2</v>
      </c>
      <c r="FQ72" s="632">
        <f t="shared" si="426"/>
        <v>-2.6870668586159607E-2</v>
      </c>
      <c r="FR72" s="632">
        <f t="shared" si="427"/>
        <v>-8.4997000471354389E-2</v>
      </c>
      <c r="FS72" s="632">
        <f t="shared" si="428"/>
        <v>-0.11386336566275312</v>
      </c>
      <c r="FT72" s="632">
        <f t="shared" si="429"/>
        <v>-0.24843577475156431</v>
      </c>
      <c r="FU72" s="632">
        <f t="shared" si="430"/>
        <v>-0.28961473650192748</v>
      </c>
      <c r="FV72" s="632">
        <f t="shared" si="431"/>
        <v>-0.33125163585757234</v>
      </c>
      <c r="FW72" s="632">
        <f t="shared" si="432"/>
        <v>-0.32742987025592907</v>
      </c>
      <c r="FX72" s="632">
        <f t="shared" si="433"/>
        <v>-0.31184073125295753</v>
      </c>
      <c r="FY72" s="632">
        <f t="shared" si="434"/>
        <v>-0.25847988583713555</v>
      </c>
      <c r="FZ72" s="632">
        <f t="shared" si="435"/>
        <v>-0.22864991542308966</v>
      </c>
      <c r="GA72" s="632">
        <f t="shared" si="436"/>
        <v>-0.12744491944718228</v>
      </c>
      <c r="GB72" s="632">
        <f t="shared" si="437"/>
        <v>-3.1644350255274234E-2</v>
      </c>
      <c r="GC72" s="632">
        <f t="shared" si="438"/>
        <v>3.7899430270002643E-2</v>
      </c>
      <c r="GD72" s="632">
        <f t="shared" si="439"/>
        <v>7.5980785283859431E-2</v>
      </c>
      <c r="GE72" s="632">
        <f t="shared" si="440"/>
        <v>0.11553287600869844</v>
      </c>
      <c r="GF72" s="632">
        <f t="shared" si="441"/>
        <v>0.19285787927212739</v>
      </c>
      <c r="GG72" s="632">
        <f t="shared" si="442"/>
        <v>0.23293235330434814</v>
      </c>
      <c r="GH72" s="632">
        <f t="shared" si="443"/>
        <v>0.24835491565203882</v>
      </c>
      <c r="GI72" s="632">
        <f t="shared" si="444"/>
        <v>0.19257954142287637</v>
      </c>
      <c r="GJ72" s="632">
        <f t="shared" si="445"/>
        <v>0.16726774735461603</v>
      </c>
      <c r="GK72" s="632">
        <f t="shared" si="446"/>
        <v>0.14727948159320725</v>
      </c>
      <c r="GL72" s="632">
        <f t="shared" si="447"/>
        <v>0.16081917318987871</v>
      </c>
      <c r="GM72" s="632">
        <f t="shared" si="448"/>
        <v>0.18774906526810975</v>
      </c>
      <c r="GN72" s="632">
        <f t="shared" si="449"/>
        <v>0.18302486376994032</v>
      </c>
      <c r="GO72" s="632">
        <f t="shared" si="450"/>
        <v>0.18079179632337961</v>
      </c>
      <c r="GP72" s="632">
        <f t="shared" si="451"/>
        <v>0.18917168517300698</v>
      </c>
      <c r="GQ72" s="632">
        <f t="shared" si="452"/>
        <v>0.23074794706000956</v>
      </c>
      <c r="GR72" s="632">
        <f t="shared" si="453"/>
        <v>0.32063882582885883</v>
      </c>
      <c r="GS72" s="632">
        <f t="shared" si="454"/>
        <v>0.34499386439688706</v>
      </c>
      <c r="GT72" s="632">
        <f t="shared" si="455"/>
        <v>0.32116322724403035</v>
      </c>
      <c r="GU72" s="632">
        <f t="shared" si="456"/>
        <v>0.30799419925874894</v>
      </c>
      <c r="GV72" s="632">
        <f t="shared" si="457"/>
        <v>0.24466962112668278</v>
      </c>
      <c r="GW72" s="632">
        <f t="shared" si="458"/>
        <v>0.21674728305664503</v>
      </c>
      <c r="GX72" s="632">
        <f t="shared" si="459"/>
        <v>0.22259233097962339</v>
      </c>
      <c r="GY72" s="632">
        <f t="shared" si="460"/>
        <v>0.18112654815503104</v>
      </c>
      <c r="GZ72" s="632">
        <f t="shared" si="461"/>
        <v>0.20625767909805326</v>
      </c>
      <c r="HA72" s="632">
        <f t="shared" si="462"/>
        <v>0.1737896158906207</v>
      </c>
      <c r="HB72" s="632">
        <f t="shared" si="463"/>
        <v>0.14132886266582623</v>
      </c>
      <c r="HC72" s="632">
        <f t="shared" si="464"/>
        <v>0.14854736246909517</v>
      </c>
      <c r="HD72" s="632">
        <f t="shared" si="465"/>
        <v>8.0948108000691521E-2</v>
      </c>
      <c r="HE72" s="632">
        <f t="shared" si="466"/>
        <v>3.5678515227797192E-2</v>
      </c>
      <c r="HF72" s="632">
        <f t="shared" si="467"/>
        <v>6.6095619243895509E-3</v>
      </c>
      <c r="HG72" s="632">
        <f t="shared" si="468"/>
        <v>-3.0875036320423543E-3</v>
      </c>
      <c r="HH72" s="632">
        <f t="shared" si="469"/>
        <v>-7.6194607437731765E-3</v>
      </c>
      <c r="HI72" s="632">
        <f t="shared" si="470"/>
        <v>6.1348142239702641E-2</v>
      </c>
      <c r="HJ72" s="632">
        <f t="shared" si="471"/>
        <v>-8.7554685218460548E-3</v>
      </c>
      <c r="HK72" s="632">
        <f t="shared" si="472"/>
        <v>-3.0830301202335875E-3</v>
      </c>
      <c r="HL72" s="632">
        <f t="shared" si="473"/>
        <v>-2.4780928770088972E-2</v>
      </c>
      <c r="HM72" s="632">
        <f t="shared" si="474"/>
        <v>-9.1049571712384925E-3</v>
      </c>
      <c r="HN72" s="632">
        <f t="shared" si="475"/>
        <v>-6.0151800346157636E-3</v>
      </c>
      <c r="HO72" s="632">
        <f t="shared" si="476"/>
        <v>-5.3602254166983165E-2</v>
      </c>
      <c r="HP72" s="632">
        <f t="shared" si="477"/>
        <v>-5.924357066098096E-2</v>
      </c>
      <c r="HQ72" s="632">
        <f t="shared" si="478"/>
        <v>-7.5311727154608432E-2</v>
      </c>
      <c r="HR72" s="632">
        <f t="shared" si="479"/>
        <v>-8.1132483208808059E-2</v>
      </c>
      <c r="HS72" s="632">
        <f t="shared" si="480"/>
        <v>-3.079417172290877E-2</v>
      </c>
      <c r="HT72" s="632">
        <f t="shared" si="481"/>
        <v>2.5902272277577909E-2</v>
      </c>
      <c r="HU72" s="632">
        <f t="shared" si="482"/>
        <v>-2.2840382497392953E-2</v>
      </c>
      <c r="HV72" s="632">
        <f t="shared" si="483"/>
        <v>3.5768314719930361E-2</v>
      </c>
      <c r="HW72" s="632">
        <f t="shared" si="484"/>
        <v>3.4733782733862517E-2</v>
      </c>
      <c r="HX72" s="632">
        <f t="shared" si="485"/>
        <v>4.1314068698329987E-2</v>
      </c>
      <c r="HY72" s="632">
        <f t="shared" si="486"/>
        <v>5.4207304624056318E-2</v>
      </c>
      <c r="HZ72" s="632">
        <f t="shared" si="487"/>
        <v>6.9272106672527922E-2</v>
      </c>
      <c r="IA72" s="632">
        <f t="shared" si="488"/>
        <v>3.8676217622015008E-2</v>
      </c>
      <c r="IB72" s="632">
        <f t="shared" si="489"/>
        <v>8.4353862300973415E-2</v>
      </c>
      <c r="IC72" s="632">
        <f t="shared" si="490"/>
        <v>0.10092925118762475</v>
      </c>
      <c r="ID72" s="632">
        <f t="shared" si="491"/>
        <v>0.11556869918738721</v>
      </c>
      <c r="IE72" s="632">
        <f t="shared" si="492"/>
        <v>6.5653443495640618E-2</v>
      </c>
      <c r="IF72" s="632">
        <f t="shared" si="493"/>
        <v>4.7853872875089243E-2</v>
      </c>
      <c r="IG72" s="632">
        <f t="shared" si="510"/>
        <v>2.2563514411743091E-2</v>
      </c>
      <c r="IH72" s="632">
        <f t="shared" si="511"/>
        <v>1.6021253907262611E-2</v>
      </c>
      <c r="II72" s="632">
        <f t="shared" si="512"/>
        <v>4.3535245325230232E-3</v>
      </c>
      <c r="IJ72" s="632">
        <f t="shared" si="513"/>
        <v>-2.5792125581469705E-2</v>
      </c>
      <c r="IK72" s="632">
        <f t="shared" si="514"/>
        <v>-7.4730917740448266E-2</v>
      </c>
      <c r="IL72" s="632">
        <f t="shared" si="515"/>
        <v>-0.18022038586282196</v>
      </c>
      <c r="IM72" s="632">
        <f t="shared" si="516"/>
        <v>-0.21089242424875776</v>
      </c>
      <c r="IN72" s="632">
        <f t="shared" si="516"/>
        <v>-0.21492330767214785</v>
      </c>
      <c r="IO72" s="632">
        <f t="shared" si="517"/>
        <v>-0.20161648298832147</v>
      </c>
      <c r="IP72" s="632">
        <f t="shared" si="518"/>
        <v>-0.20860533412310733</v>
      </c>
      <c r="IQ72" s="582"/>
      <c r="IR72" s="582"/>
      <c r="IS72" s="582"/>
      <c r="IT72" s="657"/>
      <c r="IU72" s="582"/>
      <c r="IV72" s="582"/>
      <c r="IW72" s="657"/>
      <c r="IX72" s="657"/>
      <c r="IY72" s="582"/>
    </row>
    <row r="73" spans="5:278" s="28" customFormat="1" x14ac:dyDescent="0.2">
      <c r="E73" s="626" t="s">
        <v>376</v>
      </c>
      <c r="DI73" s="632" t="e">
        <f t="shared" si="366"/>
        <v>#DIV/0!</v>
      </c>
      <c r="DJ73" s="632" t="e">
        <f t="shared" si="367"/>
        <v>#DIV/0!</v>
      </c>
      <c r="DK73" s="632" t="e">
        <f t="shared" si="368"/>
        <v>#DIV/0!</v>
      </c>
      <c r="DL73" s="632" t="e">
        <f t="shared" si="369"/>
        <v>#DIV/0!</v>
      </c>
      <c r="DM73" s="632" t="e">
        <f t="shared" si="370"/>
        <v>#DIV/0!</v>
      </c>
      <c r="DN73" s="632" t="e">
        <f t="shared" si="371"/>
        <v>#DIV/0!</v>
      </c>
      <c r="DO73" s="632" t="e">
        <f t="shared" si="372"/>
        <v>#DIV/0!</v>
      </c>
      <c r="DP73" s="632" t="e">
        <f t="shared" si="373"/>
        <v>#DIV/0!</v>
      </c>
      <c r="DQ73" s="632" t="e">
        <f t="shared" si="374"/>
        <v>#DIV/0!</v>
      </c>
      <c r="DR73" s="632" t="e">
        <f t="shared" si="375"/>
        <v>#DIV/0!</v>
      </c>
      <c r="DS73" s="632" t="e">
        <f t="shared" si="376"/>
        <v>#DIV/0!</v>
      </c>
      <c r="DT73" s="632" t="e">
        <f t="shared" si="377"/>
        <v>#DIV/0!</v>
      </c>
      <c r="DU73" s="632">
        <f t="shared" si="378"/>
        <v>0.34554787971687406</v>
      </c>
      <c r="DV73" s="632">
        <f t="shared" si="379"/>
        <v>0.46155502122300929</v>
      </c>
      <c r="DW73" s="632">
        <f t="shared" si="380"/>
        <v>0.57688338569025355</v>
      </c>
      <c r="DX73" s="632">
        <f t="shared" si="381"/>
        <v>0.52764292781086564</v>
      </c>
      <c r="DY73" s="632">
        <f t="shared" si="382"/>
        <v>0.24784028609431319</v>
      </c>
      <c r="DZ73" s="632">
        <f t="shared" si="383"/>
        <v>0.54313105504447967</v>
      </c>
      <c r="EA73" s="632">
        <f t="shared" si="384"/>
        <v>0.46114917277935108</v>
      </c>
      <c r="EB73" s="632">
        <f t="shared" si="385"/>
        <v>0.5410593544947726</v>
      </c>
      <c r="EC73" s="632">
        <f t="shared" si="386"/>
        <v>0.64778936783693664</v>
      </c>
      <c r="ED73" s="632">
        <f t="shared" si="387"/>
        <v>0.35587526280765713</v>
      </c>
      <c r="EE73" s="632">
        <f t="shared" si="388"/>
        <v>0.27864258694365129</v>
      </c>
      <c r="EF73" s="632">
        <f t="shared" si="389"/>
        <v>0.46162230635579427</v>
      </c>
      <c r="EG73" s="632">
        <f t="shared" si="390"/>
        <v>0.51226891015056752</v>
      </c>
      <c r="EH73" s="632">
        <f t="shared" si="391"/>
        <v>0.37883159441397818</v>
      </c>
      <c r="EI73" s="632">
        <f t="shared" si="392"/>
        <v>0.26423159143333641</v>
      </c>
      <c r="EJ73" s="632">
        <f t="shared" si="393"/>
        <v>0.38308915558242007</v>
      </c>
      <c r="EK73" s="632">
        <f t="shared" si="394"/>
        <v>0.57475793200002467</v>
      </c>
      <c r="EL73" s="632">
        <f t="shared" si="395"/>
        <v>0.40451583153582815</v>
      </c>
      <c r="EM73" s="632">
        <f t="shared" si="396"/>
        <v>0.41976896635144101</v>
      </c>
      <c r="EN73" s="632">
        <f t="shared" si="397"/>
        <v>0.30143374703170145</v>
      </c>
      <c r="EO73" s="632">
        <f t="shared" si="398"/>
        <v>1.2586809722874071E-2</v>
      </c>
      <c r="EP73" s="632">
        <f t="shared" si="399"/>
        <v>-5.7822144308489198E-3</v>
      </c>
      <c r="EQ73" s="632">
        <f t="shared" si="400"/>
        <v>0.1716648878232252</v>
      </c>
      <c r="ER73" s="632">
        <f t="shared" si="401"/>
        <v>0.18596418683777238</v>
      </c>
      <c r="ES73" s="632">
        <f t="shared" si="402"/>
        <v>-2.3376725756379724E-2</v>
      </c>
      <c r="ET73" s="632">
        <f t="shared" si="403"/>
        <v>7.3173793010562038E-2</v>
      </c>
      <c r="EU73" s="632">
        <f t="shared" si="404"/>
        <v>5.1309860970488508E-2</v>
      </c>
      <c r="EV73" s="632">
        <f t="shared" si="405"/>
        <v>1.8543494329344545E-2</v>
      </c>
      <c r="EW73" s="632">
        <f t="shared" si="406"/>
        <v>6.2770070247593068E-3</v>
      </c>
      <c r="EX73" s="632">
        <f t="shared" si="407"/>
        <v>6.4166119052275761E-3</v>
      </c>
      <c r="EY73" s="632">
        <f t="shared" si="408"/>
        <v>-1.2076831433820434E-3</v>
      </c>
      <c r="EZ73" s="632">
        <f t="shared" si="409"/>
        <v>-7.9262153568598892E-2</v>
      </c>
      <c r="FA73" s="632">
        <f t="shared" si="410"/>
        <v>0.17706660887061498</v>
      </c>
      <c r="FB73" s="632">
        <f t="shared" si="411"/>
        <v>0.2719773124541256</v>
      </c>
      <c r="FC73" s="632">
        <f t="shared" si="412"/>
        <v>0.38659883819828744</v>
      </c>
      <c r="FD73" s="632">
        <f t="shared" si="413"/>
        <v>0.33434323206231542</v>
      </c>
      <c r="FE73" s="632">
        <f t="shared" si="414"/>
        <v>0.45690770483440346</v>
      </c>
      <c r="FF73" s="632">
        <f t="shared" si="415"/>
        <v>0.42575223085697655</v>
      </c>
      <c r="FG73" s="632">
        <f t="shared" si="416"/>
        <v>0.5304538246042243</v>
      </c>
      <c r="FH73" s="632">
        <f t="shared" si="417"/>
        <v>0.56033965833094723</v>
      </c>
      <c r="FI73" s="632">
        <f t="shared" si="418"/>
        <v>0.68530696951762171</v>
      </c>
      <c r="FJ73" s="632">
        <f t="shared" si="419"/>
        <v>0.70072628044246654</v>
      </c>
      <c r="FK73" s="632">
        <f t="shared" si="420"/>
        <v>0.61184474579860626</v>
      </c>
      <c r="FL73" s="632">
        <f t="shared" si="421"/>
        <v>0.48702182536304628</v>
      </c>
      <c r="FM73" s="632">
        <f t="shared" si="422"/>
        <v>0.25004565949363067</v>
      </c>
      <c r="FN73" s="632">
        <f t="shared" si="423"/>
        <v>1.2259002870517177E-2</v>
      </c>
      <c r="FO73" s="632">
        <f t="shared" si="424"/>
        <v>-0.2973370542206285</v>
      </c>
      <c r="FP73" s="632">
        <f t="shared" si="425"/>
        <v>-0.42867633081858147</v>
      </c>
      <c r="FQ73" s="632">
        <f t="shared" si="426"/>
        <v>-0.37148390730654612</v>
      </c>
      <c r="FR73" s="632">
        <f t="shared" si="427"/>
        <v>-0.44336371187093859</v>
      </c>
      <c r="FS73" s="632">
        <f t="shared" si="428"/>
        <v>-0.51432748265219086</v>
      </c>
      <c r="FT73" s="632">
        <f t="shared" si="429"/>
        <v>-0.51427546017764247</v>
      </c>
      <c r="FU73" s="632">
        <f t="shared" si="430"/>
        <v>-0.50769606278049095</v>
      </c>
      <c r="FV73" s="632">
        <f t="shared" si="431"/>
        <v>-0.44059137381829072</v>
      </c>
      <c r="FW73" s="632">
        <f t="shared" si="432"/>
        <v>-0.46764622781176535</v>
      </c>
      <c r="FX73" s="632">
        <f t="shared" si="433"/>
        <v>-0.30300063982453296</v>
      </c>
      <c r="FY73" s="632">
        <f t="shared" si="434"/>
        <v>-0.30598189636222528</v>
      </c>
      <c r="FZ73" s="632">
        <f t="shared" si="435"/>
        <v>-4.6558870600618363E-2</v>
      </c>
      <c r="GA73" s="632">
        <f t="shared" si="436"/>
        <v>0.26315426203107939</v>
      </c>
      <c r="GB73" s="632">
        <f t="shared" si="437"/>
        <v>0.55435101532091458</v>
      </c>
      <c r="GC73" s="632">
        <f t="shared" si="438"/>
        <v>0.49530552576328901</v>
      </c>
      <c r="GD73" s="632">
        <f t="shared" si="439"/>
        <v>0.53739514495971852</v>
      </c>
      <c r="GE73" s="632">
        <f t="shared" si="440"/>
        <v>0.72996850180673478</v>
      </c>
      <c r="GF73" s="632">
        <f t="shared" si="441"/>
        <v>0.62955904309750399</v>
      </c>
      <c r="GG73" s="632">
        <f t="shared" si="442"/>
        <v>0.33892827456582397</v>
      </c>
      <c r="GH73" s="632">
        <f t="shared" si="443"/>
        <v>0.16098346035058375</v>
      </c>
      <c r="GI73" s="632">
        <f t="shared" si="444"/>
        <v>0.19888627516577073</v>
      </c>
      <c r="GJ73" s="632">
        <f t="shared" si="445"/>
        <v>0.11256372373655421</v>
      </c>
      <c r="GK73" s="632">
        <f t="shared" si="446"/>
        <v>0.28575067854499747</v>
      </c>
      <c r="GL73" s="632">
        <f t="shared" si="447"/>
        <v>0.23899654963231987</v>
      </c>
      <c r="GM73" s="632">
        <f t="shared" si="448"/>
        <v>0.23100035026813281</v>
      </c>
      <c r="GN73" s="632">
        <f t="shared" si="449"/>
        <v>0.36529653147176888</v>
      </c>
      <c r="GO73" s="632">
        <f t="shared" si="450"/>
        <v>0.38272615022279788</v>
      </c>
      <c r="GP73" s="632">
        <f t="shared" si="451"/>
        <v>0.58638675149370822</v>
      </c>
      <c r="GQ73" s="632">
        <f t="shared" si="452"/>
        <v>0.57393382105116286</v>
      </c>
      <c r="GR73" s="632">
        <f t="shared" si="453"/>
        <v>0.59512731903941996</v>
      </c>
      <c r="GS73" s="632">
        <f t="shared" si="454"/>
        <v>0.64457766917680126</v>
      </c>
      <c r="GT73" s="632">
        <f t="shared" si="455"/>
        <v>0.65048866051604071</v>
      </c>
      <c r="GU73" s="632">
        <f t="shared" si="456"/>
        <v>0.76451264403352459</v>
      </c>
      <c r="GV73" s="632">
        <f t="shared" si="457"/>
        <v>0.67420416023707985</v>
      </c>
      <c r="GW73" s="632">
        <f t="shared" si="458"/>
        <v>0.6199464043796441</v>
      </c>
      <c r="GX73" s="632">
        <f t="shared" si="459"/>
        <v>0.53081765415568283</v>
      </c>
      <c r="GY73" s="632">
        <f t="shared" si="460"/>
        <v>0.51577712806805498</v>
      </c>
      <c r="GZ73" s="632">
        <f t="shared" si="461"/>
        <v>0.27924049413488139</v>
      </c>
      <c r="HA73" s="632">
        <f t="shared" si="462"/>
        <v>0.23491896870206608</v>
      </c>
      <c r="HB73" s="632">
        <f t="shared" si="463"/>
        <v>0.20179944374132042</v>
      </c>
      <c r="HC73" s="632">
        <f t="shared" si="464"/>
        <v>0.13151839253082298</v>
      </c>
      <c r="HD73" s="632">
        <f t="shared" si="465"/>
        <v>3.7754796528230772E-2</v>
      </c>
      <c r="HE73" s="632">
        <f t="shared" si="466"/>
        <v>-5.0537453829763157E-3</v>
      </c>
      <c r="HF73" s="632">
        <f t="shared" si="467"/>
        <v>-0.11023942299379808</v>
      </c>
      <c r="HG73" s="632">
        <f t="shared" si="468"/>
        <v>-9.3959706297637058E-2</v>
      </c>
      <c r="HH73" s="632">
        <f t="shared" si="469"/>
        <v>1.784363100662878E-2</v>
      </c>
      <c r="HI73" s="632">
        <f t="shared" si="470"/>
        <v>3.5557131972502765E-2</v>
      </c>
      <c r="HJ73" s="632">
        <f t="shared" si="471"/>
        <v>-9.4246120174981129E-3</v>
      </c>
      <c r="HK73" s="632">
        <f t="shared" si="472"/>
        <v>-7.7079799356862488E-2</v>
      </c>
      <c r="HL73" s="632">
        <f t="shared" si="473"/>
        <v>1.1672683318164623E-2</v>
      </c>
      <c r="HM73" s="632">
        <f t="shared" si="474"/>
        <v>1.5201207517828719E-2</v>
      </c>
      <c r="HN73" s="632">
        <f t="shared" si="475"/>
        <v>2.0398983493918887E-3</v>
      </c>
      <c r="HO73" s="632">
        <f t="shared" si="476"/>
        <v>-0.11065239130473414</v>
      </c>
      <c r="HP73" s="632">
        <f t="shared" si="477"/>
        <v>-0.13951444735426655</v>
      </c>
      <c r="HQ73" s="632">
        <f t="shared" si="478"/>
        <v>-6.2338969784891174E-2</v>
      </c>
      <c r="HR73" s="632">
        <f>HR58/HF58-1</f>
        <v>5.5802636660454485E-2</v>
      </c>
      <c r="HS73" s="632">
        <f t="shared" si="480"/>
        <v>4.1864657599353539E-2</v>
      </c>
      <c r="HT73" s="632">
        <f t="shared" si="481"/>
        <v>-2.354071038077532E-2</v>
      </c>
      <c r="HU73" s="632">
        <f t="shared" si="482"/>
        <v>-7.3539077837225242E-2</v>
      </c>
      <c r="HV73" s="632">
        <f t="shared" si="483"/>
        <v>-5.4343498768548715E-2</v>
      </c>
      <c r="HW73" s="632">
        <f t="shared" si="484"/>
        <v>-5.6716312976079486E-3</v>
      </c>
      <c r="HX73" s="632">
        <f t="shared" si="485"/>
        <v>-9.1806996198084967E-4</v>
      </c>
      <c r="HY73" s="632">
        <f t="shared" si="486"/>
        <v>1.6850373571608124E-2</v>
      </c>
      <c r="HZ73" s="632">
        <f t="shared" si="487"/>
        <v>-7.0549712367152795E-2</v>
      </c>
      <c r="IA73" s="632">
        <f t="shared" si="488"/>
        <v>-1.9212282353002763E-3</v>
      </c>
      <c r="IB73" s="632">
        <f t="shared" si="489"/>
        <v>6.8791966738859012E-2</v>
      </c>
      <c r="IC73" s="632">
        <f t="shared" si="490"/>
        <v>7.9120846896803432E-2</v>
      </c>
      <c r="ID73" s="632" t="e">
        <f>#REF!/HR58-1</f>
        <v>#REF!</v>
      </c>
      <c r="IE73" s="632">
        <f>ID60/HS58-1</f>
        <v>-0.18340206480104781</v>
      </c>
      <c r="IF73" s="632">
        <f>IE60/HT58-1</f>
        <v>-0.22535075731888976</v>
      </c>
      <c r="IK73" s="665"/>
      <c r="IL73" s="665"/>
      <c r="IM73" s="665"/>
      <c r="IN73" s="665"/>
      <c r="IO73" s="665"/>
      <c r="IP73" s="665"/>
      <c r="IQ73" s="665"/>
      <c r="IR73" s="665"/>
      <c r="IS73" s="665"/>
      <c r="IT73" s="665"/>
      <c r="IU73" s="665"/>
      <c r="IV73" s="665"/>
      <c r="IW73" s="665"/>
      <c r="IX73" s="665"/>
      <c r="IY73" s="665"/>
    </row>
    <row r="74" spans="5:278" ht="15" x14ac:dyDescent="0.25">
      <c r="FQ74" s="33"/>
      <c r="FR74" s="33"/>
      <c r="FS74" s="33"/>
      <c r="FT74" s="33"/>
      <c r="FU74" s="33"/>
      <c r="FV74" s="33"/>
      <c r="FW74" s="33"/>
      <c r="FX74" s="33"/>
      <c r="FY74" s="33"/>
      <c r="FZ74" s="33"/>
      <c r="GA74" s="33"/>
      <c r="GB74" s="33"/>
      <c r="GC74" s="33"/>
      <c r="GD74" s="33"/>
      <c r="GE74" s="33"/>
      <c r="GF74" s="33"/>
      <c r="GG74" s="33"/>
      <c r="GH74" s="33"/>
      <c r="GI74" s="33"/>
      <c r="GJ74" s="33"/>
      <c r="GK74" s="33"/>
      <c r="GL74" s="33"/>
      <c r="GM74" s="33"/>
      <c r="GN74" s="33"/>
      <c r="GO74" s="33"/>
      <c r="GP74" s="33"/>
      <c r="GQ74" s="33"/>
      <c r="GR74" s="33"/>
      <c r="GS74" s="33"/>
      <c r="GT74" s="33"/>
      <c r="GU74" s="33"/>
      <c r="GV74" s="33"/>
      <c r="GW74" s="33"/>
      <c r="GX74" s="33"/>
      <c r="GY74" s="33"/>
      <c r="GZ74" s="33"/>
      <c r="HA74" s="33"/>
      <c r="HB74" s="33"/>
      <c r="HC74" s="33"/>
      <c r="HD74" s="33"/>
      <c r="HE74" s="33"/>
      <c r="HF74" s="33"/>
      <c r="HG74" s="33"/>
      <c r="HH74" s="33"/>
      <c r="HI74" s="33"/>
      <c r="HJ74" s="33"/>
      <c r="HK74" s="33"/>
      <c r="HL74" s="33"/>
      <c r="HM74" s="33"/>
      <c r="HN74" s="33"/>
      <c r="HO74" s="33"/>
      <c r="HP74" s="33"/>
      <c r="HQ74" s="33"/>
      <c r="HR74" s="33"/>
      <c r="HS74" s="33"/>
      <c r="HT74" s="33"/>
      <c r="IK74" s="444"/>
      <c r="IL74" s="661"/>
      <c r="IM74" s="663"/>
      <c r="IN74" s="663"/>
      <c r="IO74" s="663"/>
      <c r="IP74" s="663"/>
      <c r="IQ74" s="663"/>
      <c r="IR74" s="663"/>
      <c r="IS74" s="663"/>
      <c r="IT74" s="663"/>
      <c r="IU74" s="663"/>
      <c r="IV74" s="663"/>
      <c r="IW74" s="663"/>
      <c r="IX74" s="663"/>
      <c r="IY74" s="664"/>
    </row>
    <row r="75" spans="5:278" ht="15" x14ac:dyDescent="0.25">
      <c r="E75" s="652" t="s">
        <v>541</v>
      </c>
      <c r="IK75" s="444"/>
      <c r="IL75" s="661"/>
      <c r="IM75" s="663"/>
      <c r="IN75" s="663"/>
      <c r="IO75" s="663"/>
      <c r="IP75" s="663"/>
      <c r="IQ75" s="663"/>
      <c r="IR75" s="663"/>
      <c r="IS75" s="663"/>
      <c r="IT75" s="663"/>
      <c r="IU75" s="663"/>
      <c r="IV75" s="663"/>
      <c r="IW75" s="663"/>
      <c r="IX75" s="663"/>
      <c r="IY75" s="664"/>
    </row>
    <row r="76" spans="5:278" ht="15" x14ac:dyDescent="0.25">
      <c r="F76" s="1" t="s">
        <v>56</v>
      </c>
      <c r="G76" s="1" t="s">
        <v>57</v>
      </c>
      <c r="H76" s="1" t="s">
        <v>58</v>
      </c>
      <c r="I76" s="1" t="s">
        <v>59</v>
      </c>
      <c r="J76" s="1" t="s">
        <v>60</v>
      </c>
      <c r="K76" s="1" t="s">
        <v>61</v>
      </c>
      <c r="L76" s="1" t="s">
        <v>62</v>
      </c>
      <c r="M76" s="1" t="s">
        <v>63</v>
      </c>
      <c r="N76" s="1" t="s">
        <v>64</v>
      </c>
      <c r="O76" s="1" t="s">
        <v>65</v>
      </c>
      <c r="P76" s="14" t="s">
        <v>66</v>
      </c>
      <c r="Q76" s="14" t="s">
        <v>67</v>
      </c>
      <c r="R76" s="14" t="s">
        <v>68</v>
      </c>
      <c r="S76" s="14" t="s">
        <v>69</v>
      </c>
      <c r="T76" s="31" t="s">
        <v>70</v>
      </c>
      <c r="U76" s="31" t="s">
        <v>71</v>
      </c>
      <c r="V76" s="31" t="s">
        <v>142</v>
      </c>
      <c r="W76" s="31" t="s">
        <v>300</v>
      </c>
      <c r="X76" s="649" t="s">
        <v>317</v>
      </c>
      <c r="Y76" s="649" t="s">
        <v>329</v>
      </c>
      <c r="Z76" s="31" t="s">
        <v>342</v>
      </c>
      <c r="AA76" s="21" t="s">
        <v>343</v>
      </c>
      <c r="AB76" s="21" t="s">
        <v>344</v>
      </c>
      <c r="AC76" s="21" t="s">
        <v>345</v>
      </c>
      <c r="AD76" s="21" t="s">
        <v>346</v>
      </c>
      <c r="AE76" s="21" t="s">
        <v>347</v>
      </c>
      <c r="AF76" s="21" t="s">
        <v>348</v>
      </c>
      <c r="AG76" s="31"/>
      <c r="AH76" s="6">
        <v>1994</v>
      </c>
      <c r="AI76" s="6">
        <v>1995</v>
      </c>
      <c r="AJ76" s="6">
        <v>1996</v>
      </c>
      <c r="AK76" s="6">
        <v>1997</v>
      </c>
      <c r="AL76" s="6">
        <v>1998</v>
      </c>
      <c r="AM76" s="6">
        <v>1999</v>
      </c>
      <c r="AN76" s="6">
        <v>2000</v>
      </c>
      <c r="AO76" s="6">
        <v>2001</v>
      </c>
      <c r="AP76" s="6">
        <v>2002</v>
      </c>
      <c r="AQ76" s="6">
        <v>2003</v>
      </c>
      <c r="AR76" s="6">
        <v>2004</v>
      </c>
      <c r="AS76" s="6">
        <v>2005</v>
      </c>
      <c r="AT76" s="6">
        <v>2006</v>
      </c>
      <c r="AU76" s="6">
        <v>2007</v>
      </c>
      <c r="AV76" s="6">
        <v>2008</v>
      </c>
      <c r="AW76" s="6">
        <v>2009</v>
      </c>
      <c r="AX76" s="6">
        <v>2010</v>
      </c>
      <c r="AY76" s="6">
        <v>2011</v>
      </c>
      <c r="AZ76" s="6">
        <v>2012</v>
      </c>
      <c r="BA76" s="6">
        <v>2013</v>
      </c>
      <c r="BB76" s="6">
        <v>2014</v>
      </c>
      <c r="BC76" s="6">
        <v>2015</v>
      </c>
      <c r="BD76" s="6">
        <v>2016</v>
      </c>
      <c r="BE76" s="6">
        <v>2017</v>
      </c>
      <c r="BF76" s="6">
        <v>2018</v>
      </c>
      <c r="IK76" s="444"/>
      <c r="IL76" s="661"/>
      <c r="IM76" s="663"/>
      <c r="IN76" s="663"/>
      <c r="IO76" s="663"/>
      <c r="IP76" s="663"/>
      <c r="IQ76" s="663"/>
      <c r="IR76" s="663"/>
      <c r="IS76" s="663"/>
      <c r="IT76" s="663"/>
      <c r="IU76" s="663"/>
      <c r="IV76" s="662"/>
      <c r="IW76" s="664"/>
      <c r="IX76" s="664"/>
      <c r="IY76" s="664"/>
    </row>
    <row r="77" spans="5:278" x14ac:dyDescent="0.2">
      <c r="E77" s="9" t="s">
        <v>77</v>
      </c>
      <c r="AG77" s="31"/>
      <c r="AH77" s="10"/>
      <c r="AI77" s="10"/>
      <c r="AJ77" s="10"/>
      <c r="AK77" s="10"/>
      <c r="AL77" s="10"/>
      <c r="AM77" s="10"/>
      <c r="AN77" s="10"/>
      <c r="AO77" s="10"/>
      <c r="AP77" s="10"/>
      <c r="FP77" s="18"/>
      <c r="FQ77" s="18"/>
      <c r="FR77" s="18"/>
      <c r="FS77" s="18"/>
      <c r="FT77" s="18"/>
      <c r="FU77" s="18"/>
      <c r="FV77" s="18"/>
      <c r="FW77" s="18"/>
      <c r="FX77" s="18"/>
      <c r="FY77" s="18"/>
      <c r="FZ77" s="18"/>
      <c r="GA77" s="18"/>
      <c r="GB77" s="18"/>
      <c r="GC77" s="18"/>
      <c r="GD77" s="18"/>
      <c r="GE77" s="18"/>
      <c r="GF77" s="18"/>
      <c r="GG77" s="18"/>
      <c r="GH77" s="18"/>
      <c r="GI77" s="18"/>
      <c r="GJ77" s="18"/>
      <c r="GK77" s="18"/>
      <c r="GL77" s="384"/>
      <c r="GM77" s="384"/>
      <c r="GN77" s="384"/>
      <c r="GO77" s="384"/>
      <c r="GP77" s="384"/>
      <c r="GQ77" s="384"/>
      <c r="GR77" s="384"/>
      <c r="GS77" s="384"/>
      <c r="GT77" s="384"/>
      <c r="GU77" s="384"/>
      <c r="GV77" s="384"/>
      <c r="GW77" s="384"/>
      <c r="GX77" s="384"/>
      <c r="GY77" s="384"/>
      <c r="GZ77" s="384"/>
      <c r="HA77" s="384"/>
      <c r="HB77" s="384"/>
      <c r="HC77" s="384"/>
      <c r="HD77" s="384"/>
      <c r="HE77" s="384"/>
      <c r="HF77" s="384"/>
      <c r="HG77" s="384"/>
      <c r="HH77" s="384"/>
      <c r="HI77" s="384"/>
      <c r="HJ77" s="384"/>
      <c r="HK77" s="384"/>
      <c r="HL77" s="384"/>
      <c r="HM77" s="384"/>
      <c r="HN77" s="384"/>
      <c r="HO77" s="384"/>
      <c r="HP77" s="384"/>
      <c r="HQ77" s="384"/>
      <c r="HR77" s="384"/>
      <c r="HS77" s="384"/>
      <c r="HT77" s="384"/>
      <c r="IK77" s="444"/>
      <c r="IL77" s="444"/>
      <c r="IM77" s="444"/>
      <c r="IN77" s="444"/>
      <c r="IO77" s="444"/>
      <c r="IP77" s="444"/>
      <c r="IQ77" s="444"/>
      <c r="IR77" s="444"/>
      <c r="IS77" s="444"/>
      <c r="IT77" s="444"/>
      <c r="IU77" s="444"/>
      <c r="IV77" s="444"/>
      <c r="IW77" s="444"/>
      <c r="IX77" s="444"/>
      <c r="IY77" s="444"/>
    </row>
    <row r="78" spans="5:278" x14ac:dyDescent="0.2">
      <c r="E78" s="422" t="s">
        <v>75</v>
      </c>
      <c r="K78">
        <f>BR78</f>
        <v>0</v>
      </c>
      <c r="L78">
        <f>CD78</f>
        <v>0</v>
      </c>
      <c r="M78">
        <f>CP78</f>
        <v>0</v>
      </c>
      <c r="N78">
        <f>DB78</f>
        <v>0</v>
      </c>
      <c r="O78">
        <f>DN78</f>
        <v>0</v>
      </c>
      <c r="P78">
        <f>DZ78</f>
        <v>0</v>
      </c>
      <c r="Q78">
        <f>EL78</f>
        <v>0</v>
      </c>
      <c r="R78">
        <f>EX78</f>
        <v>0</v>
      </c>
      <c r="S78">
        <f>FJ78</f>
        <v>0</v>
      </c>
      <c r="T78">
        <f>FV78</f>
        <v>0</v>
      </c>
      <c r="U78">
        <f t="shared" ref="U78:U85" si="519">GH78</f>
        <v>0</v>
      </c>
      <c r="V78">
        <f>GT78</f>
        <v>0</v>
      </c>
      <c r="W78">
        <f>HF78</f>
        <v>0</v>
      </c>
      <c r="X78" s="28">
        <f>HR78</f>
        <v>0</v>
      </c>
      <c r="Y78" s="28">
        <f>ID78</f>
        <v>0</v>
      </c>
      <c r="Z78">
        <f>IP78</f>
        <v>0</v>
      </c>
      <c r="AA78">
        <f>Z78*(1+AA79)</f>
        <v>0</v>
      </c>
      <c r="AB78">
        <f>AA78*(1+AB79)</f>
        <v>0</v>
      </c>
      <c r="AC78">
        <f>AB78*(1+AC79)</f>
        <v>0</v>
      </c>
      <c r="AH78">
        <f t="shared" ref="AH78" si="520">AI78/(1+AI79)</f>
        <v>0</v>
      </c>
      <c r="AI78">
        <f t="shared" ref="AI78" si="521">AJ78/(1+AJ79)</f>
        <v>0</v>
      </c>
      <c r="AJ78">
        <f t="shared" ref="AJ78" si="522">AK78/(1+AK79)</f>
        <v>0</v>
      </c>
      <c r="AK78">
        <f t="shared" ref="AK78" si="523">AL78/(1+AL79)</f>
        <v>0</v>
      </c>
      <c r="AL78">
        <f t="shared" ref="AL78" si="524">AM78/(1+AM79)</f>
        <v>0</v>
      </c>
      <c r="AM78">
        <f t="shared" ref="AM78" si="525">AN78/(1+AN79)</f>
        <v>0</v>
      </c>
      <c r="AN78">
        <f>BX78</f>
        <v>0</v>
      </c>
      <c r="AO78">
        <f>CJ78</f>
        <v>0</v>
      </c>
      <c r="AP78">
        <f>CV78</f>
        <v>0</v>
      </c>
      <c r="AQ78">
        <f>DH78</f>
        <v>0</v>
      </c>
      <c r="AR78">
        <f>DT78</f>
        <v>0</v>
      </c>
      <c r="AS78">
        <f>EF78</f>
        <v>0</v>
      </c>
      <c r="AT78">
        <f>ER78</f>
        <v>0</v>
      </c>
      <c r="AU78">
        <f>FD78</f>
        <v>0</v>
      </c>
      <c r="AV78">
        <f>FP78</f>
        <v>0</v>
      </c>
      <c r="AW78">
        <f t="shared" ref="AW78:AW83" si="526">GB78</f>
        <v>0</v>
      </c>
      <c r="AX78">
        <f>GN78</f>
        <v>0</v>
      </c>
      <c r="AY78">
        <f>GZ78</f>
        <v>0</v>
      </c>
      <c r="AZ78">
        <f>HL78</f>
        <v>0</v>
      </c>
      <c r="BA78">
        <f>HX78</f>
        <v>0</v>
      </c>
      <c r="BB78">
        <f t="shared" ref="BB78" si="527">BA78*(1+BB79)</f>
        <v>0</v>
      </c>
      <c r="BC78">
        <f t="shared" ref="BC78" si="528">BB78*(1+BC79)</f>
        <v>0</v>
      </c>
      <c r="BD78">
        <f t="shared" ref="BD78" si="529">BC78*(1+BD79)</f>
        <v>0</v>
      </c>
      <c r="BE78">
        <f t="shared" ref="BE78" si="530">BD78*(1+BE79)</f>
        <v>0</v>
      </c>
      <c r="BF78">
        <f t="shared" ref="BF78" si="531">BE78*(1+BF79)</f>
        <v>0</v>
      </c>
      <c r="FQ78" s="464"/>
      <c r="FR78" s="464"/>
      <c r="FS78" s="464"/>
      <c r="FT78" s="464"/>
      <c r="FU78" s="464"/>
      <c r="FV78" s="464"/>
      <c r="FW78" s="464"/>
      <c r="FX78" s="464"/>
      <c r="FY78" s="464"/>
      <c r="FZ78" s="464"/>
      <c r="GA78" s="464"/>
      <c r="GB78" s="464"/>
      <c r="GC78" s="464"/>
      <c r="GD78" s="464"/>
      <c r="GE78" s="464"/>
      <c r="GF78" s="464"/>
      <c r="GG78" s="464"/>
      <c r="GH78" s="464"/>
      <c r="GI78" s="464"/>
      <c r="GJ78" s="464"/>
      <c r="GK78" s="464"/>
      <c r="GL78" s="464"/>
      <c r="GM78" s="464"/>
      <c r="GN78" s="464"/>
      <c r="GO78" s="464"/>
      <c r="GP78" s="464"/>
      <c r="GQ78" s="464"/>
      <c r="GR78" s="464"/>
      <c r="GS78" s="464"/>
      <c r="GT78" s="464"/>
      <c r="GU78" s="464"/>
      <c r="GV78" s="464"/>
      <c r="GW78" s="464"/>
      <c r="GX78" s="464"/>
      <c r="GY78" s="464"/>
      <c r="GZ78" s="464"/>
      <c r="HA78" s="464"/>
      <c r="HB78" s="464"/>
      <c r="HC78" s="464"/>
      <c r="HD78" s="464"/>
      <c r="HE78" s="464"/>
      <c r="HF78" s="464"/>
      <c r="HG78" s="464"/>
      <c r="IM78" s="444"/>
      <c r="IN78" s="444"/>
      <c r="IO78" s="444"/>
      <c r="IP78" s="444"/>
      <c r="IQ78" s="444"/>
      <c r="IR78" s="444"/>
      <c r="IS78" s="444"/>
      <c r="IT78" s="444"/>
      <c r="IU78" s="444"/>
      <c r="IV78" s="444"/>
      <c r="IW78" s="444"/>
      <c r="IX78" s="444"/>
      <c r="IY78" s="444"/>
    </row>
    <row r="79" spans="5:278" x14ac:dyDescent="0.2">
      <c r="E79" t="s">
        <v>78</v>
      </c>
      <c r="L79" t="e">
        <f t="shared" ref="L79" si="532">L78/K78-1</f>
        <v>#DIV/0!</v>
      </c>
      <c r="M79" t="e">
        <f t="shared" ref="M79" si="533">M78/L78-1</f>
        <v>#DIV/0!</v>
      </c>
      <c r="N79" t="e">
        <f t="shared" ref="N79" si="534">N78/M78-1</f>
        <v>#DIV/0!</v>
      </c>
      <c r="O79" t="e">
        <f t="shared" ref="O79" si="535">O78/N78-1</f>
        <v>#DIV/0!</v>
      </c>
      <c r="P79" t="e">
        <f t="shared" ref="P79" si="536">P78/O78-1</f>
        <v>#DIV/0!</v>
      </c>
      <c r="Q79" t="e">
        <f t="shared" ref="Q79" si="537">Q78/P78-1</f>
        <v>#DIV/0!</v>
      </c>
      <c r="R79" t="e">
        <f t="shared" ref="R79" si="538">R78/Q78-1</f>
        <v>#DIV/0!</v>
      </c>
      <c r="S79" t="e">
        <f t="shared" ref="S79" si="539">S78/R78-1</f>
        <v>#DIV/0!</v>
      </c>
      <c r="T79" t="e">
        <f t="shared" ref="T79" si="540">T78/S78-1</f>
        <v>#DIV/0!</v>
      </c>
      <c r="U79">
        <f t="shared" si="519"/>
        <v>0</v>
      </c>
      <c r="V79" t="e">
        <f>V78/U78-1</f>
        <v>#DIV/0!</v>
      </c>
      <c r="W79" t="e">
        <f>W78/V78-1</f>
        <v>#DIV/0!</v>
      </c>
      <c r="X79" s="28" t="e">
        <f>X78/W78-1</f>
        <v>#DIV/0!</v>
      </c>
      <c r="Y79" s="28" t="e">
        <f>Y78/X78-1</f>
        <v>#DIV/0!</v>
      </c>
      <c r="Z79" t="e">
        <f>Z78/Y78-1</f>
        <v>#DIV/0!</v>
      </c>
      <c r="AA79">
        <f>AVERAGE(BC79:BD79)</f>
        <v>0</v>
      </c>
      <c r="AB79">
        <f>AVERAGE(BD79:BE79)</f>
        <v>0</v>
      </c>
      <c r="AC79">
        <f>AVERAGE(BE79:BF79)</f>
        <v>0</v>
      </c>
      <c r="AH79">
        <v>0.3303834808259587</v>
      </c>
      <c r="AI79">
        <v>0.28381374722838126</v>
      </c>
      <c r="AJ79">
        <v>0.20984455958549231</v>
      </c>
      <c r="AK79">
        <v>0.16059957173447548</v>
      </c>
      <c r="AL79">
        <v>0.12822878228782275</v>
      </c>
      <c r="AM79">
        <v>7.8904333605887222E-2</v>
      </c>
      <c r="AN79">
        <f>BX79</f>
        <v>0</v>
      </c>
      <c r="AO79" t="e">
        <f t="shared" ref="AO79" si="541">AO78/AN78-1</f>
        <v>#DIV/0!</v>
      </c>
      <c r="AP79" t="e">
        <f t="shared" ref="AP79" si="542">AP78/AO78-1</f>
        <v>#DIV/0!</v>
      </c>
      <c r="AQ79" t="e">
        <f t="shared" ref="AQ79" si="543">AQ78/AP78-1</f>
        <v>#DIV/0!</v>
      </c>
      <c r="AR79" t="e">
        <f t="shared" ref="AR79" si="544">AR78/AQ78-1</f>
        <v>#DIV/0!</v>
      </c>
      <c r="AS79" t="e">
        <f t="shared" ref="AS79" si="545">AS78/AR78-1</f>
        <v>#DIV/0!</v>
      </c>
      <c r="AT79" t="e">
        <f t="shared" ref="AT79" si="546">AT78/AS78-1</f>
        <v>#DIV/0!</v>
      </c>
      <c r="AU79" t="e">
        <f t="shared" ref="AU79" si="547">AU78/AT78-1</f>
        <v>#DIV/0!</v>
      </c>
      <c r="AV79" t="e">
        <f t="shared" ref="AV79" si="548">AV78/AU78-1</f>
        <v>#DIV/0!</v>
      </c>
      <c r="AW79">
        <f t="shared" si="526"/>
        <v>0</v>
      </c>
      <c r="AX79">
        <f>GN79</f>
        <v>0</v>
      </c>
      <c r="AY79" t="e">
        <f t="shared" ref="AY79" si="549">AY78/AX78-1</f>
        <v>#DIV/0!</v>
      </c>
      <c r="AZ79" t="e">
        <f t="shared" ref="AZ79" si="550">AZ78/AY78-1</f>
        <v>#DIV/0!</v>
      </c>
      <c r="BA79" t="e">
        <f t="shared" ref="BA79" si="551">BA78/AZ78-1</f>
        <v>#DIV/0!</v>
      </c>
      <c r="BB79">
        <f>'NA ASSUMPTIONS'!P124</f>
        <v>0</v>
      </c>
      <c r="BC79">
        <f>'NA ASSUMPTIONS'!Q124</f>
        <v>0</v>
      </c>
      <c r="BD79">
        <f>'NA ASSUMPTIONS'!R124</f>
        <v>0</v>
      </c>
      <c r="BE79">
        <f>'NA ASSUMPTIONS'!S124</f>
        <v>0</v>
      </c>
      <c r="BF79">
        <f>'NA ASSUMPTIONS'!T124</f>
        <v>0</v>
      </c>
      <c r="IM79" s="444"/>
      <c r="IN79" s="444"/>
      <c r="IO79" s="444"/>
      <c r="IP79" s="444"/>
      <c r="IQ79" s="444"/>
      <c r="IR79" s="444"/>
      <c r="IS79" s="444"/>
      <c r="IT79" s="444"/>
      <c r="IU79" s="444"/>
      <c r="IV79" s="444"/>
      <c r="IW79" s="444"/>
      <c r="IX79" s="444"/>
      <c r="IY79" s="444"/>
    </row>
    <row r="80" spans="5:278" x14ac:dyDescent="0.2">
      <c r="E80" t="s">
        <v>73</v>
      </c>
      <c r="K80">
        <f>BR80</f>
        <v>0</v>
      </c>
      <c r="L80">
        <f>CD80</f>
        <v>0</v>
      </c>
      <c r="M80">
        <f>CP80</f>
        <v>0</v>
      </c>
      <c r="N80">
        <f>DB80</f>
        <v>0</v>
      </c>
      <c r="O80">
        <f>DN80</f>
        <v>0</v>
      </c>
      <c r="P80">
        <f>DZ80</f>
        <v>0</v>
      </c>
      <c r="Q80">
        <f>EL80</f>
        <v>0</v>
      </c>
      <c r="R80">
        <f>EX80</f>
        <v>0</v>
      </c>
      <c r="S80">
        <f>FJ80</f>
        <v>0</v>
      </c>
      <c r="T80">
        <f>FV80</f>
        <v>0</v>
      </c>
      <c r="U80">
        <f t="shared" si="519"/>
        <v>0</v>
      </c>
      <c r="V80">
        <f>GT80</f>
        <v>0</v>
      </c>
      <c r="W80">
        <f>HF80</f>
        <v>0</v>
      </c>
      <c r="X80" s="28">
        <f>HR80</f>
        <v>0</v>
      </c>
      <c r="Y80" s="28">
        <f>ID80</f>
        <v>0</v>
      </c>
      <c r="Z80">
        <f>IP80</f>
        <v>0</v>
      </c>
      <c r="AA80">
        <f>Z80*(1+AA81)</f>
        <v>0</v>
      </c>
      <c r="AB80">
        <f>AA80*(1+AB81)</f>
        <v>0</v>
      </c>
      <c r="AC80">
        <f>AB80*(1+AC81)</f>
        <v>0</v>
      </c>
      <c r="AN80">
        <f>BX80</f>
        <v>0</v>
      </c>
      <c r="AO80">
        <f>CJ80</f>
        <v>0</v>
      </c>
      <c r="AP80">
        <f>CV80</f>
        <v>0</v>
      </c>
      <c r="AQ80">
        <f>DH80</f>
        <v>0</v>
      </c>
      <c r="AR80">
        <f>DT80</f>
        <v>0</v>
      </c>
      <c r="AS80">
        <f>EF80</f>
        <v>0</v>
      </c>
      <c r="AT80">
        <f>ER80</f>
        <v>0</v>
      </c>
      <c r="AU80">
        <f>FD80</f>
        <v>0</v>
      </c>
      <c r="AV80">
        <f>FP80</f>
        <v>0</v>
      </c>
      <c r="AW80">
        <f t="shared" si="526"/>
        <v>0</v>
      </c>
      <c r="AX80">
        <f>GN80</f>
        <v>0</v>
      </c>
      <c r="AY80">
        <f>GZ80</f>
        <v>0</v>
      </c>
      <c r="AZ80">
        <f>HL80</f>
        <v>0</v>
      </c>
      <c r="BA80">
        <f>HX80</f>
        <v>0</v>
      </c>
      <c r="BB80">
        <f t="shared" ref="BB80" si="552">BA80*(1+BB81)</f>
        <v>0</v>
      </c>
      <c r="BC80">
        <f t="shared" ref="BC80" si="553">BB80*(1+BC81)</f>
        <v>0</v>
      </c>
      <c r="BD80">
        <f t="shared" ref="BD80" si="554">BC80*(1+BD81)</f>
        <v>0</v>
      </c>
      <c r="BE80">
        <f t="shared" ref="BE80" si="555">BD80*(1+BE81)</f>
        <v>0</v>
      </c>
      <c r="BF80">
        <f t="shared" ref="BF80" si="556">BE80*(1+BF81)</f>
        <v>0</v>
      </c>
    </row>
    <row r="81" spans="5:58" x14ac:dyDescent="0.2">
      <c r="E81" t="s">
        <v>79</v>
      </c>
      <c r="L81" t="e">
        <f t="shared" ref="L81" si="557">L80/K80-1</f>
        <v>#DIV/0!</v>
      </c>
      <c r="M81" t="e">
        <f t="shared" ref="M81" si="558">M80/L80-1</f>
        <v>#DIV/0!</v>
      </c>
      <c r="N81" t="e">
        <f t="shared" ref="N81" si="559">N80/M80-1</f>
        <v>#DIV/0!</v>
      </c>
      <c r="O81" t="e">
        <f t="shared" ref="O81" si="560">O80/N80-1</f>
        <v>#DIV/0!</v>
      </c>
      <c r="P81" t="e">
        <f t="shared" ref="P81" si="561">P80/O80-1</f>
        <v>#DIV/0!</v>
      </c>
      <c r="Q81" t="e">
        <f t="shared" ref="Q81" si="562">Q80/P80-1</f>
        <v>#DIV/0!</v>
      </c>
      <c r="R81" t="e">
        <f t="shared" ref="R81" si="563">R80/Q80-1</f>
        <v>#DIV/0!</v>
      </c>
      <c r="S81" t="e">
        <f>S80/R80-1</f>
        <v>#DIV/0!</v>
      </c>
      <c r="T81" t="e">
        <f>T80/S80-1</f>
        <v>#DIV/0!</v>
      </c>
      <c r="U81">
        <f t="shared" si="519"/>
        <v>0</v>
      </c>
      <c r="V81" t="e">
        <f>V80/U80-1</f>
        <v>#DIV/0!</v>
      </c>
      <c r="W81" t="e">
        <f>W80/V80-1</f>
        <v>#DIV/0!</v>
      </c>
      <c r="X81" s="28" t="e">
        <f>X80/W80-1</f>
        <v>#DIV/0!</v>
      </c>
      <c r="Y81" s="28" t="e">
        <f>Y80/X80-1</f>
        <v>#DIV/0!</v>
      </c>
      <c r="Z81" t="e">
        <f>Z80/Y80-1</f>
        <v>#DIV/0!</v>
      </c>
      <c r="AA81">
        <f>AVERAGE(BC81:BD81)</f>
        <v>0</v>
      </c>
      <c r="AB81">
        <f>AVERAGE(BD81:BE81)</f>
        <v>0</v>
      </c>
      <c r="AC81">
        <f>AVERAGE(BE81:BF81)</f>
        <v>0</v>
      </c>
      <c r="AH81" t="e">
        <f>AVERAGE(W79:AH79)</f>
        <v>#DIV/0!</v>
      </c>
      <c r="AI81">
        <f t="shared" ref="AI81" si="564">AVERAGE(AH79:AI79)</f>
        <v>0.30709861402716998</v>
      </c>
      <c r="AJ81">
        <f t="shared" ref="AJ81" si="565">AVERAGE(AI79:AJ79)</f>
        <v>0.24682915340693679</v>
      </c>
      <c r="AK81">
        <f t="shared" ref="AK81" si="566">AVERAGE(AJ79:AK79)</f>
        <v>0.18522206565998389</v>
      </c>
      <c r="AL81">
        <f t="shared" ref="AL81" si="567">AVERAGE(AK79:AL79)</f>
        <v>0.14441417701114911</v>
      </c>
      <c r="AM81">
        <f t="shared" ref="AM81" si="568">AVERAGE(AL79:AM79)</f>
        <v>0.10356655794685499</v>
      </c>
      <c r="AN81">
        <f t="shared" ref="AN81" si="569">AVERAGE(AM79:AN79)</f>
        <v>3.9452166802943611E-2</v>
      </c>
      <c r="AO81" t="e">
        <f t="shared" ref="AO81" si="570">AO80/AN80-1</f>
        <v>#DIV/0!</v>
      </c>
      <c r="AP81" t="e">
        <f t="shared" ref="AP81" si="571">AP80/AO80-1</f>
        <v>#DIV/0!</v>
      </c>
      <c r="AQ81" t="e">
        <f t="shared" ref="AQ81" si="572">AQ80/AP80-1</f>
        <v>#DIV/0!</v>
      </c>
      <c r="AR81" t="e">
        <f t="shared" ref="AR81" si="573">AR80/AQ80-1</f>
        <v>#DIV/0!</v>
      </c>
      <c r="AS81" t="e">
        <f t="shared" ref="AS81" si="574">AS80/AR80-1</f>
        <v>#DIV/0!</v>
      </c>
      <c r="AT81" t="e">
        <f t="shared" ref="AT81" si="575">AT80/AS80-1</f>
        <v>#DIV/0!</v>
      </c>
      <c r="AU81" t="e">
        <f t="shared" ref="AU81" si="576">AU80/AT80-1</f>
        <v>#DIV/0!</v>
      </c>
      <c r="AV81" t="e">
        <f t="shared" ref="AV81" si="577">AV80/AU80-1</f>
        <v>#DIV/0!</v>
      </c>
      <c r="AW81">
        <f t="shared" si="526"/>
        <v>0</v>
      </c>
      <c r="AX81">
        <f>GN81</f>
        <v>0</v>
      </c>
      <c r="AY81" t="e">
        <f>AY80/AX80-1</f>
        <v>#DIV/0!</v>
      </c>
      <c r="AZ81" t="e">
        <f>AZ80/AY80-1</f>
        <v>#DIV/0!</v>
      </c>
      <c r="BA81" t="e">
        <f>BA80/AZ80-1</f>
        <v>#DIV/0!</v>
      </c>
      <c r="BB81">
        <f t="shared" ref="BB81:BF81" si="578">BB79</f>
        <v>0</v>
      </c>
      <c r="BC81">
        <f t="shared" si="578"/>
        <v>0</v>
      </c>
      <c r="BD81">
        <f t="shared" si="578"/>
        <v>0</v>
      </c>
      <c r="BE81">
        <f t="shared" si="578"/>
        <v>0</v>
      </c>
      <c r="BF81">
        <f t="shared" si="578"/>
        <v>0</v>
      </c>
    </row>
    <row r="82" spans="5:58" x14ac:dyDescent="0.2">
      <c r="E82" t="s">
        <v>74</v>
      </c>
      <c r="K82">
        <f>BR82</f>
        <v>0</v>
      </c>
      <c r="L82">
        <f>CD82</f>
        <v>0</v>
      </c>
      <c r="M82">
        <f>CP82</f>
        <v>0</v>
      </c>
      <c r="N82">
        <f>DB82</f>
        <v>0</v>
      </c>
      <c r="O82">
        <f>DN82</f>
        <v>0</v>
      </c>
      <c r="P82">
        <f>DZ82</f>
        <v>0</v>
      </c>
      <c r="Q82">
        <f>EL82</f>
        <v>0</v>
      </c>
      <c r="R82">
        <f>EX82</f>
        <v>0</v>
      </c>
      <c r="S82">
        <f>FJ82</f>
        <v>0</v>
      </c>
      <c r="T82">
        <f>FV82</f>
        <v>0</v>
      </c>
      <c r="U82">
        <f t="shared" si="519"/>
        <v>0</v>
      </c>
      <c r="V82">
        <f>GT82</f>
        <v>0</v>
      </c>
      <c r="W82">
        <f>HF82</f>
        <v>0</v>
      </c>
      <c r="X82" s="28">
        <f>HR82</f>
        <v>0</v>
      </c>
      <c r="Y82" s="28">
        <f>ID82</f>
        <v>0</v>
      </c>
      <c r="Z82">
        <f>IP82</f>
        <v>0</v>
      </c>
      <c r="AA82">
        <f>Z82*(1+AA83)</f>
        <v>0</v>
      </c>
      <c r="AB82">
        <f>AA82*(1+AB83)</f>
        <v>0</v>
      </c>
      <c r="AC82">
        <f>AB82*(1+AC83)</f>
        <v>0</v>
      </c>
      <c r="AN82">
        <f>BX82</f>
        <v>0</v>
      </c>
      <c r="AO82">
        <f>CJ82</f>
        <v>0</v>
      </c>
      <c r="AP82">
        <f>CV82</f>
        <v>0</v>
      </c>
      <c r="AQ82">
        <f>DH82</f>
        <v>0</v>
      </c>
      <c r="AR82">
        <v>104.6</v>
      </c>
      <c r="AS82">
        <f>EF82</f>
        <v>0</v>
      </c>
      <c r="AT82">
        <f>ER82</f>
        <v>0</v>
      </c>
      <c r="AU82">
        <f>FD82</f>
        <v>0</v>
      </c>
      <c r="AV82">
        <f>FP82</f>
        <v>0</v>
      </c>
      <c r="AW82">
        <f t="shared" si="526"/>
        <v>0</v>
      </c>
      <c r="AX82">
        <f>GN82</f>
        <v>0</v>
      </c>
      <c r="AY82">
        <f>GZ82</f>
        <v>0</v>
      </c>
      <c r="AZ82">
        <f>HL82</f>
        <v>0</v>
      </c>
      <c r="BA82">
        <f>HX82</f>
        <v>0</v>
      </c>
      <c r="BB82">
        <f t="shared" ref="BB82" si="579">BA82*(1+BB83)</f>
        <v>0</v>
      </c>
      <c r="BC82">
        <f t="shared" ref="BC82" si="580">BB82*(1+BC83)</f>
        <v>0</v>
      </c>
      <c r="BD82">
        <f t="shared" ref="BD82" si="581">BC82*(1+BD83)</f>
        <v>0</v>
      </c>
      <c r="BE82">
        <f t="shared" ref="BE82" si="582">BD82*(1+BE83)</f>
        <v>0</v>
      </c>
      <c r="BF82">
        <f t="shared" ref="BF82" si="583">BE82*(1+BF83)</f>
        <v>0</v>
      </c>
    </row>
    <row r="83" spans="5:58" x14ac:dyDescent="0.2">
      <c r="E83" t="s">
        <v>80</v>
      </c>
      <c r="L83" t="e">
        <f>L82/K82-1</f>
        <v>#DIV/0!</v>
      </c>
      <c r="M83">
        <v>0.04</v>
      </c>
      <c r="N83">
        <v>2.5999999999999999E-2</v>
      </c>
      <c r="O83" t="e">
        <f t="shared" ref="O83" si="584">O82/N82-1</f>
        <v>#DIV/0!</v>
      </c>
      <c r="P83" t="e">
        <f t="shared" ref="P83" si="585">P82/O82-1</f>
        <v>#DIV/0!</v>
      </c>
      <c r="Q83" t="e">
        <f t="shared" ref="Q83" si="586">Q82/P82-1</f>
        <v>#DIV/0!</v>
      </c>
      <c r="R83" t="e">
        <f t="shared" ref="R83" si="587">R82/Q82-1</f>
        <v>#DIV/0!</v>
      </c>
      <c r="S83" t="e">
        <f t="shared" ref="S83" si="588">S82/R82-1</f>
        <v>#DIV/0!</v>
      </c>
      <c r="T83" t="e">
        <f t="shared" ref="T83" si="589">T82/S82-1</f>
        <v>#DIV/0!</v>
      </c>
      <c r="U83">
        <f t="shared" si="519"/>
        <v>0</v>
      </c>
      <c r="V83" t="e">
        <f>V82/U82-1</f>
        <v>#DIV/0!</v>
      </c>
      <c r="W83" t="e">
        <f>W82/V82-1</f>
        <v>#DIV/0!</v>
      </c>
      <c r="X83" s="28" t="e">
        <f t="shared" ref="X83" si="590">AVERAGE(AZ83:BA83)</f>
        <v>#DIV/0!</v>
      </c>
      <c r="Y83" s="28" t="e">
        <f t="shared" ref="Y83" si="591">AVERAGE(BA83:BB83)</f>
        <v>#DIV/0!</v>
      </c>
      <c r="Z83">
        <f t="shared" ref="Z83" si="592">AVERAGE(BB83:BC83)</f>
        <v>0</v>
      </c>
      <c r="AA83">
        <f t="shared" ref="AA83" si="593">AVERAGE(BC83:BD83)</f>
        <v>0</v>
      </c>
      <c r="AB83">
        <f t="shared" ref="AB83" si="594">AVERAGE(BD83:BE83)</f>
        <v>0</v>
      </c>
      <c r="AC83">
        <f t="shared" ref="AC83" si="595">AVERAGE(BE83:BF83)</f>
        <v>0</v>
      </c>
      <c r="AO83" t="e">
        <f t="shared" ref="AO83" si="596">AO82/AN82-1</f>
        <v>#DIV/0!</v>
      </c>
      <c r="AP83" t="e">
        <f t="shared" ref="AP83" si="597">AP82/AO82-1</f>
        <v>#DIV/0!</v>
      </c>
      <c r="AQ83" t="e">
        <f t="shared" ref="AQ83" si="598">AQ82/AP82-1</f>
        <v>#DIV/0!</v>
      </c>
      <c r="AR83" t="e">
        <f t="shared" ref="AR83" si="599">AR82/AQ82-1</f>
        <v>#DIV/0!</v>
      </c>
      <c r="AS83">
        <f t="shared" ref="AS83" si="600">AS82/AR82-1</f>
        <v>-1</v>
      </c>
      <c r="AT83" t="e">
        <f t="shared" ref="AT83" si="601">AT82/AS82-1</f>
        <v>#DIV/0!</v>
      </c>
      <c r="AU83" t="e">
        <f t="shared" ref="AU83" si="602">AU82/AT82-1</f>
        <v>#DIV/0!</v>
      </c>
      <c r="AV83" t="e">
        <f t="shared" ref="AV83" si="603">AV82/AU82-1</f>
        <v>#DIV/0!</v>
      </c>
      <c r="AW83">
        <f t="shared" si="526"/>
        <v>0</v>
      </c>
      <c r="AX83">
        <f>GI83*1</f>
        <v>0</v>
      </c>
      <c r="AY83" t="e">
        <f>AY82/AX82-1</f>
        <v>#DIV/0!</v>
      </c>
      <c r="AZ83" t="e">
        <f>AZ82/AY82-1</f>
        <v>#DIV/0!</v>
      </c>
      <c r="BA83" t="e">
        <f>BA82/AZ82-1</f>
        <v>#DIV/0!</v>
      </c>
      <c r="BB83">
        <f>BB81</f>
        <v>0</v>
      </c>
      <c r="BC83">
        <f>BC81</f>
        <v>0</v>
      </c>
      <c r="BD83">
        <f>BD81</f>
        <v>0</v>
      </c>
      <c r="BE83">
        <f>BE81</f>
        <v>0</v>
      </c>
      <c r="BF83">
        <f>BF81</f>
        <v>0</v>
      </c>
    </row>
    <row r="84" spans="5:58" x14ac:dyDescent="0.2">
      <c r="E84" t="s">
        <v>76</v>
      </c>
      <c r="L84">
        <f>CD84</f>
        <v>0</v>
      </c>
      <c r="M84" t="e">
        <f>AVERAGE(CE84:CP84)</f>
        <v>#DIV/0!</v>
      </c>
      <c r="N84" t="e">
        <f>AVERAGE(CQ84:DB84)</f>
        <v>#DIV/0!</v>
      </c>
      <c r="O84" t="e">
        <f>AVERAGE(DC84:DN84)</f>
        <v>#DIV/0!</v>
      </c>
      <c r="P84" t="e">
        <f>AVERAGE(DO84:DZ84)</f>
        <v>#DIV/0!</v>
      </c>
      <c r="Q84" t="e">
        <f>AVERAGE(DZ84:EL84)</f>
        <v>#DIV/0!</v>
      </c>
      <c r="R84" t="e">
        <f>AVERAGE(EM84:EX84)</f>
        <v>#DIV/0!</v>
      </c>
      <c r="S84" t="e">
        <f>AVERAGE(EY84:FJ84)</f>
        <v>#DIV/0!</v>
      </c>
      <c r="T84" t="e">
        <f>AVERAGE(FK84:FV84)</f>
        <v>#DIV/0!</v>
      </c>
      <c r="U84">
        <f t="shared" si="519"/>
        <v>0</v>
      </c>
      <c r="V84" t="e">
        <f>AVERAGE(GI84:GT84)</f>
        <v>#DIV/0!</v>
      </c>
      <c r="W84" t="e">
        <f>AVERAGE(GU84:HF84)</f>
        <v>#DIV/0!</v>
      </c>
      <c r="X84" s="28" t="e">
        <f>AVERAGE(HG84:HR84)</f>
        <v>#DIV/0!</v>
      </c>
      <c r="Y84" s="28" t="e">
        <f>AVERAGE(HS84:ID84)</f>
        <v>#DIV/0!</v>
      </c>
      <c r="Z84">
        <f>IP84</f>
        <v>0</v>
      </c>
      <c r="AA84">
        <f>Z84*(1+AA85)</f>
        <v>0</v>
      </c>
      <c r="AB84">
        <f>AA84*(1+AB85)</f>
        <v>0</v>
      </c>
      <c r="AC84">
        <f>AB84*(1+AC85)</f>
        <v>0</v>
      </c>
      <c r="AH84" t="e">
        <f t="shared" ref="AH84" si="604">AI84/(1+AI85)</f>
        <v>#DIV/0!</v>
      </c>
      <c r="AI84" t="e">
        <f t="shared" ref="AI84" si="605">AJ84/(1+AJ85)</f>
        <v>#DIV/0!</v>
      </c>
      <c r="AJ84" t="e">
        <f t="shared" ref="AJ84" si="606">AK84/(1+AK85)</f>
        <v>#DIV/0!</v>
      </c>
      <c r="AK84" t="e">
        <f t="shared" ref="AK84" si="607">AL84/(1+AL85)</f>
        <v>#DIV/0!</v>
      </c>
      <c r="AL84" t="e">
        <f t="shared" ref="AL84" si="608">AM84/(1+AM85)</f>
        <v>#DIV/0!</v>
      </c>
      <c r="AM84" t="e">
        <f t="shared" ref="AM84" si="609">AN84/(1+AN85)</f>
        <v>#DIV/0!</v>
      </c>
      <c r="AN84" t="e">
        <f>AVERAGE(BM84:BX84)</f>
        <v>#DIV/0!</v>
      </c>
      <c r="AO84" t="e">
        <f>AVERAGE(BY84:CJ84)</f>
        <v>#DIV/0!</v>
      </c>
      <c r="AP84" t="e">
        <f>AVERAGE(CK84:CV84)</f>
        <v>#DIV/0!</v>
      </c>
      <c r="AQ84" t="e">
        <f>AVERAGE(CW84:DH84)</f>
        <v>#DIV/0!</v>
      </c>
      <c r="AR84" t="e">
        <f>AVERAGE(DI84:DT84)</f>
        <v>#DIV/0!</v>
      </c>
      <c r="AS84" t="e">
        <f>AVERAGE(DU84:EF84)</f>
        <v>#DIV/0!</v>
      </c>
      <c r="AT84" t="e">
        <f>AVERAGE(EG84:ER84)</f>
        <v>#DIV/0!</v>
      </c>
      <c r="AU84" t="e">
        <f>AVERAGE(ES84:FD84)</f>
        <v>#DIV/0!</v>
      </c>
      <c r="AV84" t="e">
        <f>AVERAGE(FE84:FP84)</f>
        <v>#DIV/0!</v>
      </c>
      <c r="AW84" t="e">
        <f>AVERAGE(FQ84:GB84)</f>
        <v>#DIV/0!</v>
      </c>
      <c r="AX84" t="e">
        <f t="shared" ref="AX84" si="610">AW84*(1+AX85)</f>
        <v>#DIV/0!</v>
      </c>
      <c r="AY84" t="e">
        <f>AVERAGE(GO84:GZ84)</f>
        <v>#DIV/0!</v>
      </c>
      <c r="AZ84" t="e">
        <f>AVERAGE(HA84:HL84)</f>
        <v>#DIV/0!</v>
      </c>
      <c r="BA84" t="e">
        <f>AVERAGE(HM84:HX84)</f>
        <v>#DIV/0!</v>
      </c>
      <c r="BB84" t="e">
        <f t="shared" ref="BB84" si="611">BA84*(1+BB85)</f>
        <v>#DIV/0!</v>
      </c>
      <c r="BC84" t="e">
        <f t="shared" ref="BC84" si="612">BB84*(1+BC85)</f>
        <v>#DIV/0!</v>
      </c>
      <c r="BD84" t="e">
        <f t="shared" ref="BD84" si="613">BC84*(1+BD85)</f>
        <v>#DIV/0!</v>
      </c>
      <c r="BE84" t="e">
        <f t="shared" ref="BE84" si="614">BD84*(1+BE85)</f>
        <v>#DIV/0!</v>
      </c>
      <c r="BF84" t="e">
        <f t="shared" ref="BF84" si="615">BE84*(1+BF85)</f>
        <v>#DIV/0!</v>
      </c>
    </row>
    <row r="85" spans="5:58" x14ac:dyDescent="0.2">
      <c r="E85" t="s">
        <v>384</v>
      </c>
      <c r="M85" t="e">
        <f t="shared" ref="M85" si="616">M84/L84-1</f>
        <v>#DIV/0!</v>
      </c>
      <c r="N85" t="e">
        <f t="shared" ref="N85" si="617">N84/M84-1</f>
        <v>#DIV/0!</v>
      </c>
      <c r="O85" t="e">
        <f t="shared" ref="O85" si="618">O84/N84-1</f>
        <v>#DIV/0!</v>
      </c>
      <c r="P85" t="e">
        <f t="shared" ref="P85" si="619">P84/O84-1</f>
        <v>#DIV/0!</v>
      </c>
      <c r="Q85" t="e">
        <f t="shared" ref="Q85" si="620">Q84/P84-1</f>
        <v>#DIV/0!</v>
      </c>
      <c r="R85" t="e">
        <f t="shared" ref="R85" si="621">R84/Q84-1</f>
        <v>#DIV/0!</v>
      </c>
      <c r="S85" t="e">
        <f t="shared" ref="S85" si="622">S84/R84-1</f>
        <v>#DIV/0!</v>
      </c>
      <c r="T85" t="e">
        <f t="shared" ref="T85" si="623">T84/S84-1</f>
        <v>#DIV/0!</v>
      </c>
      <c r="U85">
        <f t="shared" si="519"/>
        <v>0</v>
      </c>
      <c r="V85" t="e">
        <f>V84/U84-1</f>
        <v>#DIV/0!</v>
      </c>
      <c r="W85" t="e">
        <f>W84/V84-1</f>
        <v>#DIV/0!</v>
      </c>
      <c r="X85" s="28" t="e">
        <f>X84/W84-1</f>
        <v>#DIV/0!</v>
      </c>
      <c r="Y85" s="28" t="e">
        <f>Y84/X84-1</f>
        <v>#DIV/0!</v>
      </c>
      <c r="Z85" t="e">
        <f>Z84/Y84-1</f>
        <v>#DIV/0!</v>
      </c>
      <c r="AA85">
        <f>AVERAGE(BC85:BD85)</f>
        <v>0</v>
      </c>
      <c r="AB85">
        <f>AVERAGE(BD85:BE85)</f>
        <v>0</v>
      </c>
      <c r="AC85">
        <f>AVERAGE(BE85:BF85)</f>
        <v>0</v>
      </c>
      <c r="AH85">
        <v>0.34020152595543318</v>
      </c>
      <c r="AI85">
        <v>0.27722794970708448</v>
      </c>
      <c r="AJ85">
        <v>0.21095921945461171</v>
      </c>
      <c r="AK85">
        <v>0.1609559056483118</v>
      </c>
      <c r="AL85">
        <v>0.12811110802557105</v>
      </c>
      <c r="AM85">
        <v>7.8859648966139048E-2</v>
      </c>
      <c r="AN85">
        <v>0.06</v>
      </c>
      <c r="AO85" t="e">
        <f t="shared" ref="AO85" si="624">AO84/AN84-1</f>
        <v>#DIV/0!</v>
      </c>
      <c r="AP85" t="e">
        <f t="shared" ref="AP85" si="625">AP84/AO84-1</f>
        <v>#DIV/0!</v>
      </c>
      <c r="AQ85" t="e">
        <f t="shared" ref="AQ85" si="626">AQ84/AP84-1</f>
        <v>#DIV/0!</v>
      </c>
      <c r="AR85" t="e">
        <f t="shared" ref="AR85" si="627">AR84/AQ84-1</f>
        <v>#DIV/0!</v>
      </c>
      <c r="AS85" t="e">
        <f t="shared" ref="AS85" si="628">AS84/AR84-1</f>
        <v>#DIV/0!</v>
      </c>
      <c r="AT85" t="e">
        <f t="shared" ref="AT85" si="629">AT84/AS84-1</f>
        <v>#DIV/0!</v>
      </c>
      <c r="AU85" t="e">
        <f t="shared" ref="AU85" si="630">AU84/AT84-1</f>
        <v>#DIV/0!</v>
      </c>
      <c r="AV85" t="e">
        <f t="shared" ref="AV85" si="631">AV84/AU84-1</f>
        <v>#DIV/0!</v>
      </c>
      <c r="AW85" t="e">
        <f>AVERAGE(FQ85:GB85)</f>
        <v>#DIV/0!</v>
      </c>
      <c r="AX85" t="e">
        <f>AVERAGE(GC85:GN85)</f>
        <v>#DIV/0!</v>
      </c>
      <c r="AY85" t="e">
        <f>AVERAGE(GO85:GZ85)</f>
        <v>#DIV/0!</v>
      </c>
      <c r="AZ85" t="e">
        <f>AVERAGE(HA85:HL85)</f>
        <v>#DIV/0!</v>
      </c>
      <c r="BA85" t="e">
        <f>AVERAGE(HM85:HX85)</f>
        <v>#DIV/0!</v>
      </c>
      <c r="BB85" t="e">
        <f t="shared" ref="BB85" si="632">AVERAGE(BA79:BB79)</f>
        <v>#DIV/0!</v>
      </c>
      <c r="BC85">
        <f t="shared" ref="BC85" si="633">AVERAGE(BB79:BC79)</f>
        <v>0</v>
      </c>
      <c r="BD85">
        <f t="shared" ref="BD85" si="634">AVERAGE(BC79:BD79)</f>
        <v>0</v>
      </c>
      <c r="BE85">
        <f t="shared" ref="BE85" si="635">AVERAGE(BD79:BE79)</f>
        <v>0</v>
      </c>
      <c r="BF85">
        <f t="shared" ref="BF85" si="636">AVERAGE(BE79:BF79)</f>
        <v>0</v>
      </c>
    </row>
    <row r="86" spans="5:58" x14ac:dyDescent="0.2">
      <c r="E86" s="423"/>
    </row>
    <row r="87" spans="5:58" x14ac:dyDescent="0.2">
      <c r="E87" t="s">
        <v>141</v>
      </c>
      <c r="R87">
        <f>NA!R148/NA!R182%</f>
        <v>0</v>
      </c>
      <c r="S87">
        <f>NA!S148/NA!S182%</f>
        <v>0</v>
      </c>
      <c r="T87">
        <f>NA!T148/NA!T182%</f>
        <v>0</v>
      </c>
      <c r="U87">
        <f>NA!U148/NA!U182%</f>
        <v>0</v>
      </c>
      <c r="V87" t="e">
        <f t="shared" ref="V87" si="637">U87*(1+V88)</f>
        <v>#REF!</v>
      </c>
      <c r="W87" t="e">
        <f t="shared" ref="W87" si="638">V87*(1+W88)</f>
        <v>#REF!</v>
      </c>
      <c r="X87" s="28" t="e">
        <f t="shared" ref="X87" si="639">W87*(1+X88)</f>
        <v>#REF!</v>
      </c>
      <c r="Y87" s="28" t="e">
        <f t="shared" ref="Y87" si="640">X87*(1+Y88)</f>
        <v>#REF!</v>
      </c>
      <c r="Z87" t="e">
        <f t="shared" ref="Z87" si="641">Y87*(1+Z88)</f>
        <v>#REF!</v>
      </c>
      <c r="AA87" t="e">
        <f t="shared" ref="AA87" si="642">Z87*(1+AA88)</f>
        <v>#REF!</v>
      </c>
      <c r="AB87" t="e">
        <f t="shared" ref="AB87" si="643">AA87*(1+AB88)</f>
        <v>#REF!</v>
      </c>
      <c r="AC87" t="e">
        <f t="shared" ref="AC87" si="644">AB87*(1+AC88)</f>
        <v>#REF!</v>
      </c>
      <c r="AL87">
        <f>NA!AL148/NA!AL182*100</f>
        <v>0</v>
      </c>
      <c r="AM87">
        <f>NA!AM148/NA!AM182*100</f>
        <v>0</v>
      </c>
      <c r="AN87">
        <f>NA!AN148/NA!AN182*100</f>
        <v>0</v>
      </c>
      <c r="AO87">
        <f>NA!AO148/NA!AO182*100</f>
        <v>0</v>
      </c>
      <c r="AP87">
        <f>NA!AP148/NA!AP182*100</f>
        <v>0</v>
      </c>
      <c r="AQ87">
        <f>NA!AQ148/NA!AQ182*100</f>
        <v>0</v>
      </c>
      <c r="AR87">
        <f>NA!AR148/NA!AR182*100</f>
        <v>0</v>
      </c>
      <c r="AS87" s="13" t="e">
        <f>NA!#REF!/NA!#REF!*100</f>
        <v>#REF!</v>
      </c>
      <c r="AT87" s="13" t="e">
        <f>NA!#REF!/NA!#REF!*100</f>
        <v>#REF!</v>
      </c>
      <c r="AU87" s="13" t="e">
        <f>NA!#REF!/NA!#REF!*100</f>
        <v>#REF!</v>
      </c>
      <c r="AV87" s="13" t="e">
        <f>NA!#REF!/NA!#REF!*100</f>
        <v>#REF!</v>
      </c>
      <c r="AW87" s="13" t="e">
        <f>NA!#REF!/NA!#REF!*100</f>
        <v>#REF!</v>
      </c>
      <c r="AX87" s="13" t="e">
        <f>NA!#REF!/NA!#REF!*100</f>
        <v>#REF!</v>
      </c>
      <c r="AY87" s="13" t="e">
        <f>NA!#REF!/NA!#REF!*100</f>
        <v>#REF!</v>
      </c>
      <c r="AZ87" s="13" t="e">
        <f>NA!#REF!/NA!#REF!*100</f>
        <v>#REF!</v>
      </c>
      <c r="BA87" s="13" t="e">
        <f>NA!#REF!/NA!#REF!*100</f>
        <v>#REF!</v>
      </c>
      <c r="BB87" s="13" t="e">
        <f>TREND(AY87,BA87,AY76:AY87,BA76)*1.25</f>
        <v>#VALUE!</v>
      </c>
      <c r="BC87" s="13" t="e">
        <f>TREND(AZ87,BB87,AZ76:BC87,BC76)*1.2</f>
        <v>#VALUE!</v>
      </c>
      <c r="BD87" s="13" t="e">
        <f>TREND(BA87,BC87,BA76:BD87,BD76)*1.21</f>
        <v>#VALUE!</v>
      </c>
      <c r="BE87" s="13" t="e">
        <f>TREND(BB87,BD87,BB76:BE87,BE76)*1.24</f>
        <v>#VALUE!</v>
      </c>
      <c r="BF87" s="13" t="e">
        <f>TREND(BC87,BE87,BC76:BF87,BF76)*1.26</f>
        <v>#VALUE!</v>
      </c>
    </row>
    <row r="88" spans="5:58" x14ac:dyDescent="0.2">
      <c r="E88" t="s">
        <v>72</v>
      </c>
      <c r="R88" t="e">
        <f t="shared" ref="R88" si="645">R87/Q87-1</f>
        <v>#DIV/0!</v>
      </c>
      <c r="S88" t="e">
        <f t="shared" ref="S88" si="646">S87/R87-1</f>
        <v>#DIV/0!</v>
      </c>
      <c r="T88" t="e">
        <f t="shared" ref="T88" si="647">T87/S87-1</f>
        <v>#DIV/0!</v>
      </c>
      <c r="U88" t="e">
        <f t="shared" ref="U88" si="648">U87/T87-1</f>
        <v>#DIV/0!</v>
      </c>
      <c r="V88" t="e">
        <f t="shared" ref="V88" si="649">AVERAGE(AX88:AY88)</f>
        <v>#REF!</v>
      </c>
      <c r="W88" t="e">
        <f t="shared" ref="W88" si="650">AVERAGE(AY88:AZ88)</f>
        <v>#REF!</v>
      </c>
      <c r="X88" s="28" t="e">
        <f t="shared" ref="X88" si="651">AVERAGE(AZ88:BA88)</f>
        <v>#REF!</v>
      </c>
      <c r="Y88" s="28" t="e">
        <f t="shared" ref="Y88" si="652">AVERAGE(BA88:BB88)</f>
        <v>#REF!</v>
      </c>
      <c r="Z88" t="e">
        <f>AVERAGE(BB88:BC88)</f>
        <v>#VALUE!</v>
      </c>
      <c r="AA88" t="e">
        <f t="shared" ref="AA88" si="653">AVERAGE(BC88:BD88)</f>
        <v>#VALUE!</v>
      </c>
      <c r="AB88" t="e">
        <f t="shared" ref="AB88" si="654">AVERAGE(BD88:BE88)</f>
        <v>#VALUE!</v>
      </c>
      <c r="AC88" t="e">
        <f t="shared" ref="AC88" si="655">AVERAGE(BE88:BF88)</f>
        <v>#VALUE!</v>
      </c>
      <c r="AM88" t="e">
        <f t="shared" ref="AM88" si="656">AM87/AL87-1</f>
        <v>#DIV/0!</v>
      </c>
      <c r="AN88" t="e">
        <f t="shared" ref="AN88" si="657">AN87/AM87-1</f>
        <v>#DIV/0!</v>
      </c>
      <c r="AO88" t="e">
        <f t="shared" ref="AO88" si="658">AO87/AN87-1</f>
        <v>#DIV/0!</v>
      </c>
      <c r="AP88" t="e">
        <f t="shared" ref="AP88" si="659">AP87/AO87-1</f>
        <v>#DIV/0!</v>
      </c>
      <c r="AQ88" t="e">
        <f t="shared" ref="AQ88" si="660">AQ87/AP87-1</f>
        <v>#DIV/0!</v>
      </c>
      <c r="AR88" t="e">
        <f t="shared" ref="AR88" si="661">AR87/AQ87-1</f>
        <v>#DIV/0!</v>
      </c>
      <c r="AS88" t="e">
        <f t="shared" ref="AS88" si="662">AS87/AR87-1</f>
        <v>#REF!</v>
      </c>
      <c r="AT88" s="10" t="e">
        <f t="shared" ref="AT88" si="663">AT87/AS87-1</f>
        <v>#REF!</v>
      </c>
      <c r="AU88" s="10" t="e">
        <f t="shared" ref="AU88" si="664">AU87/AT87-1</f>
        <v>#REF!</v>
      </c>
      <c r="AV88" s="10" t="e">
        <f t="shared" ref="AV88" si="665">AV87/AU87-1</f>
        <v>#REF!</v>
      </c>
      <c r="AW88" s="10" t="e">
        <f t="shared" ref="AW88" si="666">AW87/AV87-1</f>
        <v>#REF!</v>
      </c>
      <c r="AX88" s="10" t="e">
        <f t="shared" ref="AX88" si="667">AX87/AW87-1</f>
        <v>#REF!</v>
      </c>
      <c r="AY88" s="10" t="e">
        <f t="shared" ref="AY88" si="668">AY87/AX87-1</f>
        <v>#REF!</v>
      </c>
      <c r="AZ88" s="10" t="e">
        <f t="shared" ref="AZ88" si="669">AZ87/AY87-1</f>
        <v>#REF!</v>
      </c>
      <c r="BA88" s="10" t="e">
        <f t="shared" ref="BA88" si="670">BA87/AZ87-1</f>
        <v>#REF!</v>
      </c>
      <c r="BB88" s="10" t="e">
        <f t="shared" ref="BB88" si="671">BB87/BA87-1</f>
        <v>#VALUE!</v>
      </c>
      <c r="BC88" s="10" t="e">
        <f t="shared" ref="BC88" si="672">BC87/BB87-1</f>
        <v>#VALUE!</v>
      </c>
      <c r="BD88" s="10" t="e">
        <f t="shared" ref="BD88" si="673">BD87/BC87-1</f>
        <v>#VALUE!</v>
      </c>
      <c r="BE88" s="10" t="e">
        <f t="shared" ref="BE88" si="674">BE87/BD87-1</f>
        <v>#VALUE!</v>
      </c>
      <c r="BF88" s="10" t="e">
        <f t="shared" ref="BF88" si="675">BF87/BE87-1</f>
        <v>#VALUE!</v>
      </c>
    </row>
    <row r="89" spans="5:58" x14ac:dyDescent="0.2">
      <c r="E89" t="s">
        <v>81</v>
      </c>
      <c r="R89" t="e">
        <f>NA!R151/NA!R185*100</f>
        <v>#DIV/0!</v>
      </c>
      <c r="S89" t="e">
        <f>NA!S151/NA!S185*100</f>
        <v>#DIV/0!</v>
      </c>
      <c r="T89" t="e">
        <f>NA!T151/NA!T185*100</f>
        <v>#DIV/0!</v>
      </c>
      <c r="U89" t="e">
        <f>NA!U151/NA!U185*100</f>
        <v>#DIV/0!</v>
      </c>
      <c r="V89" t="e">
        <f>NA!V151/NA!V185*100</f>
        <v>#DIV/0!</v>
      </c>
      <c r="W89" t="e">
        <f>NA!W151/NA!W185*100</f>
        <v>#DIV/0!</v>
      </c>
      <c r="X89" s="28" t="e">
        <f>NA!X151/NA!X185*100</f>
        <v>#DIV/0!</v>
      </c>
      <c r="Y89" s="28" t="e">
        <f>NA!Y151/NA!Y185*100</f>
        <v>#DIV/0!</v>
      </c>
      <c r="Z89" t="e">
        <f>NA!Z151/NA!Z185*100</f>
        <v>#DIV/0!</v>
      </c>
      <c r="AA89" t="e">
        <f>NA!AA151/NA!AA185*100</f>
        <v>#DIV/0!</v>
      </c>
      <c r="AB89" t="e">
        <f>NA!AB151/NA!AB185*100</f>
        <v>#DIV/0!</v>
      </c>
      <c r="AC89" t="e">
        <f>NA!AC151/NA!AC185*100</f>
        <v>#DIV/0!</v>
      </c>
      <c r="AL89" t="e">
        <f>NA!AL151/NA!AL185*100</f>
        <v>#DIV/0!</v>
      </c>
      <c r="AM89" t="e">
        <f>NA!AM151/NA!AM185*100</f>
        <v>#DIV/0!</v>
      </c>
      <c r="AN89" t="e">
        <f>NA!AN151/NA!AN185*100</f>
        <v>#DIV/0!</v>
      </c>
      <c r="AO89" t="e">
        <f>NA!AO151/NA!AO185*100</f>
        <v>#DIV/0!</v>
      </c>
      <c r="AP89" t="e">
        <f>NA!AP151/NA!AP185*100</f>
        <v>#DIV/0!</v>
      </c>
      <c r="AQ89" t="e">
        <f>NA!AQ151/NA!AQ185*100</f>
        <v>#DIV/0!</v>
      </c>
      <c r="AR89" t="e">
        <f>NA!AR151/NA!AR185*100</f>
        <v>#DIV/0!</v>
      </c>
      <c r="AS89" t="e">
        <f>NA!AS151/NA!AS185*100</f>
        <v>#DIV/0!</v>
      </c>
      <c r="AT89" s="13" t="e">
        <f>NA!#REF!/NA!#REF!*100</f>
        <v>#REF!</v>
      </c>
      <c r="AU89" s="13" t="e">
        <f>NA!#REF!/NA!#REF!*100</f>
        <v>#REF!</v>
      </c>
      <c r="AV89" s="13" t="e">
        <f>NA!#REF!/NA!#REF!*100</f>
        <v>#REF!</v>
      </c>
      <c r="AW89" s="13" t="e">
        <f>NA!#REF!/NA!#REF!*100</f>
        <v>#REF!</v>
      </c>
      <c r="AX89" s="13" t="e">
        <f>NA!#REF!/NA!#REF!*100</f>
        <v>#REF!</v>
      </c>
      <c r="AY89" s="13" t="e">
        <f>NA!#REF!/NA!#REF!*100</f>
        <v>#REF!</v>
      </c>
      <c r="AZ89" s="13" t="e">
        <f>NA!#REF!/NA!#REF!*100</f>
        <v>#REF!</v>
      </c>
      <c r="BA89" s="13" t="e">
        <f>NA!#REF!/NA!#REF!*100</f>
        <v>#REF!</v>
      </c>
      <c r="BB89" s="13" t="e">
        <f>TREND(AY89,BA89,AY76:BB89,BB76)*1.25</f>
        <v>#VALUE!</v>
      </c>
      <c r="BC89" s="13" t="e">
        <f>TREND(AZ89,BB89,AZ76:BC89,BC76)*1.195</f>
        <v>#VALUE!</v>
      </c>
      <c r="BD89" s="13" t="e">
        <f>TREND(BA89,BC89,BA76:BD89,BD76)*1.21</f>
        <v>#VALUE!</v>
      </c>
      <c r="BE89" s="13" t="e">
        <f>TREND(BB89,BD89,BB76:BE89,BE76)*1.24</f>
        <v>#VALUE!</v>
      </c>
      <c r="BF89" s="13" t="e">
        <f>TREND(BC89,BE89,BC76:BF89,BF76)*1.26</f>
        <v>#VALUE!</v>
      </c>
    </row>
    <row r="90" spans="5:58" x14ac:dyDescent="0.2">
      <c r="E90" t="s">
        <v>72</v>
      </c>
      <c r="R90" t="e">
        <f t="shared" ref="R90" si="676">R89/Q89-1</f>
        <v>#DIV/0!</v>
      </c>
      <c r="S90" t="e">
        <f t="shared" ref="S90" si="677">S89/R89-1</f>
        <v>#DIV/0!</v>
      </c>
      <c r="T90" t="e">
        <f t="shared" ref="T90" si="678">T89/S89-1</f>
        <v>#DIV/0!</v>
      </c>
      <c r="U90" t="e">
        <f t="shared" ref="U90" si="679">U89/T89-1</f>
        <v>#DIV/0!</v>
      </c>
      <c r="V90" t="e">
        <f t="shared" ref="V90" si="680">V89/U89-1</f>
        <v>#DIV/0!</v>
      </c>
      <c r="W90" t="e">
        <f t="shared" ref="W90" si="681">W89/V89-1</f>
        <v>#DIV/0!</v>
      </c>
      <c r="X90" s="28" t="e">
        <f t="shared" ref="X90" si="682">X89/W89-1</f>
        <v>#DIV/0!</v>
      </c>
      <c r="Y90" s="28" t="e">
        <f t="shared" ref="Y90" si="683">Y89/X89-1</f>
        <v>#DIV/0!</v>
      </c>
      <c r="Z90" t="e">
        <f t="shared" ref="Z90" si="684">Z89/Y89-1</f>
        <v>#DIV/0!</v>
      </c>
      <c r="AA90" t="e">
        <f t="shared" ref="AA90" si="685">AA89/Z89-1</f>
        <v>#DIV/0!</v>
      </c>
      <c r="AB90" t="e">
        <f t="shared" ref="AB90" si="686">AB89/AA89-1</f>
        <v>#DIV/0!</v>
      </c>
      <c r="AC90" t="e">
        <f t="shared" ref="AC90" si="687">AC89/AB89-1</f>
        <v>#DIV/0!</v>
      </c>
      <c r="AM90" t="e">
        <f>AM89/AL89-1</f>
        <v>#DIV/0!</v>
      </c>
      <c r="AN90" t="e">
        <f t="shared" ref="AN90" si="688">AN89/AM89-1</f>
        <v>#DIV/0!</v>
      </c>
      <c r="AO90" t="e">
        <f t="shared" ref="AO90" si="689">AO89/AN89-1</f>
        <v>#DIV/0!</v>
      </c>
      <c r="AP90" t="e">
        <f t="shared" ref="AP90" si="690">AP89/AO89-1</f>
        <v>#DIV/0!</v>
      </c>
      <c r="AQ90" t="e">
        <f t="shared" ref="AQ90" si="691">AQ89/AP89-1</f>
        <v>#DIV/0!</v>
      </c>
      <c r="AR90" t="e">
        <f t="shared" ref="AR90" si="692">AR89/AQ89-1</f>
        <v>#DIV/0!</v>
      </c>
      <c r="AS90" t="e">
        <f t="shared" ref="AS90" si="693">AS89/AR89-1</f>
        <v>#DIV/0!</v>
      </c>
      <c r="AT90" s="33" t="e">
        <f t="shared" ref="AT90" si="694">AT89/AS89-1</f>
        <v>#REF!</v>
      </c>
      <c r="AU90" s="10" t="e">
        <f t="shared" ref="AU90" si="695">AU89/AT89-1</f>
        <v>#REF!</v>
      </c>
      <c r="AV90" s="10" t="e">
        <f t="shared" ref="AV90" si="696">AV89/AU89-1</f>
        <v>#REF!</v>
      </c>
      <c r="AW90" s="10" t="e">
        <f t="shared" ref="AW90" si="697">AW89/AV89-1</f>
        <v>#REF!</v>
      </c>
      <c r="AX90" s="10" t="e">
        <f t="shared" ref="AX90" si="698">AX89/AW89-1</f>
        <v>#REF!</v>
      </c>
      <c r="AY90" s="10" t="e">
        <f t="shared" ref="AY90" si="699">AY89/AX89-1</f>
        <v>#REF!</v>
      </c>
      <c r="AZ90" s="10" t="e">
        <f t="shared" ref="AZ90" si="700">AZ89/AY89-1</f>
        <v>#REF!</v>
      </c>
      <c r="BA90" s="10" t="e">
        <f t="shared" ref="BA90" si="701">BA89/AZ89-1</f>
        <v>#REF!</v>
      </c>
      <c r="BB90" s="10" t="e">
        <f t="shared" ref="BB90" si="702">BB89/BA89-1</f>
        <v>#VALUE!</v>
      </c>
      <c r="BC90" s="10" t="e">
        <f t="shared" ref="BC90" si="703">BC89/BB89-1</f>
        <v>#VALUE!</v>
      </c>
      <c r="BD90" s="10" t="e">
        <f t="shared" ref="BD90" si="704">BD89/BC89-1</f>
        <v>#VALUE!</v>
      </c>
      <c r="BE90" s="10" t="e">
        <f t="shared" ref="BE90" si="705">BE89/BD89-1</f>
        <v>#VALUE!</v>
      </c>
      <c r="BF90" s="10" t="e">
        <f t="shared" ref="BF90" si="706">BF89/BE89-1</f>
        <v>#VALUE!</v>
      </c>
    </row>
    <row r="91" spans="5:58" x14ac:dyDescent="0.2">
      <c r="E91" s="28" t="s">
        <v>2</v>
      </c>
      <c r="AO91" t="e">
        <f>NA!AO149/NA!AO183*100</f>
        <v>#DIV/0!</v>
      </c>
      <c r="AP91" t="e">
        <f>NA!AP149/NA!AP183*100</f>
        <v>#DIV/0!</v>
      </c>
      <c r="AQ91" t="e">
        <f>NA!AQ149/NA!AQ183*100</f>
        <v>#DIV/0!</v>
      </c>
      <c r="AR91" t="e">
        <f>NA!AR149/NA!AR183*100</f>
        <v>#DIV/0!</v>
      </c>
      <c r="AS91" t="e">
        <f>NA!AS149/NA!AS183*100</f>
        <v>#DIV/0!</v>
      </c>
      <c r="AT91" t="e">
        <f>NA!AT149/NA!AT183*100</f>
        <v>#DIV/0!</v>
      </c>
      <c r="AU91" t="e">
        <f>NA!AU149/NA!AU183*100</f>
        <v>#DIV/0!</v>
      </c>
      <c r="AV91" t="e">
        <f>NA!AV149/NA!AV183*100</f>
        <v>#DIV/0!</v>
      </c>
      <c r="AW91" t="e">
        <f>NA!AW149/NA!AW183*100</f>
        <v>#DIV/0!</v>
      </c>
      <c r="AX91" t="e">
        <f>NA!AX149/NA!AX183*100</f>
        <v>#DIV/0!</v>
      </c>
      <c r="AY91" t="e">
        <f>NA!AY149/NA!AY183*100</f>
        <v>#DIV/0!</v>
      </c>
      <c r="AZ91" t="e">
        <f>NA!AZ149/NA!AZ183*100</f>
        <v>#DIV/0!</v>
      </c>
      <c r="BA91" t="e">
        <f>NA!BA149/NA!BA183*100</f>
        <v>#DIV/0!</v>
      </c>
      <c r="BB91" t="e">
        <f>NA!BB149/NA!BB183*100</f>
        <v>#DIV/0!</v>
      </c>
      <c r="BC91" t="e">
        <f>NA!BC149/NA!BC183*100</f>
        <v>#DIV/0!</v>
      </c>
      <c r="BD91" t="e">
        <f>NA!BD149/NA!BD183*100</f>
        <v>#DIV/0!</v>
      </c>
      <c r="BE91" t="e">
        <f>NA!BE149/NA!BE183*100</f>
        <v>#DIV/0!</v>
      </c>
      <c r="BF91" t="e">
        <f>NA!BF149/NA!BF183*100</f>
        <v>#DIV/0!</v>
      </c>
    </row>
  </sheetData>
  <mergeCells count="1">
    <mergeCell ref="IX50:IY50"/>
  </mergeCells>
  <phoneticPr fontId="0" type="noConversion"/>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pageSetUpPr fitToPage="1"/>
  </sheetPr>
  <dimension ref="A1:IQ587"/>
  <sheetViews>
    <sheetView tabSelected="1" zoomScale="87" zoomScaleNormal="87" workbookViewId="0">
      <pane xSplit="5" ySplit="4" topLeftCell="F73" activePane="bottomRight" state="frozen"/>
      <selection activeCell="R55" sqref="R55"/>
      <selection pane="topRight" activeCell="R55" sqref="R55"/>
      <selection pane="bottomLeft" activeCell="R55" sqref="R55"/>
      <selection pane="bottomRight" activeCell="E2" sqref="E2"/>
    </sheetView>
  </sheetViews>
  <sheetFormatPr defaultColWidth="9.140625" defaultRowHeight="12.75" x14ac:dyDescent="0.2"/>
  <cols>
    <col min="1" max="1" width="9.28515625" style="4" hidden="1" customWidth="1"/>
    <col min="2" max="4" width="5" style="4" hidden="1" customWidth="1"/>
    <col min="5" max="5" width="37.7109375" style="4" customWidth="1"/>
    <col min="6" max="7" width="9.85546875" style="4" customWidth="1"/>
    <col min="8" max="8" width="9.7109375" style="4" customWidth="1"/>
    <col min="9" max="9" width="9.28515625" style="4" customWidth="1"/>
    <col min="10" max="14" width="10.7109375" style="4" customWidth="1"/>
    <col min="15" max="19" width="11.28515625" style="4" bestFit="1" customWidth="1"/>
    <col min="20" max="24" width="11.85546875" style="4" bestFit="1" customWidth="1"/>
    <col min="25" max="25" width="15.28515625" style="4" customWidth="1"/>
    <col min="26" max="33" width="11.85546875" style="4" customWidth="1"/>
    <col min="34" max="38" width="13.42578125" style="4" bestFit="1" customWidth="1"/>
    <col min="39" max="39" width="15.140625" style="4" customWidth="1"/>
    <col min="40" max="40" width="13.42578125" style="4" bestFit="1" customWidth="1"/>
    <col min="41" max="42" width="13.5703125" style="4" bestFit="1" customWidth="1"/>
    <col min="43" max="43" width="16.5703125" style="4" bestFit="1" customWidth="1"/>
    <col min="44" max="44" width="14.7109375" style="4" bestFit="1" customWidth="1"/>
    <col min="45" max="46" width="12.85546875" style="4" bestFit="1" customWidth="1"/>
    <col min="47" max="47" width="16.5703125" style="4" customWidth="1"/>
    <col min="48" max="48" width="12.85546875" style="4" bestFit="1" customWidth="1"/>
    <col min="49" max="49" width="13.42578125" style="177" bestFit="1" customWidth="1"/>
    <col min="50" max="51" width="12.7109375" style="4" bestFit="1" customWidth="1"/>
    <col min="52" max="53" width="13" style="4" customWidth="1"/>
    <col min="54" max="54" width="13.42578125" style="4" customWidth="1"/>
    <col min="55" max="55" width="12.85546875" style="4" bestFit="1" customWidth="1"/>
    <col min="56" max="56" width="12.28515625" style="4" bestFit="1" customWidth="1"/>
    <col min="57" max="57" width="12.5703125" style="4" bestFit="1" customWidth="1"/>
    <col min="58" max="58" width="12.28515625" style="4" bestFit="1" customWidth="1"/>
    <col min="59" max="60" width="12.5703125" style="4" bestFit="1" customWidth="1"/>
    <col min="61" max="61" width="11.140625" style="4" customWidth="1"/>
    <col min="62" max="62" width="10.28515625" style="4" bestFit="1" customWidth="1"/>
    <col min="63" max="67" width="9.7109375" style="4" bestFit="1" customWidth="1"/>
    <col min="68" max="68" width="9.140625" style="4"/>
    <col min="69" max="114" width="11.28515625" style="4" customWidth="1"/>
    <col min="115" max="119" width="9.140625" style="4"/>
    <col min="120" max="120" width="10.7109375" style="4" customWidth="1"/>
    <col min="121" max="121" width="12.28515625" style="4" customWidth="1"/>
    <col min="122" max="130" width="9.140625" style="4"/>
    <col min="131" max="136" width="10.140625" style="4" customWidth="1"/>
    <col min="137" max="143" width="9.140625" style="4"/>
    <col min="144" max="145" width="11.28515625" style="4" bestFit="1" customWidth="1"/>
    <col min="146" max="175" width="9.140625" style="4"/>
    <col min="176" max="178" width="9.7109375" style="4" bestFit="1" customWidth="1"/>
    <col min="179" max="16384" width="9.140625" style="4"/>
  </cols>
  <sheetData>
    <row r="1" spans="1:190" x14ac:dyDescent="0.2">
      <c r="A1" s="4">
        <v>2</v>
      </c>
      <c r="N1" s="176"/>
      <c r="O1" s="176"/>
      <c r="P1" s="29"/>
      <c r="AW1" s="4"/>
    </row>
    <row r="2" spans="1:190" x14ac:dyDescent="0.2">
      <c r="A2" s="2" t="s">
        <v>4</v>
      </c>
      <c r="B2" s="2" t="s">
        <v>5</v>
      </c>
      <c r="E2" s="1" t="s">
        <v>82</v>
      </c>
      <c r="AW2" s="4"/>
    </row>
    <row r="3" spans="1:190" x14ac:dyDescent="0.2">
      <c r="AO3" s="653" t="s">
        <v>548</v>
      </c>
      <c r="AW3" s="4"/>
      <c r="BA3" s="607">
        <v>7.0061788077364628E-2</v>
      </c>
      <c r="BB3" s="381">
        <v>7.5142748552200711E-2</v>
      </c>
      <c r="BC3" s="381">
        <v>7.9883893773723624E-2</v>
      </c>
      <c r="BD3" s="381">
        <v>8.3657125673176624E-2</v>
      </c>
      <c r="BE3" s="381"/>
    </row>
    <row r="4" spans="1:190" x14ac:dyDescent="0.2">
      <c r="A4" s="4" t="s">
        <v>143</v>
      </c>
      <c r="B4" s="4" t="s">
        <v>45</v>
      </c>
      <c r="C4" s="4" t="s">
        <v>46</v>
      </c>
      <c r="D4" s="4" t="s">
        <v>47</v>
      </c>
      <c r="E4" s="178"/>
      <c r="F4" s="40" t="s">
        <v>56</v>
      </c>
      <c r="G4" s="40" t="s">
        <v>57</v>
      </c>
      <c r="H4" s="40" t="s">
        <v>58</v>
      </c>
      <c r="I4" s="40" t="s">
        <v>59</v>
      </c>
      <c r="J4" s="40" t="s">
        <v>60</v>
      </c>
      <c r="K4" s="40" t="s">
        <v>61</v>
      </c>
      <c r="L4" s="40" t="s">
        <v>62</v>
      </c>
      <c r="M4" s="40" t="s">
        <v>63</v>
      </c>
      <c r="N4" s="40" t="s">
        <v>64</v>
      </c>
      <c r="O4" s="40" t="s">
        <v>65</v>
      </c>
      <c r="P4" s="41" t="s">
        <v>66</v>
      </c>
      <c r="Q4" s="41" t="s">
        <v>67</v>
      </c>
      <c r="R4" s="41" t="s">
        <v>68</v>
      </c>
      <c r="S4" s="41" t="s">
        <v>69</v>
      </c>
      <c r="T4" s="380" t="s">
        <v>70</v>
      </c>
      <c r="U4" s="380" t="s">
        <v>71</v>
      </c>
      <c r="V4" s="380" t="s">
        <v>142</v>
      </c>
      <c r="W4" s="380" t="s">
        <v>300</v>
      </c>
      <c r="X4" s="380" t="s">
        <v>317</v>
      </c>
      <c r="Y4" s="240" t="s">
        <v>329</v>
      </c>
      <c r="Z4" s="240" t="s">
        <v>342</v>
      </c>
      <c r="AA4" s="240" t="s">
        <v>343</v>
      </c>
      <c r="AB4" s="240" t="s">
        <v>344</v>
      </c>
      <c r="AC4" s="240" t="s">
        <v>345</v>
      </c>
      <c r="AD4" s="240" t="s">
        <v>346</v>
      </c>
      <c r="AE4" s="240" t="s">
        <v>347</v>
      </c>
      <c r="AF4" s="240" t="s">
        <v>348</v>
      </c>
      <c r="AH4" s="42">
        <f>AI4-1</f>
        <v>1994</v>
      </c>
      <c r="AI4" s="42">
        <f>AJ4-1</f>
        <v>1995</v>
      </c>
      <c r="AJ4" s="42">
        <f>AK4-1</f>
        <v>1996</v>
      </c>
      <c r="AK4" s="42">
        <f>AL4-1</f>
        <v>1997</v>
      </c>
      <c r="AL4" s="42">
        <v>1998</v>
      </c>
      <c r="AM4" s="42">
        <v>1999</v>
      </c>
      <c r="AN4" s="42">
        <v>2000</v>
      </c>
      <c r="AO4" s="42">
        <v>2001</v>
      </c>
      <c r="AP4" s="42">
        <v>2002</v>
      </c>
      <c r="AQ4" s="42">
        <v>2003</v>
      </c>
      <c r="AR4" s="42">
        <v>2004</v>
      </c>
      <c r="AS4" s="42">
        <v>2005</v>
      </c>
      <c r="AT4" s="50">
        <v>2006</v>
      </c>
      <c r="AU4" s="50">
        <v>2007</v>
      </c>
      <c r="AV4" s="50">
        <v>2008</v>
      </c>
      <c r="AW4" s="50">
        <v>2009</v>
      </c>
      <c r="AX4" s="50">
        <v>2010</v>
      </c>
      <c r="AY4" s="50">
        <v>2011</v>
      </c>
      <c r="AZ4" s="50">
        <v>2012</v>
      </c>
      <c r="BA4" s="50">
        <v>2013</v>
      </c>
      <c r="BB4" s="43">
        <v>2014</v>
      </c>
      <c r="BC4" s="43">
        <v>2015</v>
      </c>
      <c r="BD4" s="43">
        <v>2016</v>
      </c>
      <c r="BE4" s="43">
        <v>2017</v>
      </c>
      <c r="BF4" s="43">
        <v>2018</v>
      </c>
      <c r="BG4" s="43">
        <v>2019</v>
      </c>
      <c r="BH4" s="43">
        <v>2020</v>
      </c>
      <c r="BM4" s="9" t="s">
        <v>544</v>
      </c>
      <c r="BN4" s="9" t="s">
        <v>545</v>
      </c>
      <c r="BO4" s="9" t="s">
        <v>546</v>
      </c>
      <c r="BP4" s="9" t="s">
        <v>547</v>
      </c>
      <c r="BQ4" s="9" t="s">
        <v>405</v>
      </c>
      <c r="BR4" s="9" t="s">
        <v>406</v>
      </c>
      <c r="BS4" s="9" t="s">
        <v>407</v>
      </c>
      <c r="BT4" s="9" t="s">
        <v>408</v>
      </c>
      <c r="BU4" s="9" t="s">
        <v>409</v>
      </c>
      <c r="BV4" s="9" t="s">
        <v>453</v>
      </c>
      <c r="BW4" s="9" t="s">
        <v>454</v>
      </c>
      <c r="BX4" s="9" t="s">
        <v>455</v>
      </c>
      <c r="BY4" s="9" t="s">
        <v>410</v>
      </c>
      <c r="BZ4" s="9" t="s">
        <v>421</v>
      </c>
      <c r="CA4" s="9" t="s">
        <v>422</v>
      </c>
      <c r="CB4" s="9" t="s">
        <v>423</v>
      </c>
      <c r="CC4" s="9" t="s">
        <v>411</v>
      </c>
      <c r="CD4" s="9" t="s">
        <v>424</v>
      </c>
      <c r="CE4" s="9" t="s">
        <v>425</v>
      </c>
      <c r="CF4" s="9" t="s">
        <v>426</v>
      </c>
      <c r="CG4" s="9" t="s">
        <v>412</v>
      </c>
      <c r="CH4" s="9" t="s">
        <v>427</v>
      </c>
      <c r="CI4" s="9" t="s">
        <v>428</v>
      </c>
      <c r="CJ4" s="9" t="s">
        <v>429</v>
      </c>
      <c r="CK4" s="9" t="s">
        <v>413</v>
      </c>
      <c r="CL4" s="9" t="s">
        <v>430</v>
      </c>
      <c r="CM4" s="9" t="s">
        <v>431</v>
      </c>
      <c r="CN4" s="9" t="s">
        <v>432</v>
      </c>
      <c r="CO4" s="9" t="s">
        <v>414</v>
      </c>
      <c r="CP4" s="9" t="s">
        <v>433</v>
      </c>
      <c r="CQ4" s="9" t="s">
        <v>434</v>
      </c>
      <c r="CR4" s="9" t="s">
        <v>435</v>
      </c>
      <c r="CS4" s="9" t="s">
        <v>415</v>
      </c>
      <c r="CT4" s="9" t="s">
        <v>436</v>
      </c>
      <c r="CU4" s="9" t="s">
        <v>437</v>
      </c>
      <c r="CV4" s="9" t="s">
        <v>438</v>
      </c>
      <c r="CW4" s="9" t="s">
        <v>416</v>
      </c>
      <c r="CX4" s="9" t="s">
        <v>439</v>
      </c>
      <c r="CY4" s="9" t="s">
        <v>440</v>
      </c>
      <c r="CZ4" s="9" t="s">
        <v>441</v>
      </c>
      <c r="DA4" s="9" t="s">
        <v>417</v>
      </c>
      <c r="DB4" s="9" t="s">
        <v>442</v>
      </c>
      <c r="DC4" s="9" t="s">
        <v>443</v>
      </c>
      <c r="DD4" s="9" t="s">
        <v>444</v>
      </c>
      <c r="DE4" s="9" t="s">
        <v>418</v>
      </c>
      <c r="DF4" s="9" t="s">
        <v>445</v>
      </c>
      <c r="DG4" s="9" t="s">
        <v>446</v>
      </c>
      <c r="DH4" s="9" t="s">
        <v>447</v>
      </c>
      <c r="DI4" s="202" t="s">
        <v>419</v>
      </c>
      <c r="DJ4" s="202" t="s">
        <v>448</v>
      </c>
      <c r="DK4" s="202" t="s">
        <v>449</v>
      </c>
      <c r="DL4" s="202" t="s">
        <v>450</v>
      </c>
      <c r="DM4" s="202" t="s">
        <v>420</v>
      </c>
      <c r="DN4" s="202" t="s">
        <v>451</v>
      </c>
      <c r="DO4" s="202" t="s">
        <v>452</v>
      </c>
      <c r="DP4" s="9" t="s">
        <v>492</v>
      </c>
      <c r="DQ4" s="9" t="s">
        <v>493</v>
      </c>
    </row>
    <row r="5" spans="1:190" x14ac:dyDescent="0.2">
      <c r="J5" s="2"/>
      <c r="AW5" s="60"/>
      <c r="AX5" s="2"/>
      <c r="AY5" s="2"/>
      <c r="AZ5" s="2"/>
      <c r="BA5" s="2"/>
    </row>
    <row r="6" spans="1:190" x14ac:dyDescent="0.2">
      <c r="E6" s="9" t="s">
        <v>324</v>
      </c>
      <c r="G6" s="29"/>
      <c r="H6" s="29"/>
      <c r="J6" s="29"/>
      <c r="K6" s="29">
        <f t="shared" ref="K6:P6" si="0">K7/J7-1</f>
        <v>0.13836394123969065</v>
      </c>
      <c r="L6" s="29">
        <f t="shared" si="0"/>
        <v>0.2466972912332499</v>
      </c>
      <c r="M6" s="29">
        <f t="shared" si="0"/>
        <v>0.23220675040597261</v>
      </c>
      <c r="N6" s="29">
        <f t="shared" si="0"/>
        <v>0.1487026558584732</v>
      </c>
      <c r="O6" s="29">
        <f t="shared" si="0"/>
        <v>0.15166985167073088</v>
      </c>
      <c r="P6" s="29">
        <f t="shared" si="0"/>
        <v>0.14673319873419466</v>
      </c>
      <c r="T6" s="4" t="b">
        <f t="shared" ref="T6:AC6" si="1">T82=T7</f>
        <v>1</v>
      </c>
      <c r="U6" s="4" t="b">
        <f t="shared" si="1"/>
        <v>1</v>
      </c>
      <c r="V6" s="4" t="b">
        <f t="shared" si="1"/>
        <v>1</v>
      </c>
      <c r="W6" s="4" t="b">
        <f t="shared" si="1"/>
        <v>1</v>
      </c>
      <c r="X6" s="4" t="b">
        <f t="shared" si="1"/>
        <v>1</v>
      </c>
      <c r="Y6" s="4" t="b">
        <f t="shared" si="1"/>
        <v>1</v>
      </c>
      <c r="Z6" s="4" t="b">
        <f t="shared" si="1"/>
        <v>1</v>
      </c>
      <c r="AA6" s="4" t="b">
        <f t="shared" si="1"/>
        <v>1</v>
      </c>
      <c r="AB6" s="4" t="b">
        <f t="shared" si="1"/>
        <v>1</v>
      </c>
      <c r="AC6" s="4" t="b">
        <f t="shared" si="1"/>
        <v>1</v>
      </c>
      <c r="AD6" s="4" t="b">
        <f t="shared" ref="AD6:AE6" si="2">AD82=AD7</f>
        <v>1</v>
      </c>
      <c r="AE6" s="4" t="b">
        <f t="shared" si="2"/>
        <v>1</v>
      </c>
      <c r="AG6" s="179"/>
      <c r="AP6" s="2"/>
      <c r="AQ6" s="29"/>
      <c r="AR6" s="2"/>
      <c r="AS6" s="2"/>
      <c r="AT6" s="2"/>
      <c r="AU6" s="2"/>
      <c r="AV6" s="2"/>
      <c r="AW6" s="2"/>
      <c r="AX6" s="4" t="b">
        <f t="shared" ref="AX6:BF6" si="3">AX82=AX7</f>
        <v>0</v>
      </c>
      <c r="AY6" s="4" t="b">
        <f t="shared" si="3"/>
        <v>0</v>
      </c>
      <c r="AZ6" s="4" t="b">
        <f t="shared" si="3"/>
        <v>0</v>
      </c>
      <c r="BA6" s="4" t="b">
        <f t="shared" si="3"/>
        <v>0</v>
      </c>
      <c r="BB6" s="4" t="b">
        <f t="shared" si="3"/>
        <v>0</v>
      </c>
      <c r="BC6" s="4" t="b">
        <f t="shared" si="3"/>
        <v>1</v>
      </c>
      <c r="BD6" s="4" t="b">
        <f t="shared" si="3"/>
        <v>1</v>
      </c>
      <c r="BE6" s="4" t="b">
        <f t="shared" si="3"/>
        <v>1</v>
      </c>
      <c r="BF6" s="4" t="b">
        <f t="shared" si="3"/>
        <v>1</v>
      </c>
      <c r="BG6" s="4" t="b">
        <f t="shared" ref="BG6:BH6" si="4">BG82=BG7</f>
        <v>1</v>
      </c>
      <c r="BH6" s="4" t="b">
        <f t="shared" si="4"/>
        <v>1</v>
      </c>
    </row>
    <row r="7" spans="1:190" x14ac:dyDescent="0.2">
      <c r="E7" s="4" t="s">
        <v>326</v>
      </c>
      <c r="G7" s="29"/>
      <c r="H7" s="29"/>
      <c r="I7" s="2"/>
      <c r="J7" s="2">
        <f t="shared" ref="J7:U7" si="5">J82</f>
        <v>6753266</v>
      </c>
      <c r="K7" s="2">
        <f t="shared" si="5"/>
        <v>7687674.5</v>
      </c>
      <c r="L7" s="2">
        <f t="shared" si="5"/>
        <v>9584202.9750329293</v>
      </c>
      <c r="M7" s="2">
        <f t="shared" si="5"/>
        <v>11809719.60309658</v>
      </c>
      <c r="N7" s="2">
        <f t="shared" si="5"/>
        <v>13565856.273020916</v>
      </c>
      <c r="O7" s="2">
        <f t="shared" si="5"/>
        <v>15623387.681736451</v>
      </c>
      <c r="P7" s="2">
        <f t="shared" si="5"/>
        <v>17915857.331342053</v>
      </c>
      <c r="Q7" s="2">
        <f t="shared" si="5"/>
        <v>21205632.435987685</v>
      </c>
      <c r="R7" s="2">
        <f t="shared" si="5"/>
        <v>25034433.541357376</v>
      </c>
      <c r="S7" s="2">
        <f t="shared" si="5"/>
        <v>29767685.658443812</v>
      </c>
      <c r="T7" s="2">
        <f t="shared" si="5"/>
        <v>35412370.497414932</v>
      </c>
      <c r="U7" s="2">
        <f t="shared" si="5"/>
        <v>41050915.873859838</v>
      </c>
      <c r="V7" s="2">
        <f t="shared" ref="V7:AA7" si="6">V82</f>
        <v>48608337.793716371</v>
      </c>
      <c r="W7" s="2">
        <f t="shared" si="6"/>
        <v>57098397.420132577</v>
      </c>
      <c r="X7" s="2">
        <f t="shared" si="6"/>
        <v>66193720.627851292</v>
      </c>
      <c r="Y7" s="2">
        <f t="shared" si="6"/>
        <v>75197863.338904873</v>
      </c>
      <c r="Z7" s="2">
        <f t="shared" si="6"/>
        <v>84279922.233707249</v>
      </c>
      <c r="AA7" s="2">
        <f t="shared" si="6"/>
        <v>94804704.53410694</v>
      </c>
      <c r="AB7" s="2">
        <f>AB82</f>
        <v>106888642.62564005</v>
      </c>
      <c r="AC7" s="2">
        <f>AC82</f>
        <v>118369601.05311634</v>
      </c>
      <c r="AD7" s="2">
        <f t="shared" ref="AD7:AE7" si="7">AD82</f>
        <v>134742490.76419312</v>
      </c>
      <c r="AE7" s="2">
        <f t="shared" si="7"/>
        <v>153318723.62621662</v>
      </c>
      <c r="AF7" s="2"/>
      <c r="AG7" s="2"/>
      <c r="AH7" s="2"/>
      <c r="AI7" s="2"/>
      <c r="AJ7" s="2"/>
      <c r="AK7" s="2"/>
      <c r="AL7" s="2">
        <f t="shared" ref="AL7:AZ7" si="8">AL8+AL9</f>
        <v>6283972</v>
      </c>
      <c r="AM7" s="2">
        <f t="shared" si="8"/>
        <v>7222560</v>
      </c>
      <c r="AN7" s="2">
        <f t="shared" si="8"/>
        <v>8152788.9999999991</v>
      </c>
      <c r="AO7" s="2">
        <f t="shared" si="8"/>
        <v>11108407.769087322</v>
      </c>
      <c r="AP7" s="2">
        <f t="shared" si="8"/>
        <v>12710649.051096626</v>
      </c>
      <c r="AQ7" s="2">
        <f t="shared" si="8"/>
        <v>14653992.861345712</v>
      </c>
      <c r="AR7" s="2">
        <f t="shared" si="8"/>
        <v>16870352.591521211</v>
      </c>
      <c r="AS7" s="2">
        <f t="shared" si="8"/>
        <v>19128518.639617179</v>
      </c>
      <c r="AT7" s="2">
        <f t="shared" si="8"/>
        <v>23511717.429135382</v>
      </c>
      <c r="AU7" s="2">
        <f t="shared" si="8"/>
        <v>26907446.718497202</v>
      </c>
      <c r="AV7" s="2">
        <f t="shared" si="8"/>
        <v>32921991.057022501</v>
      </c>
      <c r="AW7" s="60">
        <f>AW8+AW9</f>
        <v>37948614.717807367</v>
      </c>
      <c r="AX7" s="2">
        <f t="shared" si="8"/>
        <v>44077470.709912308</v>
      </c>
      <c r="AY7" s="2">
        <f t="shared" si="8"/>
        <v>53157137.499880329</v>
      </c>
      <c r="AZ7" s="2">
        <f t="shared" si="8"/>
        <v>61709486.79253383</v>
      </c>
      <c r="BA7" s="2">
        <f t="shared" ref="BA7:BF7" si="9">BA8+BA9</f>
        <v>71319921.243167594</v>
      </c>
      <c r="BB7" s="2">
        <f t="shared" si="9"/>
        <v>78331551.576591074</v>
      </c>
      <c r="BC7" s="2">
        <f t="shared" si="9"/>
        <v>89117345.135836765</v>
      </c>
      <c r="BD7" s="2">
        <f t="shared" si="9"/>
        <v>100492063.9323771</v>
      </c>
      <c r="BE7" s="2">
        <f t="shared" si="9"/>
        <v>113285221.31890297</v>
      </c>
      <c r="BF7" s="2">
        <f t="shared" si="9"/>
        <v>123453980.78732967</v>
      </c>
      <c r="BG7" s="2">
        <f t="shared" ref="BG7:BH7" si="10">BG8+BG9</f>
        <v>146031000.74105656</v>
      </c>
      <c r="BH7" s="2">
        <f t="shared" si="10"/>
        <v>160606446.51137665</v>
      </c>
    </row>
    <row r="8" spans="1:190" s="180" customFormat="1" x14ac:dyDescent="0.2">
      <c r="A8" s="180" t="s">
        <v>144</v>
      </c>
      <c r="E8" s="180" t="s">
        <v>8</v>
      </c>
      <c r="G8" s="46"/>
      <c r="H8" s="46"/>
      <c r="J8" s="181">
        <f>[1]NA!J8</f>
        <v>221864.2</v>
      </c>
      <c r="K8" s="181">
        <f>[1]NA!K8</f>
        <v>222212.7</v>
      </c>
      <c r="L8" s="181">
        <f>[1]NA!L8</f>
        <v>301982.8</v>
      </c>
      <c r="M8" s="181">
        <f>[1]NA!M8</f>
        <v>351893.2</v>
      </c>
      <c r="N8" s="181">
        <f>[1]NA!N8</f>
        <v>425140.4</v>
      </c>
      <c r="O8" s="181">
        <f>[1]NA!O8</f>
        <v>504323.72454999993</v>
      </c>
      <c r="P8" s="181">
        <f>[1]NA!P8</f>
        <v>679986.44154202065</v>
      </c>
      <c r="Q8" s="181">
        <f>[1]NA!Q8</f>
        <v>845789.8</v>
      </c>
      <c r="R8" s="181">
        <f>[1]NA!R8</f>
        <v>861049.79999999993</v>
      </c>
      <c r="S8" s="181">
        <f>[1]NA!S8</f>
        <v>1110950.7000000002</v>
      </c>
      <c r="T8" s="181">
        <f>[1]NA!T8</f>
        <v>1287813.8999999999</v>
      </c>
      <c r="U8" s="181">
        <f>[1]NA!U8</f>
        <v>1488451.73</v>
      </c>
      <c r="V8" s="181">
        <f>[1]NA!V8</f>
        <v>1632863.19</v>
      </c>
      <c r="W8" s="181">
        <f>[1]NA!W8</f>
        <v>1974820.2431748202</v>
      </c>
      <c r="X8" s="181">
        <f>[1]NA!X8</f>
        <v>2372870.9000000004</v>
      </c>
      <c r="Y8" s="181">
        <f>[1]NA!Y8</f>
        <v>2276633.258956173</v>
      </c>
      <c r="Z8" s="181">
        <f>[1]NA!Z8</f>
        <v>2438903.9146492835</v>
      </c>
      <c r="AA8" s="181">
        <f>[1]NA!AA8</f>
        <v>3616082.3471014583</v>
      </c>
      <c r="AB8" s="181">
        <f>[1]NA!AB8</f>
        <v>3972192.5307128783</v>
      </c>
      <c r="AC8" s="181">
        <f>[1]NA!AC8</f>
        <v>4639674.0787013536</v>
      </c>
      <c r="AD8" s="181">
        <f>[1]NA!AD8</f>
        <v>5492550.5743343551</v>
      </c>
      <c r="AE8" s="181">
        <f>[1]NA!AE8</f>
        <v>6491629.9421350379</v>
      </c>
      <c r="AF8" s="181"/>
      <c r="AG8" s="181"/>
      <c r="AH8" s="182"/>
      <c r="AI8" s="182"/>
      <c r="AJ8" s="182"/>
      <c r="AK8" s="182"/>
      <c r="AL8" s="181">
        <f>[1]NA!AL8</f>
        <v>89789.963000000003</v>
      </c>
      <c r="AM8" s="181">
        <f>[1]NA!AM8</f>
        <v>162093.50700000001</v>
      </c>
      <c r="AN8" s="181">
        <f>[1]NA!AN8</f>
        <v>266555.8</v>
      </c>
      <c r="AO8" s="181">
        <f>[1]NA!AO8</f>
        <v>321922.59999999998</v>
      </c>
      <c r="AP8" s="181">
        <f>[1]NA!AP8</f>
        <v>387905.69999999995</v>
      </c>
      <c r="AQ8" s="181">
        <f>[1]NA!AQ8</f>
        <v>465931.05050000001</v>
      </c>
      <c r="AR8" s="181">
        <f>[1]NA!AR8</f>
        <v>586373.53912480001</v>
      </c>
      <c r="AS8" s="181">
        <f>[1]NA!AS8</f>
        <v>586373.53912480001</v>
      </c>
      <c r="AT8" s="181">
        <f>[1]NA!AT8</f>
        <v>837961</v>
      </c>
      <c r="AU8" s="181">
        <f>[1]NA!AU8</f>
        <v>990548.6</v>
      </c>
      <c r="AV8" s="181">
        <f>[1]NA!AV8</f>
        <v>1260498.2</v>
      </c>
      <c r="AW8" s="181">
        <f>[1]NA!AW8</f>
        <v>1345695.6300000001</v>
      </c>
      <c r="AX8" s="181">
        <f>[1]NA!AX8</f>
        <v>1567835.46</v>
      </c>
      <c r="AY8" s="181">
        <f>[1]NA!AY8</f>
        <v>1762141.4917226899</v>
      </c>
      <c r="AZ8" s="181">
        <f>[1]NA!AZ8</f>
        <v>2177891.2814521301</v>
      </c>
      <c r="BA8" s="181">
        <f>[1]NA!BA8</f>
        <v>2441264.2056401325</v>
      </c>
      <c r="BB8" s="181">
        <f>[1]NA!BB8</f>
        <v>2285072.4533160408</v>
      </c>
      <c r="BC8" s="181">
        <f>[1]NA!BC8</f>
        <v>2975487.1629207651</v>
      </c>
      <c r="BD8" s="181">
        <f>[1]NA!BD8</f>
        <v>3791069.3737345003</v>
      </c>
      <c r="BE8" s="181">
        <f>[1]NA!BE8</f>
        <v>4300650.4779322958</v>
      </c>
      <c r="BF8" s="181">
        <f>[1]NA!BF8</f>
        <v>5059418.2114691483</v>
      </c>
      <c r="BG8" s="181">
        <f>[1]NA!BG8</f>
        <v>5984200.3738031704</v>
      </c>
      <c r="BH8" s="181">
        <f>[1]NA!BH8</f>
        <v>0</v>
      </c>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row>
    <row r="9" spans="1:190" x14ac:dyDescent="0.2">
      <c r="E9" s="4" t="s">
        <v>9</v>
      </c>
      <c r="G9" s="29"/>
      <c r="H9" s="29"/>
      <c r="J9" s="2">
        <f t="shared" ref="J9:X9" si="11">J7-J8</f>
        <v>6531401.7999999998</v>
      </c>
      <c r="K9" s="2">
        <f t="shared" si="11"/>
        <v>7465461.7999999998</v>
      </c>
      <c r="L9" s="2">
        <f t="shared" si="11"/>
        <v>9282220.1750329286</v>
      </c>
      <c r="M9" s="2">
        <f t="shared" si="11"/>
        <v>11457826.403096581</v>
      </c>
      <c r="N9" s="2">
        <f t="shared" si="11"/>
        <v>13140715.873020915</v>
      </c>
      <c r="O9" s="2">
        <f t="shared" si="11"/>
        <v>15119063.957186451</v>
      </c>
      <c r="P9" s="2">
        <f t="shared" si="11"/>
        <v>17235870.889800031</v>
      </c>
      <c r="Q9" s="2">
        <f t="shared" si="11"/>
        <v>20359842.635987684</v>
      </c>
      <c r="R9" s="2">
        <f t="shared" si="11"/>
        <v>24173383.741357375</v>
      </c>
      <c r="S9" s="2">
        <f t="shared" si="11"/>
        <v>28656734.958443813</v>
      </c>
      <c r="T9" s="2">
        <f t="shared" si="11"/>
        <v>34124556.597414933</v>
      </c>
      <c r="U9" s="2">
        <f t="shared" si="11"/>
        <v>39562464.143859841</v>
      </c>
      <c r="V9" s="2">
        <f t="shared" si="11"/>
        <v>46975474.603716373</v>
      </c>
      <c r="W9" s="2">
        <f t="shared" si="11"/>
        <v>55123577.176957756</v>
      </c>
      <c r="X9" s="2">
        <f t="shared" si="11"/>
        <v>63820849.727851294</v>
      </c>
      <c r="Y9" s="2">
        <f>Y7-Y8</f>
        <v>72921230.079948694</v>
      </c>
      <c r="Z9" s="2">
        <f>Z7-Z8</f>
        <v>81841018.319057971</v>
      </c>
      <c r="AA9" s="2">
        <f>AA7-AA8</f>
        <v>91188622.187005475</v>
      </c>
      <c r="AB9" s="2">
        <f>AB7-AB8</f>
        <v>102916450.09492718</v>
      </c>
      <c r="AC9" s="2">
        <f>AC7-AC8</f>
        <v>113729926.97441499</v>
      </c>
      <c r="AD9" s="2">
        <f t="shared" ref="AD9:AE9" si="12">AD7-AD8</f>
        <v>129249940.18985876</v>
      </c>
      <c r="AE9" s="2">
        <f t="shared" si="12"/>
        <v>146827093.68408158</v>
      </c>
      <c r="AF9" s="2"/>
      <c r="AG9" s="2"/>
      <c r="AH9" s="2"/>
      <c r="AI9" s="2"/>
      <c r="AJ9" s="2"/>
      <c r="AK9" s="2"/>
      <c r="AL9" s="2">
        <f t="shared" ref="AL9:AZ9" si="13">AL12+AL10</f>
        <v>6194182.0369999995</v>
      </c>
      <c r="AM9" s="2">
        <f t="shared" si="13"/>
        <v>7060466.4929999998</v>
      </c>
      <c r="AN9" s="2">
        <f t="shared" si="13"/>
        <v>7886233.1999999993</v>
      </c>
      <c r="AO9" s="2">
        <f t="shared" si="13"/>
        <v>10786485.169087322</v>
      </c>
      <c r="AP9" s="2">
        <f t="shared" si="13"/>
        <v>12322743.351096626</v>
      </c>
      <c r="AQ9" s="2">
        <f t="shared" si="13"/>
        <v>14188061.810845712</v>
      </c>
      <c r="AR9" s="2">
        <f t="shared" si="13"/>
        <v>16283979.052396409</v>
      </c>
      <c r="AS9" s="2">
        <f t="shared" si="13"/>
        <v>18542145.100492377</v>
      </c>
      <c r="AT9" s="2">
        <f t="shared" si="13"/>
        <v>22673756.429135382</v>
      </c>
      <c r="AU9" s="2">
        <f t="shared" si="13"/>
        <v>25916898.1184972</v>
      </c>
      <c r="AV9" s="2">
        <f t="shared" si="13"/>
        <v>31661492.857022502</v>
      </c>
      <c r="AW9" s="60">
        <f>AW12+AW10</f>
        <v>36602919.087807365</v>
      </c>
      <c r="AX9" s="2">
        <f t="shared" si="13"/>
        <v>42509635.249912307</v>
      </c>
      <c r="AY9" s="2">
        <f t="shared" si="13"/>
        <v>51394996.008157641</v>
      </c>
      <c r="AZ9" s="2">
        <f t="shared" si="13"/>
        <v>59531595.511081703</v>
      </c>
      <c r="BA9" s="2">
        <f t="shared" ref="BA9:BF9" si="14">BA12+BA10</f>
        <v>68878657.037527457</v>
      </c>
      <c r="BB9" s="2">
        <f t="shared" si="14"/>
        <v>76046479.123275027</v>
      </c>
      <c r="BC9" s="2">
        <f t="shared" si="14"/>
        <v>86141857.972916007</v>
      </c>
      <c r="BD9" s="2">
        <f t="shared" si="14"/>
        <v>96700994.558642596</v>
      </c>
      <c r="BE9" s="2">
        <f t="shared" si="14"/>
        <v>108984570.84097068</v>
      </c>
      <c r="BF9" s="2">
        <f t="shared" si="14"/>
        <v>118394562.57586053</v>
      </c>
      <c r="BG9" s="2">
        <f t="shared" ref="BG9:BH9" si="15">BG12+BG10</f>
        <v>140046800.36725339</v>
      </c>
      <c r="BH9" s="2">
        <f t="shared" si="15"/>
        <v>160606446.51137665</v>
      </c>
    </row>
    <row r="10" spans="1:190" s="180" customFormat="1" x14ac:dyDescent="0.2">
      <c r="A10" s="180" t="s">
        <v>146</v>
      </c>
      <c r="E10" s="180" t="s">
        <v>10</v>
      </c>
      <c r="G10" s="46"/>
      <c r="H10" s="46"/>
      <c r="J10" s="181">
        <f>[1]NA!J10</f>
        <v>223739.69999999955</v>
      </c>
      <c r="K10" s="181">
        <f>[1]NA!K10</f>
        <v>223700.84999999954</v>
      </c>
      <c r="L10" s="181">
        <f>[1]NA!L10</f>
        <v>290368.69999999984</v>
      </c>
      <c r="M10" s="181">
        <f>[1]NA!M10</f>
        <v>303364.55884399987</v>
      </c>
      <c r="N10" s="181">
        <f>[1]NA!N10</f>
        <v>335775.44125599985</v>
      </c>
      <c r="O10" s="181">
        <f>[1]NA!O10</f>
        <v>402233.46038957953</v>
      </c>
      <c r="P10" s="181">
        <f>[1]NA!P10</f>
        <v>493231.97657723445</v>
      </c>
      <c r="Q10" s="181">
        <f>[1]NA!Q10</f>
        <v>649139.89684116538</v>
      </c>
      <c r="R10" s="181">
        <f>[1]NA!R10</f>
        <v>918764.99999999977</v>
      </c>
      <c r="S10" s="181">
        <f>[1]NA!S10</f>
        <v>1016965.9500000004</v>
      </c>
      <c r="T10" s="181">
        <f>[1]NA!T10</f>
        <v>1205243.3100000035</v>
      </c>
      <c r="U10" s="181">
        <f>[1]NA!U10</f>
        <v>1428880.3600000036</v>
      </c>
      <c r="V10" s="181">
        <f>[1]NA!V10</f>
        <v>1714465.61</v>
      </c>
      <c r="W10" s="181">
        <f>[1]NA!W10</f>
        <v>1917632.03052257</v>
      </c>
      <c r="X10" s="181">
        <f>[1]NA!X10</f>
        <v>2008905.9425159544</v>
      </c>
      <c r="Y10" s="181">
        <f>[1]NA!Y10</f>
        <v>2866261.2763149552</v>
      </c>
      <c r="Z10" s="181">
        <f>[1]NA!Z10</f>
        <v>3234304.5594410785</v>
      </c>
      <c r="AA10" s="181">
        <f>[1]NA!AA10</f>
        <v>4141362.8227108242</v>
      </c>
      <c r="AB10" s="181">
        <f>[1]NA!AB10</f>
        <v>4347092.8284508567</v>
      </c>
      <c r="AC10" s="181">
        <f>[1]NA!AC10</f>
        <v>4956381.5452465806</v>
      </c>
      <c r="AD10" s="181">
        <f>[1]NA!AD10</f>
        <v>5696818.5408279821</v>
      </c>
      <c r="AE10" s="181">
        <f>[1]NA!AE10</f>
        <v>6548092.6510093566</v>
      </c>
      <c r="AF10" s="181"/>
      <c r="AG10" s="181"/>
      <c r="AH10" s="182"/>
      <c r="AI10" s="182"/>
      <c r="AJ10" s="182"/>
      <c r="AK10" s="182"/>
      <c r="AL10" s="181">
        <f>[1]NA!AL10</f>
        <v>330453.0369999996</v>
      </c>
      <c r="AM10" s="181">
        <f>[1]NA!AM10</f>
        <v>266512.49299999943</v>
      </c>
      <c r="AN10" s="181">
        <f>[1]NA!AN10</f>
        <v>262595.1999999996</v>
      </c>
      <c r="AO10" s="181">
        <f>[1]NA!AO10</f>
        <v>290077.40000000002</v>
      </c>
      <c r="AP10" s="181">
        <f>[1]NA!AP10</f>
        <v>316668.29999999993</v>
      </c>
      <c r="AQ10" s="181">
        <f>[1]NA!AQ10</f>
        <v>365775.9495000001</v>
      </c>
      <c r="AR10" s="181">
        <f>[1]NA!AR10</f>
        <v>412627.460875199</v>
      </c>
      <c r="AS10" s="181">
        <f>[1]NA!AS10</f>
        <v>589499.45521637122</v>
      </c>
      <c r="AT10" s="181">
        <f>[1]NA!AT10</f>
        <v>825081.9999999993</v>
      </c>
      <c r="AU10" s="181">
        <f>[1]NA!AU10</f>
        <v>968010.40000000061</v>
      </c>
      <c r="AV10" s="181">
        <f>[1]NA!AV10</f>
        <v>1069121.7999999998</v>
      </c>
      <c r="AW10" s="181">
        <f>[1]NA!AW10</f>
        <v>1356663.5700000066</v>
      </c>
      <c r="AX10" s="181">
        <f>[1]NA!AX10</f>
        <v>1488723.1999999997</v>
      </c>
      <c r="AY10" s="181">
        <f>[1]NA!AY10</f>
        <v>1893890.0706371998</v>
      </c>
      <c r="AZ10" s="181">
        <f>[1]NA!AZ10</f>
        <v>1968107.9198853704</v>
      </c>
      <c r="BA10" s="181">
        <f>[1]NA!BA10</f>
        <v>2405815.0071335994</v>
      </c>
      <c r="BB10" s="181">
        <f>[1]NA!BB10</f>
        <v>3057564.7916973107</v>
      </c>
      <c r="BC10" s="181">
        <f>[1]NA!BC10</f>
        <v>3654629.7754356358</v>
      </c>
      <c r="BD10" s="181">
        <f>[1]NA!BD10</f>
        <v>4242483.141309537</v>
      </c>
      <c r="BE10" s="181">
        <f>[1]NA!BE10</f>
        <v>4646292.6801735153</v>
      </c>
      <c r="BF10" s="181">
        <f>[1]NA!BF10</f>
        <v>5319971.4240170494</v>
      </c>
      <c r="BG10" s="181">
        <f>[1]NA!BG10</f>
        <v>6114828.7984311692</v>
      </c>
      <c r="BH10" s="181">
        <f>[1]NA!BH10</f>
        <v>0</v>
      </c>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row>
    <row r="11" spans="1:190" x14ac:dyDescent="0.2">
      <c r="E11" s="183" t="s">
        <v>138</v>
      </c>
      <c r="G11" s="29"/>
      <c r="H11" s="29"/>
      <c r="J11" s="2">
        <f t="shared" ref="J11:U11" si="16">J189</f>
        <v>51746.499999999534</v>
      </c>
      <c r="K11" s="2">
        <f t="shared" si="16"/>
        <v>45571.749999999534</v>
      </c>
      <c r="L11" s="2">
        <f t="shared" si="16"/>
        <v>39972.299999999814</v>
      </c>
      <c r="M11" s="2">
        <f t="shared" si="16"/>
        <v>37031.858843999915</v>
      </c>
      <c r="N11" s="2">
        <f t="shared" si="16"/>
        <v>42575.058943999931</v>
      </c>
      <c r="O11" s="2">
        <f t="shared" si="16"/>
        <v>49913.099770579487</v>
      </c>
      <c r="P11" s="2">
        <f t="shared" si="16"/>
        <v>142700.29651174508</v>
      </c>
      <c r="Q11" s="2">
        <f t="shared" si="16"/>
        <v>239498.99684116524</v>
      </c>
      <c r="R11" s="2">
        <f t="shared" si="16"/>
        <v>185277</v>
      </c>
      <c r="S11" s="2">
        <f t="shared" si="16"/>
        <v>135263.15000000037</v>
      </c>
      <c r="T11" s="2">
        <f t="shared" si="16"/>
        <v>140573.81000000355</v>
      </c>
      <c r="U11" s="2">
        <f t="shared" si="16"/>
        <v>66656.810000003548</v>
      </c>
      <c r="V11" s="2">
        <f t="shared" ref="V11:AA11" si="17">V189</f>
        <v>0</v>
      </c>
      <c r="W11" s="2">
        <f t="shared" si="17"/>
        <v>0</v>
      </c>
      <c r="X11" s="2">
        <f t="shared" si="17"/>
        <v>0</v>
      </c>
      <c r="Y11" s="2">
        <f t="shared" si="17"/>
        <v>0.5</v>
      </c>
      <c r="Z11" s="2">
        <f t="shared" si="17"/>
        <v>1.5</v>
      </c>
      <c r="AA11" s="2">
        <f t="shared" si="17"/>
        <v>2</v>
      </c>
      <c r="AB11" s="2">
        <f>AB189</f>
        <v>0</v>
      </c>
      <c r="AC11" s="2">
        <f>AC189</f>
        <v>0</v>
      </c>
      <c r="AD11" s="2">
        <f t="shared" ref="AD11:AE11" si="18">AD189</f>
        <v>0</v>
      </c>
      <c r="AE11" s="2">
        <f t="shared" si="18"/>
        <v>0</v>
      </c>
      <c r="AF11" s="2"/>
      <c r="AG11" s="2"/>
      <c r="AH11" s="2"/>
      <c r="AI11" s="2"/>
      <c r="AJ11" s="2"/>
      <c r="AK11" s="2"/>
      <c r="AL11" s="2">
        <f>AL189</f>
        <v>57818.599999999627</v>
      </c>
      <c r="AM11" s="2">
        <f t="shared" ref="AM11:AY11" si="19">AM189</f>
        <v>45674.399999999441</v>
      </c>
      <c r="AN11" s="2">
        <f t="shared" si="19"/>
        <v>45469.099999999627</v>
      </c>
      <c r="AO11" s="2">
        <f t="shared" si="19"/>
        <v>34475.5</v>
      </c>
      <c r="AP11" s="2">
        <f t="shared" si="19"/>
        <v>39588.21768799983</v>
      </c>
      <c r="AQ11" s="2">
        <f t="shared" si="19"/>
        <v>45561.900200000033</v>
      </c>
      <c r="AR11" s="2">
        <f t="shared" si="19"/>
        <v>54264.299341158941</v>
      </c>
      <c r="AS11" s="2">
        <f t="shared" si="19"/>
        <v>231136.29368233122</v>
      </c>
      <c r="AT11" s="2">
        <f t="shared" si="19"/>
        <v>247861.69999999925</v>
      </c>
      <c r="AU11" s="2">
        <f t="shared" si="19"/>
        <v>122692.30000000075</v>
      </c>
      <c r="AV11" s="2">
        <f t="shared" si="19"/>
        <v>147834</v>
      </c>
      <c r="AW11" s="60">
        <f t="shared" si="19"/>
        <v>133313.6200000071</v>
      </c>
      <c r="AX11" s="167">
        <f t="shared" si="19"/>
        <v>0</v>
      </c>
      <c r="AY11" s="167">
        <f t="shared" si="19"/>
        <v>0</v>
      </c>
      <c r="AZ11" s="167">
        <f t="shared" ref="AZ11:BF11" si="20">AZ189</f>
        <v>0</v>
      </c>
      <c r="BA11" s="167">
        <f t="shared" si="20"/>
        <v>0</v>
      </c>
      <c r="BB11" s="167">
        <f t="shared" si="20"/>
        <v>1</v>
      </c>
      <c r="BC11" s="167">
        <f t="shared" si="20"/>
        <v>2</v>
      </c>
      <c r="BD11" s="167">
        <f t="shared" si="20"/>
        <v>0</v>
      </c>
      <c r="BE11" s="167">
        <f t="shared" si="20"/>
        <v>0</v>
      </c>
      <c r="BF11" s="167">
        <f t="shared" si="20"/>
        <v>0</v>
      </c>
      <c r="BG11" s="167">
        <f t="shared" ref="BG11:BH11" si="21">BG189</f>
        <v>0</v>
      </c>
      <c r="BH11" s="167">
        <f t="shared" si="21"/>
        <v>0</v>
      </c>
    </row>
    <row r="12" spans="1:190" x14ac:dyDescent="0.2">
      <c r="E12" s="4" t="s">
        <v>11</v>
      </c>
      <c r="G12" s="29"/>
      <c r="H12" s="29"/>
      <c r="J12" s="2">
        <f t="shared" ref="J12:U12" si="22">J9-J10</f>
        <v>6307662.1000000006</v>
      </c>
      <c r="K12" s="2">
        <f t="shared" si="22"/>
        <v>7241760.9500000002</v>
      </c>
      <c r="L12" s="2">
        <f t="shared" si="22"/>
        <v>8991851.4750329293</v>
      </c>
      <c r="M12" s="2">
        <f t="shared" si="22"/>
        <v>11154461.844252581</v>
      </c>
      <c r="N12" s="2">
        <f t="shared" si="22"/>
        <v>12804940.431764916</v>
      </c>
      <c r="O12" s="2">
        <f t="shared" si="22"/>
        <v>14716830.496796872</v>
      </c>
      <c r="P12" s="2">
        <f t="shared" si="22"/>
        <v>16742638.913222797</v>
      </c>
      <c r="Q12" s="2">
        <f t="shared" si="22"/>
        <v>19710702.739146519</v>
      </c>
      <c r="R12" s="2">
        <f t="shared" si="22"/>
        <v>23254618.741357375</v>
      </c>
      <c r="S12" s="2">
        <f t="shared" si="22"/>
        <v>27639769.008443814</v>
      </c>
      <c r="T12" s="2">
        <f t="shared" si="22"/>
        <v>32919313.287414931</v>
      </c>
      <c r="U12" s="2">
        <f t="shared" si="22"/>
        <v>38133583.783859834</v>
      </c>
      <c r="V12" s="2">
        <f t="shared" ref="V12:AA12" si="23">V9-V10</f>
        <v>45261008.993716374</v>
      </c>
      <c r="W12" s="2">
        <f t="shared" si="23"/>
        <v>53205945.146435186</v>
      </c>
      <c r="X12" s="2">
        <f t="shared" si="23"/>
        <v>61811943.78533534</v>
      </c>
      <c r="Y12" s="2">
        <f t="shared" si="23"/>
        <v>70054968.803633735</v>
      </c>
      <c r="Z12" s="2">
        <f t="shared" si="23"/>
        <v>78606713.759616897</v>
      </c>
      <c r="AA12" s="2">
        <f t="shared" si="23"/>
        <v>87047259.364294648</v>
      </c>
      <c r="AB12" s="2">
        <f>AB9-AB10</f>
        <v>98569357.266476318</v>
      </c>
      <c r="AC12" s="2">
        <f>AC9-AC10</f>
        <v>108773545.4291684</v>
      </c>
      <c r="AD12" s="2">
        <f t="shared" ref="AD12:AE12" si="24">AD9-AD10</f>
        <v>123553121.64903077</v>
      </c>
      <c r="AE12" s="2">
        <f t="shared" si="24"/>
        <v>140279001.03307223</v>
      </c>
      <c r="AF12" s="2"/>
      <c r="AG12" s="2"/>
      <c r="AH12" s="2"/>
      <c r="AI12" s="2"/>
      <c r="AJ12" s="2"/>
      <c r="AK12" s="2"/>
      <c r="AL12" s="2">
        <f t="shared" ref="AL12:AZ12" si="25">AL79</f>
        <v>5863729</v>
      </c>
      <c r="AM12" s="2">
        <f t="shared" si="25"/>
        <v>6793954</v>
      </c>
      <c r="AN12" s="2">
        <f t="shared" si="25"/>
        <v>7623638</v>
      </c>
      <c r="AO12" s="2">
        <f t="shared" si="25"/>
        <v>10496407.769087322</v>
      </c>
      <c r="AP12" s="2">
        <f t="shared" si="25"/>
        <v>12006075.051096626</v>
      </c>
      <c r="AQ12" s="2">
        <f t="shared" si="25"/>
        <v>13822285.861345712</v>
      </c>
      <c r="AR12" s="2">
        <f t="shared" si="25"/>
        <v>15871351.591521211</v>
      </c>
      <c r="AS12" s="2">
        <f t="shared" si="25"/>
        <v>17952645.645276006</v>
      </c>
      <c r="AT12" s="2">
        <f t="shared" si="25"/>
        <v>21848674.429135382</v>
      </c>
      <c r="AU12" s="2">
        <f t="shared" si="25"/>
        <v>24948887.718497198</v>
      </c>
      <c r="AV12" s="2">
        <f t="shared" si="25"/>
        <v>30592371.057022501</v>
      </c>
      <c r="AW12" s="60">
        <f>AW79</f>
        <v>35246255.517807357</v>
      </c>
      <c r="AX12" s="2">
        <f>AX79</f>
        <v>41020912.049912304</v>
      </c>
      <c r="AY12" s="2">
        <f t="shared" si="25"/>
        <v>49501105.937520444</v>
      </c>
      <c r="AZ12" s="2">
        <f t="shared" si="25"/>
        <v>57563487.591196336</v>
      </c>
      <c r="BA12" s="2">
        <f t="shared" ref="BA12:BF12" si="26">BA79</f>
        <v>66472842.030393854</v>
      </c>
      <c r="BB12" s="2">
        <f t="shared" si="26"/>
        <v>72988914.331577718</v>
      </c>
      <c r="BC12" s="2">
        <f t="shared" si="26"/>
        <v>82487228.197480366</v>
      </c>
      <c r="BD12" s="2">
        <f t="shared" si="26"/>
        <v>92458511.417333066</v>
      </c>
      <c r="BE12" s="2">
        <f t="shared" si="26"/>
        <v>104338278.16079716</v>
      </c>
      <c r="BF12" s="2">
        <f t="shared" si="26"/>
        <v>113074591.15184349</v>
      </c>
      <c r="BG12" s="2">
        <f t="shared" ref="BG12:BH12" si="27">BG79</f>
        <v>133931971.56882222</v>
      </c>
      <c r="BH12" s="2">
        <f t="shared" si="27"/>
        <v>160606446.51137665</v>
      </c>
    </row>
    <row r="13" spans="1:190" s="180" customFormat="1" x14ac:dyDescent="0.2">
      <c r="A13" s="180" t="s">
        <v>145</v>
      </c>
      <c r="E13" s="180" t="s">
        <v>12</v>
      </c>
      <c r="G13" s="46"/>
      <c r="H13" s="46"/>
      <c r="J13" s="181">
        <f>[1]NA!J13</f>
        <v>73356.399999999994</v>
      </c>
      <c r="K13" s="181">
        <f>[1]NA!K13</f>
        <v>74987</v>
      </c>
      <c r="L13" s="181">
        <f>[1]NA!L13</f>
        <v>81396.3</v>
      </c>
      <c r="M13" s="181">
        <f>[1]NA!M13</f>
        <v>100410.09999999999</v>
      </c>
      <c r="N13" s="181">
        <f>[1]NA!N13</f>
        <v>111664.180488</v>
      </c>
      <c r="O13" s="181">
        <f>[1]NA!O13</f>
        <v>123500.24456633333</v>
      </c>
      <c r="P13" s="181">
        <f>[1]NA!P13</f>
        <v>132040.20978373667</v>
      </c>
      <c r="Q13" s="181">
        <f>[1]NA!Q13</f>
        <v>109758.15196533334</v>
      </c>
      <c r="R13" s="181">
        <f>[1]NA!R13</f>
        <v>218581.1</v>
      </c>
      <c r="S13" s="181">
        <f>[1]NA!S13</f>
        <v>382792</v>
      </c>
      <c r="T13" s="181">
        <f>[1]NA!T13</f>
        <v>462543.80000000005</v>
      </c>
      <c r="U13" s="181">
        <f>[1]NA!U13</f>
        <v>243138.67</v>
      </c>
      <c r="V13" s="181">
        <f>[1]NA!V13</f>
        <v>287875.3</v>
      </c>
      <c r="W13" s="181">
        <f>[1]NA!W13</f>
        <v>341241.80722401</v>
      </c>
      <c r="X13" s="181">
        <f>[1]NA!X13</f>
        <v>328653.33999999997</v>
      </c>
      <c r="Y13" s="181">
        <f>[1]NA!Y13</f>
        <v>443503.63315238612</v>
      </c>
      <c r="Z13" s="181">
        <f>[1]NA!Z13</f>
        <v>498556.58093199995</v>
      </c>
      <c r="AA13" s="181">
        <f>[1]NA!AA13</f>
        <v>663536.19149541575</v>
      </c>
      <c r="AB13" s="181">
        <f>[1]NA!AB13</f>
        <v>987797.58373518358</v>
      </c>
      <c r="AC13" s="181">
        <f>[1]NA!AC13</f>
        <v>1123763.3987815883</v>
      </c>
      <c r="AD13" s="181">
        <f>[1]NA!AD13</f>
        <v>1270122.0164675277</v>
      </c>
      <c r="AE13" s="181">
        <f>[1]NA!AE13</f>
        <v>1434836.7854363187</v>
      </c>
      <c r="AF13" s="181"/>
      <c r="AG13" s="181"/>
      <c r="AH13" s="182"/>
      <c r="AI13" s="182"/>
      <c r="AJ13" s="182"/>
      <c r="AK13" s="182"/>
      <c r="AL13" s="181">
        <f>[1]NA!AL13</f>
        <v>83905.600000000006</v>
      </c>
      <c r="AM13" s="181">
        <f>[1]NA!AM13</f>
        <v>72280.5</v>
      </c>
      <c r="AN13" s="181">
        <f>[1]NA!AN13</f>
        <v>78317.100000000006</v>
      </c>
      <c r="AO13" s="181">
        <f>[1]NA!AO13</f>
        <v>92119.400000000009</v>
      </c>
      <c r="AP13" s="181">
        <f>[1]NA!AP13</f>
        <v>105135.98048799999</v>
      </c>
      <c r="AQ13" s="181">
        <f>[1]NA!AQ13</f>
        <v>115368.34811966665</v>
      </c>
      <c r="AR13" s="181">
        <f>[1]NA!AR13</f>
        <v>128692.22351566667</v>
      </c>
      <c r="AS13" s="181">
        <f>[1]NA!AS13</f>
        <v>128692.22351566667</v>
      </c>
      <c r="AT13" s="181">
        <f>[1]NA!AT13</f>
        <v>163699.19999999998</v>
      </c>
      <c r="AU13" s="181">
        <f>[1]NA!AU13</f>
        <v>299125.39999999997</v>
      </c>
      <c r="AV13" s="181">
        <f>[1]NA!AV13</f>
        <v>421548.60000000003</v>
      </c>
      <c r="AW13" s="181">
        <f>[1]NA!AW13</f>
        <v>361199.44000000006</v>
      </c>
      <c r="AX13" s="181">
        <f>[1]NA!AX13</f>
        <v>265220.93</v>
      </c>
      <c r="AY13" s="181">
        <f>[1]NA!AY13</f>
        <v>309136.90722401004</v>
      </c>
      <c r="AZ13" s="181">
        <f>[1]NA!AZ13</f>
        <v>337084.62</v>
      </c>
      <c r="BA13" s="181">
        <f>[1]NA!BA13</f>
        <v>377716.07995117991</v>
      </c>
      <c r="BB13" s="181">
        <f>[1]NA!BB13</f>
        <v>493170.37320120627</v>
      </c>
      <c r="BC13" s="181">
        <f>[1]NA!BC13</f>
        <v>576793.72264856426</v>
      </c>
      <c r="BD13" s="181">
        <f>[1]NA!BD13</f>
        <v>830134.87594946078</v>
      </c>
      <c r="BE13" s="181">
        <f>[1]NA!BE13</f>
        <v>1057653.960286801</v>
      </c>
      <c r="BF13" s="181">
        <f>[1]NA!BF13</f>
        <v>1198959.3787796032</v>
      </c>
      <c r="BG13" s="181">
        <f>[1]NA!BG13</f>
        <v>1354749.0009839628</v>
      </c>
      <c r="BH13" s="181">
        <f>[1]NA!BH13</f>
        <v>0</v>
      </c>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row>
    <row r="14" spans="1:190" x14ac:dyDescent="0.2">
      <c r="E14" s="4" t="s">
        <v>13</v>
      </c>
      <c r="G14" s="29"/>
      <c r="H14" s="29"/>
      <c r="J14" s="2">
        <f t="shared" ref="J14:X14" si="28">J12-J13</f>
        <v>6234305.7000000002</v>
      </c>
      <c r="K14" s="2">
        <f t="shared" si="28"/>
        <v>7166773.9500000002</v>
      </c>
      <c r="L14" s="2">
        <f t="shared" si="28"/>
        <v>8910455.1750329286</v>
      </c>
      <c r="M14" s="2">
        <f t="shared" si="28"/>
        <v>11054051.744252581</v>
      </c>
      <c r="N14" s="2">
        <f t="shared" si="28"/>
        <v>12693276.251276916</v>
      </c>
      <c r="O14" s="2">
        <f t="shared" si="28"/>
        <v>14593330.25223054</v>
      </c>
      <c r="P14" s="2">
        <f t="shared" si="28"/>
        <v>16610598.703439061</v>
      </c>
      <c r="Q14" s="2">
        <f t="shared" si="28"/>
        <v>19600944.587181184</v>
      </c>
      <c r="R14" s="2">
        <f t="shared" si="28"/>
        <v>23036037.641357373</v>
      </c>
      <c r="S14" s="2">
        <f t="shared" si="28"/>
        <v>27256977.008443814</v>
      </c>
      <c r="T14" s="2">
        <f t="shared" si="28"/>
        <v>32456769.48741493</v>
      </c>
      <c r="U14" s="2">
        <f t="shared" si="28"/>
        <v>37890445.113859832</v>
      </c>
      <c r="V14" s="2">
        <f t="shared" si="28"/>
        <v>44973133.693716377</v>
      </c>
      <c r="W14" s="2">
        <f t="shared" si="28"/>
        <v>52864703.339211173</v>
      </c>
      <c r="X14" s="2">
        <f t="shared" si="28"/>
        <v>61483290.445335336</v>
      </c>
      <c r="Y14" s="2">
        <f>Y12-Y13</f>
        <v>69611465.170481354</v>
      </c>
      <c r="Z14" s="2">
        <f>Z12-Z13</f>
        <v>78108157.17868489</v>
      </c>
      <c r="AA14" s="2">
        <f>AA12-AA13</f>
        <v>86383723.17279923</v>
      </c>
      <c r="AB14" s="2">
        <f>AB12-AB13</f>
        <v>97581559.682741135</v>
      </c>
      <c r="AC14" s="2">
        <f>AC12-AC13</f>
        <v>107649782.03038682</v>
      </c>
      <c r="AD14" s="2">
        <f t="shared" ref="AD14:AE14" si="29">AD12-AD13</f>
        <v>122282999.63256325</v>
      </c>
      <c r="AE14" s="2">
        <f t="shared" si="29"/>
        <v>138844164.2476359</v>
      </c>
      <c r="AF14" s="2"/>
      <c r="AG14" s="2"/>
      <c r="AH14" s="2"/>
      <c r="AI14" s="2"/>
      <c r="AJ14" s="2"/>
      <c r="AK14" s="2"/>
      <c r="AL14" s="2">
        <f t="shared" ref="AL14:BA14" si="30">AL12-AL13</f>
        <v>5779823.4000000004</v>
      </c>
      <c r="AM14" s="2">
        <f t="shared" si="30"/>
        <v>6721673.5</v>
      </c>
      <c r="AN14" s="2">
        <f t="shared" si="30"/>
        <v>7545320.9000000004</v>
      </c>
      <c r="AO14" s="2">
        <f t="shared" si="30"/>
        <v>10404288.369087322</v>
      </c>
      <c r="AP14" s="2">
        <f t="shared" si="30"/>
        <v>11900939.070608625</v>
      </c>
      <c r="AQ14" s="2">
        <f t="shared" si="30"/>
        <v>13706917.513226045</v>
      </c>
      <c r="AR14" s="2">
        <f t="shared" si="30"/>
        <v>15742659.368005544</v>
      </c>
      <c r="AS14" s="2">
        <f t="shared" si="30"/>
        <v>17823953.421760339</v>
      </c>
      <c r="AT14" s="2">
        <f t="shared" si="30"/>
        <v>21684975.229135383</v>
      </c>
      <c r="AU14" s="2">
        <f t="shared" si="30"/>
        <v>24649762.3184972</v>
      </c>
      <c r="AV14" s="2">
        <f t="shared" si="30"/>
        <v>30170822.457022499</v>
      </c>
      <c r="AW14" s="60">
        <f t="shared" si="30"/>
        <v>34885056.077807359</v>
      </c>
      <c r="AX14" s="2">
        <f t="shared" si="30"/>
        <v>40755691.119912304</v>
      </c>
      <c r="AY14" s="2">
        <f t="shared" si="30"/>
        <v>49191969.030296437</v>
      </c>
      <c r="AZ14" s="2">
        <f t="shared" si="30"/>
        <v>57226402.971196339</v>
      </c>
      <c r="BA14" s="2">
        <f t="shared" si="30"/>
        <v>66095125.950442672</v>
      </c>
      <c r="BB14" s="2">
        <f>BB12-BB13</f>
        <v>72495743.958376512</v>
      </c>
      <c r="BC14" s="2">
        <f>BC12-BC13</f>
        <v>81910434.474831805</v>
      </c>
      <c r="BD14" s="2">
        <f>BD12-BD13</f>
        <v>91628376.541383609</v>
      </c>
      <c r="BE14" s="2">
        <f>BE12-BE13</f>
        <v>103280624.20051037</v>
      </c>
      <c r="BF14" s="2">
        <f>BF12-BF13</f>
        <v>111875631.77306388</v>
      </c>
      <c r="BG14" s="2">
        <f t="shared" ref="BG14:BH14" si="31">BG12-BG13</f>
        <v>132577222.56783825</v>
      </c>
      <c r="BH14" s="2">
        <f t="shared" si="31"/>
        <v>160606446.51137665</v>
      </c>
    </row>
    <row r="15" spans="1:190" x14ac:dyDescent="0.2">
      <c r="G15" s="29"/>
      <c r="H15" s="29"/>
      <c r="J15" s="2"/>
      <c r="K15" s="2"/>
      <c r="L15" s="2"/>
      <c r="M15" s="184"/>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60"/>
      <c r="AX15" s="483"/>
      <c r="AY15" s="483"/>
      <c r="AZ15" s="483"/>
      <c r="BA15" s="483"/>
      <c r="BB15" s="483"/>
      <c r="BC15" s="483"/>
      <c r="BD15" s="483"/>
      <c r="BE15" s="483"/>
    </row>
    <row r="16" spans="1:190" x14ac:dyDescent="0.2">
      <c r="E16" s="9" t="s">
        <v>14</v>
      </c>
      <c r="G16" s="29"/>
      <c r="H16" s="29"/>
      <c r="AL16" s="2"/>
      <c r="AM16" s="2"/>
      <c r="AX16" s="2"/>
      <c r="AY16" s="2"/>
      <c r="AZ16" s="2"/>
      <c r="BA16" s="2"/>
      <c r="BB16" s="2"/>
    </row>
    <row r="17" spans="1:190" x14ac:dyDescent="0.2">
      <c r="E17" s="4" t="s">
        <v>15</v>
      </c>
      <c r="G17" s="29"/>
      <c r="H17" s="29"/>
      <c r="J17" s="2">
        <f>J18+J20</f>
        <v>6276951.8822226366</v>
      </c>
      <c r="K17" s="2">
        <f>K18+K20</f>
        <v>7019914.9092779309</v>
      </c>
      <c r="L17" s="2">
        <f>L18+L20</f>
        <v>8592426.5277439542</v>
      </c>
      <c r="M17" s="2">
        <f>M18+M20</f>
        <v>10476937.152147241</v>
      </c>
      <c r="N17" s="2">
        <f>N18+N20</f>
        <v>11757862.165089203</v>
      </c>
      <c r="O17" s="2">
        <f t="shared" ref="O17:T17" si="32">O18+O20</f>
        <v>13624813.075807003</v>
      </c>
      <c r="P17" s="2">
        <f t="shared" si="32"/>
        <v>15469815.556903256</v>
      </c>
      <c r="Q17" s="2">
        <f t="shared" si="32"/>
        <v>18440207.577339865</v>
      </c>
      <c r="R17" s="2">
        <f t="shared" si="32"/>
        <v>21974127.032682508</v>
      </c>
      <c r="S17" s="2">
        <f t="shared" si="32"/>
        <v>26075114.12064347</v>
      </c>
      <c r="T17" s="2">
        <f t="shared" si="32"/>
        <v>31034448.408312734</v>
      </c>
      <c r="U17" s="2">
        <f t="shared" ref="U17:AA17" si="33">U18+U20</f>
        <v>35304952.937356219</v>
      </c>
      <c r="V17" s="2">
        <f t="shared" si="33"/>
        <v>40911037.337222502</v>
      </c>
      <c r="W17" s="2">
        <f t="shared" si="33"/>
        <v>50452408.544246085</v>
      </c>
      <c r="X17" s="2">
        <f t="shared" si="33"/>
        <v>57026565.244222447</v>
      </c>
      <c r="Y17" s="2">
        <f t="shared" si="33"/>
        <v>67742075.260889828</v>
      </c>
      <c r="Z17" s="2">
        <f t="shared" si="33"/>
        <v>76185184.307871729</v>
      </c>
      <c r="AA17" s="2">
        <f t="shared" si="33"/>
        <v>87494530.812669978</v>
      </c>
      <c r="AB17" s="2">
        <f>AB18+AB20</f>
        <v>99247408.608115852</v>
      </c>
      <c r="AC17" s="2">
        <f>AC18+AC20</f>
        <v>109421465.26761737</v>
      </c>
      <c r="AD17" s="2">
        <f t="shared" ref="AD17:AE17" si="34">AD18+AD20</f>
        <v>118245318.40016222</v>
      </c>
      <c r="AE17" s="2">
        <f t="shared" si="34"/>
        <v>118616601.96185635</v>
      </c>
      <c r="AF17" s="2"/>
      <c r="AG17" s="2"/>
      <c r="AH17" s="2"/>
      <c r="AI17" s="2"/>
      <c r="AJ17" s="2"/>
      <c r="AK17" s="2"/>
      <c r="AL17" s="2">
        <f t="shared" ref="AL17:AV17" si="35">AL18+AL20</f>
        <v>5819132.8890771586</v>
      </c>
      <c r="AM17" s="2">
        <f t="shared" si="35"/>
        <v>6701473.5779316258</v>
      </c>
      <c r="AN17" s="2">
        <f t="shared" si="35"/>
        <v>7333103.4041213263</v>
      </c>
      <c r="AO17" s="2">
        <f t="shared" si="35"/>
        <v>9908007.1119517945</v>
      </c>
      <c r="AP17" s="2">
        <f t="shared" si="35"/>
        <v>11149446.092349816</v>
      </c>
      <c r="AQ17" s="2">
        <f t="shared" si="35"/>
        <v>12844498.321498236</v>
      </c>
      <c r="AR17" s="2">
        <f t="shared" si="35"/>
        <v>14633295.225532865</v>
      </c>
      <c r="AS17" s="2">
        <f t="shared" si="35"/>
        <v>16521244.805533681</v>
      </c>
      <c r="AT17" s="2">
        <f t="shared" si="35"/>
        <v>20654486.889218394</v>
      </c>
      <c r="AU17" s="2">
        <f t="shared" si="35"/>
        <v>23388411.386958092</v>
      </c>
      <c r="AV17" s="2">
        <f t="shared" si="35"/>
        <v>29247210.002364051</v>
      </c>
      <c r="AW17" s="60">
        <f t="shared" ref="AW17:BC17" si="36">AW18+AW20</f>
        <v>32795410.909690998</v>
      </c>
      <c r="AX17" s="2">
        <f t="shared" si="36"/>
        <v>37459385.442935921</v>
      </c>
      <c r="AY17" s="2">
        <f t="shared" si="36"/>
        <v>46685911.466682114</v>
      </c>
      <c r="AZ17" s="2">
        <f t="shared" si="36"/>
        <v>52647897.59395802</v>
      </c>
      <c r="BA17" s="2">
        <f t="shared" si="36"/>
        <v>62100409.859093532</v>
      </c>
      <c r="BB17" s="2">
        <f t="shared" si="36"/>
        <v>71354953.810808897</v>
      </c>
      <c r="BC17" s="2">
        <f t="shared" si="36"/>
        <v>81768061.2206963</v>
      </c>
      <c r="BD17" s="2">
        <f>BD18+BD20</f>
        <v>93895247.501710549</v>
      </c>
      <c r="BE17" s="2">
        <f>BE18+BE20</f>
        <v>107495731.48914197</v>
      </c>
    </row>
    <row r="18" spans="1:190" s="180" customFormat="1" x14ac:dyDescent="0.2">
      <c r="A18" s="180" t="s">
        <v>147</v>
      </c>
      <c r="E18" s="180" t="s">
        <v>16</v>
      </c>
      <c r="G18" s="46"/>
      <c r="H18" s="46"/>
      <c r="J18" s="181">
        <f>[1]NA!J18</f>
        <v>558611.45400000003</v>
      </c>
      <c r="K18" s="181">
        <f>[1]NA!K18</f>
        <v>401936.47480000008</v>
      </c>
      <c r="L18" s="181">
        <f>[1]NA!L18</f>
        <v>588422.55020923878</v>
      </c>
      <c r="M18" s="181">
        <f>[1]NA!M18</f>
        <v>923045.19558472978</v>
      </c>
      <c r="N18" s="181">
        <f>[1]NA!N18</f>
        <v>1290936.8297591975</v>
      </c>
      <c r="O18" s="181">
        <f>[1]NA!O18</f>
        <v>1613433.833857791</v>
      </c>
      <c r="P18" s="181">
        <f>[1]NA!P18</f>
        <v>1899811.7999644317</v>
      </c>
      <c r="Q18" s="181">
        <f>[1]NA!Q18</f>
        <v>2270652.2139595547</v>
      </c>
      <c r="R18" s="181">
        <f>[1]NA!R18</f>
        <v>2966883.4922297676</v>
      </c>
      <c r="S18" s="181">
        <f>[1]NA!S18</f>
        <v>3240444.110107264</v>
      </c>
      <c r="T18" s="181">
        <f>[1]NA!T18</f>
        <v>4272480.7688016109</v>
      </c>
      <c r="U18" s="181">
        <f>[1]NA!U18</f>
        <v>4981847.8348253211</v>
      </c>
      <c r="V18" s="181">
        <f>[1]NA!V18</f>
        <v>6490329.073227169</v>
      </c>
      <c r="W18" s="181">
        <f>[1]NA!W18</f>
        <v>6320397.9221016634</v>
      </c>
      <c r="X18" s="181">
        <f>[1]NA!X18</f>
        <v>7689149.5995749924</v>
      </c>
      <c r="Y18" s="181">
        <f>[1]NA!Y18</f>
        <v>8813758.2812381219</v>
      </c>
      <c r="Z18" s="181">
        <f>[1]NA!Z18</f>
        <v>9070926.0978350323</v>
      </c>
      <c r="AA18" s="181">
        <f>[1]NA!AA18</f>
        <v>10802895.058981787</v>
      </c>
      <c r="AB18" s="181">
        <f>[1]NA!AB18</f>
        <v>10531389.951216988</v>
      </c>
      <c r="AC18" s="181">
        <f>[1]NA!AC18</f>
        <v>11839663.000850376</v>
      </c>
      <c r="AD18" s="181">
        <f>[1]NA!AD18</f>
        <v>13691180.04539188</v>
      </c>
      <c r="AE18" s="181">
        <f>[1]NA!AE18</f>
        <v>15955660.920038503</v>
      </c>
      <c r="AF18" s="181"/>
      <c r="AG18" s="181"/>
      <c r="AH18" s="182"/>
      <c r="AI18" s="182"/>
      <c r="AJ18" s="182"/>
      <c r="AK18" s="182"/>
      <c r="AL18" s="181">
        <f>[1]NA!AL18</f>
        <v>423341.08000000007</v>
      </c>
      <c r="AM18" s="181">
        <f>[1]NA!AM18</f>
        <v>516892.674</v>
      </c>
      <c r="AN18" s="181">
        <f>[1]NA!AN18</f>
        <v>462495.52543841535</v>
      </c>
      <c r="AO18" s="181">
        <f>[1]NA!AO18</f>
        <v>782195.26582467766</v>
      </c>
      <c r="AP18" s="181">
        <f>[1]NA!AP18</f>
        <v>1115456.8309741681</v>
      </c>
      <c r="AQ18" s="181">
        <f>[1]NA!AQ18</f>
        <v>1352447.5714904943</v>
      </c>
      <c r="AR18" s="181">
        <f>[1]NA!AR18</f>
        <v>1814049.0703442658</v>
      </c>
      <c r="AS18" s="181">
        <f>[1]NA!AS18</f>
        <v>1814049.0703442658</v>
      </c>
      <c r="AT18" s="181">
        <f>[1]NA!AT18</f>
        <v>2410598.3509477442</v>
      </c>
      <c r="AU18" s="181">
        <f>[1]NA!AU18</f>
        <v>3348881.4442904275</v>
      </c>
      <c r="AV18" s="181">
        <f>[1]NA!AV18</f>
        <v>3767700.5342280143</v>
      </c>
      <c r="AW18" s="181">
        <f>[1]NA!AW18</f>
        <v>4563042.3880703738</v>
      </c>
      <c r="AX18" s="181">
        <f>[1]NA!AX18</f>
        <v>5586290.1794839678</v>
      </c>
      <c r="AY18" s="181">
        <f>[1]NA!AY18</f>
        <v>6379828.1716155838</v>
      </c>
      <c r="AZ18" s="181">
        <f>[1]NA!AZ18</f>
        <v>6887229.7161300741</v>
      </c>
      <c r="BA18" s="181">
        <f>[1]NA!BA18</f>
        <v>8134488.0357963443</v>
      </c>
      <c r="BB18" s="181">
        <f>[1]NA!BB18</f>
        <v>8432645.0590631235</v>
      </c>
      <c r="BC18" s="181">
        <f>[1]NA!BC18</f>
        <v>10229738.262537878</v>
      </c>
      <c r="BD18" s="181">
        <f>[1]NA!BD18</f>
        <v>10054989.620334951</v>
      </c>
      <c r="BE18" s="181">
        <f>[1]NA!BE18</f>
        <v>10051563.798191966</v>
      </c>
      <c r="BF18" s="181">
        <f>[1]NA!BF18</f>
        <v>11081448.294265695</v>
      </c>
      <c r="BG18" s="181">
        <f>[1]NA!BG18</f>
        <v>12630076.037467845</v>
      </c>
      <c r="BH18" s="181">
        <f>[1]NA!BH18</f>
        <v>317104.71524240292</v>
      </c>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row>
    <row r="19" spans="1:190" s="180" customFormat="1" x14ac:dyDescent="0.2">
      <c r="A19" s="180" t="s">
        <v>159</v>
      </c>
      <c r="E19" s="180" t="s">
        <v>17</v>
      </c>
      <c r="G19" s="46"/>
      <c r="H19" s="46"/>
      <c r="J19" s="181">
        <f>[1]NA!J19</f>
        <v>20365.39399999992</v>
      </c>
      <c r="K19" s="181">
        <f>[1]NA!K19</f>
        <v>-213719.36519999994</v>
      </c>
      <c r="L19" s="181">
        <f>[1]NA!L19</f>
        <v>-230924.89979076112</v>
      </c>
      <c r="M19" s="181">
        <f>[1]NA!M19</f>
        <v>-4816.4542531401967</v>
      </c>
      <c r="N19" s="181">
        <f>[1]NA!N19</f>
        <v>55648.199483197459</v>
      </c>
      <c r="O19" s="181">
        <f>[1]NA!O19</f>
        <v>23406.206704991229</v>
      </c>
      <c r="P19" s="181">
        <f>[1]NA!P19</f>
        <v>60965.608518002555</v>
      </c>
      <c r="Q19" s="181">
        <f>[1]NA!Q19</f>
        <v>-47461.270435855025</v>
      </c>
      <c r="R19" s="181">
        <f>[1]NA!R19</f>
        <v>191684.96591582813</v>
      </c>
      <c r="S19" s="181">
        <f>[1]NA!S19</f>
        <v>299984.89168346458</v>
      </c>
      <c r="T19" s="181">
        <f>[1]NA!T19</f>
        <v>8271.2186151803471</v>
      </c>
      <c r="U19" s="181">
        <f>[1]NA!U19</f>
        <v>-168110.08611212973</v>
      </c>
      <c r="V19" s="181">
        <f>[1]NA!V19</f>
        <v>475450.50136035937</v>
      </c>
      <c r="W19" s="181">
        <f>[1]NA!W19</f>
        <v>285559.97346100211</v>
      </c>
      <c r="X19" s="181">
        <f>[1]NA!X19</f>
        <v>-88587.768320930656</v>
      </c>
      <c r="Y19" s="181">
        <f>[1]NA!Y19</f>
        <v>327375.87579595717</v>
      </c>
      <c r="Z19" s="181">
        <f>[1]NA!Z19</f>
        <v>184701.83942579571</v>
      </c>
      <c r="AA19" s="181">
        <f>[1]NA!AA19</f>
        <v>6.0535967350006104E-9</v>
      </c>
      <c r="AB19" s="181">
        <f>[1]NA!AB19</f>
        <v>-113246.47261213884</v>
      </c>
      <c r="AC19" s="181">
        <f>[1]NA!AC19</f>
        <v>366724.91900442261</v>
      </c>
      <c r="AD19" s="181">
        <f>[1]NA!AD19</f>
        <v>222041.38397212606</v>
      </c>
      <c r="AE19" s="181">
        <f>[1]NA!AE19</f>
        <v>-350382.88907537609</v>
      </c>
      <c r="AF19" s="181"/>
      <c r="AG19" s="181"/>
      <c r="AH19" s="182"/>
      <c r="AI19" s="182"/>
      <c r="AJ19" s="182"/>
      <c r="AK19" s="182"/>
      <c r="AL19" s="181">
        <f>[1]NA!AL19</f>
        <v>2789.5700000000361</v>
      </c>
      <c r="AM19" s="181">
        <f>[1]NA!AM19</f>
        <v>-93578.155999999988</v>
      </c>
      <c r="AN19" s="181">
        <f>[1]NA!AN19</f>
        <v>-276787.31456158473</v>
      </c>
      <c r="AO19" s="181">
        <f>[1]NA!AO19</f>
        <v>-44388.80401319245</v>
      </c>
      <c r="AP19" s="181">
        <f>[1]NA!AP19</f>
        <v>49503.088414168364</v>
      </c>
      <c r="AQ19" s="181">
        <f>[1]NA!AQ19</f>
        <v>36096.337461994612</v>
      </c>
      <c r="AR19" s="181">
        <f>[1]NA!AR19</f>
        <v>301.97496796690393</v>
      </c>
      <c r="AS19" s="181">
        <f>[1]NA!AS19</f>
        <v>301.97496796690393</v>
      </c>
      <c r="AT19" s="181">
        <f>[1]NA!AT19</f>
        <v>161550.24933928403</v>
      </c>
      <c r="AU19" s="181">
        <f>[1]NA!AU19</f>
        <v>355131.25695595704</v>
      </c>
      <c r="AV19" s="181">
        <f>[1]NA!AV19</f>
        <v>428238.19959925406</v>
      </c>
      <c r="AW19" s="181">
        <f>[1]NA!AW19</f>
        <v>-195027.70305874571</v>
      </c>
      <c r="AX19" s="181">
        <f>[1]NA!AX19</f>
        <v>30945.187889596913</v>
      </c>
      <c r="AY19" s="181">
        <f>[1]NA!AY19</f>
        <v>385032.68999419198</v>
      </c>
      <c r="AZ19" s="181">
        <f>[1]NA!AZ19</f>
        <v>-6167.1492025752086</v>
      </c>
      <c r="BA19" s="181">
        <f>[1]NA!BA19</f>
        <v>206087.64476678381</v>
      </c>
      <c r="BB19" s="181">
        <f>[1]NA!BB19</f>
        <v>-50988.861137379892</v>
      </c>
      <c r="BC19" s="181">
        <f>[1]NA!BC19</f>
        <v>-410043.2876135651</v>
      </c>
      <c r="BD19" s="181">
        <f>[1]NA!BD19</f>
        <v>-666439.85642391257</v>
      </c>
      <c r="BE19" s="181">
        <f>[1]NA!BE19</f>
        <v>-1011890.5900520203</v>
      </c>
      <c r="BF19" s="181">
        <f>[1]NA!BF19</f>
        <v>-1401652.4192031301</v>
      </c>
      <c r="BG19" s="181">
        <f>[1]NA!BG19</f>
        <v>-2274943.1457070615</v>
      </c>
      <c r="BH19" s="181">
        <f>[1]NA!BH19</f>
        <v>317104.71524240292</v>
      </c>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row>
    <row r="20" spans="1:190" s="177" customFormat="1" x14ac:dyDescent="0.2">
      <c r="E20" s="177" t="s">
        <v>18</v>
      </c>
      <c r="F20" s="4"/>
      <c r="G20" s="29"/>
      <c r="H20" s="29"/>
      <c r="I20" s="4"/>
      <c r="J20" s="60">
        <f>J7-J18-J21-J24-J25-J26</f>
        <v>5718340.4282226367</v>
      </c>
      <c r="K20" s="60">
        <f>K7-K18-K21-K24-K25-K26</f>
        <v>6617978.4344779309</v>
      </c>
      <c r="L20" s="60">
        <f>L7-L18-L21-L24-L25-L26</f>
        <v>8004003.9775347151</v>
      </c>
      <c r="M20" s="60">
        <f>M7-M18-M21-M24-M25-M26</f>
        <v>9553891.9565625116</v>
      </c>
      <c r="N20" s="60">
        <f>N7-N18-N21-N24-N25-N26</f>
        <v>10466925.335330006</v>
      </c>
      <c r="O20" s="60">
        <f t="shared" ref="O20:T20" si="37">O7-O18-O21-O24-O25-O26</f>
        <v>12011379.241949212</v>
      </c>
      <c r="P20" s="60">
        <f t="shared" si="37"/>
        <v>13570003.756938824</v>
      </c>
      <c r="Q20" s="60">
        <f t="shared" si="37"/>
        <v>16169555.363380309</v>
      </c>
      <c r="R20" s="60">
        <f t="shared" si="37"/>
        <v>19007243.540452741</v>
      </c>
      <c r="S20" s="60">
        <f t="shared" si="37"/>
        <v>22834670.010536205</v>
      </c>
      <c r="T20" s="60">
        <f t="shared" si="37"/>
        <v>26761967.639511123</v>
      </c>
      <c r="U20" s="60">
        <f t="shared" ref="U20:AA20" si="38">U7-U18-U21-U24-U25-U26</f>
        <v>30323105.102530897</v>
      </c>
      <c r="V20" s="60">
        <f t="shared" si="38"/>
        <v>34420708.263995335</v>
      </c>
      <c r="W20" s="60">
        <f t="shared" si="38"/>
        <v>44132010.622144423</v>
      </c>
      <c r="X20" s="60">
        <f t="shared" si="38"/>
        <v>49337415.644647457</v>
      </c>
      <c r="Y20" s="60">
        <f t="shared" si="38"/>
        <v>58928316.979651704</v>
      </c>
      <c r="Z20" s="60">
        <f t="shared" si="38"/>
        <v>67114258.210036695</v>
      </c>
      <c r="AA20" s="60">
        <f t="shared" si="38"/>
        <v>76691635.753688186</v>
      </c>
      <c r="AB20" s="60">
        <f>AB7-AB18-AB21-AB24-AB25-AB26</f>
        <v>88716018.656898856</v>
      </c>
      <c r="AC20" s="60">
        <f>AC7-AC18-AC21-AC24-AC25-AC26</f>
        <v>97581802.266766995</v>
      </c>
      <c r="AD20" s="60">
        <f t="shared" ref="AD20:AE20" si="39">AD7-AD18-AD21-AD24-AD25-AD26</f>
        <v>104554138.35477033</v>
      </c>
      <c r="AE20" s="60">
        <f t="shared" si="39"/>
        <v>102660941.04181784</v>
      </c>
      <c r="AF20" s="60"/>
      <c r="AG20" s="60"/>
      <c r="AH20" s="2"/>
      <c r="AI20" s="2"/>
      <c r="AJ20" s="2"/>
      <c r="AK20" s="2"/>
      <c r="AL20" s="60">
        <f>AL7-AL18-AL21-AL24-AL25-AL26</f>
        <v>5395791.8090771586</v>
      </c>
      <c r="AM20" s="60">
        <f>AM7-AM18-AM21-AM24-AM25-AM26</f>
        <v>6184580.9039316261</v>
      </c>
      <c r="AN20" s="60">
        <f>AN7-AN18-AN21-AN24-AN25-AN26</f>
        <v>6870607.8786829114</v>
      </c>
      <c r="AO20" s="60">
        <f>AO7-AO18-AO21-AO24-AO25-AO26</f>
        <v>9125811.8461271171</v>
      </c>
      <c r="AP20" s="60">
        <f t="shared" ref="AP20:AW20" si="40">AP7-AP18-AP21-AP24-AP25-AP26</f>
        <v>10033989.261375647</v>
      </c>
      <c r="AQ20" s="60">
        <f t="shared" si="40"/>
        <v>11492050.750007741</v>
      </c>
      <c r="AR20" s="60">
        <f t="shared" si="40"/>
        <v>12819246.1551886</v>
      </c>
      <c r="AS20" s="60">
        <f t="shared" si="40"/>
        <v>14707195.735189416</v>
      </c>
      <c r="AT20" s="60">
        <f t="shared" si="40"/>
        <v>18243888.538270649</v>
      </c>
      <c r="AU20" s="237">
        <f t="shared" si="40"/>
        <v>20039529.942667663</v>
      </c>
      <c r="AV20" s="237">
        <f t="shared" si="40"/>
        <v>25479509.468136035</v>
      </c>
      <c r="AW20" s="237">
        <f t="shared" si="40"/>
        <v>28232368.521620624</v>
      </c>
      <c r="AX20" s="60">
        <f t="shared" ref="AX20:BF20" si="41">AX7-AX18-AX21-AX24-AX25-AX26</f>
        <v>31873095.263451956</v>
      </c>
      <c r="AY20" s="60">
        <f t="shared" si="41"/>
        <v>40306083.295066528</v>
      </c>
      <c r="AZ20" s="60">
        <f t="shared" si="41"/>
        <v>45760667.877827942</v>
      </c>
      <c r="BA20" s="60">
        <f t="shared" si="41"/>
        <v>53965921.823297188</v>
      </c>
      <c r="BB20" s="60">
        <f t="shared" si="41"/>
        <v>62922308.751745775</v>
      </c>
      <c r="BC20" s="60">
        <f t="shared" si="41"/>
        <v>71538322.958158419</v>
      </c>
      <c r="BD20" s="60">
        <f t="shared" si="41"/>
        <v>83840257.881375596</v>
      </c>
      <c r="BE20" s="60">
        <f t="shared" si="41"/>
        <v>97444167.690950006</v>
      </c>
      <c r="BF20" s="60">
        <f t="shared" si="41"/>
        <v>104329951.83565509</v>
      </c>
      <c r="BG20" s="60">
        <f t="shared" ref="BG20:BH20" si="42">BG7-BG18-BG21-BG24-BG25-BG26</f>
        <v>113463212.67041846</v>
      </c>
      <c r="BH20" s="60">
        <f t="shared" si="42"/>
        <v>110077225.90182619</v>
      </c>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row>
    <row r="21" spans="1:190" ht="15" x14ac:dyDescent="0.25">
      <c r="E21" s="185" t="s">
        <v>305</v>
      </c>
      <c r="G21" s="29"/>
      <c r="H21" s="29"/>
      <c r="J21" s="60">
        <f t="shared" ref="J21:Y21" si="43">AVERAGE(AL21:AM21)</f>
        <v>1223006</v>
      </c>
      <c r="K21" s="60">
        <f t="shared" si="43"/>
        <v>1282439.5</v>
      </c>
      <c r="L21" s="60">
        <f t="shared" si="43"/>
        <v>1440231</v>
      </c>
      <c r="M21" s="60">
        <f t="shared" si="43"/>
        <v>1648958</v>
      </c>
      <c r="N21" s="60">
        <f t="shared" si="43"/>
        <v>2013983.5</v>
      </c>
      <c r="O21" s="60">
        <f t="shared" si="43"/>
        <v>2686336.5</v>
      </c>
      <c r="P21" s="60">
        <f t="shared" si="43"/>
        <v>3516102.5</v>
      </c>
      <c r="Q21" s="60">
        <f t="shared" si="43"/>
        <v>4410086.5</v>
      </c>
      <c r="R21" s="60">
        <f t="shared" si="43"/>
        <v>5501251.4849999994</v>
      </c>
      <c r="S21" s="60">
        <f t="shared" si="43"/>
        <v>6696663.7245446648</v>
      </c>
      <c r="T21" s="60">
        <f t="shared" si="43"/>
        <v>7712307.1779190013</v>
      </c>
      <c r="U21" s="60">
        <f t="shared" si="43"/>
        <v>9163996.4383743368</v>
      </c>
      <c r="V21" s="60">
        <f t="shared" si="43"/>
        <v>11855879.5</v>
      </c>
      <c r="W21" s="60">
        <f t="shared" si="43"/>
        <v>14326256.5</v>
      </c>
      <c r="X21" s="60">
        <f t="shared" si="43"/>
        <v>16088404.389090762</v>
      </c>
      <c r="Y21" s="60">
        <f t="shared" si="43"/>
        <v>15897545.363984492</v>
      </c>
      <c r="Z21" s="60">
        <f>AVERAGE(BB21:BC21)</f>
        <v>15001606.458766215</v>
      </c>
      <c r="AA21" s="60">
        <f>AVERAGE(BC21:BD21)</f>
        <v>15317757.692585025</v>
      </c>
      <c r="AB21" s="60">
        <f>AVERAGE(BD21:BE21)</f>
        <v>15230568.085767377</v>
      </c>
      <c r="AC21" s="60">
        <f>AVERAGE(BE21:BF21)</f>
        <v>16654400.079804277</v>
      </c>
      <c r="AD21" s="60">
        <f t="shared" ref="AD21:AE21" si="44">AVERAGE(BF21:BG21)</f>
        <v>24475445.063976564</v>
      </c>
      <c r="AE21" s="60">
        <f t="shared" si="44"/>
        <v>43905169.95188763</v>
      </c>
      <c r="AF21" s="60"/>
      <c r="AG21" s="60"/>
      <c r="AH21" s="2"/>
      <c r="AI21" s="2"/>
      <c r="AJ21" s="2"/>
      <c r="AK21" s="2"/>
      <c r="AL21" s="254">
        <v>1214495</v>
      </c>
      <c r="AM21" s="254">
        <v>1231517</v>
      </c>
      <c r="AN21" s="254">
        <v>1333362</v>
      </c>
      <c r="AO21" s="254">
        <v>1547100</v>
      </c>
      <c r="AP21" s="254">
        <v>1750816</v>
      </c>
      <c r="AQ21" s="254">
        <v>2277151</v>
      </c>
      <c r="AR21" s="254">
        <v>3095522</v>
      </c>
      <c r="AS21" s="254">
        <v>3936683</v>
      </c>
      <c r="AT21" s="254">
        <v>4883490</v>
      </c>
      <c r="AU21" s="255">
        <v>6119012.9699999997</v>
      </c>
      <c r="AV21" s="255">
        <v>7274314.47908933</v>
      </c>
      <c r="AW21" s="255">
        <v>8150299.8767486727</v>
      </c>
      <c r="AX21" s="255">
        <v>10177693</v>
      </c>
      <c r="AY21" s="255">
        <v>13534066</v>
      </c>
      <c r="AZ21" s="255">
        <v>15118447</v>
      </c>
      <c r="BA21" s="255">
        <v>17058361.778181523</v>
      </c>
      <c r="BB21" s="236">
        <f>BB7*'NA ASSUMPTIONS'!P50</f>
        <v>14736728.949787462</v>
      </c>
      <c r="BC21" s="236">
        <f>BC7*'NA ASSUMPTIONS'!Q50</f>
        <v>15266483.967744967</v>
      </c>
      <c r="BD21" s="236">
        <f>BD7*'NA ASSUMPTIONS'!R50</f>
        <v>15369031.417425085</v>
      </c>
      <c r="BE21" s="236">
        <f>BE7*'NA ASSUMPTIONS'!S50</f>
        <v>15092104.754109669</v>
      </c>
      <c r="BF21" s="236">
        <f>BF7*'NA ASSUMPTIONS'!T50</f>
        <v>18216695.405498885</v>
      </c>
      <c r="BG21" s="236">
        <f>BG7*'NA ASSUMPTIONS'!U50</f>
        <v>30734194.722454242</v>
      </c>
      <c r="BH21" s="236">
        <f>BH7*'NA ASSUMPTIONS'!V50</f>
        <v>57076145.181321017</v>
      </c>
    </row>
    <row r="22" spans="1:190" s="180" customFormat="1" x14ac:dyDescent="0.2">
      <c r="A22" s="180" t="s">
        <v>148</v>
      </c>
      <c r="E22" s="180" t="s">
        <v>20</v>
      </c>
      <c r="G22" s="46"/>
      <c r="H22" s="46"/>
      <c r="J22" s="181">
        <f>[1]NA!J22</f>
        <v>136523.91</v>
      </c>
      <c r="K22" s="181">
        <f>[1]NA!K22</f>
        <v>359913.39</v>
      </c>
      <c r="L22" s="181">
        <f>[1]NA!L22</f>
        <v>259560.29</v>
      </c>
      <c r="M22" s="181">
        <f>[1]NA!M22</f>
        <v>344610.87003700004</v>
      </c>
      <c r="N22" s="181">
        <f>[1]NA!N22</f>
        <v>322996.54958358</v>
      </c>
      <c r="O22" s="181">
        <f>[1]NA!O22</f>
        <v>727061.06194489403</v>
      </c>
      <c r="P22" s="181">
        <f>[1]NA!P22</f>
        <v>1071160.5994641171</v>
      </c>
      <c r="Q22" s="181">
        <f>[1]NA!Q22</f>
        <v>1277436.0471893479</v>
      </c>
      <c r="R22" s="181">
        <f>[1]NA!R22</f>
        <v>1337211.4063234888</v>
      </c>
      <c r="S22" s="181">
        <f>[1]NA!S22</f>
        <v>1810972.0383730277</v>
      </c>
      <c r="T22" s="181">
        <f>[1]NA!T22</f>
        <v>2085368.2599171526</v>
      </c>
      <c r="U22" s="181">
        <f>[1]NA!U22</f>
        <v>2601647.2569607371</v>
      </c>
      <c r="V22" s="181">
        <f>[1]NA!V22</f>
        <v>2649854.8914085701</v>
      </c>
      <c r="W22" s="181">
        <f>[1]NA!W22</f>
        <v>3774721.744294649</v>
      </c>
      <c r="X22" s="181">
        <f>[1]NA!X22</f>
        <v>3670913.495494673</v>
      </c>
      <c r="Y22" s="181">
        <f>[1]NA!Y22</f>
        <v>3926042.2041529566</v>
      </c>
      <c r="Z22" s="181">
        <f>[1]NA!Z22</f>
        <v>3710228.2142699738</v>
      </c>
      <c r="AA22" s="181">
        <f>[1]NA!AA22</f>
        <v>5909053.5287212329</v>
      </c>
      <c r="AB22" s="181">
        <f>[1]NA!AB22</f>
        <v>6874481.9327952601</v>
      </c>
      <c r="AC22" s="181">
        <f>[1]NA!AC22</f>
        <v>7765152.9066954497</v>
      </c>
      <c r="AD22" s="181">
        <f>[1]NA!AD22</f>
        <v>8916358.4352976363</v>
      </c>
      <c r="AE22" s="181">
        <f>[1]NA!AE22</f>
        <v>10033617.451487351</v>
      </c>
      <c r="AF22" s="181"/>
      <c r="AG22" s="181"/>
      <c r="AH22" s="182"/>
      <c r="AI22" s="182"/>
      <c r="AJ22" s="182"/>
      <c r="AK22" s="182"/>
      <c r="AL22" s="181">
        <f>[1]NA!AL22</f>
        <v>190338.4</v>
      </c>
      <c r="AM22" s="181">
        <f>[1]NA!AM22</f>
        <v>325926.03999999998</v>
      </c>
      <c r="AN22" s="181">
        <f>[1]NA!AN22</f>
        <v>255091.35999999996</v>
      </c>
      <c r="AO22" s="181">
        <f>[1]NA!AO22</f>
        <v>293163.19438599999</v>
      </c>
      <c r="AP22" s="181">
        <f>[1]NA!AP22</f>
        <v>326361.03523457999</v>
      </c>
      <c r="AQ22" s="181">
        <f>[1]NA!AQ22</f>
        <v>608130.15577569697</v>
      </c>
      <c r="AR22" s="181">
        <f>[1]NA!AR22</f>
        <v>1005249.2570331383</v>
      </c>
      <c r="AS22" s="181">
        <f>[1]NA!AS22</f>
        <v>1005249.2570331383</v>
      </c>
      <c r="AT22" s="181">
        <f>[1]NA!AT22</f>
        <v>1298367.2826774977</v>
      </c>
      <c r="AU22" s="181">
        <f>[1]NA!AU22</f>
        <v>1649598.7567041775</v>
      </c>
      <c r="AV22" s="181">
        <f>[1]NA!AV22</f>
        <v>1707662.3943542065</v>
      </c>
      <c r="AW22" s="181">
        <f>[1]NA!AW22</f>
        <v>2442349.0974066406</v>
      </c>
      <c r="AX22" s="181">
        <f>[1]NA!AX22</f>
        <v>2670338.3489703303</v>
      </c>
      <c r="AY22" s="181">
        <f>[1]NA!AY22</f>
        <v>3363238.5736085479</v>
      </c>
      <c r="AZ22" s="181">
        <f>[1]NA!AZ22</f>
        <v>3582944.2530394755</v>
      </c>
      <c r="BA22" s="181">
        <f>[1]NA!BA22</f>
        <v>3923686.483581732</v>
      </c>
      <c r="BB22" s="181">
        <f>[1]NA!BB22</f>
        <v>3925473.8517064601</v>
      </c>
      <c r="BC22" s="181">
        <f>[1]NA!BC22</f>
        <v>4457783.572448587</v>
      </c>
      <c r="BD22" s="181">
        <f>[1]NA!BD22</f>
        <v>6385763.935749081</v>
      </c>
      <c r="BE22" s="181">
        <f>[1]NA!BE22</f>
        <v>7314278.5253795534</v>
      </c>
      <c r="BF22" s="181">
        <f>[1]NA!BF22</f>
        <v>8333596.5673509715</v>
      </c>
      <c r="BG22" s="181">
        <f>[1]NA!BG22</f>
        <v>9468039.9459262509</v>
      </c>
      <c r="BH22" s="181">
        <f>[1]NA!BH22</f>
        <v>0</v>
      </c>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row>
    <row r="23" spans="1:190" x14ac:dyDescent="0.2">
      <c r="E23" s="4" t="s">
        <v>21</v>
      </c>
      <c r="G23" s="29"/>
      <c r="H23" s="29"/>
      <c r="J23" s="2">
        <f t="shared" ref="J23:X23" si="45">J21-J22</f>
        <v>1086482.0900000001</v>
      </c>
      <c r="K23" s="2">
        <f t="shared" si="45"/>
        <v>922526.11</v>
      </c>
      <c r="L23" s="2">
        <f t="shared" si="45"/>
        <v>1180670.71</v>
      </c>
      <c r="M23" s="2">
        <f t="shared" si="45"/>
        <v>1304347.1299629998</v>
      </c>
      <c r="N23" s="2">
        <f t="shared" si="45"/>
        <v>1690986.9504164201</v>
      </c>
      <c r="O23" s="2">
        <f t="shared" si="45"/>
        <v>1959275.438055106</v>
      </c>
      <c r="P23" s="2">
        <f t="shared" si="45"/>
        <v>2444941.9005358829</v>
      </c>
      <c r="Q23" s="60">
        <f t="shared" si="45"/>
        <v>3132650.4528106521</v>
      </c>
      <c r="R23" s="60">
        <f t="shared" si="45"/>
        <v>4164040.0786765106</v>
      </c>
      <c r="S23" s="60">
        <f t="shared" si="45"/>
        <v>4885691.6861716369</v>
      </c>
      <c r="T23" s="60">
        <f t="shared" si="45"/>
        <v>5626938.9180018492</v>
      </c>
      <c r="U23" s="60">
        <f t="shared" si="45"/>
        <v>6562349.1814136002</v>
      </c>
      <c r="V23" s="60">
        <f t="shared" si="45"/>
        <v>9206024.6085914299</v>
      </c>
      <c r="W23" s="60">
        <f t="shared" si="45"/>
        <v>10551534.755705351</v>
      </c>
      <c r="X23" s="60">
        <f t="shared" si="45"/>
        <v>12417490.893596089</v>
      </c>
      <c r="Y23" s="60">
        <f>Y21-Y22</f>
        <v>11971503.159831535</v>
      </c>
      <c r="Z23" s="60">
        <f>Z21-Z22</f>
        <v>11291378.244496241</v>
      </c>
      <c r="AA23" s="60">
        <f>AA21-AA22</f>
        <v>9408704.163863793</v>
      </c>
      <c r="AB23" s="60">
        <f>AB21-AB22</f>
        <v>8356086.1529721171</v>
      </c>
      <c r="AC23" s="60">
        <f>AC21-AC22</f>
        <v>8889247.1731088273</v>
      </c>
      <c r="AD23" s="60">
        <f t="shared" ref="AD23:AE23" si="46">AD21-AD22</f>
        <v>15559086.628678927</v>
      </c>
      <c r="AE23" s="60">
        <f t="shared" si="46"/>
        <v>33871552.500400275</v>
      </c>
      <c r="AF23" s="60"/>
      <c r="AG23" s="60"/>
      <c r="AH23" s="2"/>
      <c r="AI23" s="2"/>
      <c r="AJ23" s="2"/>
      <c r="AK23" s="2"/>
      <c r="AL23" s="2">
        <f t="shared" ref="AL23:BA23" si="47">AL21-AL22</f>
        <v>1024156.6</v>
      </c>
      <c r="AM23" s="2">
        <f t="shared" si="47"/>
        <v>905590.96</v>
      </c>
      <c r="AN23" s="2">
        <f t="shared" si="47"/>
        <v>1078270.6400000001</v>
      </c>
      <c r="AO23" s="2">
        <f t="shared" si="47"/>
        <v>1253936.805614</v>
      </c>
      <c r="AP23" s="2">
        <f t="shared" si="47"/>
        <v>1424454.96476542</v>
      </c>
      <c r="AQ23" s="2">
        <f t="shared" si="47"/>
        <v>1669020.844224303</v>
      </c>
      <c r="AR23" s="2">
        <f t="shared" si="47"/>
        <v>2090272.7429668617</v>
      </c>
      <c r="AS23" s="2">
        <f t="shared" si="47"/>
        <v>2931433.7429668615</v>
      </c>
      <c r="AT23" s="2">
        <f t="shared" si="47"/>
        <v>3585122.7173225023</v>
      </c>
      <c r="AU23" s="190">
        <f t="shared" si="47"/>
        <v>4469414.213295822</v>
      </c>
      <c r="AV23" s="190">
        <f t="shared" si="47"/>
        <v>5566652.0847351234</v>
      </c>
      <c r="AW23" s="60">
        <f t="shared" si="47"/>
        <v>5707950.779342032</v>
      </c>
      <c r="AX23" s="2">
        <f t="shared" si="47"/>
        <v>7507354.6510296697</v>
      </c>
      <c r="AY23" s="2">
        <f t="shared" si="47"/>
        <v>10170827.426391453</v>
      </c>
      <c r="AZ23" s="2">
        <f t="shared" si="47"/>
        <v>11535502.746960524</v>
      </c>
      <c r="BA23" s="2">
        <f t="shared" si="47"/>
        <v>13134675.29459979</v>
      </c>
      <c r="BB23" s="2">
        <f>BB21-BB22</f>
        <v>10811255.098081002</v>
      </c>
      <c r="BC23" s="2">
        <f>BC21-BC22</f>
        <v>10808700.39529638</v>
      </c>
      <c r="BD23" s="2">
        <f>BD21-BD22</f>
        <v>8983267.4816760048</v>
      </c>
      <c r="BE23" s="2">
        <f>BE21-BE22</f>
        <v>7777826.228730116</v>
      </c>
      <c r="BF23" s="2">
        <f>BF21-BF22</f>
        <v>9883098.8381479122</v>
      </c>
      <c r="BG23" s="2">
        <f t="shared" ref="BG23:BH23" si="48">BG21-BG22</f>
        <v>21266154.776527993</v>
      </c>
      <c r="BH23" s="2">
        <f t="shared" si="48"/>
        <v>57076145.181321017</v>
      </c>
    </row>
    <row r="24" spans="1:190" ht="15" x14ac:dyDescent="0.25">
      <c r="E24" s="185" t="s">
        <v>22</v>
      </c>
      <c r="G24" s="29"/>
      <c r="H24" s="29"/>
      <c r="J24" s="60">
        <f t="shared" ref="J24:O24" si="49">AVERAGE(AL24:AM24)</f>
        <v>34821.5</v>
      </c>
      <c r="K24" s="60">
        <f t="shared" si="49"/>
        <v>36426</v>
      </c>
      <c r="L24" s="60">
        <f t="shared" si="49"/>
        <v>39109.5</v>
      </c>
      <c r="M24" s="60">
        <f t="shared" si="49"/>
        <v>42619.5</v>
      </c>
      <c r="N24" s="60">
        <f t="shared" si="49"/>
        <v>43991.5</v>
      </c>
      <c r="O24" s="60">
        <f t="shared" si="49"/>
        <v>50616</v>
      </c>
      <c r="P24" s="60">
        <f t="shared" ref="P24:Y24" si="50">AVERAGE(AR24:AS24)</f>
        <v>61125</v>
      </c>
      <c r="Q24" s="60">
        <f t="shared" si="50"/>
        <v>69348.5</v>
      </c>
      <c r="R24" s="60">
        <f t="shared" si="50"/>
        <v>82510</v>
      </c>
      <c r="S24" s="60">
        <f t="shared" si="50"/>
        <v>98835.343635327154</v>
      </c>
      <c r="T24" s="60">
        <f t="shared" si="50"/>
        <v>129597.23862974928</v>
      </c>
      <c r="U24" s="60">
        <f t="shared" si="50"/>
        <v>158547.43531356211</v>
      </c>
      <c r="V24" s="60">
        <f t="shared" si="50"/>
        <v>196421.54031914001</v>
      </c>
      <c r="W24" s="60">
        <f t="shared" si="50"/>
        <v>230580.5</v>
      </c>
      <c r="X24" s="60">
        <f t="shared" si="50"/>
        <v>238508.23405</v>
      </c>
      <c r="Y24" s="60">
        <f t="shared" si="50"/>
        <v>255366.10210887785</v>
      </c>
      <c r="Z24" s="60">
        <f>AVERAGE(BB24:BC24)</f>
        <v>249986.73027594667</v>
      </c>
      <c r="AA24" s="60">
        <f>AVERAGE(BC24:BD24)</f>
        <v>240692.50589131526</v>
      </c>
      <c r="AB24" s="60">
        <f>AVERAGE(BD24:BE24)</f>
        <v>256970.26824903459</v>
      </c>
      <c r="AC24" s="60">
        <f>AVERAGE(BE24:BF24)</f>
        <v>272371.28202247893</v>
      </c>
      <c r="AD24" s="60">
        <f t="shared" ref="AD24:AE24" si="51">AVERAGE(BF24:BG24)</f>
        <v>299829.35175390833</v>
      </c>
      <c r="AE24" s="60">
        <f t="shared" si="51"/>
        <v>348006.14489454753</v>
      </c>
      <c r="AF24" s="60"/>
      <c r="AG24" s="60"/>
      <c r="AH24" s="2"/>
      <c r="AI24" s="2"/>
      <c r="AJ24" s="2"/>
      <c r="AK24" s="2"/>
      <c r="AL24" s="254">
        <v>34367</v>
      </c>
      <c r="AM24" s="254">
        <v>35276</v>
      </c>
      <c r="AN24" s="254">
        <v>37576</v>
      </c>
      <c r="AO24" s="254">
        <v>40643</v>
      </c>
      <c r="AP24" s="254">
        <v>44596</v>
      </c>
      <c r="AQ24" s="254">
        <v>43387</v>
      </c>
      <c r="AR24" s="254">
        <v>57845</v>
      </c>
      <c r="AS24" s="254">
        <v>64405</v>
      </c>
      <c r="AT24" s="254">
        <v>74292</v>
      </c>
      <c r="AU24" s="255">
        <v>90728</v>
      </c>
      <c r="AV24" s="255">
        <v>106942.68727065432</v>
      </c>
      <c r="AW24" s="255">
        <v>152251.78998884425</v>
      </c>
      <c r="AX24" s="255">
        <v>164843.08063827999</v>
      </c>
      <c r="AY24" s="255">
        <v>228000</v>
      </c>
      <c r="AZ24" s="255">
        <v>233161</v>
      </c>
      <c r="BA24" s="255">
        <v>243855.4681</v>
      </c>
      <c r="BB24" s="167">
        <f>BB55*'NA ASSUMPTIONS'!P51</f>
        <v>266876.7361177557</v>
      </c>
      <c r="BC24" s="167">
        <f>BC55*'NA ASSUMPTIONS'!Q51</f>
        <v>233096.72443413764</v>
      </c>
      <c r="BD24" s="167">
        <f>BD55*'NA ASSUMPTIONS'!R51</f>
        <v>248288.28734849289</v>
      </c>
      <c r="BE24" s="167">
        <f>BE55*'NA ASSUMPTIONS'!S51</f>
        <v>265652.2491495763</v>
      </c>
      <c r="BF24" s="167">
        <f>BF55*'NA ASSUMPTIONS'!T51</f>
        <v>279090.31489538157</v>
      </c>
      <c r="BG24" s="167">
        <f>BG55*'NA ASSUMPTIONS'!U51</f>
        <v>320568.38861243502</v>
      </c>
      <c r="BH24" s="167">
        <f>BH55*'NA ASSUMPTIONS'!V51</f>
        <v>375443.90117666009</v>
      </c>
    </row>
    <row r="25" spans="1:190" s="180" customFormat="1" x14ac:dyDescent="0.2">
      <c r="A25" s="180" t="s">
        <v>149</v>
      </c>
      <c r="E25" s="180" t="s">
        <v>23</v>
      </c>
      <c r="G25" s="46"/>
      <c r="H25" s="46"/>
      <c r="J25" s="181">
        <f>[1]NA!J25</f>
        <v>782298.42229682836</v>
      </c>
      <c r="K25" s="181">
        <f>[1]NA!K25</f>
        <v>1062888.5525015816</v>
      </c>
      <c r="L25" s="181">
        <f>[1]NA!L25</f>
        <v>1261192.4137999243</v>
      </c>
      <c r="M25" s="181">
        <f>[1]NA!M25</f>
        <v>1670929.5215229793</v>
      </c>
      <c r="N25" s="181">
        <f>[1]NA!N25</f>
        <v>2033017.7536154813</v>
      </c>
      <c r="O25" s="181">
        <f>[1]NA!O25</f>
        <v>2486384.7265814561</v>
      </c>
      <c r="P25" s="181">
        <f>[1]NA!P25</f>
        <v>3066023.4421944888</v>
      </c>
      <c r="Q25" s="181">
        <f>[1]NA!Q25</f>
        <v>3829526.598813971</v>
      </c>
      <c r="R25" s="181">
        <f>[1]NA!R25</f>
        <v>4757095.2706078775</v>
      </c>
      <c r="S25" s="181">
        <f>[1]NA!S25</f>
        <v>5929956.9181014588</v>
      </c>
      <c r="T25" s="181">
        <f>[1]NA!T25</f>
        <v>6383758.3322470896</v>
      </c>
      <c r="U25" s="181">
        <f>[1]NA!U25</f>
        <v>7547543.6997294985</v>
      </c>
      <c r="V25" s="181">
        <f>[1]NA!V25</f>
        <v>10407876.433812918</v>
      </c>
      <c r="W25" s="181">
        <f>[1]NA!W25</f>
        <v>12727173.664276734</v>
      </c>
      <c r="X25" s="181">
        <f>[1]NA!X25</f>
        <v>13183201.480633918</v>
      </c>
      <c r="Y25" s="181">
        <f>[1]NA!Y25</f>
        <v>13893353.642913884</v>
      </c>
      <c r="Z25" s="181">
        <f>[1]NA!Z25</f>
        <v>16351805.27046819</v>
      </c>
      <c r="AA25" s="181">
        <f>[1]NA!AA25</f>
        <v>21088129.377491735</v>
      </c>
      <c r="AB25" s="181">
        <f>[1]NA!AB25</f>
        <v>23358468.15924361</v>
      </c>
      <c r="AC25" s="181">
        <f>[1]NA!AC25</f>
        <v>26242210.035597019</v>
      </c>
      <c r="AD25" s="181">
        <f>[1]NA!AD25</f>
        <v>28585378.895093426</v>
      </c>
      <c r="AE25" s="181">
        <f>[1]NA!AE25</f>
        <v>30954041.969547197</v>
      </c>
      <c r="AF25" s="181"/>
      <c r="AG25" s="181"/>
      <c r="AH25" s="182"/>
      <c r="AI25" s="182"/>
      <c r="AJ25" s="182"/>
      <c r="AK25" s="182"/>
      <c r="AL25" s="181">
        <f>[1]NA!AL25</f>
        <v>770080.34071219456</v>
      </c>
      <c r="AM25" s="181">
        <f>[1]NA!AM25</f>
        <v>904961.65606334899</v>
      </c>
      <c r="AN25" s="181">
        <f>[1]NA!AN25</f>
        <v>1089573.6559188182</v>
      </c>
      <c r="AO25" s="181">
        <f>[1]NA!AO25</f>
        <v>1550229.8243713281</v>
      </c>
      <c r="AP25" s="181">
        <f>[1]NA!AP25</f>
        <v>1837937.9505545269</v>
      </c>
      <c r="AQ25" s="181">
        <f>[1]NA!AQ25</f>
        <v>2254951.3114456031</v>
      </c>
      <c r="AR25" s="181">
        <f>[1]NA!AR25</f>
        <v>2839009.1393259023</v>
      </c>
      <c r="AS25" s="181">
        <f>[1]NA!AS25</f>
        <v>3362243.4512813399</v>
      </c>
      <c r="AT25" s="181">
        <f>[1]NA!AT25</f>
        <v>4321702.3590395181</v>
      </c>
      <c r="AU25" s="181">
        <f>[1]NA!AU25</f>
        <v>5090841.1775250267</v>
      </c>
      <c r="AV25" s="181">
        <f>[1]NA!AV25</f>
        <v>6668216.2027760539</v>
      </c>
      <c r="AW25" s="181">
        <f>[1]NA!AW25</f>
        <v>6715853.6874213703</v>
      </c>
      <c r="AX25" s="181">
        <f>[1]NA!AX25</f>
        <v>8939142.3282770738</v>
      </c>
      <c r="AY25" s="181">
        <f>[1]NA!AY25</f>
        <v>11544688.018271362</v>
      </c>
      <c r="AZ25" s="181">
        <f>[1]NA!AZ25</f>
        <v>13635672.460336883</v>
      </c>
      <c r="BA25" s="181">
        <f>[1]NA!BA25</f>
        <v>13522174.943742868</v>
      </c>
      <c r="BB25" s="181">
        <f>[1]NA!BB25</f>
        <v>14435312.390468981</v>
      </c>
      <c r="BC25" s="181">
        <f>[1]NA!BC25</f>
        <v>18992389.110893618</v>
      </c>
      <c r="BD25" s="181">
        <f>[1]NA!BD25</f>
        <v>22272960.373991065</v>
      </c>
      <c r="BE25" s="181">
        <f>[1]NA!BE25</f>
        <v>24778281.827267848</v>
      </c>
      <c r="BF25" s="181">
        <f>[1]NA!BF25</f>
        <v>27434751.709538307</v>
      </c>
      <c r="BG25" s="181">
        <f>[1]NA!BG25</f>
        <v>29725296.117876403</v>
      </c>
      <c r="BH25" s="181">
        <f>[1]NA!BH25</f>
        <v>31285448.804135051</v>
      </c>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row>
    <row r="26" spans="1:190" s="180" customFormat="1" x14ac:dyDescent="0.2">
      <c r="A26" s="180" t="s">
        <v>150</v>
      </c>
      <c r="E26" s="180" t="s">
        <v>24</v>
      </c>
      <c r="G26" s="46"/>
      <c r="H26" s="46"/>
      <c r="J26" s="181">
        <f>[1]NA!J26</f>
        <v>-1563811.804519465</v>
      </c>
      <c r="K26" s="181">
        <f>[1]NA!K26</f>
        <v>-1713994.4617795129</v>
      </c>
      <c r="L26" s="181">
        <f>[1]NA!L26</f>
        <v>-1748756.4665109499</v>
      </c>
      <c r="M26" s="181">
        <f>[1]NA!M26</f>
        <v>-2029724.5705736396</v>
      </c>
      <c r="N26" s="181">
        <f>[1]NA!N26</f>
        <v>-2282998.6456837696</v>
      </c>
      <c r="O26" s="181">
        <f>[1]NA!O26</f>
        <v>-3224762.6206520083</v>
      </c>
      <c r="P26" s="181">
        <f>[1]NA!P26</f>
        <v>-4197209.1677556913</v>
      </c>
      <c r="Q26" s="181">
        <f>[1]NA!Q26</f>
        <v>-5543536.7401661519</v>
      </c>
      <c r="R26" s="181">
        <f>[1]NA!R26</f>
        <v>-7280550.2469330104</v>
      </c>
      <c r="S26" s="181">
        <f>[1]NA!S26</f>
        <v>-9032884.448481109</v>
      </c>
      <c r="T26" s="181">
        <f>[1]NA!T26</f>
        <v>-9847740.6596936453</v>
      </c>
      <c r="U26" s="181">
        <f>[1]NA!U26</f>
        <v>-11124124.63691378</v>
      </c>
      <c r="V26" s="181">
        <f>[1]NA!V26</f>
        <v>-14762877.017638195</v>
      </c>
      <c r="W26" s="181">
        <f>[1]NA!W26</f>
        <v>-20638021.788390242</v>
      </c>
      <c r="X26" s="181">
        <f>[1]NA!X26</f>
        <v>-20342958.720145833</v>
      </c>
      <c r="Y26" s="181">
        <f>[1]NA!Y26</f>
        <v>-22590477.030992217</v>
      </c>
      <c r="Z26" s="181">
        <f>[1]NA!Z26</f>
        <v>-23508660.533674836</v>
      </c>
      <c r="AA26" s="181">
        <f>[1]NA!AA26</f>
        <v>-29336405.854531102</v>
      </c>
      <c r="AB26" s="181">
        <f>[1]NA!AB26</f>
        <v>-31204772.495735809</v>
      </c>
      <c r="AC26" s="181">
        <f>[1]NA!AC26</f>
        <v>-34220845.611924797</v>
      </c>
      <c r="AD26" s="181">
        <f>[1]NA!AD26</f>
        <v>-36863480.94679299</v>
      </c>
      <c r="AE26" s="181">
        <f>[1]NA!AE26</f>
        <v>-40505096.40196909</v>
      </c>
      <c r="AF26" s="181"/>
      <c r="AG26" s="181"/>
      <c r="AH26" s="182"/>
      <c r="AI26" s="182"/>
      <c r="AJ26" s="182"/>
      <c r="AK26" s="182"/>
      <c r="AL26" s="181">
        <f>[1]NA!AL26</f>
        <v>-1554103.2297893525</v>
      </c>
      <c r="AM26" s="181">
        <f>[1]NA!AM26</f>
        <v>-1650668.233994975</v>
      </c>
      <c r="AN26" s="181">
        <f>[1]NA!AN26</f>
        <v>-1640826.0600401456</v>
      </c>
      <c r="AO26" s="181">
        <f>[1]NA!AO26</f>
        <v>-1937572.1672358003</v>
      </c>
      <c r="AP26" s="181">
        <f>[1]NA!AP26</f>
        <v>-2072146.9918077183</v>
      </c>
      <c r="AQ26" s="181">
        <f>[1]NA!AQ26</f>
        <v>-2765994.7715981277</v>
      </c>
      <c r="AR26" s="181">
        <f>[1]NA!AR26</f>
        <v>-3755318.773337556</v>
      </c>
      <c r="AS26" s="181">
        <f>[1]NA!AS26</f>
        <v>-4756057.6171978405</v>
      </c>
      <c r="AT26" s="181">
        <f>[1]NA!AT26</f>
        <v>-6422253.8191225305</v>
      </c>
      <c r="AU26" s="181">
        <f>[1]NA!AU26</f>
        <v>-7781546.815985918</v>
      </c>
      <c r="AV26" s="181">
        <f>[1]NA!AV26</f>
        <v>-10374692.314477587</v>
      </c>
      <c r="AW26" s="181">
        <f>[1]NA!AW26</f>
        <v>-9865201.5460425224</v>
      </c>
      <c r="AX26" s="181">
        <f>[1]NA!AX26</f>
        <v>-12663593.141938964</v>
      </c>
      <c r="AY26" s="181">
        <f>[1]NA!AY26</f>
        <v>-18835527.985073149</v>
      </c>
      <c r="AZ26" s="181">
        <f>[1]NA!AZ26</f>
        <v>-19925691.261761077</v>
      </c>
      <c r="BA26" s="181">
        <f>[1]NA!BA26</f>
        <v>-21604880.805950325</v>
      </c>
      <c r="BB26" s="181">
        <f>[1]NA!BB26</f>
        <v>-22462320.310592022</v>
      </c>
      <c r="BC26" s="181">
        <f>[1]NA!BC26</f>
        <v>-27142685.887932256</v>
      </c>
      <c r="BD26" s="181">
        <f>[1]NA!BD26</f>
        <v>-31293463.648098085</v>
      </c>
      <c r="BE26" s="181">
        <f>[1]NA!BE26</f>
        <v>-34346549.000766091</v>
      </c>
      <c r="BF26" s="181">
        <f>[1]NA!BF26</f>
        <v>-37887956.772523694</v>
      </c>
      <c r="BG26" s="181">
        <f>[1]NA!BG26</f>
        <v>-40842347.195772812</v>
      </c>
      <c r="BH26" s="181">
        <f>[1]NA!BH26</f>
        <v>-38524921.992324695</v>
      </c>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row>
    <row r="27" spans="1:190" x14ac:dyDescent="0.2">
      <c r="E27" s="4" t="s">
        <v>25</v>
      </c>
      <c r="G27" s="29"/>
      <c r="H27" s="29"/>
      <c r="J27" s="2">
        <f>J7-J17-J21-J24-J25-J26</f>
        <v>0</v>
      </c>
      <c r="K27" s="2">
        <f t="shared" ref="K27:X27" si="52">K7-K17-K21-K24-K25-K26</f>
        <v>0</v>
      </c>
      <c r="L27" s="2">
        <f t="shared" si="52"/>
        <v>0</v>
      </c>
      <c r="M27" s="2">
        <f t="shared" si="52"/>
        <v>0</v>
      </c>
      <c r="N27" s="2">
        <f t="shared" si="52"/>
        <v>0</v>
      </c>
      <c r="O27" s="2">
        <f t="shared" si="52"/>
        <v>0</v>
      </c>
      <c r="P27" s="2">
        <f t="shared" si="52"/>
        <v>0</v>
      </c>
      <c r="Q27" s="2">
        <f t="shared" si="52"/>
        <v>0</v>
      </c>
      <c r="R27" s="2">
        <f t="shared" si="52"/>
        <v>0</v>
      </c>
      <c r="S27" s="2">
        <f t="shared" si="52"/>
        <v>0</v>
      </c>
      <c r="T27" s="2">
        <f t="shared" si="52"/>
        <v>0</v>
      </c>
      <c r="U27" s="2">
        <f t="shared" si="52"/>
        <v>0</v>
      </c>
      <c r="V27" s="2">
        <f t="shared" si="52"/>
        <v>0</v>
      </c>
      <c r="W27" s="2">
        <f t="shared" si="52"/>
        <v>0</v>
      </c>
      <c r="X27" s="2">
        <f t="shared" si="52"/>
        <v>0</v>
      </c>
      <c r="Y27" s="2">
        <f>Y7-Y17-Y21-Y24-Y25-Y26</f>
        <v>0</v>
      </c>
      <c r="Z27" s="2">
        <f>Z7-Z17-Z21-Z24-Z25-Z26</f>
        <v>0</v>
      </c>
      <c r="AA27" s="2">
        <f>AA7-AA17-AA21-AA24-AA25-AA26</f>
        <v>0</v>
      </c>
      <c r="AB27" s="2">
        <f>AB7-AB17-AB21-AB24-AB25-AB26</f>
        <v>0</v>
      </c>
      <c r="AC27" s="2">
        <f>AC7-AC17-AC21-AC24-AC25-AC26</f>
        <v>0</v>
      </c>
      <c r="AD27" s="2">
        <f t="shared" ref="AD27:AE27" si="53">AD7-AD17-AD21-AD24-AD25-AD26</f>
        <v>0</v>
      </c>
      <c r="AE27" s="2">
        <f t="shared" si="53"/>
        <v>0</v>
      </c>
      <c r="AF27" s="2"/>
      <c r="AG27" s="2"/>
      <c r="AH27" s="2"/>
      <c r="AI27" s="2"/>
      <c r="AJ27" s="2"/>
      <c r="AK27" s="2"/>
      <c r="AL27" s="2">
        <f>AL7-AL17-AL21-AL24-AL25-AL26</f>
        <v>0</v>
      </c>
      <c r="AM27" s="2">
        <f>AM7-AM17-AM21-AM24-AM25-AM26</f>
        <v>0</v>
      </c>
      <c r="AN27" s="2">
        <f>AN7-AN17-AN21-AN24-AN25-AN26</f>
        <v>0</v>
      </c>
      <c r="AO27" s="2">
        <f>AO7-AO17-AO21-AO24-AO25-AO26</f>
        <v>0</v>
      </c>
      <c r="AP27" s="2">
        <f t="shared" ref="AP27:BA27" si="54">AP7-AP17-AP21-AP24-AP25-AP26</f>
        <v>0</v>
      </c>
      <c r="AQ27" s="2">
        <f t="shared" si="54"/>
        <v>0</v>
      </c>
      <c r="AR27" s="2">
        <f t="shared" si="54"/>
        <v>0</v>
      </c>
      <c r="AS27" s="2">
        <f t="shared" si="54"/>
        <v>0</v>
      </c>
      <c r="AT27" s="2">
        <f t="shared" si="54"/>
        <v>0</v>
      </c>
      <c r="AU27" s="190">
        <f t="shared" si="54"/>
        <v>0</v>
      </c>
      <c r="AV27" s="190">
        <f t="shared" si="54"/>
        <v>0</v>
      </c>
      <c r="AW27" s="60">
        <f t="shared" si="54"/>
        <v>0</v>
      </c>
      <c r="AX27" s="2">
        <f t="shared" si="54"/>
        <v>0</v>
      </c>
      <c r="AY27" s="2">
        <f t="shared" si="54"/>
        <v>0</v>
      </c>
      <c r="AZ27" s="2">
        <f t="shared" si="54"/>
        <v>0</v>
      </c>
      <c r="BA27" s="2">
        <f t="shared" si="54"/>
        <v>0</v>
      </c>
      <c r="BB27" s="2">
        <f>BB7-BB17-BB21-BB24-BB25-BB26</f>
        <v>0</v>
      </c>
      <c r="BC27" s="2">
        <f>BC7-BC17-BC21-BC24-BC25-BC26</f>
        <v>0</v>
      </c>
      <c r="BD27" s="2">
        <f>BD7-BD17-BD21-BD24-BD25-BD26</f>
        <v>0</v>
      </c>
      <c r="BE27" s="2">
        <f>BE7-BE17-BE21-BE24-BE25-BE26</f>
        <v>0</v>
      </c>
      <c r="BF27" s="2">
        <f>BF7-BF17-BF21-BF24-BF25-BF26</f>
        <v>115411400.12992078</v>
      </c>
      <c r="BG27" s="2">
        <f t="shared" ref="BG27:BH27" si="55">BG7-BG17-BG21-BG24-BG25-BG26</f>
        <v>126093288.70788629</v>
      </c>
      <c r="BH27" s="2">
        <f t="shared" si="55"/>
        <v>110394330.6170686</v>
      </c>
    </row>
    <row r="28" spans="1:190" x14ac:dyDescent="0.2">
      <c r="E28" s="186" t="s">
        <v>26</v>
      </c>
      <c r="G28" s="29"/>
      <c r="H28" s="29"/>
      <c r="J28" s="187">
        <f t="shared" ref="J28:T28" si="56">J18+J20+J22+J23+J24+J25+J26-J7</f>
        <v>0</v>
      </c>
      <c r="K28" s="187">
        <f t="shared" si="56"/>
        <v>0</v>
      </c>
      <c r="L28" s="187">
        <f t="shared" si="56"/>
        <v>0</v>
      </c>
      <c r="M28" s="187">
        <f t="shared" si="56"/>
        <v>0</v>
      </c>
      <c r="N28" s="187">
        <f t="shared" si="56"/>
        <v>0</v>
      </c>
      <c r="O28" s="187">
        <f t="shared" si="56"/>
        <v>0</v>
      </c>
      <c r="P28" s="187">
        <f t="shared" si="56"/>
        <v>0</v>
      </c>
      <c r="Q28" s="187">
        <f t="shared" si="56"/>
        <v>0</v>
      </c>
      <c r="R28" s="187">
        <f t="shared" si="56"/>
        <v>0</v>
      </c>
      <c r="S28" s="187">
        <f t="shared" si="56"/>
        <v>0</v>
      </c>
      <c r="T28" s="187">
        <f t="shared" si="56"/>
        <v>0</v>
      </c>
      <c r="U28" s="187">
        <f t="shared" ref="U28:AA28" si="57">U18+U20+U22+U23+U24+U25+U26-U7</f>
        <v>0</v>
      </c>
      <c r="V28" s="187">
        <f t="shared" si="57"/>
        <v>0</v>
      </c>
      <c r="W28" s="187">
        <f t="shared" si="57"/>
        <v>0</v>
      </c>
      <c r="X28" s="187">
        <f t="shared" si="57"/>
        <v>0</v>
      </c>
      <c r="Y28" s="187">
        <f t="shared" si="57"/>
        <v>0</v>
      </c>
      <c r="Z28" s="187">
        <f t="shared" si="57"/>
        <v>0</v>
      </c>
      <c r="AA28" s="187">
        <f t="shared" si="57"/>
        <v>0</v>
      </c>
      <c r="AB28" s="187">
        <f>AB18+AB20+AB22+AB23+AB24+AB25+AB26-AB7</f>
        <v>0</v>
      </c>
      <c r="AC28" s="187">
        <f>AC18+AC20+AC22+AC23+AC24+AC25+AC26-AC7</f>
        <v>0</v>
      </c>
      <c r="AD28" s="187">
        <f t="shared" ref="AD28:AE28" si="58">AD18+AD20+AD22+AD23+AD24+AD25+AD26-AD7</f>
        <v>0</v>
      </c>
      <c r="AE28" s="187">
        <f t="shared" si="58"/>
        <v>0</v>
      </c>
      <c r="AF28" s="187"/>
      <c r="AG28" s="187"/>
      <c r="AH28" s="2"/>
      <c r="AI28" s="2"/>
      <c r="AJ28" s="2"/>
      <c r="AK28" s="2"/>
      <c r="AL28" s="187">
        <f t="shared" ref="AL28:AW28" si="59">AL18+AL20+AL22+AL23+AL24+AL25+AL26-AL7</f>
        <v>0</v>
      </c>
      <c r="AM28" s="187">
        <f t="shared" si="59"/>
        <v>0</v>
      </c>
      <c r="AN28" s="187">
        <f t="shared" si="59"/>
        <v>0</v>
      </c>
      <c r="AO28" s="187">
        <f t="shared" si="59"/>
        <v>0</v>
      </c>
      <c r="AP28" s="187">
        <f t="shared" si="59"/>
        <v>0</v>
      </c>
      <c r="AQ28" s="187">
        <f t="shared" si="59"/>
        <v>0</v>
      </c>
      <c r="AR28" s="187">
        <f t="shared" si="59"/>
        <v>0</v>
      </c>
      <c r="AS28" s="187">
        <f t="shared" si="59"/>
        <v>0</v>
      </c>
      <c r="AT28" s="187">
        <f t="shared" si="59"/>
        <v>0</v>
      </c>
      <c r="AU28" s="187">
        <f t="shared" si="59"/>
        <v>0</v>
      </c>
      <c r="AV28" s="187">
        <f t="shared" si="59"/>
        <v>0</v>
      </c>
      <c r="AW28" s="329">
        <f t="shared" si="59"/>
        <v>0</v>
      </c>
      <c r="AX28" s="187">
        <f t="shared" ref="AX28:BC28" si="60">AX18+AX20+AX22+AX23+AX24+AX25+AX26-AX7</f>
        <v>0</v>
      </c>
      <c r="AY28" s="187">
        <f t="shared" si="60"/>
        <v>0</v>
      </c>
      <c r="AZ28" s="187">
        <f t="shared" si="60"/>
        <v>0</v>
      </c>
      <c r="BA28" s="187">
        <f t="shared" si="60"/>
        <v>0</v>
      </c>
      <c r="BB28" s="187">
        <f t="shared" si="60"/>
        <v>0</v>
      </c>
      <c r="BC28" s="187">
        <f t="shared" si="60"/>
        <v>0</v>
      </c>
      <c r="BD28" s="187">
        <f>BD18+BD20+BD22+BD23+BD24+BD25+BD26-BD7</f>
        <v>0</v>
      </c>
      <c r="BE28" s="187">
        <f>BE18+BE20+BE22+BE23+BE24+BE25+BE26-BE7</f>
        <v>0</v>
      </c>
      <c r="BF28" s="187">
        <f>BF18+BF20+BF22+BF23+BF24+BF25+BF26-BF7</f>
        <v>0</v>
      </c>
      <c r="BG28" s="187">
        <f t="shared" ref="BG28:BH28" si="61">BG18+BG20+BG22+BG23+BG24+BG25+BG26-BG7</f>
        <v>0</v>
      </c>
      <c r="BH28" s="187">
        <f t="shared" si="61"/>
        <v>0</v>
      </c>
    </row>
    <row r="29" spans="1:190" ht="15" x14ac:dyDescent="0.25">
      <c r="G29" s="29"/>
      <c r="H29" s="29"/>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76"/>
      <c r="AM29" s="76"/>
      <c r="AN29" s="76"/>
      <c r="AO29" s="76"/>
      <c r="AP29" s="76"/>
      <c r="AQ29" s="76"/>
      <c r="AR29" s="76"/>
      <c r="AS29" s="76"/>
      <c r="AT29" s="76"/>
      <c r="AU29" s="238"/>
      <c r="AV29" s="188"/>
    </row>
    <row r="30" spans="1:190" ht="15" x14ac:dyDescent="0.25">
      <c r="E30" s="9" t="s">
        <v>27</v>
      </c>
      <c r="G30" s="29"/>
      <c r="H30" s="29"/>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76"/>
      <c r="AM30" s="76"/>
      <c r="AN30" s="76"/>
      <c r="AO30" s="76"/>
      <c r="AP30" s="76"/>
      <c r="AQ30" s="76"/>
      <c r="AR30" s="76"/>
      <c r="AS30" s="76"/>
      <c r="AT30" s="76"/>
      <c r="AU30" s="84"/>
      <c r="AV30" s="336"/>
      <c r="AW30" s="336"/>
    </row>
    <row r="31" spans="1:190" x14ac:dyDescent="0.2">
      <c r="E31" s="4" t="s">
        <v>28</v>
      </c>
      <c r="G31" s="29"/>
      <c r="H31" s="29"/>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52"/>
      <c r="AM31" s="52"/>
      <c r="AN31" s="52"/>
      <c r="AO31" s="52"/>
      <c r="AP31" s="52"/>
      <c r="AQ31" s="52"/>
      <c r="AR31" s="52"/>
      <c r="AS31" s="52"/>
      <c r="AT31" s="52"/>
      <c r="AU31" s="53"/>
    </row>
    <row r="32" spans="1:190" x14ac:dyDescent="0.2">
      <c r="E32" s="4" t="s">
        <v>29</v>
      </c>
      <c r="G32" s="29"/>
      <c r="H32" s="29"/>
      <c r="J32" s="2">
        <f>J41-J33-J36</f>
        <v>5712515.4598625796</v>
      </c>
      <c r="K32" s="2">
        <f>K41-K33-K36</f>
        <v>6613861.1169386832</v>
      </c>
      <c r="L32" s="2">
        <f>L41-L33-L36</f>
        <v>7778256.4592142487</v>
      </c>
      <c r="M32" s="2">
        <f>M41-M33-M36</f>
        <v>9387887.4194028135</v>
      </c>
      <c r="N32" s="2">
        <f>N41-N33-N36</f>
        <v>10939597.281495597</v>
      </c>
      <c r="O32" s="2">
        <f t="shared" ref="O32:T32" si="62">O41-O33-O36</f>
        <v>12659941.500749428</v>
      </c>
      <c r="P32" s="2">
        <f t="shared" si="62"/>
        <v>14426982.772722706</v>
      </c>
      <c r="Q32" s="2">
        <f t="shared" si="62"/>
        <v>17357667.104755305</v>
      </c>
      <c r="R32" s="2">
        <f t="shared" si="62"/>
        <v>20519350.433462903</v>
      </c>
      <c r="S32" s="2">
        <f t="shared" si="62"/>
        <v>23965376.059209123</v>
      </c>
      <c r="T32" s="2">
        <f t="shared" si="62"/>
        <v>28571395.963681839</v>
      </c>
      <c r="U32" s="2">
        <f t="shared" ref="U32:AA32" si="63">U41-U33-U36</f>
        <v>33701539.117954649</v>
      </c>
      <c r="V32" s="2">
        <f t="shared" si="63"/>
        <v>40189234.166766085</v>
      </c>
      <c r="W32" s="2">
        <f t="shared" si="63"/>
        <v>47394522.131982163</v>
      </c>
      <c r="X32" s="2">
        <f t="shared" si="63"/>
        <v>55413080.508485377</v>
      </c>
      <c r="Y32" s="2">
        <f t="shared" si="63"/>
        <v>63423861.401397407</v>
      </c>
      <c r="Z32" s="2">
        <f t="shared" si="63"/>
        <v>72356762.433947727</v>
      </c>
      <c r="AA32" s="2">
        <f t="shared" si="63"/>
        <v>80495431.289834693</v>
      </c>
      <c r="AB32" s="2">
        <f>AB41-AB33-AB36</f>
        <v>91312117.910264179</v>
      </c>
      <c r="AC32" s="2">
        <f>AC41-AC33-AC36</f>
        <v>100848325.49567318</v>
      </c>
      <c r="AD32" s="2">
        <f t="shared" ref="AD32:AE32" si="64">AD41-AD33-AD36</f>
        <v>115469345.04878159</v>
      </c>
      <c r="AE32" s="2">
        <f t="shared" si="64"/>
        <v>131740101.05948484</v>
      </c>
      <c r="AF32" s="2"/>
      <c r="AG32" s="2"/>
      <c r="AH32" s="2"/>
      <c r="AI32" s="2"/>
      <c r="AJ32" s="2"/>
      <c r="AK32" s="2"/>
      <c r="AL32" s="2">
        <f t="shared" ref="AL32:AT32" si="65">AL41-AL33-AL36</f>
        <v>5339391.418970936</v>
      </c>
      <c r="AM32" s="2">
        <f t="shared" si="65"/>
        <v>6194861.1458013887</v>
      </c>
      <c r="AN32" s="2">
        <f t="shared" si="65"/>
        <v>7010653.4671239741</v>
      </c>
      <c r="AO32" s="2">
        <f t="shared" si="65"/>
        <v>8692241.233198978</v>
      </c>
      <c r="AP32" s="2">
        <f t="shared" si="65"/>
        <v>10275597.408549776</v>
      </c>
      <c r="AQ32" s="2">
        <f t="shared" si="65"/>
        <v>11858895.677102108</v>
      </c>
      <c r="AR32" s="2">
        <f t="shared" si="65"/>
        <v>13730741.262516521</v>
      </c>
      <c r="AS32" s="2">
        <f t="shared" si="65"/>
        <v>15695845.797877641</v>
      </c>
      <c r="AT32" s="2">
        <f t="shared" si="65"/>
        <v>19683722.141457163</v>
      </c>
      <c r="AU32" s="2">
        <f t="shared" ref="AU32:BA32" si="66">AU41-AU33-AU36</f>
        <v>21884807.527249254</v>
      </c>
      <c r="AV32" s="2">
        <f t="shared" si="66"/>
        <v>26449243.919137359</v>
      </c>
      <c r="AW32" s="60">
        <f t="shared" si="66"/>
        <v>30990716.545535542</v>
      </c>
      <c r="AX32" s="2">
        <f t="shared" si="66"/>
        <v>36178200.481215149</v>
      </c>
      <c r="AY32" s="2">
        <f t="shared" si="66"/>
        <v>43879639.813582629</v>
      </c>
      <c r="AZ32" s="2">
        <f t="shared" si="66"/>
        <v>51285100.739152908</v>
      </c>
      <c r="BA32" s="2">
        <f t="shared" si="66"/>
        <v>59457250.930290975</v>
      </c>
      <c r="BB32" s="2">
        <f>BB41-BB33-BB36</f>
        <v>66165330.991326779</v>
      </c>
      <c r="BC32" s="2">
        <f>BC41-BC33-BC36</f>
        <v>75868662.488764673</v>
      </c>
      <c r="BD32" s="2">
        <f>BD41-BD33-BD36</f>
        <v>85022103.977748945</v>
      </c>
      <c r="BE32" s="2">
        <f>BE41-BE33-BE36</f>
        <v>96097797.887919754</v>
      </c>
    </row>
    <row r="33" spans="1:190" x14ac:dyDescent="0.2">
      <c r="E33" s="185" t="s">
        <v>30</v>
      </c>
      <c r="G33" s="29"/>
      <c r="H33" s="29"/>
      <c r="J33" s="60">
        <f t="shared" ref="J33:O33" si="67">AVERAGE(AL33:AM33)</f>
        <v>418225.5</v>
      </c>
      <c r="K33" s="60">
        <f t="shared" si="67"/>
        <v>443483.04000000004</v>
      </c>
      <c r="L33" s="60">
        <f t="shared" si="67"/>
        <v>950409.04</v>
      </c>
      <c r="M33" s="60">
        <f t="shared" si="67"/>
        <v>1497951.5</v>
      </c>
      <c r="N33" s="60">
        <f t="shared" si="67"/>
        <v>1617850</v>
      </c>
      <c r="O33" s="60">
        <f t="shared" si="67"/>
        <v>1747278</v>
      </c>
      <c r="P33" s="60">
        <f>AVERAGE(AR33:AS33)</f>
        <v>1887060</v>
      </c>
      <c r="Q33" s="60">
        <f>AVERAGE(AS33:AT33)</f>
        <v>2075257.5</v>
      </c>
      <c r="R33" s="60">
        <f>AVERAGE(AT33:AU33)</f>
        <v>2347523.6340000001</v>
      </c>
      <c r="S33" s="60">
        <f t="shared" ref="S33:Y33" si="68">AVERAGE(AU33:AV33)</f>
        <v>2973703.3807500005</v>
      </c>
      <c r="T33" s="60">
        <f t="shared" si="68"/>
        <v>3522429.9098505005</v>
      </c>
      <c r="U33" s="60">
        <f t="shared" si="68"/>
        <v>3638073.4404445738</v>
      </c>
      <c r="V33" s="60">
        <f t="shared" si="68"/>
        <v>3916962.0189711861</v>
      </c>
      <c r="W33" s="60">
        <f t="shared" si="68"/>
        <v>4488461.4478236195</v>
      </c>
      <c r="X33" s="60">
        <f t="shared" si="68"/>
        <v>5050452.248038359</v>
      </c>
      <c r="Y33" s="60">
        <f t="shared" si="68"/>
        <v>5143636.7185679041</v>
      </c>
      <c r="Z33" s="60">
        <f>AVERAGE(BB33:BC33)</f>
        <v>4569119.2702547703</v>
      </c>
      <c r="AA33" s="60">
        <f>AVERAGE(BC33:BD33)</f>
        <v>4134148.5566620873</v>
      </c>
      <c r="AB33" s="60">
        <f>AVERAGE(BD33:BE33)</f>
        <v>4136433.4341873145</v>
      </c>
      <c r="AC33" s="60">
        <f>AVERAGE(BE33:BF33)</f>
        <v>4045671.8265537219</v>
      </c>
      <c r="AD33" s="60">
        <f t="shared" ref="AD33:AE33" si="69">AVERAGE(BF33:BG33)</f>
        <v>4028156.5345919025</v>
      </c>
      <c r="AE33" s="60">
        <f t="shared" si="69"/>
        <v>4183903.6224597674</v>
      </c>
      <c r="AF33" s="60"/>
      <c r="AG33" s="60"/>
      <c r="AH33" s="2"/>
      <c r="AI33" s="2"/>
      <c r="AJ33" s="2"/>
      <c r="AK33" s="2"/>
      <c r="AL33" s="3">
        <v>410025</v>
      </c>
      <c r="AM33" s="3">
        <v>426426</v>
      </c>
      <c r="AN33" s="3">
        <v>460540.08</v>
      </c>
      <c r="AO33" s="54">
        <v>1440278</v>
      </c>
      <c r="AP33" s="54">
        <v>1555625</v>
      </c>
      <c r="AQ33" s="54">
        <v>1680075</v>
      </c>
      <c r="AR33" s="54">
        <v>1814481</v>
      </c>
      <c r="AS33" s="54">
        <v>1959639</v>
      </c>
      <c r="AT33" s="55">
        <v>2190876</v>
      </c>
      <c r="AU33" s="189">
        <v>2504171.2680000002</v>
      </c>
      <c r="AV33" s="189">
        <v>3443235.4935000003</v>
      </c>
      <c r="AW33" s="189">
        <v>3601624.3262010007</v>
      </c>
      <c r="AX33" s="167">
        <f>AX55*'NA ASSUMPTIONS'!L52</f>
        <v>3674522.5546881473</v>
      </c>
      <c r="AY33" s="167">
        <f>AY55*'NA ASSUMPTIONS'!M52</f>
        <v>4159401.483254225</v>
      </c>
      <c r="AZ33" s="167">
        <f>AZ55*'NA ASSUMPTIONS'!N52</f>
        <v>4817521.412393013</v>
      </c>
      <c r="BA33" s="167">
        <f>BA55*'NA ASSUMPTIONS'!O52</f>
        <v>5283383.083683705</v>
      </c>
      <c r="BB33" s="167">
        <f>BB55*'NA ASSUMPTIONS'!P52</f>
        <v>5003890.3534521023</v>
      </c>
      <c r="BC33" s="167">
        <f>BC55*'NA ASSUMPTIONS'!Q52</f>
        <v>4134348.1870574378</v>
      </c>
      <c r="BD33" s="167">
        <f>BD55*'NA ASSUMPTIONS'!R52</f>
        <v>4133948.9262667368</v>
      </c>
      <c r="BE33" s="167">
        <f>BE55*'NA ASSUMPTIONS'!S52</f>
        <v>4138917.9421078926</v>
      </c>
      <c r="BF33" s="167">
        <f>BF55*'NA ASSUMPTIONS'!T52</f>
        <v>3952425.7109995517</v>
      </c>
      <c r="BG33" s="167">
        <f>BG55*'NA ASSUMPTIONS'!U52</f>
        <v>4103887.3581842533</v>
      </c>
      <c r="BH33" s="167">
        <f>BH55*'NA ASSUMPTIONS'!V52</f>
        <v>4263919.8867352819</v>
      </c>
    </row>
    <row r="34" spans="1:190" x14ac:dyDescent="0.2">
      <c r="A34" s="180" t="s">
        <v>154</v>
      </c>
      <c r="E34" s="180" t="s">
        <v>158</v>
      </c>
      <c r="G34" s="29"/>
      <c r="H34" s="29"/>
      <c r="J34" s="181">
        <f>[1]NA!J34</f>
        <v>-10877.697234031253</v>
      </c>
      <c r="K34" s="181">
        <f>[1]BOP!K24</f>
        <v>5874.7305340000003</v>
      </c>
      <c r="L34" s="181">
        <f>[1]BOP!L24</f>
        <v>8003.5701292396188</v>
      </c>
      <c r="M34" s="181">
        <f>[1]BOP!M24</f>
        <v>7374.0821011904773</v>
      </c>
      <c r="N34" s="181">
        <f>[1]BOP!N24</f>
        <v>6790.7215000000006</v>
      </c>
      <c r="O34" s="181">
        <f>[1]BOP!O24</f>
        <v>7887.9141034000004</v>
      </c>
      <c r="P34" s="181">
        <f>[1]BOP!P24</f>
        <v>10140.654835581681</v>
      </c>
      <c r="Q34" s="181">
        <f>[1]BOP!Q24</f>
        <v>11011.363165001301</v>
      </c>
      <c r="R34" s="181">
        <f>[1]BOP!R24</f>
        <v>6368.6783357380127</v>
      </c>
      <c r="S34" s="181">
        <f>[1]BOP!S24</f>
        <v>11857.143326092475</v>
      </c>
      <c r="T34" s="181">
        <f>[1]BOP!T24</f>
        <v>10022.912284998069</v>
      </c>
      <c r="U34" s="181">
        <f>[1]BOP!U24</f>
        <v>15822.160503831097</v>
      </c>
      <c r="V34" s="181">
        <f>[1]BOP!V24</f>
        <v>23936.556361690164</v>
      </c>
      <c r="W34" s="181">
        <f>[1]BOP!W24</f>
        <v>39357.93888561058</v>
      </c>
      <c r="X34" s="181">
        <f>[1]BOP!X24</f>
        <v>44955.113746432398</v>
      </c>
      <c r="Y34" s="181">
        <f>[1]BOP!Y24</f>
        <v>47920.137361369969</v>
      </c>
      <c r="Z34" s="181">
        <f>[1]BOP!Z24</f>
        <v>53647.640770398953</v>
      </c>
      <c r="AA34" s="181">
        <f>[1]BOP!AA24</f>
        <v>66596.103308485835</v>
      </c>
      <c r="AB34" s="181">
        <f>[1]BOP!AB24</f>
        <v>69464.178303576497</v>
      </c>
      <c r="AC34" s="181">
        <f>[1]BOP!AC24</f>
        <v>72152.81945173601</v>
      </c>
      <c r="AD34" s="181">
        <f>[1]BOP!AD24</f>
        <v>75447.277292882296</v>
      </c>
      <c r="AE34" s="181">
        <f>[1]BOP!AE24</f>
        <v>78284.387453862641</v>
      </c>
      <c r="AF34" s="181"/>
      <c r="AG34" s="181"/>
      <c r="AH34" s="181"/>
      <c r="AI34" s="181"/>
      <c r="AJ34" s="181"/>
      <c r="AK34" s="181"/>
      <c r="AL34" s="181">
        <f>[1]BOP!AL24</f>
        <v>7579.9598534999996</v>
      </c>
      <c r="AM34" s="181">
        <f>[1]BOP!AM24</f>
        <v>5365.2984740000002</v>
      </c>
      <c r="AN34" s="181">
        <f>[1]BOP!AN24</f>
        <v>6434.4728792788392</v>
      </c>
      <c r="AO34" s="181">
        <f>[1]BOP!AO24</f>
        <v>8685.6730111512552</v>
      </c>
      <c r="AP34" s="181">
        <f>[1]BOP!AP24</f>
        <v>6759.86</v>
      </c>
      <c r="AQ34" s="181">
        <f>[1]BOP!AQ24</f>
        <v>7280.6526200000008</v>
      </c>
      <c r="AR34" s="181">
        <f>[1]BOP!AR24</f>
        <v>8713.438510127271</v>
      </c>
      <c r="AS34" s="181">
        <f>[1]BOP!AS24</f>
        <v>11580.477031854409</v>
      </c>
      <c r="AT34" s="181">
        <f>[1]BOP!AT24</f>
        <v>7921.0939989249009</v>
      </c>
      <c r="AU34" s="181">
        <f>[1]BOP!AU24</f>
        <v>7496.7838654178431</v>
      </c>
      <c r="AV34" s="181">
        <f>[1]BOP!AV24</f>
        <v>11042.7873943875</v>
      </c>
      <c r="AW34" s="181">
        <f>[1]BOP!AW24</f>
        <v>14880.556650492474</v>
      </c>
      <c r="AX34" s="181">
        <f>[1]BOP!AX24</f>
        <v>17152.665332377965</v>
      </c>
      <c r="AY34" s="181">
        <f>[1]BOP!AY24</f>
        <v>38344.249284821861</v>
      </c>
      <c r="AZ34" s="181">
        <f>[1]BOP!AZ24</f>
        <v>33690.629639084029</v>
      </c>
      <c r="BA34" s="181">
        <f>[1]BOP!BA24</f>
        <v>48213.453769351428</v>
      </c>
      <c r="BB34" s="181">
        <f>[1]BOP!BB24</f>
        <v>52559.633712530536</v>
      </c>
      <c r="BC34" s="181">
        <f>[1]BOP!BC24</f>
        <v>61413.498699311902</v>
      </c>
      <c r="BD34" s="181">
        <f>[1]BOP!BD24</f>
        <v>68209.071922579184</v>
      </c>
      <c r="BE34" s="181">
        <f>[1]BOP!BE24</f>
        <v>70772.743737153389</v>
      </c>
      <c r="BF34" s="181">
        <f>[1]BOP!BF24</f>
        <v>73875.578092982338</v>
      </c>
      <c r="BG34" s="181">
        <f>[1]BOP!BG24</f>
        <v>76764.762421065199</v>
      </c>
      <c r="BH34" s="181">
        <f>[1]BOP!BH24</f>
        <v>79122.532632746137</v>
      </c>
    </row>
    <row r="35" spans="1:190" x14ac:dyDescent="0.2">
      <c r="A35" s="180" t="s">
        <v>155</v>
      </c>
      <c r="E35" s="180" t="s">
        <v>52</v>
      </c>
      <c r="G35" s="29"/>
      <c r="H35" s="29"/>
      <c r="J35" s="181">
        <f>[1]BOP!J28</f>
        <v>-10877.697234031253</v>
      </c>
      <c r="K35" s="181">
        <f>[1]BOP!K28</f>
        <v>-14792.531051850001</v>
      </c>
      <c r="L35" s="181">
        <f>[1]BOP!L28</f>
        <v>-17444.65022995578</v>
      </c>
      <c r="M35" s="181">
        <f>[1]BOP!M28</f>
        <v>-20838.057940799048</v>
      </c>
      <c r="N35" s="181">
        <f>[1]BOP!N28</f>
        <v>-18162.018760625</v>
      </c>
      <c r="O35" s="181">
        <f>[1]BOP!O28</f>
        <v>-23015.63383254478</v>
      </c>
      <c r="P35" s="181">
        <f>[1]BOP!P28</f>
        <v>-35470.0398668056</v>
      </c>
      <c r="Q35" s="181">
        <f>[1]BOP!Q28</f>
        <v>-20661.59499092614</v>
      </c>
      <c r="R35" s="181">
        <f>[1]BOP!R28</f>
        <v>-36782.26682357039</v>
      </c>
      <c r="S35" s="181">
        <f>[1]BOP!S28</f>
        <v>-38577.74937301359</v>
      </c>
      <c r="T35" s="181">
        <f>[1]BOP!T28</f>
        <v>-44378.762338347042</v>
      </c>
      <c r="U35" s="181">
        <f>[1]BOP!U28</f>
        <v>-51273.653636195362</v>
      </c>
      <c r="V35" s="181">
        <f>[1]BOP!V28</f>
        <v>-57197.119211148653</v>
      </c>
      <c r="W35" s="181">
        <f>[1]BOP!W28</f>
        <v>-81173.258321532689</v>
      </c>
      <c r="X35" s="181">
        <f>[1]BOP!X28</f>
        <v>-102922.31382842702</v>
      </c>
      <c r="Y35" s="181">
        <f>[1]BOP!Y28</f>
        <v>-96904.696342408497</v>
      </c>
      <c r="Z35" s="181">
        <f>[1]BOP!Z28</f>
        <v>-71629.409733865032</v>
      </c>
      <c r="AA35" s="181">
        <f>[1]BOP!AA28</f>
        <v>-88917.97480858471</v>
      </c>
      <c r="AB35" s="181">
        <f>[1]BOP!AB28</f>
        <v>-92747.379345683323</v>
      </c>
      <c r="AC35" s="181">
        <f>[1]BOP!AC28</f>
        <v>-96337.206888204251</v>
      </c>
      <c r="AD35" s="181">
        <f>[1]BOP!AD28</f>
        <v>-100735.91048757329</v>
      </c>
      <c r="AE35" s="181">
        <f>[1]BOP!AE28</f>
        <v>-104523.97130931036</v>
      </c>
      <c r="AF35" s="181"/>
      <c r="AG35" s="2"/>
      <c r="AH35" s="2"/>
      <c r="AI35" s="2"/>
      <c r="AJ35" s="2"/>
      <c r="AK35" s="2"/>
      <c r="AL35" s="181">
        <f>[1]BOP!AL28</f>
        <v>-10989.165942531255</v>
      </c>
      <c r="AM35" s="181">
        <f>[1]BOP!AM28</f>
        <v>-11539.329358712501</v>
      </c>
      <c r="AN35" s="181">
        <f>[1]BOP!AN28</f>
        <v>-16279.791213928262</v>
      </c>
      <c r="AO35" s="181">
        <f>[1]BOP!AO28</f>
        <v>-19325.99562246407</v>
      </c>
      <c r="AP35" s="181">
        <f>[1]BOP!AP28</f>
        <v>-20354.659793125</v>
      </c>
      <c r="AQ35" s="181">
        <f>[1]BOP!AQ28</f>
        <v>-23357.2503115</v>
      </c>
      <c r="AR35" s="181">
        <f>[1]BOP!AR28</f>
        <v>-30309.077404453867</v>
      </c>
      <c r="AS35" s="181">
        <f>[1]BOP!AS28</f>
        <v>-28108.404477742817</v>
      </c>
      <c r="AT35" s="181">
        <f>[1]BOP!AT28</f>
        <v>-29817.950991835842</v>
      </c>
      <c r="AU35" s="181">
        <f>[1]BOP!AU28</f>
        <v>-36023.738034724956</v>
      </c>
      <c r="AV35" s="181">
        <f>[1]BOP!AV28</f>
        <v>-33503.964418970936</v>
      </c>
      <c r="AW35" s="181">
        <f>[1]BOP!AW28</f>
        <v>-52007.669284244657</v>
      </c>
      <c r="AX35" s="181">
        <f>[1]BOP!AX28</f>
        <v>-61849.15526609576</v>
      </c>
      <c r="AY35" s="181">
        <f>[1]BOP!AY28</f>
        <v>-64011.426722161268</v>
      </c>
      <c r="AZ35" s="181">
        <f>[1]BOP!AZ28</f>
        <v>-89503.021995415533</v>
      </c>
      <c r="BA35" s="181">
        <f>[1]BOP!BA28</f>
        <v>-108591.83843806593</v>
      </c>
      <c r="BB35" s="181">
        <f>[1]BOP!BB28</f>
        <v>-81111.446577719689</v>
      </c>
      <c r="BC35" s="181">
        <f>[1]BOP!BC28</f>
        <v>-81998.250032095239</v>
      </c>
      <c r="BD35" s="181">
        <f>[1]BOP!BD28</f>
        <v>-91071.582834727509</v>
      </c>
      <c r="BE35" s="181">
        <f>[1]BOP!BE28</f>
        <v>-94494.553466655459</v>
      </c>
      <c r="BF35" s="2">
        <f>[1]BOP!BF28</f>
        <v>-98637.404675363563</v>
      </c>
      <c r="BG35" s="2">
        <f>[1]BOP!BG28</f>
        <v>-102494.99403178308</v>
      </c>
      <c r="BH35" s="2">
        <f>[1]BOP!BH28</f>
        <v>-105643.04837537653</v>
      </c>
    </row>
    <row r="36" spans="1:190" s="180" customFormat="1" x14ac:dyDescent="0.2">
      <c r="E36" s="4" t="s">
        <v>151</v>
      </c>
      <c r="G36" s="46"/>
      <c r="H36" s="46"/>
      <c r="J36" s="2">
        <f>J8+J10+J13</f>
        <v>518960.29999999958</v>
      </c>
      <c r="K36" s="2">
        <f t="shared" ref="K36:V36" si="70">K8+K10+K13</f>
        <v>520900.54999999958</v>
      </c>
      <c r="L36" s="2">
        <f t="shared" si="70"/>
        <v>673747.79999999981</v>
      </c>
      <c r="M36" s="2">
        <f t="shared" si="70"/>
        <v>755667.8588439998</v>
      </c>
      <c r="N36" s="2">
        <f t="shared" si="70"/>
        <v>872580.02174399991</v>
      </c>
      <c r="O36" s="2">
        <f t="shared" si="70"/>
        <v>1030057.4295059128</v>
      </c>
      <c r="P36" s="2">
        <f t="shared" si="70"/>
        <v>1305258.6279029916</v>
      </c>
      <c r="Q36" s="2">
        <f t="shared" si="70"/>
        <v>1604687.8488064988</v>
      </c>
      <c r="R36" s="2">
        <f t="shared" si="70"/>
        <v>1998395.9</v>
      </c>
      <c r="S36" s="2">
        <f t="shared" si="70"/>
        <v>2510708.6500000004</v>
      </c>
      <c r="T36" s="2">
        <f t="shared" si="70"/>
        <v>2955601.0100000035</v>
      </c>
      <c r="U36" s="2">
        <f t="shared" si="70"/>
        <v>3160470.7600000035</v>
      </c>
      <c r="V36" s="2">
        <f t="shared" si="70"/>
        <v>3635204.0999999996</v>
      </c>
      <c r="W36" s="2">
        <f t="shared" ref="W36:AB36" si="71">W8+W10+W13</f>
        <v>4233694.0809214003</v>
      </c>
      <c r="X36" s="2">
        <f t="shared" si="71"/>
        <v>4710430.1825159546</v>
      </c>
      <c r="Y36" s="2">
        <f t="shared" si="71"/>
        <v>5586398.1684235148</v>
      </c>
      <c r="Z36" s="2">
        <f t="shared" si="71"/>
        <v>6171765.0550223617</v>
      </c>
      <c r="AA36" s="2">
        <f t="shared" si="71"/>
        <v>8420981.3613076992</v>
      </c>
      <c r="AB36" s="2">
        <f t="shared" si="71"/>
        <v>9307082.9428989179</v>
      </c>
      <c r="AC36" s="2">
        <f>AC8+AC10+AC13</f>
        <v>10719819.022729522</v>
      </c>
      <c r="AD36" s="2">
        <f t="shared" ref="AD36:AE36" si="72">AD8+AD10+AD13</f>
        <v>12459491.131629866</v>
      </c>
      <c r="AE36" s="2">
        <f t="shared" si="72"/>
        <v>14474559.378580714</v>
      </c>
      <c r="AF36" s="2"/>
      <c r="AG36" s="2"/>
      <c r="AH36" s="182"/>
      <c r="AI36" s="182"/>
      <c r="AJ36" s="182"/>
      <c r="AK36" s="182"/>
      <c r="AL36" s="181">
        <f>[1]NA!AL36</f>
        <v>464766.62</v>
      </c>
      <c r="AM36" s="181">
        <f>[1]NA!AM36</f>
        <v>480376.69999999995</v>
      </c>
      <c r="AN36" s="181">
        <f>[1]NA!AN36</f>
        <v>590173.71</v>
      </c>
      <c r="AO36" s="181">
        <f>[1]NA!AO36</f>
        <v>702188.71</v>
      </c>
      <c r="AP36" s="181">
        <f>[1]NA!AP36</f>
        <v>801802.64456000004</v>
      </c>
      <c r="AQ36" s="181">
        <f>[1]NA!AQ36</f>
        <v>938173.89935966674</v>
      </c>
      <c r="AR36" s="181">
        <f>[1]NA!AR36</f>
        <v>1113046.0048824756</v>
      </c>
      <c r="AS36" s="181">
        <f>[1]NA!AS36</f>
        <v>1113046.0048824756</v>
      </c>
      <c r="AT36" s="181">
        <f>[1]NA!AT36</f>
        <v>1641834.06</v>
      </c>
      <c r="AU36" s="181">
        <f>[1]NA!AU36</f>
        <v>2198916.9399999995</v>
      </c>
      <c r="AV36" s="181">
        <f>[1]NA!AV36</f>
        <v>2682426.3000000003</v>
      </c>
      <c r="AW36" s="181">
        <f>[1]NA!AW36</f>
        <v>3008137.7819999997</v>
      </c>
      <c r="AX36" s="181">
        <f>[1]NA!AX36</f>
        <v>3419694.202</v>
      </c>
      <c r="AY36" s="181">
        <f>[1]NA!AY36</f>
        <v>4115557.567000411</v>
      </c>
      <c r="AZ36" s="181">
        <f>[1]NA!AZ36</f>
        <v>4710569.3501849137</v>
      </c>
      <c r="BA36" s="181">
        <f>[1]NA!BA36</f>
        <v>5455997.2180661261</v>
      </c>
      <c r="BB36" s="181">
        <f>[1]NA!BB36</f>
        <v>6131923.7446955033</v>
      </c>
      <c r="BC36" s="181">
        <f>[1]NA!BC36</f>
        <v>7628249.781355381</v>
      </c>
      <c r="BD36" s="181">
        <f>[1]NA!BD36</f>
        <v>9389280.4947143476</v>
      </c>
      <c r="BE36" s="181">
        <f>[1]NA!BE36</f>
        <v>10607945.030936407</v>
      </c>
      <c r="BF36" s="181">
        <f>[1]NA!BF36</f>
        <v>12301179.057148905</v>
      </c>
      <c r="BG36" s="181">
        <f>[1]NA!BG36</f>
        <v>14287439.855465861</v>
      </c>
      <c r="BH36" s="181">
        <f>[1]NA!BH36</f>
        <v>0</v>
      </c>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row>
    <row r="37" spans="1:190" x14ac:dyDescent="0.2">
      <c r="A37" s="180"/>
      <c r="E37" s="4" t="s">
        <v>33</v>
      </c>
      <c r="G37" s="29"/>
      <c r="H37" s="29"/>
      <c r="J37" s="2">
        <v>0</v>
      </c>
      <c r="K37" s="2">
        <v>0</v>
      </c>
      <c r="L37" s="2">
        <v>0</v>
      </c>
      <c r="M37" s="2">
        <v>0</v>
      </c>
      <c r="N37" s="2">
        <v>0</v>
      </c>
      <c r="O37" s="2">
        <v>0</v>
      </c>
      <c r="P37" s="2">
        <v>0</v>
      </c>
      <c r="Q37" s="2">
        <v>0</v>
      </c>
      <c r="R37" s="2">
        <v>0</v>
      </c>
      <c r="S37" s="2">
        <v>0</v>
      </c>
      <c r="T37" s="2">
        <v>0</v>
      </c>
      <c r="U37" s="2">
        <v>0</v>
      </c>
      <c r="V37" s="2">
        <v>0</v>
      </c>
      <c r="W37" s="2">
        <v>0</v>
      </c>
      <c r="X37" s="2">
        <v>0</v>
      </c>
      <c r="Y37" s="2">
        <v>1</v>
      </c>
      <c r="Z37" s="2">
        <v>1</v>
      </c>
      <c r="AA37" s="2">
        <v>1</v>
      </c>
      <c r="AB37" s="2">
        <v>2</v>
      </c>
      <c r="AC37" s="2">
        <v>2</v>
      </c>
      <c r="AD37" s="2">
        <v>2</v>
      </c>
      <c r="AE37" s="2">
        <v>2</v>
      </c>
      <c r="AF37" s="2"/>
      <c r="AG37" s="2"/>
      <c r="AH37" s="2"/>
      <c r="AI37" s="2"/>
      <c r="AJ37" s="2"/>
      <c r="AK37" s="2"/>
      <c r="AL37" s="2">
        <v>0</v>
      </c>
      <c r="AM37" s="2">
        <v>0</v>
      </c>
      <c r="AN37" s="2">
        <v>0</v>
      </c>
      <c r="AO37" s="2">
        <v>0</v>
      </c>
      <c r="AP37" s="2">
        <v>0</v>
      </c>
      <c r="AQ37" s="2">
        <v>0</v>
      </c>
      <c r="AR37" s="2">
        <v>0</v>
      </c>
      <c r="AS37" s="2">
        <v>0</v>
      </c>
      <c r="AT37" s="2">
        <v>0</v>
      </c>
      <c r="AU37" s="2">
        <v>0</v>
      </c>
      <c r="AV37" s="2">
        <v>0</v>
      </c>
      <c r="AW37" s="60">
        <v>0</v>
      </c>
      <c r="AX37" s="2">
        <v>0</v>
      </c>
      <c r="AY37" s="2">
        <v>0</v>
      </c>
      <c r="AZ37" s="2">
        <v>1</v>
      </c>
      <c r="BA37" s="2">
        <v>2</v>
      </c>
      <c r="BB37" s="2">
        <v>2</v>
      </c>
      <c r="BC37" s="2">
        <v>2</v>
      </c>
      <c r="BD37" s="2">
        <v>2</v>
      </c>
      <c r="BE37" s="2">
        <v>2</v>
      </c>
    </row>
    <row r="38" spans="1:190" x14ac:dyDescent="0.2">
      <c r="A38" s="180"/>
      <c r="E38" s="4" t="s">
        <v>34</v>
      </c>
      <c r="G38" s="29"/>
      <c r="H38" s="29"/>
      <c r="J38" s="2" t="s">
        <v>43</v>
      </c>
      <c r="K38" s="2" t="s">
        <v>43</v>
      </c>
      <c r="L38" s="2" t="s">
        <v>43</v>
      </c>
      <c r="M38" s="2" t="s">
        <v>43</v>
      </c>
      <c r="N38" s="2" t="s">
        <v>43</v>
      </c>
      <c r="O38" s="2" t="s">
        <v>43</v>
      </c>
      <c r="P38" s="2" t="s">
        <v>43</v>
      </c>
      <c r="Q38" s="2" t="s">
        <v>43</v>
      </c>
      <c r="R38" s="2" t="s">
        <v>43</v>
      </c>
      <c r="S38" s="2" t="s">
        <v>43</v>
      </c>
      <c r="T38" s="2" t="s">
        <v>43</v>
      </c>
      <c r="U38" s="2" t="s">
        <v>43</v>
      </c>
      <c r="V38" s="2" t="s">
        <v>43</v>
      </c>
      <c r="W38" s="2" t="s">
        <v>43</v>
      </c>
      <c r="X38" s="2"/>
      <c r="Y38" s="2"/>
      <c r="Z38" s="2"/>
      <c r="AA38" s="2"/>
      <c r="AB38" s="2"/>
      <c r="AC38" s="2"/>
      <c r="AD38" s="2"/>
      <c r="AE38" s="2"/>
      <c r="AF38" s="2"/>
      <c r="AG38" s="2"/>
      <c r="AH38" s="2"/>
      <c r="AI38" s="2"/>
      <c r="AJ38" s="2"/>
      <c r="AK38" s="2"/>
      <c r="AL38" s="2" t="s">
        <v>43</v>
      </c>
      <c r="AM38" s="2" t="s">
        <v>43</v>
      </c>
      <c r="AN38" s="2" t="s">
        <v>43</v>
      </c>
      <c r="AO38" s="2" t="s">
        <v>43</v>
      </c>
      <c r="AP38" s="2" t="s">
        <v>43</v>
      </c>
      <c r="AQ38" s="2" t="s">
        <v>43</v>
      </c>
      <c r="AR38" s="2" t="s">
        <v>43</v>
      </c>
      <c r="AS38" s="2" t="s">
        <v>43</v>
      </c>
      <c r="AT38" s="2" t="s">
        <v>43</v>
      </c>
      <c r="AU38" s="2" t="s">
        <v>43</v>
      </c>
      <c r="AV38" s="2" t="s">
        <v>43</v>
      </c>
      <c r="AW38" s="60" t="s">
        <v>43</v>
      </c>
      <c r="AX38" s="2" t="s">
        <v>43</v>
      </c>
      <c r="AY38" s="2" t="s">
        <v>43</v>
      </c>
      <c r="AZ38" s="2" t="s">
        <v>43</v>
      </c>
      <c r="BA38" s="2" t="s">
        <v>43</v>
      </c>
      <c r="BB38" s="2" t="s">
        <v>43</v>
      </c>
      <c r="BC38" s="2" t="s">
        <v>43</v>
      </c>
      <c r="BD38" s="2" t="s">
        <v>43</v>
      </c>
      <c r="BE38" s="2" t="s">
        <v>43</v>
      </c>
    </row>
    <row r="39" spans="1:190" x14ac:dyDescent="0.2">
      <c r="A39" s="180" t="s">
        <v>156</v>
      </c>
      <c r="E39" s="180" t="s">
        <v>31</v>
      </c>
      <c r="G39" s="29"/>
      <c r="H39" s="29"/>
      <c r="J39" s="181">
        <f>[1]NA!J39</f>
        <v>-103865.92603366365</v>
      </c>
      <c r="K39" s="181">
        <f>[1]NA!K39</f>
        <v>-129748.646615367</v>
      </c>
      <c r="L39" s="181">
        <f>[1]NA!L39</f>
        <v>-203824.7098622293</v>
      </c>
      <c r="M39" s="181">
        <f>[1]NA!M39</f>
        <v>-208904.4707215869</v>
      </c>
      <c r="N39" s="181">
        <f>[1]NA!N39</f>
        <v>-191632.50590269332</v>
      </c>
      <c r="O39" s="181">
        <f>[1]NA!O39</f>
        <v>-258747.37224477337</v>
      </c>
      <c r="P39" s="181">
        <f>[1]NA!P39</f>
        <v>-351254.34901876579</v>
      </c>
      <c r="Q39" s="181">
        <f>[1]NA!Q39</f>
        <v>-235935.72837054712</v>
      </c>
      <c r="R39" s="181">
        <f>[1]NA!R39</f>
        <v>-246200.79618149379</v>
      </c>
      <c r="S39" s="181">
        <f>[1]NA!S39</f>
        <v>-433542.13802345778</v>
      </c>
      <c r="T39" s="181">
        <f>[1]NA!T39</f>
        <v>-475202.31863536098</v>
      </c>
      <c r="U39" s="181">
        <f>[1]NA!U39</f>
        <v>-711372.11548457842</v>
      </c>
      <c r="V39" s="181">
        <f>[1]NA!V39</f>
        <v>-1104152.8083461979</v>
      </c>
      <c r="W39" s="181">
        <f>[1]NA!W39</f>
        <v>-1144015.6705973542</v>
      </c>
      <c r="X39" s="181">
        <f>[1]NA!X39</f>
        <v>-1110592.9487257861</v>
      </c>
      <c r="Y39" s="181">
        <f>[1]NA!Y39</f>
        <v>-1147227.1917931505</v>
      </c>
      <c r="Z39" s="181">
        <f>[1]NA!Z39</f>
        <v>-1323852.0270757079</v>
      </c>
      <c r="AA39" s="181">
        <f>[1]NA!AA39</f>
        <v>-1943202.5309147299</v>
      </c>
      <c r="AB39" s="181">
        <f>[1]NA!AB39</f>
        <v>-2326677.3148456248</v>
      </c>
      <c r="AC39" s="181">
        <f>[1]NA!AC39</f>
        <v>-2952856.4873657255</v>
      </c>
      <c r="AD39" s="181">
        <f>[1]NA!AD39</f>
        <v>-3109601.242492158</v>
      </c>
      <c r="AE39" s="181">
        <f>[1]NA!AE39</f>
        <v>-3249167.7171463794</v>
      </c>
      <c r="AF39" s="181"/>
      <c r="AG39" s="182"/>
      <c r="AH39" s="2"/>
      <c r="AI39" s="2"/>
      <c r="AJ39" s="2"/>
      <c r="AK39" s="2"/>
      <c r="AL39" s="181">
        <f>[1]NA!AL39</f>
        <v>-87156.539918333336</v>
      </c>
      <c r="AM39" s="181">
        <f>[1]NA!AM39</f>
        <v>-133511.43293440208</v>
      </c>
      <c r="AN39" s="181">
        <f>[1]NA!AN39</f>
        <v>-116579.66719232209</v>
      </c>
      <c r="AO39" s="181">
        <f>[1]NA!AO39</f>
        <v>-303153.0790861753</v>
      </c>
      <c r="AP39" s="181">
        <f>[1]NA!AP39</f>
        <v>-122839.31027772346</v>
      </c>
      <c r="AQ39" s="181">
        <f>[1]NA!AQ39</f>
        <v>-244215.56391323893</v>
      </c>
      <c r="AR39" s="181">
        <f>[1]NA!AR39</f>
        <v>-270406.24533486587</v>
      </c>
      <c r="AS39" s="181">
        <f>[1]NA!AS39</f>
        <v>-423506.74661616015</v>
      </c>
      <c r="AT39" s="181">
        <f>[1]NA!AT39</f>
        <v>-66383.841093580384</v>
      </c>
      <c r="AU39" s="181">
        <f>[1]NA!AU39</f>
        <v>-416753.84061985684</v>
      </c>
      <c r="AV39" s="181">
        <f>[1]NA!AV39</f>
        <v>-459856.49437372154</v>
      </c>
      <c r="AW39" s="181">
        <f>[1]NA!AW39</f>
        <v>-506668.97062886425</v>
      </c>
      <c r="AX39" s="181">
        <f>[1]NA!AX39</f>
        <v>-968427.7866802949</v>
      </c>
      <c r="AY39" s="181">
        <f>[1]NA!AY39</f>
        <v>-1223932.5543468921</v>
      </c>
      <c r="AZ39" s="181">
        <f>[1]NA!AZ39</f>
        <v>-1012761.8938307234</v>
      </c>
      <c r="BA39" s="181">
        <f>[1]NA!BA39</f>
        <v>-1222519.4405614976</v>
      </c>
      <c r="BB39" s="181">
        <f>[1]NA!BB39</f>
        <v>-1144643.9583448635</v>
      </c>
      <c r="BC39" s="181">
        <f>[1]NA!BC39</f>
        <v>-1654319.1834374471</v>
      </c>
      <c r="BD39" s="181">
        <f>[1]NA!BD39</f>
        <v>-2138620.7386501702</v>
      </c>
      <c r="BE39" s="181">
        <f>[1]NA!BE39</f>
        <v>-2635851.8960215827</v>
      </c>
      <c r="BF39" s="181">
        <f>[1]NA!BF39</f>
        <v>-3034195.2346746856</v>
      </c>
      <c r="BG39" s="181">
        <f>[1]NA!BG39</f>
        <v>-3175111.741033949</v>
      </c>
      <c r="BH39" s="181">
        <f>[1]NA!BH39</f>
        <v>-3283954.6567403707</v>
      </c>
    </row>
    <row r="40" spans="1:190" x14ac:dyDescent="0.2">
      <c r="A40" s="180" t="s">
        <v>157</v>
      </c>
      <c r="E40" s="180" t="s">
        <v>53</v>
      </c>
      <c r="G40" s="29"/>
      <c r="H40" s="29"/>
      <c r="J40" s="181">
        <f>[1]NA!J40</f>
        <v>22056.580364304358</v>
      </c>
      <c r="K40" s="181">
        <f>[1]NA!K40</f>
        <v>29236.6540719</v>
      </c>
      <c r="L40" s="181">
        <f>[1]NA!L40</f>
        <v>31476.114144261788</v>
      </c>
      <c r="M40" s="181">
        <f>[1]NA!M40</f>
        <v>54155.621711428568</v>
      </c>
      <c r="N40" s="181">
        <f>[1]NA!N40</f>
        <v>67174.833382000012</v>
      </c>
      <c r="O40" s="181">
        <f>[1]NA!O40</f>
        <v>87764.340492806572</v>
      </c>
      <c r="P40" s="181">
        <f>[1]NA!P40</f>
        <v>80027.803333635457</v>
      </c>
      <c r="Q40" s="181">
        <f>[1]NA!Q40</f>
        <v>77565.977770592246</v>
      </c>
      <c r="R40" s="181">
        <f>[1]NA!R40</f>
        <v>107450.81077485235</v>
      </c>
      <c r="S40" s="181">
        <f>[1]NA!S40</f>
        <v>142365.17558569371</v>
      </c>
      <c r="T40" s="181">
        <f>[1]NA!T40</f>
        <v>146614.554806117</v>
      </c>
      <c r="U40" s="181">
        <f>[1]NA!U40</f>
        <v>195991.05315633153</v>
      </c>
      <c r="V40" s="181">
        <f>[1]NA!V40</f>
        <v>270475.86321655882</v>
      </c>
      <c r="W40" s="181">
        <f>[1]NA!W40</f>
        <v>204111.23062787749</v>
      </c>
      <c r="X40" s="181">
        <f>[1]NA!X40</f>
        <v>148802.45999617051</v>
      </c>
      <c r="Y40" s="181">
        <f>[1]NA!Y40</f>
        <v>152244.70025815308</v>
      </c>
      <c r="Z40" s="181">
        <f>[1]NA!Z40</f>
        <v>159558.32155677231</v>
      </c>
      <c r="AA40" s="181">
        <f>[1]NA!AA40</f>
        <v>211381.0761123535</v>
      </c>
      <c r="AB40" s="181">
        <f>[1]NA!AB40</f>
        <v>216952.17759809305</v>
      </c>
      <c r="AC40" s="181">
        <f>[1]NA!AC40</f>
        <v>221256.16664225888</v>
      </c>
      <c r="AD40" s="181">
        <f>[1]NA!AD40</f>
        <v>349391.82649708679</v>
      </c>
      <c r="AE40" s="181">
        <f>[1]NA!AE40</f>
        <v>355247.73531051731</v>
      </c>
      <c r="AF40" s="181"/>
      <c r="AG40" s="182"/>
      <c r="AH40" s="2"/>
      <c r="AI40" s="2"/>
      <c r="AJ40" s="2"/>
      <c r="AK40" s="2"/>
      <c r="AL40" s="181">
        <f>[1]NA!AL40</f>
        <v>20776.784978299998</v>
      </c>
      <c r="AM40" s="181">
        <f>[1]NA!AM40</f>
        <v>18789.309620504362</v>
      </c>
      <c r="AN40" s="181">
        <f>[1]NA!AN40</f>
        <v>35003.242650947162</v>
      </c>
      <c r="AO40" s="181">
        <f>[1]NA!AO40</f>
        <v>40093.5758091432</v>
      </c>
      <c r="AP40" s="181">
        <f>[1]NA!AP40</f>
        <v>58810.112083999993</v>
      </c>
      <c r="AQ40" s="181">
        <f>[1]NA!AQ40</f>
        <v>83443.876720799992</v>
      </c>
      <c r="AR40" s="181">
        <f>[1]NA!AR40</f>
        <v>79917.560106976278</v>
      </c>
      <c r="AS40" s="181">
        <f>[1]NA!AS40</f>
        <v>80046.837204985146</v>
      </c>
      <c r="AT40" s="181">
        <f>[1]NA!AT40</f>
        <v>92995.470408270412</v>
      </c>
      <c r="AU40" s="181">
        <f>[1]NA!AU40</f>
        <v>125729.81154121773</v>
      </c>
      <c r="AV40" s="181">
        <f>[1]NA!AV40</f>
        <v>135232.32701316499</v>
      </c>
      <c r="AW40" s="181">
        <f>[1]NA!AW40</f>
        <v>195660.01919179084</v>
      </c>
      <c r="AX40" s="181">
        <f>[1]NA!AX40</f>
        <v>208070.80460500403</v>
      </c>
      <c r="AY40" s="181">
        <f>[1]NA!AY40</f>
        <v>247061.09574116397</v>
      </c>
      <c r="AZ40" s="181">
        <f>[1]NA!AZ40</f>
        <v>172278.99538405921</v>
      </c>
      <c r="BA40" s="181">
        <f>[1]NA!BA40</f>
        <v>159607.81410342053</v>
      </c>
      <c r="BB40" s="181">
        <f>[1]NA!BB40</f>
        <v>142789.28409335119</v>
      </c>
      <c r="BC40" s="181">
        <f>[1]NA!BC40</f>
        <v>188819.25611096391</v>
      </c>
      <c r="BD40" s="181">
        <f>[1]NA!BD40</f>
        <v>214752.71591523575</v>
      </c>
      <c r="BE40" s="181">
        <f>[1]NA!BE40</f>
        <v>219013.24781218739</v>
      </c>
      <c r="BF40" s="181">
        <f>[1]NA!BF40</f>
        <v>284884.17314253765</v>
      </c>
      <c r="BG40" s="181">
        <f>[1]NA!BG40</f>
        <v>351886.18786386208</v>
      </c>
      <c r="BH40" s="181">
        <f>[1]NA!BH40</f>
        <v>359051.16516854963</v>
      </c>
    </row>
    <row r="41" spans="1:190" x14ac:dyDescent="0.2">
      <c r="A41" s="180"/>
      <c r="E41" s="15" t="s">
        <v>36</v>
      </c>
      <c r="G41" s="29"/>
      <c r="H41" s="29"/>
      <c r="J41" s="2">
        <f t="shared" ref="J41:X41" si="73">J7+J35+J34+J40+J39</f>
        <v>6649701.2598625794</v>
      </c>
      <c r="K41" s="2">
        <f t="shared" si="73"/>
        <v>7578244.7069386831</v>
      </c>
      <c r="L41" s="2">
        <f t="shared" si="73"/>
        <v>9402413.2992142476</v>
      </c>
      <c r="M41" s="2">
        <f t="shared" si="73"/>
        <v>11641506.778246813</v>
      </c>
      <c r="N41" s="2">
        <f t="shared" si="73"/>
        <v>13430027.303239597</v>
      </c>
      <c r="O41" s="2">
        <f t="shared" si="73"/>
        <v>15437276.93025534</v>
      </c>
      <c r="P41" s="2">
        <f>P7+P35+P34+P40+P39</f>
        <v>17619301.400625698</v>
      </c>
      <c r="Q41" s="2">
        <f>Q7+Q35+Q34+Q40+Q39</f>
        <v>21037612.453561805</v>
      </c>
      <c r="R41" s="2">
        <f t="shared" si="73"/>
        <v>24865269.967462901</v>
      </c>
      <c r="S41" s="2">
        <f t="shared" si="73"/>
        <v>29449788.089959126</v>
      </c>
      <c r="T41" s="2">
        <f t="shared" si="73"/>
        <v>35049426.883532345</v>
      </c>
      <c r="U41" s="2">
        <f t="shared" si="73"/>
        <v>40500083.318399228</v>
      </c>
      <c r="V41" s="2">
        <f t="shared" si="73"/>
        <v>47741400.285737269</v>
      </c>
      <c r="W41" s="2">
        <f t="shared" si="73"/>
        <v>56116677.660727188</v>
      </c>
      <c r="X41" s="2">
        <f t="shared" si="73"/>
        <v>65173962.939039692</v>
      </c>
      <c r="Y41" s="2">
        <f>Y7+Y35+Y34+Y40+Y39</f>
        <v>74153896.288388833</v>
      </c>
      <c r="Z41" s="2">
        <f>Z7+Z35+Z34+Z40+Z39</f>
        <v>83097646.759224862</v>
      </c>
      <c r="AA41" s="2">
        <f>AA7+AA35+AA34+AA40+AA39</f>
        <v>93050561.207804471</v>
      </c>
      <c r="AB41" s="2">
        <f>AB7+AB35+AB34+AB40+AB39</f>
        <v>104755634.2873504</v>
      </c>
      <c r="AC41" s="2">
        <f>AC7+AC35+AC34+AC40+AC39</f>
        <v>115613816.34495641</v>
      </c>
      <c r="AD41" s="2">
        <f t="shared" ref="AD41:AE41" si="74">AD7+AD35+AD34+AD40+AD39</f>
        <v>131956992.71500336</v>
      </c>
      <c r="AE41" s="2">
        <f t="shared" si="74"/>
        <v>150398564.06052533</v>
      </c>
      <c r="AF41" s="2"/>
      <c r="AG41" s="2"/>
      <c r="AH41" s="2"/>
      <c r="AI41" s="2"/>
      <c r="AJ41" s="2"/>
      <c r="AK41" s="2"/>
      <c r="AL41" s="2">
        <f t="shared" ref="AL41:AQ41" si="75">AL7+AL35+AL34+AL40+AL39</f>
        <v>6214183.0389709361</v>
      </c>
      <c r="AM41" s="2">
        <f t="shared" si="75"/>
        <v>7101663.8458013888</v>
      </c>
      <c r="AN41" s="2">
        <f t="shared" si="75"/>
        <v>8061367.2571239742</v>
      </c>
      <c r="AO41" s="2">
        <f t="shared" si="75"/>
        <v>10834707.943198979</v>
      </c>
      <c r="AP41" s="2">
        <f t="shared" si="75"/>
        <v>12633025.053109776</v>
      </c>
      <c r="AQ41" s="2">
        <f t="shared" si="75"/>
        <v>14477144.576461773</v>
      </c>
      <c r="AR41" s="2">
        <f t="shared" ref="AR41:BA41" si="76">AR7+AR35+AR34+AR40+AR39</f>
        <v>16658268.267398996</v>
      </c>
      <c r="AS41" s="2">
        <f t="shared" si="76"/>
        <v>18768530.802760117</v>
      </c>
      <c r="AT41" s="2">
        <f t="shared" si="76"/>
        <v>23516432.201457161</v>
      </c>
      <c r="AU41" s="2">
        <f t="shared" si="76"/>
        <v>26587895.735249255</v>
      </c>
      <c r="AV41" s="2">
        <f t="shared" si="76"/>
        <v>32574905.712637361</v>
      </c>
      <c r="AW41" s="60">
        <f>AW7+AW35+AW34+AW40+AW39</f>
        <v>37600478.653736539</v>
      </c>
      <c r="AX41" s="2">
        <f t="shared" si="76"/>
        <v>43272417.237903297</v>
      </c>
      <c r="AY41" s="2">
        <f t="shared" si="76"/>
        <v>52154598.863837264</v>
      </c>
      <c r="AZ41" s="2">
        <f t="shared" si="76"/>
        <v>60813191.501730829</v>
      </c>
      <c r="BA41" s="2">
        <f t="shared" si="76"/>
        <v>70196631.232040808</v>
      </c>
      <c r="BB41" s="2">
        <f>BB7+BB35+BB34+BB40+BB39</f>
        <v>77301145.08947438</v>
      </c>
      <c r="BC41" s="2">
        <f>BC7+BC35+BC34+BC40+BC39</f>
        <v>87631260.45717749</v>
      </c>
      <c r="BD41" s="2">
        <f>BD7+BD35+BD34+BD40+BD39</f>
        <v>98545333.398730025</v>
      </c>
      <c r="BE41" s="2">
        <f>BE7+BE35+BE34+BE40+BE39</f>
        <v>110844660.86096404</v>
      </c>
    </row>
    <row r="42" spans="1:190" x14ac:dyDescent="0.2">
      <c r="A42" s="180"/>
      <c r="E42" s="15" t="s">
        <v>152</v>
      </c>
      <c r="G42" s="29"/>
      <c r="H42" s="29"/>
      <c r="J42" s="60">
        <f t="shared" ref="J42:X42" si="77">J32+J33+J36+J37-J41</f>
        <v>0</v>
      </c>
      <c r="K42" s="60">
        <f t="shared" si="77"/>
        <v>0</v>
      </c>
      <c r="L42" s="60">
        <f t="shared" si="77"/>
        <v>0</v>
      </c>
      <c r="M42" s="60">
        <f t="shared" si="77"/>
        <v>0</v>
      </c>
      <c r="N42" s="60">
        <f t="shared" si="77"/>
        <v>0</v>
      </c>
      <c r="O42" s="60">
        <f t="shared" si="77"/>
        <v>0</v>
      </c>
      <c r="P42" s="60">
        <f t="shared" si="77"/>
        <v>0</v>
      </c>
      <c r="Q42" s="60">
        <f t="shared" si="77"/>
        <v>0</v>
      </c>
      <c r="R42" s="60">
        <f t="shared" si="77"/>
        <v>0</v>
      </c>
      <c r="S42" s="60">
        <f t="shared" si="77"/>
        <v>0</v>
      </c>
      <c r="T42" s="60">
        <f t="shared" si="77"/>
        <v>0</v>
      </c>
      <c r="U42" s="60">
        <f t="shared" si="77"/>
        <v>0</v>
      </c>
      <c r="V42" s="60">
        <f t="shared" si="77"/>
        <v>0</v>
      </c>
      <c r="W42" s="60">
        <f t="shared" si="77"/>
        <v>0</v>
      </c>
      <c r="X42" s="60">
        <f t="shared" si="77"/>
        <v>0</v>
      </c>
      <c r="Y42" s="60">
        <f>Y32+Y33+Y36+Y37-Y41</f>
        <v>1</v>
      </c>
      <c r="Z42" s="60">
        <f>Z32+Z33+Z36+Z37-Z41</f>
        <v>1</v>
      </c>
      <c r="AA42" s="60">
        <f>AA32+AA33+AA36+AA37-AA41</f>
        <v>1</v>
      </c>
      <c r="AB42" s="60">
        <f>AB32+AB33+AB36+AB37-AB41</f>
        <v>2</v>
      </c>
      <c r="AC42" s="60">
        <f>AC32+AC33+AC36+AC37-AC41</f>
        <v>2</v>
      </c>
      <c r="AD42" s="60">
        <f t="shared" ref="AD42:AE42" si="78">AD32+AD33+AD36+AD37-AD41</f>
        <v>2</v>
      </c>
      <c r="AE42" s="60">
        <f t="shared" si="78"/>
        <v>2</v>
      </c>
      <c r="AF42" s="60"/>
      <c r="AG42" s="60"/>
      <c r="AH42" s="2"/>
      <c r="AI42" s="2"/>
      <c r="AJ42" s="2"/>
      <c r="AK42" s="2"/>
      <c r="AL42" s="60">
        <f t="shared" ref="AL42:BA42" si="79">AL32+AL33+AL36+AL37-AL41</f>
        <v>0</v>
      </c>
      <c r="AM42" s="60">
        <f t="shared" si="79"/>
        <v>0</v>
      </c>
      <c r="AN42" s="60">
        <f t="shared" si="79"/>
        <v>0</v>
      </c>
      <c r="AO42" s="60">
        <f t="shared" si="79"/>
        <v>0</v>
      </c>
      <c r="AP42" s="60">
        <f t="shared" si="79"/>
        <v>0</v>
      </c>
      <c r="AQ42" s="60">
        <f t="shared" si="79"/>
        <v>0</v>
      </c>
      <c r="AR42" s="60">
        <f t="shared" si="79"/>
        <v>0</v>
      </c>
      <c r="AS42" s="60">
        <f t="shared" si="79"/>
        <v>0</v>
      </c>
      <c r="AT42" s="60">
        <f t="shared" si="79"/>
        <v>0</v>
      </c>
      <c r="AU42" s="60">
        <f t="shared" si="79"/>
        <v>0</v>
      </c>
      <c r="AV42" s="60">
        <f t="shared" si="79"/>
        <v>0</v>
      </c>
      <c r="AW42" s="60">
        <f t="shared" si="79"/>
        <v>0</v>
      </c>
      <c r="AX42" s="60">
        <f t="shared" si="79"/>
        <v>0</v>
      </c>
      <c r="AY42" s="60">
        <f t="shared" si="79"/>
        <v>0</v>
      </c>
      <c r="AZ42" s="60">
        <f t="shared" si="79"/>
        <v>1</v>
      </c>
      <c r="BA42" s="60">
        <f t="shared" si="79"/>
        <v>2</v>
      </c>
      <c r="BB42" s="60">
        <f>BB32+BB33+BB36+BB37-BB41</f>
        <v>2</v>
      </c>
      <c r="BC42" s="60">
        <f>BC32+BC33+BC36+BC37-BC41</f>
        <v>2</v>
      </c>
      <c r="BD42" s="60">
        <f>BD32+BD33+BD36+BD37-BD41</f>
        <v>2</v>
      </c>
      <c r="BE42" s="60">
        <f>BE32+BE33+BE36+BE37-BE41</f>
        <v>2</v>
      </c>
    </row>
    <row r="43" spans="1:190" x14ac:dyDescent="0.2">
      <c r="A43" s="180"/>
      <c r="G43" s="29"/>
      <c r="H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
      <c r="AI43" s="2"/>
      <c r="AJ43" s="2"/>
      <c r="AK43" s="2"/>
      <c r="AL43" s="2"/>
      <c r="AM43" s="2"/>
      <c r="AN43" s="2"/>
      <c r="AO43" s="2"/>
      <c r="AP43" s="2"/>
      <c r="AQ43" s="2"/>
    </row>
    <row r="44" spans="1:190" x14ac:dyDescent="0.2">
      <c r="A44" s="180"/>
      <c r="E44" s="9" t="s">
        <v>35</v>
      </c>
      <c r="G44" s="29"/>
      <c r="H44" s="29"/>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row>
    <row r="45" spans="1:190" x14ac:dyDescent="0.2">
      <c r="A45" s="180"/>
      <c r="E45" s="4" t="s">
        <v>36</v>
      </c>
      <c r="G45" s="29"/>
      <c r="H45" s="29"/>
      <c r="J45" s="2">
        <f>J41</f>
        <v>6649701.2598625794</v>
      </c>
      <c r="K45" s="2">
        <f>K41</f>
        <v>7578244.7069386831</v>
      </c>
      <c r="L45" s="2">
        <f>L41</f>
        <v>9402413.2992142476</v>
      </c>
      <c r="M45" s="2">
        <f>M41</f>
        <v>11641506.778246813</v>
      </c>
      <c r="N45" s="2">
        <f>N41</f>
        <v>13430027.303239597</v>
      </c>
      <c r="O45" s="2">
        <f t="shared" ref="O45:T45" si="80">O41</f>
        <v>15437276.93025534</v>
      </c>
      <c r="P45" s="2">
        <f t="shared" si="80"/>
        <v>17619301.400625698</v>
      </c>
      <c r="Q45" s="2">
        <f t="shared" si="80"/>
        <v>21037612.453561805</v>
      </c>
      <c r="R45" s="2">
        <f t="shared" si="80"/>
        <v>24865269.967462901</v>
      </c>
      <c r="S45" s="2">
        <f t="shared" si="80"/>
        <v>29449788.089959126</v>
      </c>
      <c r="T45" s="2">
        <f t="shared" si="80"/>
        <v>35049426.883532345</v>
      </c>
      <c r="U45" s="2">
        <f t="shared" ref="U45:AA45" si="81">U41</f>
        <v>40500083.318399228</v>
      </c>
      <c r="V45" s="2">
        <f t="shared" si="81"/>
        <v>47741400.285737269</v>
      </c>
      <c r="W45" s="2">
        <f t="shared" si="81"/>
        <v>56116677.660727188</v>
      </c>
      <c r="X45" s="2">
        <f t="shared" si="81"/>
        <v>65173962.939039692</v>
      </c>
      <c r="Y45" s="2">
        <f t="shared" si="81"/>
        <v>74153896.288388833</v>
      </c>
      <c r="Z45" s="2">
        <f t="shared" si="81"/>
        <v>83097646.759224862</v>
      </c>
      <c r="AA45" s="2">
        <f t="shared" si="81"/>
        <v>93050561.207804471</v>
      </c>
      <c r="AB45" s="2">
        <f>AB41</f>
        <v>104755634.2873504</v>
      </c>
      <c r="AC45" s="2">
        <f>AC41</f>
        <v>115613816.34495641</v>
      </c>
      <c r="AD45" s="2">
        <f t="shared" ref="AD45:AE45" si="82">AD41</f>
        <v>131956992.71500336</v>
      </c>
      <c r="AE45" s="2">
        <f t="shared" si="82"/>
        <v>150398564.06052533</v>
      </c>
      <c r="AF45" s="2"/>
      <c r="AG45" s="2"/>
      <c r="AH45" s="2"/>
      <c r="AI45" s="2"/>
      <c r="AJ45" s="2"/>
      <c r="AK45" s="2"/>
      <c r="AL45" s="2">
        <f t="shared" ref="AL45:AV45" si="83">AL41</f>
        <v>6214183.0389709361</v>
      </c>
      <c r="AM45" s="2">
        <f t="shared" si="83"/>
        <v>7101663.8458013888</v>
      </c>
      <c r="AN45" s="2">
        <f t="shared" si="83"/>
        <v>8061367.2571239742</v>
      </c>
      <c r="AO45" s="2">
        <f t="shared" si="83"/>
        <v>10834707.943198979</v>
      </c>
      <c r="AP45" s="2">
        <f t="shared" si="83"/>
        <v>12633025.053109776</v>
      </c>
      <c r="AQ45" s="2">
        <f t="shared" si="83"/>
        <v>14477144.576461773</v>
      </c>
      <c r="AR45" s="2">
        <f t="shared" si="83"/>
        <v>16658268.267398996</v>
      </c>
      <c r="AS45" s="2">
        <f t="shared" si="83"/>
        <v>18768530.802760117</v>
      </c>
      <c r="AT45" s="2">
        <f t="shared" si="83"/>
        <v>23516432.201457161</v>
      </c>
      <c r="AU45" s="2">
        <f t="shared" si="83"/>
        <v>26587895.735249255</v>
      </c>
      <c r="AV45" s="2">
        <f t="shared" si="83"/>
        <v>32574905.712637361</v>
      </c>
      <c r="AW45" s="60">
        <f t="shared" ref="AW45:BE45" si="84">AW41</f>
        <v>37600478.653736539</v>
      </c>
      <c r="AX45" s="2">
        <f t="shared" si="84"/>
        <v>43272417.237903297</v>
      </c>
      <c r="AY45" s="2">
        <f t="shared" si="84"/>
        <v>52154598.863837264</v>
      </c>
      <c r="AZ45" s="2">
        <f t="shared" si="84"/>
        <v>60813191.501730829</v>
      </c>
      <c r="BA45" s="2">
        <f t="shared" si="84"/>
        <v>70196631.232040808</v>
      </c>
      <c r="BB45" s="2">
        <f t="shared" si="84"/>
        <v>77301145.08947438</v>
      </c>
      <c r="BC45" s="2">
        <f t="shared" si="84"/>
        <v>87631260.45717749</v>
      </c>
      <c r="BD45" s="2">
        <f t="shared" si="84"/>
        <v>98545333.398730025</v>
      </c>
      <c r="BE45" s="2">
        <f t="shared" si="84"/>
        <v>110844660.86096404</v>
      </c>
    </row>
    <row r="46" spans="1:190" x14ac:dyDescent="0.2">
      <c r="A46" s="180"/>
      <c r="E46" s="4" t="s">
        <v>48</v>
      </c>
      <c r="G46" s="29"/>
      <c r="H46" s="29"/>
      <c r="J46" s="2">
        <v>0</v>
      </c>
      <c r="K46" s="2">
        <v>0</v>
      </c>
      <c r="L46" s="2">
        <v>0</v>
      </c>
      <c r="M46" s="2">
        <v>0</v>
      </c>
      <c r="N46" s="2">
        <v>0</v>
      </c>
      <c r="O46" s="2">
        <v>0</v>
      </c>
      <c r="P46" s="2">
        <v>0</v>
      </c>
      <c r="Q46" s="2">
        <v>0</v>
      </c>
      <c r="R46" s="2">
        <v>0</v>
      </c>
      <c r="S46" s="2">
        <v>0</v>
      </c>
      <c r="T46" s="2">
        <v>0</v>
      </c>
      <c r="U46" s="2">
        <v>0</v>
      </c>
      <c r="V46" s="2">
        <v>0</v>
      </c>
      <c r="W46" s="2">
        <v>0</v>
      </c>
      <c r="X46" s="2"/>
      <c r="Y46" s="2"/>
      <c r="Z46" s="2"/>
      <c r="AA46" s="2"/>
      <c r="AB46" s="2"/>
      <c r="AC46" s="2"/>
      <c r="AD46" s="2"/>
      <c r="AE46" s="2"/>
      <c r="AF46" s="2"/>
      <c r="AG46" s="2"/>
      <c r="AH46" s="2"/>
      <c r="AI46" s="2"/>
      <c r="AJ46" s="2"/>
      <c r="AK46" s="2"/>
      <c r="AL46" s="2">
        <v>0</v>
      </c>
      <c r="AM46" s="2">
        <v>0</v>
      </c>
      <c r="AN46" s="2">
        <v>0</v>
      </c>
      <c r="AO46" s="2">
        <v>0</v>
      </c>
      <c r="AP46" s="2">
        <v>0</v>
      </c>
      <c r="AQ46" s="2">
        <v>0</v>
      </c>
      <c r="AR46" s="2">
        <v>0</v>
      </c>
      <c r="AS46" s="2">
        <v>0</v>
      </c>
      <c r="AT46" s="2">
        <v>0</v>
      </c>
      <c r="AU46" s="2">
        <v>0</v>
      </c>
      <c r="AV46" s="2">
        <v>0</v>
      </c>
      <c r="AW46" s="60">
        <v>0</v>
      </c>
      <c r="AX46" s="2">
        <v>0</v>
      </c>
      <c r="AY46" s="2">
        <v>0</v>
      </c>
      <c r="AZ46" s="2">
        <v>0</v>
      </c>
      <c r="BA46" s="2">
        <v>0</v>
      </c>
      <c r="BB46" s="2">
        <v>0</v>
      </c>
      <c r="BC46" s="2">
        <v>0</v>
      </c>
      <c r="BD46" s="2">
        <v>0</v>
      </c>
      <c r="BE46" s="2">
        <v>0</v>
      </c>
    </row>
    <row r="47" spans="1:190" x14ac:dyDescent="0.2">
      <c r="A47" s="180"/>
      <c r="E47" s="4" t="s">
        <v>49</v>
      </c>
      <c r="G47" s="29"/>
      <c r="H47" s="29"/>
      <c r="J47" s="2">
        <v>0</v>
      </c>
      <c r="K47" s="2">
        <v>0</v>
      </c>
      <c r="L47" s="2">
        <v>0</v>
      </c>
      <c r="M47" s="2">
        <v>0</v>
      </c>
      <c r="N47" s="2">
        <v>0</v>
      </c>
      <c r="O47" s="2">
        <v>0</v>
      </c>
      <c r="P47" s="2">
        <v>0</v>
      </c>
      <c r="Q47" s="2">
        <v>0</v>
      </c>
      <c r="R47" s="2">
        <v>0</v>
      </c>
      <c r="S47" s="2">
        <v>0</v>
      </c>
      <c r="T47" s="2">
        <v>0</v>
      </c>
      <c r="U47" s="2">
        <v>0</v>
      </c>
      <c r="V47" s="2">
        <v>0</v>
      </c>
      <c r="W47" s="2">
        <v>0</v>
      </c>
      <c r="X47" s="2"/>
      <c r="Y47" s="2"/>
      <c r="Z47" s="2"/>
      <c r="AA47" s="2"/>
      <c r="AB47" s="2"/>
      <c r="AC47" s="2"/>
      <c r="AD47" s="2"/>
      <c r="AE47" s="2"/>
      <c r="AF47" s="2"/>
      <c r="AG47" s="2"/>
      <c r="AH47" s="2"/>
      <c r="AI47" s="2"/>
      <c r="AJ47" s="2"/>
      <c r="AK47" s="2"/>
      <c r="AL47" s="2">
        <v>0</v>
      </c>
      <c r="AM47" s="2">
        <v>0</v>
      </c>
      <c r="AN47" s="2">
        <v>0</v>
      </c>
      <c r="AO47" s="2">
        <v>0</v>
      </c>
      <c r="AP47" s="2">
        <v>0</v>
      </c>
      <c r="AQ47" s="2">
        <v>0</v>
      </c>
      <c r="AR47" s="2">
        <v>0</v>
      </c>
      <c r="AS47" s="2">
        <v>0</v>
      </c>
      <c r="AT47" s="2">
        <v>0</v>
      </c>
      <c r="AU47" s="2">
        <v>0</v>
      </c>
      <c r="AV47" s="2">
        <v>0</v>
      </c>
      <c r="AW47" s="60">
        <v>0</v>
      </c>
      <c r="AX47" s="2">
        <v>0</v>
      </c>
      <c r="AY47" s="2">
        <v>0</v>
      </c>
      <c r="AZ47" s="2">
        <v>0</v>
      </c>
      <c r="BA47" s="2">
        <v>0</v>
      </c>
      <c r="BB47" s="2">
        <v>0</v>
      </c>
      <c r="BC47" s="2">
        <v>0</v>
      </c>
      <c r="BD47" s="2">
        <v>0</v>
      </c>
      <c r="BE47" s="2">
        <v>0</v>
      </c>
    </row>
    <row r="48" spans="1:190" x14ac:dyDescent="0.2">
      <c r="A48" s="180" t="s">
        <v>153</v>
      </c>
      <c r="E48" s="180" t="s">
        <v>50</v>
      </c>
      <c r="G48" s="29"/>
      <c r="H48" s="29"/>
      <c r="J48" s="181">
        <f>[1]NA!J48</f>
        <v>108564.63407926296</v>
      </c>
      <c r="K48" s="181">
        <f>[1]NA!K48</f>
        <v>34368.396118477191</v>
      </c>
      <c r="L48" s="181">
        <f>[1]NA!L48</f>
        <v>211171.25054323932</v>
      </c>
      <c r="M48" s="181">
        <f>[1]NA!M48</f>
        <v>193881.72861403675</v>
      </c>
      <c r="N48" s="181">
        <f>[1]NA!N48</f>
        <v>371902.25301921013</v>
      </c>
      <c r="O48" s="181">
        <f>[1]NA!O48</f>
        <v>438513.77119911846</v>
      </c>
      <c r="P48" s="181">
        <f>[1]NA!P48</f>
        <v>642173.672439549</v>
      </c>
      <c r="Q48" s="181">
        <f>[1]NA!Q48</f>
        <v>615816.88768482255</v>
      </c>
      <c r="R48" s="181">
        <f>[1]NA!R48</f>
        <v>667159.73083527386</v>
      </c>
      <c r="S48" s="181">
        <f>[1]NA!S48</f>
        <v>1090825.3737662726</v>
      </c>
      <c r="T48" s="181">
        <f>[1]NA!T48</f>
        <v>1167966.4541437719</v>
      </c>
      <c r="U48" s="181">
        <f>[1]NA!U48</f>
        <v>1163172.2653222342</v>
      </c>
      <c r="V48" s="181">
        <f>[1]NA!V48</f>
        <v>1457522.413583138</v>
      </c>
      <c r="W48" s="181">
        <f>[1]NA!W48</f>
        <v>1489200.3179880371</v>
      </c>
      <c r="X48" s="181">
        <f>[1]NA!X48</f>
        <v>1227045.4282502008</v>
      </c>
      <c r="Y48" s="181">
        <f>[1]NA!Y48</f>
        <v>1203271.9850172629</v>
      </c>
      <c r="Z48" s="181">
        <f>[1]NA!Z48</f>
        <v>1010665.0301633968</v>
      </c>
      <c r="AA48" s="181">
        <f>[1]NA!AA48</f>
        <v>1118502.5221572591</v>
      </c>
      <c r="AB48" s="181">
        <f>[1]NA!AB48</f>
        <v>1288013.8179797474</v>
      </c>
      <c r="AC48" s="181">
        <f>[1]NA!AC48</f>
        <v>1427656.9491401017</v>
      </c>
      <c r="AD48" s="181">
        <f>[1]NA!AD48</f>
        <v>1483763.0989612942</v>
      </c>
      <c r="AE48" s="181">
        <f>[1]NA!AE48</f>
        <v>1529852.8471639666</v>
      </c>
      <c r="AF48" s="181"/>
      <c r="AG48" s="182"/>
      <c r="AH48" s="328"/>
      <c r="AI48" s="328"/>
      <c r="AJ48" s="328"/>
      <c r="AK48" s="328"/>
      <c r="AL48" s="181">
        <f>[1]NA!AL48</f>
        <v>107270.85409189999</v>
      </c>
      <c r="AM48" s="181">
        <f>[1]NA!AM48</f>
        <v>74629.472567069315</v>
      </c>
      <c r="AN48" s="181">
        <f>[1]NA!AN48</f>
        <v>152168.90223631213</v>
      </c>
      <c r="AO48" s="181">
        <f>[1]NA!AO48</f>
        <v>173412.91524443484</v>
      </c>
      <c r="AP48" s="181">
        <f>[1]NA!AP48</f>
        <v>285318.89944166667</v>
      </c>
      <c r="AQ48" s="181">
        <f>[1]NA!AQ48</f>
        <v>533547.74926153047</v>
      </c>
      <c r="AR48" s="181">
        <f>[1]NA!AR48</f>
        <v>634725.36698635423</v>
      </c>
      <c r="AS48" s="181">
        <f>[1]NA!AS48</f>
        <v>564303.39396952256</v>
      </c>
      <c r="AT48" s="181">
        <f>[1]NA!AT48</f>
        <v>751067.37707924144</v>
      </c>
      <c r="AU48" s="181">
        <f>[1]NA!AU48</f>
        <v>919723.93397888518</v>
      </c>
      <c r="AV48" s="181">
        <f>[1]NA!AV48</f>
        <v>1007107.5806313555</v>
      </c>
      <c r="AW48" s="181">
        <f>[1]NA!AW48</f>
        <v>1165430.9821265705</v>
      </c>
      <c r="AX48" s="181">
        <f>[1]NA!AX48</f>
        <v>1491512.3695184826</v>
      </c>
      <c r="AY48" s="181">
        <f>[1]NA!AY48</f>
        <v>1434156.871598416</v>
      </c>
      <c r="AZ48" s="181">
        <f>[1]NA!AZ48</f>
        <v>1269196.8755131613</v>
      </c>
      <c r="BA48" s="181">
        <f>[1]NA!BA48</f>
        <v>1241655.5161049864</v>
      </c>
      <c r="BB48" s="181">
        <f>[1]NA!BB48</f>
        <v>789703.5277377594</v>
      </c>
      <c r="BC48" s="181">
        <f>[1]NA!BC48</f>
        <v>1093946.7560661449</v>
      </c>
      <c r="BD48" s="181">
        <f>[1]NA!BD48</f>
        <v>1205639.9671787533</v>
      </c>
      <c r="BE48" s="181">
        <f>[1]NA!BE48</f>
        <v>1356717.2973515512</v>
      </c>
      <c r="BF48" s="181">
        <f>[1]NA!BF48</f>
        <v>1457256.1493976277</v>
      </c>
      <c r="BG48" s="181">
        <f>[1]NA!BG48</f>
        <v>1504866.2280321838</v>
      </c>
      <c r="BH48" s="181">
        <f>[1]NA!BH48</f>
        <v>1546232.0873925162</v>
      </c>
    </row>
    <row r="49" spans="4:62" x14ac:dyDescent="0.2">
      <c r="E49" s="4" t="s">
        <v>51</v>
      </c>
      <c r="G49" s="29"/>
      <c r="H49" s="29"/>
      <c r="J49" s="2">
        <f t="shared" ref="J49:X49" si="85">J48+J45</f>
        <v>6758265.893941842</v>
      </c>
      <c r="K49" s="2">
        <f t="shared" si="85"/>
        <v>7612613.10305716</v>
      </c>
      <c r="L49" s="2">
        <f t="shared" si="85"/>
        <v>9613584.5497574862</v>
      </c>
      <c r="M49" s="2">
        <f t="shared" si="85"/>
        <v>11835388.506860849</v>
      </c>
      <c r="N49" s="2">
        <f t="shared" si="85"/>
        <v>13801929.556258807</v>
      </c>
      <c r="O49" s="2">
        <f t="shared" si="85"/>
        <v>15875790.701454459</v>
      </c>
      <c r="P49" s="2">
        <f t="shared" si="85"/>
        <v>18261475.073065247</v>
      </c>
      <c r="Q49" s="2">
        <f t="shared" si="85"/>
        <v>21653429.341246627</v>
      </c>
      <c r="R49" s="2">
        <f t="shared" si="85"/>
        <v>25532429.698298175</v>
      </c>
      <c r="S49" s="2">
        <f t="shared" si="85"/>
        <v>30540613.463725399</v>
      </c>
      <c r="T49" s="2">
        <f t="shared" si="85"/>
        <v>36217393.337676115</v>
      </c>
      <c r="U49" s="2">
        <f t="shared" si="85"/>
        <v>41663255.583721459</v>
      </c>
      <c r="V49" s="2">
        <f t="shared" si="85"/>
        <v>49198922.699320406</v>
      </c>
      <c r="W49" s="2">
        <f t="shared" si="85"/>
        <v>57605877.978715226</v>
      </c>
      <c r="X49" s="2">
        <f t="shared" si="85"/>
        <v>66401008.367289893</v>
      </c>
      <c r="Y49" s="2">
        <f>Y48+Y45</f>
        <v>75357168.273406103</v>
      </c>
      <c r="Z49" s="2">
        <f>Z48+Z45</f>
        <v>84108311.789388254</v>
      </c>
      <c r="AA49" s="2">
        <f>AA48+AA45</f>
        <v>94169063.729961723</v>
      </c>
      <c r="AB49" s="2">
        <f>AB48+AB45</f>
        <v>106043648.10533015</v>
      </c>
      <c r="AC49" s="2">
        <f>AC48+AC45</f>
        <v>117041473.29409651</v>
      </c>
      <c r="AD49" s="2">
        <f t="shared" ref="AD49:AE49" si="86">AD48+AD45</f>
        <v>133440755.81396465</v>
      </c>
      <c r="AE49" s="2">
        <f t="shared" si="86"/>
        <v>151928416.9076893</v>
      </c>
      <c r="AF49" s="2"/>
      <c r="AG49" s="2"/>
      <c r="AH49" s="2"/>
      <c r="AI49" s="2"/>
      <c r="AJ49" s="2"/>
      <c r="AK49" s="2"/>
      <c r="AL49" s="2">
        <f t="shared" ref="AL49:AQ49" si="87">AL48+AL45</f>
        <v>6321453.8930628365</v>
      </c>
      <c r="AM49" s="2">
        <f t="shared" si="87"/>
        <v>7176293.3183684582</v>
      </c>
      <c r="AN49" s="2">
        <f t="shared" si="87"/>
        <v>8213536.1593602858</v>
      </c>
      <c r="AO49" s="2">
        <f t="shared" si="87"/>
        <v>11008120.858443413</v>
      </c>
      <c r="AP49" s="2">
        <f t="shared" si="87"/>
        <v>12918343.952551443</v>
      </c>
      <c r="AQ49" s="2">
        <f t="shared" si="87"/>
        <v>15010692.325723303</v>
      </c>
      <c r="AR49" s="2">
        <f t="shared" ref="AR49:BA49" si="88">AR48+AR45</f>
        <v>17292993.634385351</v>
      </c>
      <c r="AS49" s="2">
        <f t="shared" si="88"/>
        <v>19332834.196729638</v>
      </c>
      <c r="AT49" s="2">
        <f t="shared" si="88"/>
        <v>24267499.578536402</v>
      </c>
      <c r="AU49" s="2">
        <f t="shared" si="88"/>
        <v>27507619.66922814</v>
      </c>
      <c r="AV49" s="2">
        <f t="shared" si="88"/>
        <v>33582013.293268718</v>
      </c>
      <c r="AW49" s="60">
        <f t="shared" si="88"/>
        <v>38765909.63586311</v>
      </c>
      <c r="AX49" s="2">
        <f t="shared" si="88"/>
        <v>44763929.607421778</v>
      </c>
      <c r="AY49" s="2">
        <f t="shared" si="88"/>
        <v>53588755.73543568</v>
      </c>
      <c r="AZ49" s="2">
        <f t="shared" si="88"/>
        <v>62082388.377243988</v>
      </c>
      <c r="BA49" s="2">
        <f t="shared" si="88"/>
        <v>71438286.748145789</v>
      </c>
      <c r="BB49" s="2">
        <f>BB48+BB45</f>
        <v>78090848.617212147</v>
      </c>
      <c r="BC49" s="2">
        <f>BC48+BC45</f>
        <v>88725207.213243634</v>
      </c>
      <c r="BD49" s="2">
        <f>BD48+BD45</f>
        <v>99750973.365908772</v>
      </c>
      <c r="BE49" s="2">
        <f>BE48+BE45</f>
        <v>112201378.1583156</v>
      </c>
    </row>
    <row r="50" spans="4:62" x14ac:dyDescent="0.2">
      <c r="E50" s="4" t="s">
        <v>37</v>
      </c>
      <c r="G50" s="29"/>
      <c r="H50" s="29"/>
      <c r="J50" s="2">
        <v>0</v>
      </c>
      <c r="K50" s="2">
        <v>0</v>
      </c>
      <c r="L50" s="2">
        <v>0</v>
      </c>
      <c r="M50" s="2">
        <v>0</v>
      </c>
      <c r="N50" s="2">
        <v>0</v>
      </c>
      <c r="O50" s="2">
        <v>0</v>
      </c>
      <c r="P50" s="2">
        <v>0</v>
      </c>
      <c r="Q50" s="2">
        <v>0</v>
      </c>
      <c r="R50" s="2">
        <v>0</v>
      </c>
      <c r="S50" s="2">
        <v>0</v>
      </c>
      <c r="T50" s="2">
        <v>1</v>
      </c>
      <c r="U50" s="2">
        <v>1</v>
      </c>
      <c r="V50" s="2">
        <v>1</v>
      </c>
      <c r="W50" s="2">
        <v>1</v>
      </c>
      <c r="X50" s="2">
        <v>1</v>
      </c>
      <c r="Y50" s="2">
        <v>2</v>
      </c>
      <c r="Z50" s="2">
        <v>2</v>
      </c>
      <c r="AA50" s="2">
        <v>2</v>
      </c>
      <c r="AB50" s="2"/>
      <c r="AC50" s="2"/>
      <c r="AD50" s="2"/>
      <c r="AE50" s="2"/>
      <c r="AF50" s="2"/>
      <c r="AG50" s="2"/>
      <c r="AH50" s="2"/>
      <c r="AI50" s="2"/>
      <c r="AJ50" s="2"/>
      <c r="AK50" s="2"/>
      <c r="AL50" s="2">
        <v>0</v>
      </c>
      <c r="AM50" s="2">
        <v>0</v>
      </c>
      <c r="AN50" s="2">
        <v>0</v>
      </c>
      <c r="AO50" s="2">
        <v>0</v>
      </c>
      <c r="AP50" s="2">
        <v>0</v>
      </c>
      <c r="AQ50" s="2">
        <v>0</v>
      </c>
      <c r="AR50" s="2">
        <v>0</v>
      </c>
      <c r="AS50" s="2">
        <v>0</v>
      </c>
      <c r="AT50" s="2">
        <v>0</v>
      </c>
      <c r="AU50" s="2">
        <v>0</v>
      </c>
      <c r="AV50" s="2">
        <v>0</v>
      </c>
      <c r="AW50" s="60">
        <v>0</v>
      </c>
      <c r="AX50" s="2">
        <v>0</v>
      </c>
      <c r="AY50" s="2">
        <v>0</v>
      </c>
      <c r="AZ50" s="2">
        <v>1</v>
      </c>
      <c r="BA50" s="2">
        <v>1</v>
      </c>
      <c r="BB50" s="2">
        <v>1</v>
      </c>
      <c r="BC50" s="2">
        <v>1</v>
      </c>
      <c r="BD50" s="2">
        <v>1</v>
      </c>
      <c r="BE50" s="2">
        <v>1</v>
      </c>
    </row>
    <row r="51" spans="4:62" x14ac:dyDescent="0.2">
      <c r="F51" s="2"/>
      <c r="G51" s="29"/>
      <c r="H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S51" s="176"/>
      <c r="AT51" s="176"/>
      <c r="AU51" s="29"/>
      <c r="AV51" s="29"/>
      <c r="AW51" s="39"/>
      <c r="AX51" s="29"/>
      <c r="AY51" s="29"/>
      <c r="AZ51" s="29"/>
      <c r="BA51" s="29"/>
    </row>
    <row r="52" spans="4:62" x14ac:dyDescent="0.2">
      <c r="H52" s="29"/>
      <c r="AQ52" s="2"/>
      <c r="AR52" s="2"/>
      <c r="AS52" s="2"/>
      <c r="AT52" s="2"/>
      <c r="AU52" s="2"/>
      <c r="AV52" s="2"/>
      <c r="AW52" s="60"/>
      <c r="AX52" s="2"/>
      <c r="AY52" s="2"/>
      <c r="AZ52" s="2"/>
      <c r="BA52" s="2"/>
    </row>
    <row r="53" spans="4:62" x14ac:dyDescent="0.2">
      <c r="E53" s="15" t="s">
        <v>130</v>
      </c>
      <c r="F53" s="9"/>
      <c r="G53" s="9"/>
      <c r="H53" s="29"/>
      <c r="J53" s="9"/>
      <c r="K53" s="9"/>
      <c r="L53" s="9"/>
      <c r="M53" s="9"/>
      <c r="N53" s="9"/>
      <c r="O53" s="9"/>
      <c r="P53" s="9"/>
      <c r="Q53" s="9"/>
      <c r="R53" s="9"/>
      <c r="S53" s="9"/>
      <c r="T53" s="9"/>
      <c r="U53" s="9"/>
      <c r="V53" s="9"/>
      <c r="W53" s="9"/>
      <c r="X53" s="9"/>
      <c r="Y53" s="9"/>
      <c r="Z53" s="9"/>
      <c r="AA53" s="9"/>
      <c r="AB53" s="9"/>
      <c r="AC53" s="9"/>
      <c r="AD53" s="9"/>
      <c r="AE53" s="9"/>
      <c r="AF53" s="9"/>
      <c r="AG53" s="9"/>
      <c r="AH53" s="2"/>
      <c r="AI53" s="2"/>
      <c r="AJ53" s="2"/>
      <c r="AK53" s="2"/>
      <c r="AL53" s="2"/>
      <c r="AM53" s="2"/>
      <c r="AN53" s="2"/>
      <c r="AO53" s="2"/>
      <c r="AP53" s="2"/>
      <c r="AQ53" s="2"/>
      <c r="AR53" s="2"/>
      <c r="AS53" s="2"/>
      <c r="AT53" s="2"/>
      <c r="AU53" s="2"/>
      <c r="AV53" s="60"/>
      <c r="AW53" s="60"/>
      <c r="AX53" s="2"/>
      <c r="AY53" s="2"/>
      <c r="AZ53" s="2"/>
      <c r="BA53" s="2"/>
    </row>
    <row r="54" spans="4:62" x14ac:dyDescent="0.2">
      <c r="E54" s="15" t="s">
        <v>100</v>
      </c>
      <c r="H54" s="29"/>
      <c r="AH54" s="60"/>
      <c r="AI54" s="60"/>
      <c r="AJ54" s="2"/>
      <c r="AK54" s="2"/>
      <c r="AL54" s="60"/>
      <c r="AM54" s="60"/>
      <c r="AN54" s="60"/>
      <c r="AO54" s="60"/>
      <c r="AP54" s="60"/>
      <c r="AQ54" s="60"/>
      <c r="AR54" s="60"/>
      <c r="AS54" s="232"/>
      <c r="AT54" s="232"/>
      <c r="AU54" s="232"/>
      <c r="AV54" s="60"/>
      <c r="AW54" s="232"/>
      <c r="AX54" s="232"/>
      <c r="AY54" s="232"/>
      <c r="AZ54" s="232"/>
      <c r="BA54" s="232"/>
    </row>
    <row r="55" spans="4:62" x14ac:dyDescent="0.2">
      <c r="E55" s="620" t="s">
        <v>613</v>
      </c>
      <c r="H55" s="29"/>
      <c r="J55" s="60">
        <f t="shared" ref="J55:Y58" si="89">AVERAGE(AL55:AM55)</f>
        <v>2042222</v>
      </c>
      <c r="K55" s="60">
        <f t="shared" si="89"/>
        <v>2366587</v>
      </c>
      <c r="L55" s="60">
        <f t="shared" si="89"/>
        <v>2920583.0890925638</v>
      </c>
      <c r="M55" s="60">
        <f t="shared" si="89"/>
        <v>3496485.0176378572</v>
      </c>
      <c r="N55" s="60">
        <f t="shared" si="89"/>
        <v>3984759.9512211112</v>
      </c>
      <c r="O55" s="60">
        <f t="shared" si="89"/>
        <v>4645112.9160796609</v>
      </c>
      <c r="P55" s="60">
        <f t="shared" si="89"/>
        <v>5247124.5199183095</v>
      </c>
      <c r="Q55" s="60">
        <f t="shared" si="89"/>
        <v>6117385.5484510222</v>
      </c>
      <c r="R55" s="60">
        <f t="shared" si="89"/>
        <v>6973492.7452402124</v>
      </c>
      <c r="S55" s="60">
        <f t="shared" si="89"/>
        <v>8307040.7600561399</v>
      </c>
      <c r="T55" s="60">
        <f t="shared" si="89"/>
        <v>10420221.110441202</v>
      </c>
      <c r="U55" s="60">
        <f t="shared" si="89"/>
        <v>12258920.139003485</v>
      </c>
      <c r="V55" s="60">
        <f t="shared" si="89"/>
        <v>14299177.6826711</v>
      </c>
      <c r="W55" s="60">
        <f t="shared" si="89"/>
        <v>17291891.96381858</v>
      </c>
      <c r="X55" s="60">
        <f t="shared" si="89"/>
        <v>20612382.804615617</v>
      </c>
      <c r="Y55" s="60">
        <f t="shared" si="89"/>
        <v>22549219.371824365</v>
      </c>
      <c r="Z55" s="60">
        <f t="shared" ref="Z55:Z71" si="90">AVERAGE(BB55:BC55)</f>
        <v>21431272.54015106</v>
      </c>
      <c r="AA55" s="60">
        <f t="shared" ref="AA55:AC71" si="91">AVERAGE(BC55:BD55)</f>
        <v>20665431.924430922</v>
      </c>
      <c r="AB55" s="60">
        <f t="shared" si="91"/>
        <v>22399640.028908536</v>
      </c>
      <c r="AC55" s="60">
        <f t="shared" si="91"/>
        <v>23908925.951352529</v>
      </c>
      <c r="AD55" s="60">
        <f t="shared" ref="AD55:AD80" si="92">AVERAGE(BF55:BG55)</f>
        <v>26198673.929100722</v>
      </c>
      <c r="AE55" s="60">
        <f t="shared" ref="AE55:AE79" si="93">AVERAGE(BG55:BH55)</f>
        <v>30119090.506746899</v>
      </c>
      <c r="AF55" s="60"/>
      <c r="AG55" s="60"/>
      <c r="AH55" s="60"/>
      <c r="AI55" s="60"/>
      <c r="AJ55" s="2"/>
      <c r="AK55" s="2"/>
      <c r="AL55" s="60">
        <v>1903867</v>
      </c>
      <c r="AM55" s="60">
        <v>2180577</v>
      </c>
      <c r="AN55" s="60">
        <f>SUM(AN56:AN59)</f>
        <v>2552597</v>
      </c>
      <c r="AO55" s="60">
        <f t="shared" ref="AO55:AQ55" si="94">SUM(AO56:AO59)</f>
        <v>3288569.1781851272</v>
      </c>
      <c r="AP55" s="60">
        <f t="shared" si="94"/>
        <v>3704400.8570905868</v>
      </c>
      <c r="AQ55" s="60">
        <f t="shared" si="94"/>
        <v>4265119.0453516357</v>
      </c>
      <c r="AR55" s="60">
        <f t="shared" ref="AR55" si="95">SUM(AR56:AR59)</f>
        <v>5025106.7868076861</v>
      </c>
      <c r="AS55" s="60">
        <f t="shared" ref="AS55" si="96">SUM(AS56:AS59)</f>
        <v>5469142.2530289339</v>
      </c>
      <c r="AT55" s="60">
        <f t="shared" ref="AT55" si="97">SUM(AT56:AT59)</f>
        <v>6765628.8438731106</v>
      </c>
      <c r="AU55" s="60">
        <f t="shared" ref="AU55" si="98">SUM(AU56:AU59)</f>
        <v>7181356.6466073142</v>
      </c>
      <c r="AV55" s="60">
        <f t="shared" ref="AV55" si="99">SUM(AV56:AV59)</f>
        <v>9432724.8735049646</v>
      </c>
      <c r="AW55" s="60">
        <f t="shared" ref="AW55" si="100">SUM(AW56:AW59)</f>
        <v>11407717.34737744</v>
      </c>
      <c r="AX55" s="60">
        <f t="shared" ref="AX55" si="101">SUM(AX56:AX59)</f>
        <v>13110122.930629531</v>
      </c>
      <c r="AY55" s="60">
        <f t="shared" ref="AY55" si="102">SUM(AY56:AY59)</f>
        <v>15488232.434712667</v>
      </c>
      <c r="AZ55" s="60">
        <f t="shared" ref="AZ55" si="103">SUM(AZ56:AZ59)</f>
        <v>19095551.492924497</v>
      </c>
      <c r="BA55" s="60">
        <f t="shared" ref="BA55" si="104">SUM(BA56:BA59)</f>
        <v>22129214.116306737</v>
      </c>
      <c r="BB55" s="60">
        <f t="shared" ref="BB55" si="105">SUM(BB56:BB59)</f>
        <v>22969224.627341993</v>
      </c>
      <c r="BC55" s="60">
        <f t="shared" ref="BC55" si="106">SUM(BC56:BC59)</f>
        <v>19893320.452960122</v>
      </c>
      <c r="BD55" s="60">
        <f t="shared" ref="BD55" si="107">SUM(BD56:BD59)</f>
        <v>21437543.395901717</v>
      </c>
      <c r="BE55" s="60">
        <f t="shared" ref="BE55" si="108">SUM(BE56:BE59)</f>
        <v>23361736.661915351</v>
      </c>
      <c r="BF55" s="60">
        <f t="shared" ref="BF55:BH55" si="109">SUM(BF56:BF59)</f>
        <v>24456115.240789711</v>
      </c>
      <c r="BG55" s="60">
        <f t="shared" si="109"/>
        <v>27941232.617411733</v>
      </c>
      <c r="BH55" s="60">
        <f t="shared" si="109"/>
        <v>32296948.396082066</v>
      </c>
    </row>
    <row r="56" spans="4:62" x14ac:dyDescent="0.2">
      <c r="E56" s="191" t="s">
        <v>102</v>
      </c>
      <c r="H56" s="29"/>
      <c r="J56" s="60">
        <f t="shared" si="89"/>
        <v>1536289</v>
      </c>
      <c r="K56" s="60">
        <f t="shared" si="89"/>
        <v>1702495</v>
      </c>
      <c r="L56" s="60">
        <f t="shared" si="89"/>
        <v>1814598.9184305884</v>
      </c>
      <c r="M56" s="60">
        <f t="shared" si="89"/>
        <v>1994688.9901221048</v>
      </c>
      <c r="N56" s="60">
        <f t="shared" si="89"/>
        <v>2326476.7348530572</v>
      </c>
      <c r="O56" s="60">
        <f t="shared" si="89"/>
        <v>2749384.3553243256</v>
      </c>
      <c r="P56" s="60">
        <f t="shared" si="89"/>
        <v>3050130.1206750097</v>
      </c>
      <c r="Q56" s="60">
        <f t="shared" si="89"/>
        <v>3510149.1971901786</v>
      </c>
      <c r="R56" s="60">
        <f t="shared" si="89"/>
        <v>3751261.9944253461</v>
      </c>
      <c r="S56" s="60">
        <f t="shared" si="89"/>
        <v>4308550.2035087692</v>
      </c>
      <c r="T56" s="60">
        <f t="shared" si="89"/>
        <v>5524808.5186245162</v>
      </c>
      <c r="U56" s="60">
        <f t="shared" si="89"/>
        <v>6660538.6326074218</v>
      </c>
      <c r="V56" s="60">
        <f t="shared" si="89"/>
        <v>7985842.0251258276</v>
      </c>
      <c r="W56" s="60">
        <f t="shared" si="89"/>
        <v>9860853.3163738996</v>
      </c>
      <c r="X56" s="60">
        <f t="shared" si="89"/>
        <v>11724512.922995545</v>
      </c>
      <c r="Y56" s="60">
        <f t="shared" si="89"/>
        <v>12632823.050633956</v>
      </c>
      <c r="Z56" s="60">
        <f t="shared" si="90"/>
        <v>11654002.364514332</v>
      </c>
      <c r="AA56" s="60">
        <f t="shared" si="91"/>
        <v>10861135.277341411</v>
      </c>
      <c r="AB56" s="60">
        <f t="shared" si="91"/>
        <v>11753488.523122646</v>
      </c>
      <c r="AC56" s="60">
        <f t="shared" si="91"/>
        <v>12510184.908502314</v>
      </c>
      <c r="AD56" s="60">
        <f t="shared" si="92"/>
        <v>13678064.324101057</v>
      </c>
      <c r="AE56" s="60">
        <f t="shared" si="93"/>
        <v>15709081.510753093</v>
      </c>
      <c r="AF56" s="60"/>
      <c r="AG56" s="60"/>
      <c r="AH56" s="60"/>
      <c r="AI56" s="60"/>
      <c r="AJ56" s="2"/>
      <c r="AK56" s="2"/>
      <c r="AL56" s="3">
        <v>1440539</v>
      </c>
      <c r="AM56" s="3">
        <v>1632039</v>
      </c>
      <c r="AN56" s="60">
        <f>AN199+AN227</f>
        <v>1772951</v>
      </c>
      <c r="AO56" s="60">
        <f t="shared" ref="AO56:AY56" si="110">AO199+AO227</f>
        <v>1856246.8368611769</v>
      </c>
      <c r="AP56" s="60">
        <f t="shared" si="110"/>
        <v>2133131.1433830326</v>
      </c>
      <c r="AQ56" s="60">
        <f t="shared" si="110"/>
        <v>2519822.3263230813</v>
      </c>
      <c r="AR56" s="60">
        <f t="shared" si="110"/>
        <v>2978946.38432557</v>
      </c>
      <c r="AS56" s="60">
        <f t="shared" si="110"/>
        <v>3121313.8570244489</v>
      </c>
      <c r="AT56" s="60">
        <f t="shared" si="110"/>
        <v>3898984.5373559082</v>
      </c>
      <c r="AU56" s="60">
        <f t="shared" si="110"/>
        <v>3603539.4514947836</v>
      </c>
      <c r="AV56" s="60">
        <f t="shared" si="110"/>
        <v>5013560.9555227552</v>
      </c>
      <c r="AW56" s="60">
        <f>AW199+AW227</f>
        <v>6036056.0817262763</v>
      </c>
      <c r="AX56" s="60">
        <f t="shared" si="110"/>
        <v>7285021.1834885674</v>
      </c>
      <c r="AY56" s="60">
        <f t="shared" si="110"/>
        <v>8686662.8667630889</v>
      </c>
      <c r="AZ56" s="60">
        <f>AZ199+AZ227</f>
        <v>11035043.765984708</v>
      </c>
      <c r="BA56" s="60">
        <f>BA199+BA227</f>
        <v>12413982.080006381</v>
      </c>
      <c r="BB56" s="60">
        <f t="shared" ref="BB56:BC59" si="111">BB199+BB227</f>
        <v>12851664.021261528</v>
      </c>
      <c r="BC56" s="60">
        <f t="shared" si="111"/>
        <v>10456340.707767135</v>
      </c>
      <c r="BD56" s="60">
        <f t="shared" ref="BD56:BE59" si="112">BD199+BD227</f>
        <v>11265929.846915688</v>
      </c>
      <c r="BE56" s="60">
        <f>BE199+BE227</f>
        <v>12241047.199329602</v>
      </c>
      <c r="BF56" s="60">
        <f>BF199+BF227</f>
        <v>12779322.617675027</v>
      </c>
      <c r="BG56" s="60">
        <f t="shared" ref="BG56:BH56" si="113">BG199+BG227</f>
        <v>14576806.030527085</v>
      </c>
      <c r="BH56" s="60">
        <f t="shared" si="113"/>
        <v>16841356.990979102</v>
      </c>
    </row>
    <row r="57" spans="4:62" x14ac:dyDescent="0.2">
      <c r="E57" s="191" t="s">
        <v>103</v>
      </c>
      <c r="J57" s="60">
        <f t="shared" si="89"/>
        <v>311535</v>
      </c>
      <c r="K57" s="60">
        <f t="shared" si="89"/>
        <v>379943.5</v>
      </c>
      <c r="L57" s="60">
        <f t="shared" si="89"/>
        <v>669827.83611375082</v>
      </c>
      <c r="M57" s="60">
        <f t="shared" si="89"/>
        <v>967913.93883265252</v>
      </c>
      <c r="N57" s="60">
        <f t="shared" si="89"/>
        <v>1072212.4777640714</v>
      </c>
      <c r="O57" s="60">
        <f t="shared" si="89"/>
        <v>1239412.2254660176</v>
      </c>
      <c r="P57" s="60">
        <f t="shared" si="89"/>
        <v>1469445.7874269914</v>
      </c>
      <c r="Q57" s="60">
        <f t="shared" si="89"/>
        <v>1786744.9445606938</v>
      </c>
      <c r="R57" s="60">
        <f t="shared" si="89"/>
        <v>2246901.4740366992</v>
      </c>
      <c r="S57" s="60">
        <f t="shared" si="89"/>
        <v>2788026.056706619</v>
      </c>
      <c r="T57" s="60">
        <f t="shared" si="89"/>
        <v>3353243.3394914456</v>
      </c>
      <c r="U57" s="60">
        <f t="shared" si="89"/>
        <v>3806321.2481787866</v>
      </c>
      <c r="V57" s="60">
        <f t="shared" si="89"/>
        <v>4270936.6757931793</v>
      </c>
      <c r="W57" s="60">
        <f t="shared" si="89"/>
        <v>4883493.211874241</v>
      </c>
      <c r="X57" s="60">
        <f t="shared" si="89"/>
        <v>5516638.6514590681</v>
      </c>
      <c r="Y57" s="60">
        <f t="shared" si="89"/>
        <v>5841477.4989217389</v>
      </c>
      <c r="Z57" s="60">
        <f t="shared" si="90"/>
        <v>6190463.5823402349</v>
      </c>
      <c r="AA57" s="60">
        <f t="shared" si="91"/>
        <v>6768249.5863933526</v>
      </c>
      <c r="AB57" s="60">
        <f t="shared" si="91"/>
        <v>7318440.1435580999</v>
      </c>
      <c r="AC57" s="60">
        <f t="shared" si="91"/>
        <v>7821418.9364861054</v>
      </c>
      <c r="AD57" s="60">
        <f t="shared" si="92"/>
        <v>8586607.5075259507</v>
      </c>
      <c r="AE57" s="60">
        <f t="shared" si="93"/>
        <v>9893711.0267931018</v>
      </c>
      <c r="AF57" s="60"/>
      <c r="AG57" s="60"/>
      <c r="AH57" s="60"/>
      <c r="AI57" s="60"/>
      <c r="AJ57" s="2"/>
      <c r="AK57" s="2"/>
      <c r="AL57" s="3">
        <v>278532</v>
      </c>
      <c r="AM57" s="3">
        <v>344538</v>
      </c>
      <c r="AN57" s="60">
        <f>AN200+AN228</f>
        <v>415349</v>
      </c>
      <c r="AO57" s="60">
        <f t="shared" ref="AO57:AZ57" si="114">AO200+AO228</f>
        <v>924306.67222750164</v>
      </c>
      <c r="AP57" s="60">
        <f t="shared" si="114"/>
        <v>1011521.2054378033</v>
      </c>
      <c r="AQ57" s="60">
        <f t="shared" si="114"/>
        <v>1132903.7500903397</v>
      </c>
      <c r="AR57" s="60">
        <f t="shared" si="114"/>
        <v>1345920.7008416958</v>
      </c>
      <c r="AS57" s="60">
        <f t="shared" si="114"/>
        <v>1592970.8740122868</v>
      </c>
      <c r="AT57" s="60">
        <f t="shared" si="114"/>
        <v>1980519.0151091008</v>
      </c>
      <c r="AU57" s="60">
        <f t="shared" si="114"/>
        <v>2513283.932964297</v>
      </c>
      <c r="AV57" s="60">
        <f t="shared" si="114"/>
        <v>3062768.180448941</v>
      </c>
      <c r="AW57" s="60">
        <f>AW200+AW228</f>
        <v>3643718.4985339502</v>
      </c>
      <c r="AX57" s="60">
        <f t="shared" si="114"/>
        <v>3968923.997823623</v>
      </c>
      <c r="AY57" s="60">
        <f t="shared" si="114"/>
        <v>4572949.3537627356</v>
      </c>
      <c r="AZ57" s="60">
        <f t="shared" si="114"/>
        <v>5194037.0699857473</v>
      </c>
      <c r="BA57" s="60">
        <f t="shared" ref="BA57" si="115">BA200+BA228</f>
        <v>5839240.2329323897</v>
      </c>
      <c r="BB57" s="60">
        <f t="shared" si="111"/>
        <v>5843714.7649110891</v>
      </c>
      <c r="BC57" s="60">
        <f t="shared" si="111"/>
        <v>6537212.3997693798</v>
      </c>
      <c r="BD57" s="60">
        <f t="shared" si="112"/>
        <v>6999286.7730173264</v>
      </c>
      <c r="BE57" s="60">
        <f t="shared" si="112"/>
        <v>7637593.5140988734</v>
      </c>
      <c r="BF57" s="60">
        <f>BF200+BF228</f>
        <v>8005244.3588733375</v>
      </c>
      <c r="BG57" s="60">
        <f t="shared" ref="BG57:BH57" si="116">BG200+BG228</f>
        <v>9167970.6561785638</v>
      </c>
      <c r="BH57" s="60">
        <f t="shared" si="116"/>
        <v>10619451.39740764</v>
      </c>
      <c r="BJ57" s="460"/>
    </row>
    <row r="58" spans="4:62" x14ac:dyDescent="0.2">
      <c r="E58" s="191" t="s">
        <v>126</v>
      </c>
      <c r="J58" s="60">
        <f t="shared" si="89"/>
        <v>194398</v>
      </c>
      <c r="K58" s="60">
        <f t="shared" si="89"/>
        <v>211500</v>
      </c>
      <c r="L58" s="60">
        <f t="shared" si="89"/>
        <v>243793.85013238448</v>
      </c>
      <c r="M58" s="60">
        <f t="shared" si="89"/>
        <v>279395.21314327378</v>
      </c>
      <c r="N58" s="60">
        <f t="shared" si="89"/>
        <v>305069.31125090522</v>
      </c>
      <c r="O58" s="60">
        <f t="shared" si="89"/>
        <v>348798.01887221844</v>
      </c>
      <c r="P58" s="60">
        <f t="shared" si="89"/>
        <v>390452.38691068091</v>
      </c>
      <c r="Q58" s="60">
        <f t="shared" si="89"/>
        <v>451318.60528428789</v>
      </c>
      <c r="R58" s="60">
        <f t="shared" si="89"/>
        <v>569577.12727012555</v>
      </c>
      <c r="S58" s="60">
        <f t="shared" si="89"/>
        <v>696019.77538086032</v>
      </c>
      <c r="T58" s="60">
        <f t="shared" si="89"/>
        <v>816747.31727756932</v>
      </c>
      <c r="U58" s="60">
        <f t="shared" si="89"/>
        <v>918660.44304250623</v>
      </c>
      <c r="V58" s="60">
        <f t="shared" si="89"/>
        <v>1051457.6012724475</v>
      </c>
      <c r="W58" s="60">
        <f t="shared" si="89"/>
        <v>1327301.9975132411</v>
      </c>
      <c r="X58" s="60">
        <f t="shared" si="89"/>
        <v>1837886.7340107085</v>
      </c>
      <c r="Y58" s="60">
        <f t="shared" si="89"/>
        <v>2330011.872920468</v>
      </c>
      <c r="Z58" s="60">
        <f t="shared" si="90"/>
        <v>2150444.0832049423</v>
      </c>
      <c r="AA58" s="60">
        <f t="shared" si="91"/>
        <v>1899309.7502216431</v>
      </c>
      <c r="AB58" s="60">
        <f t="shared" si="91"/>
        <v>2091367.7960611498</v>
      </c>
      <c r="AC58" s="60">
        <f t="shared" si="91"/>
        <v>2254880.7892150488</v>
      </c>
      <c r="AD58" s="60">
        <f t="shared" si="92"/>
        <v>2487912.7077156855</v>
      </c>
      <c r="AE58" s="60">
        <f t="shared" si="93"/>
        <v>2867194.7969835931</v>
      </c>
      <c r="AF58" s="60"/>
      <c r="AG58" s="60"/>
      <c r="AH58" s="60"/>
      <c r="AI58" s="60"/>
      <c r="AJ58" s="2"/>
      <c r="AK58" s="2"/>
      <c r="AL58" s="3">
        <v>184796</v>
      </c>
      <c r="AM58" s="3">
        <v>204000</v>
      </c>
      <c r="AN58" s="60">
        <f>AN201+AN229</f>
        <v>219000</v>
      </c>
      <c r="AO58" s="60">
        <f t="shared" ref="AO58:AZ58" si="117">AO201+AO229</f>
        <v>268587.70026476897</v>
      </c>
      <c r="AP58" s="60">
        <f t="shared" si="117"/>
        <v>290202.7260217786</v>
      </c>
      <c r="AQ58" s="60">
        <f t="shared" si="117"/>
        <v>319935.89648003184</v>
      </c>
      <c r="AR58" s="60">
        <f t="shared" si="117"/>
        <v>377660.14126440504</v>
      </c>
      <c r="AS58" s="60">
        <f t="shared" si="117"/>
        <v>403244.63255695684</v>
      </c>
      <c r="AT58" s="60">
        <f t="shared" si="117"/>
        <v>499392.57801161893</v>
      </c>
      <c r="AU58" s="60">
        <f t="shared" si="117"/>
        <v>639761.67652863218</v>
      </c>
      <c r="AV58" s="60">
        <f t="shared" si="117"/>
        <v>752277.87423308846</v>
      </c>
      <c r="AW58" s="60">
        <f>AW201+AW229</f>
        <v>881216.76032205031</v>
      </c>
      <c r="AX58" s="60">
        <f t="shared" si="117"/>
        <v>956104.12576296204</v>
      </c>
      <c r="AY58" s="60">
        <f t="shared" si="117"/>
        <v>1146811.0767819332</v>
      </c>
      <c r="AZ58" s="60">
        <f t="shared" si="117"/>
        <v>1507792.9182445493</v>
      </c>
      <c r="BA58" s="60">
        <f t="shared" ref="BA58" si="118">BA201+BA229</f>
        <v>2167980.549776868</v>
      </c>
      <c r="BB58" s="60">
        <f t="shared" si="111"/>
        <v>2492043.196064068</v>
      </c>
      <c r="BC58" s="60">
        <f t="shared" si="111"/>
        <v>1808844.9703458163</v>
      </c>
      <c r="BD58" s="60">
        <f t="shared" si="112"/>
        <v>1989774.5300974702</v>
      </c>
      <c r="BE58" s="60">
        <f t="shared" si="112"/>
        <v>2192961.0620248294</v>
      </c>
      <c r="BF58" s="60">
        <f>BF201+BF229</f>
        <v>2316800.5164052681</v>
      </c>
      <c r="BG58" s="60">
        <f t="shared" ref="BG58:BH58" si="119">BG201+BG229</f>
        <v>2659024.8990261024</v>
      </c>
      <c r="BH58" s="60">
        <f t="shared" si="119"/>
        <v>3075364.6949410844</v>
      </c>
    </row>
    <row r="59" spans="4:62" x14ac:dyDescent="0.2">
      <c r="E59" s="191" t="s">
        <v>105</v>
      </c>
      <c r="J59" s="60">
        <f t="shared" ref="J59:J80" si="120">AVERAGE(AL59:AM59)</f>
        <v>130977</v>
      </c>
      <c r="K59" s="60">
        <f t="shared" ref="K59:K71" si="121">AVERAGE(AM59:AN59)</f>
        <v>141670.5</v>
      </c>
      <c r="L59" s="60">
        <f t="shared" ref="L59:L83" si="122">AVERAGE(AN59:AO59)</f>
        <v>192362.48441583983</v>
      </c>
      <c r="M59" s="60">
        <f t="shared" ref="M59:M83" si="123">AVERAGE(AO59:AP59)</f>
        <v>254486.875539826</v>
      </c>
      <c r="N59" s="60">
        <f t="shared" ref="N59:N83" si="124">AVERAGE(AP59:AQ59)</f>
        <v>281001.4273530778</v>
      </c>
      <c r="O59" s="60">
        <f t="shared" ref="O59:O83" si="125">AVERAGE(AQ59:AR59)</f>
        <v>307518.31641709915</v>
      </c>
      <c r="P59" s="60">
        <f t="shared" ref="P59:P83" si="126">AVERAGE(AR59:AS59)</f>
        <v>337096.22490562807</v>
      </c>
      <c r="Q59" s="60">
        <f t="shared" ref="Q59:Q83" si="127">AVERAGE(AS59:AT59)</f>
        <v>369172.80141586193</v>
      </c>
      <c r="R59" s="60">
        <f t="shared" ref="R59:R83" si="128">AVERAGE(AT59:AU59)</f>
        <v>405752.14950804203</v>
      </c>
      <c r="S59" s="60">
        <f t="shared" ref="S59:S83" si="129">AVERAGE(AU59:AV59)</f>
        <v>514444.7244598908</v>
      </c>
      <c r="T59" s="60">
        <f t="shared" ref="T59:T85" si="130">AVERAGE(AV59:AW59)</f>
        <v>725421.93504767155</v>
      </c>
      <c r="U59" s="60">
        <f t="shared" ref="U59:U71" si="131">AVERAGE(AW59:AX59)</f>
        <v>873399.81517477077</v>
      </c>
      <c r="V59" s="60">
        <f t="shared" ref="V59:V71" si="132">AVERAGE(AX59:AY59)</f>
        <v>990941.38047964522</v>
      </c>
      <c r="W59" s="60">
        <f t="shared" ref="W59:W71" si="133">AVERAGE(AY59:AZ59)</f>
        <v>1220243.4380572005</v>
      </c>
      <c r="X59" s="60">
        <f t="shared" ref="X59:X71" si="134">AVERAGE(AZ59:BA59)</f>
        <v>1533344.4961502927</v>
      </c>
      <c r="Y59" s="60">
        <f t="shared" ref="Y59:Y71" si="135">AVERAGE(BA59:BB59)</f>
        <v>1744906.9493482038</v>
      </c>
      <c r="Z59" s="60">
        <f t="shared" si="90"/>
        <v>1436362.5100915509</v>
      </c>
      <c r="AA59" s="60">
        <f t="shared" si="91"/>
        <v>1136737.3104745112</v>
      </c>
      <c r="AB59" s="60">
        <f t="shared" si="91"/>
        <v>1236343.5661666398</v>
      </c>
      <c r="AC59" s="60">
        <f t="shared" si="91"/>
        <v>1322441.3171490624</v>
      </c>
      <c r="AD59" s="60">
        <f t="shared" si="92"/>
        <v>1446089.389758029</v>
      </c>
      <c r="AE59" s="60">
        <f t="shared" si="93"/>
        <v>1649103.1722171097</v>
      </c>
      <c r="AF59" s="60"/>
      <c r="AG59" s="60"/>
      <c r="AH59" s="60"/>
      <c r="AI59" s="60"/>
      <c r="AJ59" s="2"/>
      <c r="AK59" s="2"/>
      <c r="AL59" s="3">
        <v>123910</v>
      </c>
      <c r="AM59" s="3">
        <v>138044</v>
      </c>
      <c r="AN59" s="60">
        <f>AN202+AN230</f>
        <v>145297</v>
      </c>
      <c r="AO59" s="60">
        <f t="shared" ref="AO59:AZ59" si="136">AO202+AO230</f>
        <v>239427.96883167964</v>
      </c>
      <c r="AP59" s="60">
        <f t="shared" si="136"/>
        <v>269545.78224797233</v>
      </c>
      <c r="AQ59" s="60">
        <f t="shared" si="136"/>
        <v>292457.07245818328</v>
      </c>
      <c r="AR59" s="60">
        <f t="shared" si="136"/>
        <v>322579.56037601503</v>
      </c>
      <c r="AS59" s="60">
        <f t="shared" si="136"/>
        <v>351612.88943524112</v>
      </c>
      <c r="AT59" s="60">
        <f t="shared" si="136"/>
        <v>386732.71339648275</v>
      </c>
      <c r="AU59" s="60">
        <f t="shared" si="136"/>
        <v>424771.5856196013</v>
      </c>
      <c r="AV59" s="60">
        <f t="shared" si="136"/>
        <v>604117.8633001803</v>
      </c>
      <c r="AW59" s="60">
        <f>AW202+AW230</f>
        <v>846726.0067951628</v>
      </c>
      <c r="AX59" s="60">
        <f t="shared" si="136"/>
        <v>900073.62355437886</v>
      </c>
      <c r="AY59" s="60">
        <f t="shared" si="136"/>
        <v>1081809.1374049117</v>
      </c>
      <c r="AZ59" s="60">
        <f t="shared" si="136"/>
        <v>1358677.7387094893</v>
      </c>
      <c r="BA59" s="60">
        <f t="shared" ref="BA59" si="137">BA202+BA230</f>
        <v>1708011.253591096</v>
      </c>
      <c r="BB59" s="60">
        <f t="shared" si="111"/>
        <v>1781802.6451053116</v>
      </c>
      <c r="BC59" s="60">
        <f t="shared" si="111"/>
        <v>1090922.3750777901</v>
      </c>
      <c r="BD59" s="60">
        <f t="shared" si="112"/>
        <v>1182552.2458712321</v>
      </c>
      <c r="BE59" s="60">
        <f t="shared" si="112"/>
        <v>1290134.8864620477</v>
      </c>
      <c r="BF59" s="60">
        <f>BF202+BF230</f>
        <v>1354747.7478360771</v>
      </c>
      <c r="BG59" s="60">
        <f t="shared" ref="BG59:BH59" si="138">BG202+BG230</f>
        <v>1537431.0316799809</v>
      </c>
      <c r="BH59" s="60">
        <f t="shared" si="138"/>
        <v>1760775.3127542387</v>
      </c>
    </row>
    <row r="60" spans="4:62" x14ac:dyDescent="0.2">
      <c r="E60" s="177" t="s">
        <v>106</v>
      </c>
      <c r="J60" s="60">
        <f t="shared" si="120"/>
        <v>1243347</v>
      </c>
      <c r="K60" s="60">
        <f t="shared" si="121"/>
        <v>1392800.5</v>
      </c>
      <c r="L60" s="60">
        <f t="shared" si="122"/>
        <v>1676271.0037819783</v>
      </c>
      <c r="M60" s="60">
        <f t="shared" si="123"/>
        <v>2132516.5769913401</v>
      </c>
      <c r="N60" s="60">
        <f t="shared" si="124"/>
        <v>2658809.5297571644</v>
      </c>
      <c r="O60" s="60">
        <f t="shared" si="125"/>
        <v>3157667.4555152911</v>
      </c>
      <c r="P60" s="60">
        <f t="shared" si="126"/>
        <v>3573312.018663852</v>
      </c>
      <c r="Q60" s="60">
        <f t="shared" si="127"/>
        <v>4299625.6124443524</v>
      </c>
      <c r="R60" s="60">
        <f t="shared" si="128"/>
        <v>5115573.8996676169</v>
      </c>
      <c r="S60" s="60">
        <f t="shared" si="129"/>
        <v>6053222.5630020974</v>
      </c>
      <c r="T60" s="60">
        <f t="shared" si="130"/>
        <v>6859461.6032284535</v>
      </c>
      <c r="U60" s="60">
        <f t="shared" si="131"/>
        <v>7959321.331150231</v>
      </c>
      <c r="V60" s="60">
        <f t="shared" si="132"/>
        <v>10463375.537279574</v>
      </c>
      <c r="W60" s="60">
        <f t="shared" si="133"/>
        <v>12710125.751390126</v>
      </c>
      <c r="X60" s="60">
        <f t="shared" si="134"/>
        <v>14751122.318779897</v>
      </c>
      <c r="Y60" s="60">
        <f t="shared" si="135"/>
        <v>17174447.161720529</v>
      </c>
      <c r="Z60" s="60">
        <f t="shared" si="90"/>
        <v>19241543.714305114</v>
      </c>
      <c r="AA60" s="60">
        <f t="shared" si="91"/>
        <v>21735577.362446085</v>
      </c>
      <c r="AB60" s="60">
        <f t="shared" si="91"/>
        <v>24995243.977146912</v>
      </c>
      <c r="AC60" s="60">
        <f t="shared" si="91"/>
        <v>28207615.626064532</v>
      </c>
      <c r="AD60" s="60">
        <f t="shared" si="92"/>
        <v>32755232.838132814</v>
      </c>
      <c r="AE60" s="60">
        <f t="shared" si="93"/>
        <v>39859974.06488841</v>
      </c>
      <c r="AF60" s="60"/>
      <c r="AG60" s="60"/>
      <c r="AH60" s="60"/>
      <c r="AI60" s="60"/>
      <c r="AJ60" s="2"/>
      <c r="AK60" s="2"/>
      <c r="AL60" s="3">
        <v>1163369</v>
      </c>
      <c r="AM60" s="3">
        <v>1323325</v>
      </c>
      <c r="AN60" s="60">
        <f>SUM(AN61:AN65)</f>
        <v>1462276</v>
      </c>
      <c r="AO60" s="60">
        <f t="shared" ref="AO60:AZ60" si="139">SUM(AO61:AO65)</f>
        <v>1890266.0075639565</v>
      </c>
      <c r="AP60" s="60">
        <f t="shared" si="139"/>
        <v>2374767.1464187237</v>
      </c>
      <c r="AQ60" s="60">
        <f t="shared" si="139"/>
        <v>2942851.9130956056</v>
      </c>
      <c r="AR60" s="60">
        <f t="shared" si="139"/>
        <v>3372482.9979349766</v>
      </c>
      <c r="AS60" s="60">
        <f t="shared" si="139"/>
        <v>3774141.0393927274</v>
      </c>
      <c r="AT60" s="60">
        <f t="shared" si="139"/>
        <v>4825110.1854959764</v>
      </c>
      <c r="AU60" s="60">
        <f t="shared" si="139"/>
        <v>5406037.6138392575</v>
      </c>
      <c r="AV60" s="60">
        <f t="shared" si="139"/>
        <v>6700407.5121649373</v>
      </c>
      <c r="AW60" s="60">
        <f t="shared" si="139"/>
        <v>7018515.6942919698</v>
      </c>
      <c r="AX60" s="60">
        <f t="shared" si="139"/>
        <v>8900126.9680084921</v>
      </c>
      <c r="AY60" s="60">
        <f>SUM(AY61:AY65)</f>
        <v>12026624.106550656</v>
      </c>
      <c r="AZ60" s="60">
        <f t="shared" si="139"/>
        <v>13393627.396229593</v>
      </c>
      <c r="BA60" s="60">
        <f t="shared" ref="BA60:BF60" si="140">SUM(BA61:BA65)</f>
        <v>16108617.241330203</v>
      </c>
      <c r="BB60" s="60">
        <f t="shared" si="140"/>
        <v>18240277.082110852</v>
      </c>
      <c r="BC60" s="60">
        <f t="shared" si="140"/>
        <v>20242810.346499376</v>
      </c>
      <c r="BD60" s="60">
        <f t="shared" si="140"/>
        <v>23228344.378392793</v>
      </c>
      <c r="BE60" s="60">
        <f t="shared" si="140"/>
        <v>26762143.575901031</v>
      </c>
      <c r="BF60" s="60">
        <f t="shared" si="140"/>
        <v>29653087.676228032</v>
      </c>
      <c r="BG60" s="60">
        <f t="shared" ref="BG60:BH60" si="141">SUM(BG61:BG65)</f>
        <v>35857378.000037596</v>
      </c>
      <c r="BH60" s="60">
        <f t="shared" si="141"/>
        <v>43862570.129739225</v>
      </c>
    </row>
    <row r="61" spans="4:62" x14ac:dyDescent="0.2">
      <c r="D61" s="245">
        <f t="shared" ref="D61:D75" si="142">AV61-AV204</f>
        <v>0</v>
      </c>
      <c r="E61" s="191" t="s">
        <v>39</v>
      </c>
      <c r="J61" s="60">
        <f t="shared" si="120"/>
        <v>94310.5</v>
      </c>
      <c r="K61" s="60">
        <f t="shared" si="121"/>
        <v>108853</v>
      </c>
      <c r="L61" s="60">
        <f t="shared" si="122"/>
        <v>166035.53531782737</v>
      </c>
      <c r="M61" s="60">
        <f t="shared" si="123"/>
        <v>252833.29694542862</v>
      </c>
      <c r="N61" s="60">
        <f t="shared" si="124"/>
        <v>338149.95435975888</v>
      </c>
      <c r="O61" s="60">
        <f t="shared" si="125"/>
        <v>429552.91172003315</v>
      </c>
      <c r="P61" s="60">
        <f t="shared" si="126"/>
        <v>542157.11267685401</v>
      </c>
      <c r="Q61" s="60">
        <f t="shared" si="127"/>
        <v>771236.70341570326</v>
      </c>
      <c r="R61" s="60">
        <f t="shared" si="128"/>
        <v>934573.75328918942</v>
      </c>
      <c r="S61" s="60">
        <f t="shared" si="129"/>
        <v>963214.30289410183</v>
      </c>
      <c r="T61" s="60">
        <f t="shared" si="130"/>
        <v>1032017.8335006054</v>
      </c>
      <c r="U61" s="60">
        <f t="shared" si="131"/>
        <v>1426364.9646695065</v>
      </c>
      <c r="V61" s="60">
        <f t="shared" si="132"/>
        <v>2234147.2677978016</v>
      </c>
      <c r="W61" s="60">
        <f t="shared" si="133"/>
        <v>2844881.3959774636</v>
      </c>
      <c r="X61" s="60">
        <f t="shared" si="134"/>
        <v>2993822.4123098021</v>
      </c>
      <c r="Y61" s="60">
        <f t="shared" si="135"/>
        <v>2954942.9446318517</v>
      </c>
      <c r="Z61" s="60">
        <f t="shared" si="90"/>
        <v>2976411.3002431309</v>
      </c>
      <c r="AA61" s="60">
        <f t="shared" si="91"/>
        <v>3235508.1844228553</v>
      </c>
      <c r="AB61" s="60">
        <f t="shared" si="91"/>
        <v>3686044.3688239725</v>
      </c>
      <c r="AC61" s="60">
        <f t="shared" si="91"/>
        <v>4120122.5362689905</v>
      </c>
      <c r="AD61" s="60">
        <f t="shared" si="92"/>
        <v>4728089.6680382993</v>
      </c>
      <c r="AE61" s="60">
        <f t="shared" si="93"/>
        <v>5652981.9273039792</v>
      </c>
      <c r="AF61" s="60"/>
      <c r="AG61" s="60"/>
      <c r="AH61" s="60"/>
      <c r="AI61" s="60"/>
      <c r="AJ61" s="2"/>
      <c r="AK61" s="2"/>
      <c r="AL61" s="3">
        <v>90090</v>
      </c>
      <c r="AM61" s="3">
        <v>98531</v>
      </c>
      <c r="AN61" s="60">
        <f>AN204</f>
        <v>119175</v>
      </c>
      <c r="AO61" s="60">
        <f t="shared" ref="AO61:AZ61" si="143">AO204</f>
        <v>212896.07063565473</v>
      </c>
      <c r="AP61" s="60">
        <f t="shared" si="143"/>
        <v>292770.52325520251</v>
      </c>
      <c r="AQ61" s="60">
        <f t="shared" si="143"/>
        <v>383529.3854643153</v>
      </c>
      <c r="AR61" s="60">
        <f t="shared" si="143"/>
        <v>475576.437975751</v>
      </c>
      <c r="AS61" s="60">
        <f t="shared" si="143"/>
        <v>608737.78737795702</v>
      </c>
      <c r="AT61" s="60">
        <f t="shared" si="143"/>
        <v>933735.61945344938</v>
      </c>
      <c r="AU61" s="60">
        <f t="shared" si="143"/>
        <v>935411.88712492958</v>
      </c>
      <c r="AV61" s="60">
        <f t="shared" si="143"/>
        <v>991016.71866327408</v>
      </c>
      <c r="AW61" s="60">
        <f>AW204</f>
        <v>1073018.9483379368</v>
      </c>
      <c r="AX61" s="60">
        <f t="shared" si="143"/>
        <v>1779710.9810010761</v>
      </c>
      <c r="AY61" s="60">
        <f t="shared" si="143"/>
        <v>2688583.5545945275</v>
      </c>
      <c r="AZ61" s="60">
        <f t="shared" si="143"/>
        <v>3001179.2373603992</v>
      </c>
      <c r="BA61" s="60">
        <f t="shared" ref="BA61" si="144">BA204</f>
        <v>2986465.5872592051</v>
      </c>
      <c r="BB61" s="60">
        <f t="shared" ref="BB61:BB63" si="145">BB204</f>
        <v>2923420.3020044984</v>
      </c>
      <c r="BC61" s="60">
        <f t="shared" ref="BC61:BD63" si="146">BC204</f>
        <v>3029402.2984817638</v>
      </c>
      <c r="BD61" s="60">
        <f t="shared" si="146"/>
        <v>3441614.0703639463</v>
      </c>
      <c r="BE61" s="60">
        <f t="shared" ref="BE61:BF63" si="147">BE204</f>
        <v>3930474.6672839983</v>
      </c>
      <c r="BF61" s="60">
        <f t="shared" si="147"/>
        <v>4309770.4052539822</v>
      </c>
      <c r="BG61" s="60">
        <f t="shared" ref="BG61:BH61" si="148">BG204</f>
        <v>5146408.9308226174</v>
      </c>
      <c r="BH61" s="60">
        <f t="shared" si="148"/>
        <v>6159554.9237853419</v>
      </c>
    </row>
    <row r="62" spans="4:62" x14ac:dyDescent="0.2">
      <c r="D62" s="245">
        <f t="shared" si="142"/>
        <v>0</v>
      </c>
      <c r="E62" s="191" t="s">
        <v>40</v>
      </c>
      <c r="J62" s="60">
        <f t="shared" si="120"/>
        <v>634515.5</v>
      </c>
      <c r="K62" s="60">
        <f t="shared" si="121"/>
        <v>686784</v>
      </c>
      <c r="L62" s="60">
        <f t="shared" si="122"/>
        <v>776575.04240089504</v>
      </c>
      <c r="M62" s="60">
        <f t="shared" si="123"/>
        <v>894528.93280336424</v>
      </c>
      <c r="N62" s="60">
        <f t="shared" si="124"/>
        <v>1026584.2012422677</v>
      </c>
      <c r="O62" s="60">
        <f t="shared" si="125"/>
        <v>1171219.0127984425</v>
      </c>
      <c r="P62" s="60">
        <f t="shared" si="126"/>
        <v>1317494.9925349611</v>
      </c>
      <c r="Q62" s="60">
        <f t="shared" si="127"/>
        <v>1570342.4505699966</v>
      </c>
      <c r="R62" s="60">
        <f t="shared" si="128"/>
        <v>1813276.6205931962</v>
      </c>
      <c r="S62" s="60">
        <f t="shared" si="129"/>
        <v>2081812.9177887514</v>
      </c>
      <c r="T62" s="60">
        <f t="shared" si="130"/>
        <v>2440455.0272548059</v>
      </c>
      <c r="U62" s="60">
        <f t="shared" si="131"/>
        <v>2809425.9190450367</v>
      </c>
      <c r="V62" s="60">
        <f t="shared" si="132"/>
        <v>3526538.424437982</v>
      </c>
      <c r="W62" s="60">
        <f t="shared" si="133"/>
        <v>4315730.1254688287</v>
      </c>
      <c r="X62" s="60">
        <f t="shared" si="134"/>
        <v>4587626.5953074936</v>
      </c>
      <c r="Y62" s="60">
        <f t="shared" si="135"/>
        <v>4510451.1603175066</v>
      </c>
      <c r="Z62" s="60">
        <f t="shared" si="90"/>
        <v>5496847.1974126119</v>
      </c>
      <c r="AA62" s="60">
        <f t="shared" si="91"/>
        <v>6947831.3640962709</v>
      </c>
      <c r="AB62" s="60">
        <f t="shared" si="91"/>
        <v>7819488.7897222843</v>
      </c>
      <c r="AC62" s="60">
        <f t="shared" si="91"/>
        <v>8635521.8722991031</v>
      </c>
      <c r="AD62" s="60">
        <f t="shared" si="92"/>
        <v>9790873.4032768421</v>
      </c>
      <c r="AE62" s="60">
        <f t="shared" si="93"/>
        <v>11636669.603061412</v>
      </c>
      <c r="AF62" s="60"/>
      <c r="AG62" s="60"/>
      <c r="AH62" s="60"/>
      <c r="AI62" s="60"/>
      <c r="AJ62" s="2"/>
      <c r="AK62" s="2"/>
      <c r="AL62" s="3">
        <v>611112</v>
      </c>
      <c r="AM62" s="3">
        <v>657919</v>
      </c>
      <c r="AN62" s="60">
        <f>AN205</f>
        <v>715649</v>
      </c>
      <c r="AO62" s="60">
        <f t="shared" ref="AO62:AZ62" si="149">AO205</f>
        <v>837501.08480179007</v>
      </c>
      <c r="AP62" s="60">
        <f t="shared" si="149"/>
        <v>951556.7808049384</v>
      </c>
      <c r="AQ62" s="60">
        <f t="shared" si="149"/>
        <v>1101611.6216795971</v>
      </c>
      <c r="AR62" s="60">
        <f t="shared" si="149"/>
        <v>1240826.4039172882</v>
      </c>
      <c r="AS62" s="60">
        <f t="shared" si="149"/>
        <v>1394163.5811526338</v>
      </c>
      <c r="AT62" s="60">
        <f t="shared" si="149"/>
        <v>1746521.3199873595</v>
      </c>
      <c r="AU62" s="60">
        <f t="shared" si="149"/>
        <v>1880031.921199033</v>
      </c>
      <c r="AV62" s="60">
        <f t="shared" si="149"/>
        <v>2283593.9143784698</v>
      </c>
      <c r="AW62" s="60">
        <f>AW205</f>
        <v>2597316.140131142</v>
      </c>
      <c r="AX62" s="60">
        <f t="shared" si="149"/>
        <v>3021535.6979589313</v>
      </c>
      <c r="AY62" s="60">
        <f t="shared" si="149"/>
        <v>4031541.1509170327</v>
      </c>
      <c r="AZ62" s="60">
        <f t="shared" si="149"/>
        <v>4599919.1000206247</v>
      </c>
      <c r="BA62" s="60">
        <f t="shared" ref="BA62" si="150">BA205</f>
        <v>4575334.0905943625</v>
      </c>
      <c r="BB62" s="60">
        <f t="shared" si="145"/>
        <v>4445568.2300406508</v>
      </c>
      <c r="BC62" s="60">
        <f t="shared" si="146"/>
        <v>6548126.164784573</v>
      </c>
      <c r="BD62" s="60">
        <f t="shared" si="146"/>
        <v>7347536.5634079687</v>
      </c>
      <c r="BE62" s="60">
        <f t="shared" si="147"/>
        <v>8291441.0160365989</v>
      </c>
      <c r="BF62" s="60">
        <f t="shared" si="147"/>
        <v>8979602.7285616063</v>
      </c>
      <c r="BG62" s="60">
        <f t="shared" ref="BG62:BH62" si="151">BG205</f>
        <v>10602144.07799208</v>
      </c>
      <c r="BH62" s="60">
        <f t="shared" si="151"/>
        <v>12671195.128130745</v>
      </c>
    </row>
    <row r="63" spans="4:62" x14ac:dyDescent="0.2">
      <c r="D63" s="245">
        <f t="shared" si="142"/>
        <v>0</v>
      </c>
      <c r="E63" s="191" t="s">
        <v>107</v>
      </c>
      <c r="J63" s="60">
        <f t="shared" si="120"/>
        <v>124199</v>
      </c>
      <c r="K63" s="60">
        <f t="shared" si="121"/>
        <v>153027</v>
      </c>
      <c r="L63" s="60">
        <f t="shared" si="122"/>
        <v>158965.07133239356</v>
      </c>
      <c r="M63" s="60">
        <f t="shared" si="123"/>
        <v>152504.75717066939</v>
      </c>
      <c r="N63" s="60">
        <f t="shared" si="124"/>
        <v>163842.63236490014</v>
      </c>
      <c r="O63" s="60">
        <f t="shared" si="125"/>
        <v>177099.85402330101</v>
      </c>
      <c r="P63" s="60">
        <f t="shared" si="126"/>
        <v>193923.77365567861</v>
      </c>
      <c r="Q63" s="60">
        <f t="shared" si="127"/>
        <v>204922.8274204116</v>
      </c>
      <c r="R63" s="60">
        <f t="shared" si="128"/>
        <v>219217.0900673164</v>
      </c>
      <c r="S63" s="60">
        <f t="shared" si="129"/>
        <v>269625.10389899876</v>
      </c>
      <c r="T63" s="60">
        <f t="shared" si="130"/>
        <v>330744.81740728463</v>
      </c>
      <c r="U63" s="60">
        <f t="shared" si="131"/>
        <v>380566.78372889769</v>
      </c>
      <c r="V63" s="60">
        <f t="shared" si="132"/>
        <v>354857.99557901442</v>
      </c>
      <c r="W63" s="60">
        <f t="shared" si="133"/>
        <v>418363.49463717919</v>
      </c>
      <c r="X63" s="60">
        <f t="shared" si="134"/>
        <v>539976.37773976615</v>
      </c>
      <c r="Y63" s="60">
        <f t="shared" si="135"/>
        <v>572529.69477226166</v>
      </c>
      <c r="Z63" s="60">
        <f t="shared" si="90"/>
        <v>701133.41392049449</v>
      </c>
      <c r="AA63" s="60">
        <f t="shared" si="91"/>
        <v>861135.0568191621</v>
      </c>
      <c r="AB63" s="60">
        <f t="shared" si="91"/>
        <v>985819.78674872266</v>
      </c>
      <c r="AC63" s="60">
        <f t="shared" si="91"/>
        <v>1105983.1700539645</v>
      </c>
      <c r="AD63" s="60">
        <f t="shared" si="92"/>
        <v>1276006.8894031632</v>
      </c>
      <c r="AE63" s="60">
        <f t="shared" si="93"/>
        <v>1542807.0956815446</v>
      </c>
      <c r="AF63" s="60"/>
      <c r="AG63" s="60"/>
      <c r="AH63" s="60"/>
      <c r="AI63" s="60"/>
      <c r="AJ63" s="2"/>
      <c r="AK63" s="2"/>
      <c r="AL63" s="3">
        <v>112564</v>
      </c>
      <c r="AM63" s="3">
        <v>135834</v>
      </c>
      <c r="AN63" s="60">
        <f>AN206</f>
        <v>170220</v>
      </c>
      <c r="AO63" s="60">
        <f t="shared" ref="AO63:AZ63" si="152">AO206</f>
        <v>147710.1426647871</v>
      </c>
      <c r="AP63" s="60">
        <f t="shared" si="152"/>
        <v>157299.3716765517</v>
      </c>
      <c r="AQ63" s="60">
        <f t="shared" si="152"/>
        <v>170385.89305324861</v>
      </c>
      <c r="AR63" s="60">
        <f t="shared" si="152"/>
        <v>183813.81499335342</v>
      </c>
      <c r="AS63" s="60">
        <f t="shared" si="152"/>
        <v>204033.73231800384</v>
      </c>
      <c r="AT63" s="60">
        <f t="shared" si="152"/>
        <v>205811.92252281937</v>
      </c>
      <c r="AU63" s="60">
        <f t="shared" si="152"/>
        <v>232622.25761181343</v>
      </c>
      <c r="AV63" s="60">
        <f t="shared" si="152"/>
        <v>306627.95018618408</v>
      </c>
      <c r="AW63" s="60">
        <f>AW206</f>
        <v>354861.68462838524</v>
      </c>
      <c r="AX63" s="60">
        <f t="shared" si="152"/>
        <v>406271.88282941008</v>
      </c>
      <c r="AY63" s="60">
        <f t="shared" si="152"/>
        <v>303444.10832861869</v>
      </c>
      <c r="AZ63" s="60">
        <f t="shared" si="152"/>
        <v>533282.88094573969</v>
      </c>
      <c r="BA63" s="60">
        <f t="shared" ref="BA63" si="153">BA206</f>
        <v>546669.87453379249</v>
      </c>
      <c r="BB63" s="60">
        <f t="shared" si="145"/>
        <v>598389.51501073095</v>
      </c>
      <c r="BC63" s="60">
        <f t="shared" si="146"/>
        <v>803877.31283025816</v>
      </c>
      <c r="BD63" s="60">
        <f t="shared" si="146"/>
        <v>918392.80080806592</v>
      </c>
      <c r="BE63" s="60">
        <f t="shared" si="147"/>
        <v>1053246.7726893795</v>
      </c>
      <c r="BF63" s="60">
        <f t="shared" si="147"/>
        <v>1158719.5674185494</v>
      </c>
      <c r="BG63" s="60">
        <f t="shared" ref="BG63:BH63" si="154">BG206</f>
        <v>1393294.211387777</v>
      </c>
      <c r="BH63" s="60">
        <f t="shared" si="154"/>
        <v>1692319.9799753122</v>
      </c>
    </row>
    <row r="64" spans="4:62" x14ac:dyDescent="0.2">
      <c r="D64" s="245">
        <f t="shared" si="142"/>
        <v>79164.543299210374</v>
      </c>
      <c r="E64" s="191" t="s">
        <v>108</v>
      </c>
      <c r="J64" s="60">
        <f t="shared" si="120"/>
        <v>26561</v>
      </c>
      <c r="K64" s="60">
        <f t="shared" si="121"/>
        <v>33637</v>
      </c>
      <c r="L64" s="60">
        <f t="shared" si="122"/>
        <v>93239.203512426015</v>
      </c>
      <c r="M64" s="60">
        <f t="shared" si="123"/>
        <v>157461.08722902555</v>
      </c>
      <c r="N64" s="60">
        <f t="shared" si="124"/>
        <v>174627.48794578688</v>
      </c>
      <c r="O64" s="60">
        <f t="shared" si="125"/>
        <v>196428.90196465439</v>
      </c>
      <c r="P64" s="60">
        <f t="shared" si="126"/>
        <v>221416.78124299413</v>
      </c>
      <c r="Q64" s="60">
        <f t="shared" si="127"/>
        <v>221872.15491149071</v>
      </c>
      <c r="R64" s="60">
        <f t="shared" si="128"/>
        <v>225543.59725911071</v>
      </c>
      <c r="S64" s="60">
        <f t="shared" si="129"/>
        <v>244271.94785671501</v>
      </c>
      <c r="T64" s="60">
        <f t="shared" si="130"/>
        <v>256082.9303685436</v>
      </c>
      <c r="U64" s="60">
        <f t="shared" si="131"/>
        <v>262907.08861914446</v>
      </c>
      <c r="V64" s="60">
        <f t="shared" si="132"/>
        <v>254559.56856175433</v>
      </c>
      <c r="W64" s="60">
        <f t="shared" si="133"/>
        <v>261439.08983888637</v>
      </c>
      <c r="X64" s="60">
        <f t="shared" si="134"/>
        <v>300511.08844351768</v>
      </c>
      <c r="Y64" s="60">
        <f t="shared" si="135"/>
        <v>349758.864514074</v>
      </c>
      <c r="Z64" s="60">
        <f t="shared" si="90"/>
        <v>485779.73018789326</v>
      </c>
      <c r="AA64" s="60">
        <f t="shared" si="91"/>
        <v>623719.75299699651</v>
      </c>
      <c r="AB64" s="60">
        <f t="shared" si="91"/>
        <v>679293.23141954408</v>
      </c>
      <c r="AC64" s="60">
        <f t="shared" si="91"/>
        <v>725040.22134590906</v>
      </c>
      <c r="AD64" s="60">
        <f t="shared" si="92"/>
        <v>792012.39047899353</v>
      </c>
      <c r="AE64" s="60">
        <f t="shared" si="93"/>
        <v>904886.42760280124</v>
      </c>
      <c r="AF64" s="60"/>
      <c r="AG64" s="60"/>
      <c r="AH64" s="60"/>
      <c r="AI64" s="60"/>
      <c r="AJ64" s="2"/>
      <c r="AK64" s="2"/>
      <c r="AL64" s="3">
        <v>23080</v>
      </c>
      <c r="AM64" s="3">
        <v>30042</v>
      </c>
      <c r="AN64" s="60">
        <f>AN207+AN232</f>
        <v>37232</v>
      </c>
      <c r="AO64" s="60">
        <f t="shared" ref="AO64:AZ64" si="155">AO207+AO232</f>
        <v>149246.40702485203</v>
      </c>
      <c r="AP64" s="60">
        <f t="shared" si="155"/>
        <v>165675.7674331991</v>
      </c>
      <c r="AQ64" s="60">
        <f t="shared" si="155"/>
        <v>183579.20845837466</v>
      </c>
      <c r="AR64" s="60">
        <f t="shared" si="155"/>
        <v>209278.59547093415</v>
      </c>
      <c r="AS64" s="60">
        <f t="shared" si="155"/>
        <v>233554.96701505414</v>
      </c>
      <c r="AT64" s="60">
        <f t="shared" si="155"/>
        <v>210189.34280792729</v>
      </c>
      <c r="AU64" s="60">
        <f t="shared" si="155"/>
        <v>240897.85171029414</v>
      </c>
      <c r="AV64" s="60">
        <f t="shared" si="155"/>
        <v>247646.04400313587</v>
      </c>
      <c r="AW64" s="60">
        <f>AW207+AW232</f>
        <v>264519.81673395133</v>
      </c>
      <c r="AX64" s="60">
        <f t="shared" si="155"/>
        <v>261294.36050433759</v>
      </c>
      <c r="AY64" s="60">
        <f t="shared" si="155"/>
        <v>247824.77661917108</v>
      </c>
      <c r="AZ64" s="60">
        <f t="shared" si="155"/>
        <v>275053.40305860166</v>
      </c>
      <c r="BA64" s="60">
        <f t="shared" ref="BA64" si="156">BA207+BA232</f>
        <v>325968.77382843371</v>
      </c>
      <c r="BB64" s="60">
        <f t="shared" ref="BB64:BC65" si="157">BB207+BB232</f>
        <v>373548.95519971428</v>
      </c>
      <c r="BC64" s="60">
        <f t="shared" si="157"/>
        <v>598010.50517607224</v>
      </c>
      <c r="BD64" s="60">
        <f t="shared" ref="BD64:BF65" si="158">BD207+BD232</f>
        <v>649429.00081792066</v>
      </c>
      <c r="BE64" s="60">
        <f t="shared" si="158"/>
        <v>709157.46202116751</v>
      </c>
      <c r="BF64" s="60">
        <f t="shared" si="158"/>
        <v>740922.98067065061</v>
      </c>
      <c r="BG64" s="60">
        <f t="shared" ref="BG64:BH64" si="159">BG207+BG232</f>
        <v>843101.80028733658</v>
      </c>
      <c r="BH64" s="60">
        <f t="shared" si="159"/>
        <v>966671.0549182659</v>
      </c>
    </row>
    <row r="65" spans="4:60" x14ac:dyDescent="0.2">
      <c r="D65" s="245">
        <f t="shared" si="142"/>
        <v>360482.02537961164</v>
      </c>
      <c r="E65" s="191" t="s">
        <v>109</v>
      </c>
      <c r="J65" s="60">
        <f t="shared" si="120"/>
        <v>363761.5</v>
      </c>
      <c r="K65" s="60">
        <f t="shared" si="121"/>
        <v>410500</v>
      </c>
      <c r="L65" s="60">
        <f t="shared" si="122"/>
        <v>481456.15121843631</v>
      </c>
      <c r="M65" s="60">
        <f t="shared" si="123"/>
        <v>675188.50284285238</v>
      </c>
      <c r="N65" s="60">
        <f t="shared" si="124"/>
        <v>955605.25384445093</v>
      </c>
      <c r="O65" s="60">
        <f t="shared" si="125"/>
        <v>1183366.7750088598</v>
      </c>
      <c r="P65" s="60">
        <f t="shared" si="126"/>
        <v>1298319.3585533644</v>
      </c>
      <c r="Q65" s="60">
        <f t="shared" si="127"/>
        <v>1531251.47612675</v>
      </c>
      <c r="R65" s="60">
        <f t="shared" si="128"/>
        <v>1922962.8384588044</v>
      </c>
      <c r="S65" s="60">
        <f t="shared" si="129"/>
        <v>2494298.2905635303</v>
      </c>
      <c r="T65" s="60">
        <f t="shared" si="130"/>
        <v>2800160.9946972132</v>
      </c>
      <c r="U65" s="60">
        <f t="shared" si="131"/>
        <v>3080056.5750876451</v>
      </c>
      <c r="V65" s="60">
        <f t="shared" si="132"/>
        <v>4093272.2809030204</v>
      </c>
      <c r="W65" s="60">
        <f t="shared" si="133"/>
        <v>4869711.6454677656</v>
      </c>
      <c r="X65" s="60">
        <f t="shared" si="134"/>
        <v>6329185.8449793179</v>
      </c>
      <c r="Y65" s="60">
        <f t="shared" si="135"/>
        <v>8786764.497484833</v>
      </c>
      <c r="Z65" s="60">
        <f t="shared" si="90"/>
        <v>9581372.0725409836</v>
      </c>
      <c r="AA65" s="60">
        <f t="shared" si="91"/>
        <v>10067383.004110798</v>
      </c>
      <c r="AB65" s="60">
        <f t="shared" si="91"/>
        <v>11824597.800432388</v>
      </c>
      <c r="AC65" s="60">
        <f t="shared" si="91"/>
        <v>13620947.826096565</v>
      </c>
      <c r="AD65" s="60">
        <f t="shared" si="92"/>
        <v>16168250.486935513</v>
      </c>
      <c r="AE65" s="60">
        <f t="shared" si="93"/>
        <v>20122629.011238672</v>
      </c>
      <c r="AF65" s="60"/>
      <c r="AG65" s="60"/>
      <c r="AH65" s="60"/>
      <c r="AI65" s="60"/>
      <c r="AJ65" s="2"/>
      <c r="AK65" s="2"/>
      <c r="AL65" s="3">
        <v>326523</v>
      </c>
      <c r="AM65" s="3">
        <v>401000</v>
      </c>
      <c r="AN65" s="60">
        <f>AN208+AN233</f>
        <v>420000</v>
      </c>
      <c r="AO65" s="60">
        <f t="shared" ref="AO65:AZ65" si="160">AO208+AO233</f>
        <v>542912.30243687262</v>
      </c>
      <c r="AP65" s="60">
        <f t="shared" si="160"/>
        <v>807464.70324883214</v>
      </c>
      <c r="AQ65" s="60">
        <f t="shared" si="160"/>
        <v>1103745.8044400697</v>
      </c>
      <c r="AR65" s="60">
        <f t="shared" si="160"/>
        <v>1262987.7455776499</v>
      </c>
      <c r="AS65" s="60">
        <f t="shared" si="160"/>
        <v>1333650.9715290787</v>
      </c>
      <c r="AT65" s="60">
        <f t="shared" si="160"/>
        <v>1728851.9807244213</v>
      </c>
      <c r="AU65" s="60">
        <f t="shared" si="160"/>
        <v>2117073.6961931875</v>
      </c>
      <c r="AV65" s="60">
        <f t="shared" si="160"/>
        <v>2871522.8849338726</v>
      </c>
      <c r="AW65" s="60">
        <f>AW208+AW233</f>
        <v>2728799.1044605537</v>
      </c>
      <c r="AX65" s="60">
        <f t="shared" si="160"/>
        <v>3431314.045714736</v>
      </c>
      <c r="AY65" s="60">
        <f t="shared" si="160"/>
        <v>4755230.5160913048</v>
      </c>
      <c r="AZ65" s="60">
        <f t="shared" si="160"/>
        <v>4984192.7748442274</v>
      </c>
      <c r="BA65" s="60">
        <f t="shared" ref="BA65" si="161">BA208+BA233</f>
        <v>7674178.9151144084</v>
      </c>
      <c r="BB65" s="60">
        <f t="shared" si="157"/>
        <v>9899350.0798552558</v>
      </c>
      <c r="BC65" s="60">
        <f t="shared" si="157"/>
        <v>9263394.0652267095</v>
      </c>
      <c r="BD65" s="60">
        <f t="shared" si="158"/>
        <v>10871371.942994889</v>
      </c>
      <c r="BE65" s="60">
        <f t="shared" si="158"/>
        <v>12777823.657869888</v>
      </c>
      <c r="BF65" s="60">
        <f t="shared" si="158"/>
        <v>14464071.994323242</v>
      </c>
      <c r="BG65" s="60">
        <f t="shared" ref="BG65:BH65" si="162">BG208+BG233</f>
        <v>17872428.979547784</v>
      </c>
      <c r="BH65" s="60">
        <f t="shared" si="162"/>
        <v>22372829.042929564</v>
      </c>
    </row>
    <row r="66" spans="4:60" x14ac:dyDescent="0.2">
      <c r="D66" s="245">
        <f t="shared" si="142"/>
        <v>108663.88491216488</v>
      </c>
      <c r="E66" s="192" t="s">
        <v>110</v>
      </c>
      <c r="J66" s="60">
        <f t="shared" si="120"/>
        <v>3004226</v>
      </c>
      <c r="K66" s="60">
        <f t="shared" si="121"/>
        <v>3467531.5</v>
      </c>
      <c r="L66" s="60">
        <f t="shared" si="122"/>
        <v>4558577.9823307218</v>
      </c>
      <c r="M66" s="60">
        <f t="shared" si="123"/>
        <v>5734899.1165719898</v>
      </c>
      <c r="N66" s="60">
        <f t="shared" si="124"/>
        <v>6400051.4875067659</v>
      </c>
      <c r="O66" s="60">
        <f t="shared" si="125"/>
        <v>7193437.5465735383</v>
      </c>
      <c r="P66" s="60">
        <f t="shared" si="126"/>
        <v>8264987.9831806431</v>
      </c>
      <c r="Q66" s="60">
        <f t="shared" si="127"/>
        <v>9735345.9682575576</v>
      </c>
      <c r="R66" s="60">
        <f t="shared" si="128"/>
        <v>11633212.966931513</v>
      </c>
      <c r="S66" s="60">
        <f t="shared" si="129"/>
        <v>13720380.398265511</v>
      </c>
      <c r="T66" s="60">
        <f t="shared" si="130"/>
        <v>15947814.911310634</v>
      </c>
      <c r="U66" s="60">
        <f t="shared" si="131"/>
        <v>18267113.53292083</v>
      </c>
      <c r="V66" s="60">
        <f t="shared" si="132"/>
        <v>20965516.634513482</v>
      </c>
      <c r="W66" s="60">
        <f t="shared" si="133"/>
        <v>24128405.689860348</v>
      </c>
      <c r="X66" s="60">
        <f t="shared" si="134"/>
        <v>27407404.368880548</v>
      </c>
      <c r="Y66" s="60">
        <f t="shared" si="135"/>
        <v>30853988.298737325</v>
      </c>
      <c r="Z66" s="60">
        <f t="shared" si="90"/>
        <v>38170807.732104167</v>
      </c>
      <c r="AA66" s="60">
        <f t="shared" si="91"/>
        <v>46525244.693120182</v>
      </c>
      <c r="AB66" s="60">
        <f t="shared" si="91"/>
        <v>52656797.915221177</v>
      </c>
      <c r="AC66" s="60">
        <f t="shared" si="91"/>
        <v>58520391.14679344</v>
      </c>
      <c r="AD66" s="60">
        <f t="shared" si="92"/>
        <v>66919796.249869034</v>
      </c>
      <c r="AE66" s="60">
        <f t="shared" si="93"/>
        <v>80276490.271456778</v>
      </c>
      <c r="AF66" s="60"/>
      <c r="AG66" s="60"/>
      <c r="AH66" s="60"/>
      <c r="AI66" s="60"/>
      <c r="AJ66" s="2"/>
      <c r="AK66" s="2"/>
      <c r="AL66" s="60">
        <v>2767189</v>
      </c>
      <c r="AM66" s="60">
        <v>3241263</v>
      </c>
      <c r="AN66" s="60">
        <f>SUM(AN67:AN76)</f>
        <v>3693800</v>
      </c>
      <c r="AO66" s="60">
        <f t="shared" ref="AO66:AZ66" si="163">SUM(AO67:AO76)</f>
        <v>5423355.9646614436</v>
      </c>
      <c r="AP66" s="60">
        <f t="shared" si="163"/>
        <v>6046442.2684825361</v>
      </c>
      <c r="AQ66" s="60">
        <f t="shared" si="163"/>
        <v>6753660.7065309947</v>
      </c>
      <c r="AR66" s="60">
        <f t="shared" si="163"/>
        <v>7633214.386616081</v>
      </c>
      <c r="AS66" s="60">
        <f t="shared" si="163"/>
        <v>8896761.5797452051</v>
      </c>
      <c r="AT66" s="60">
        <f t="shared" si="163"/>
        <v>10573930.35676991</v>
      </c>
      <c r="AU66" s="60">
        <f t="shared" si="163"/>
        <v>12692495.577093115</v>
      </c>
      <c r="AV66" s="60">
        <f t="shared" si="163"/>
        <v>14748265.219437905</v>
      </c>
      <c r="AW66" s="60">
        <f t="shared" si="163"/>
        <v>17147364.603183363</v>
      </c>
      <c r="AX66" s="60">
        <f t="shared" si="163"/>
        <v>19386862.462658301</v>
      </c>
      <c r="AY66" s="60">
        <f t="shared" si="163"/>
        <v>22544170.806368664</v>
      </c>
      <c r="AZ66" s="60">
        <f t="shared" si="163"/>
        <v>25712640.573352031</v>
      </c>
      <c r="BA66" s="60">
        <f t="shared" ref="BA66:BF66" si="164">SUM(BA67:BA76)</f>
        <v>29102168.16440906</v>
      </c>
      <c r="BB66" s="60">
        <f t="shared" si="164"/>
        <v>32605808.433065593</v>
      </c>
      <c r="BC66" s="60">
        <f t="shared" si="164"/>
        <v>43735807.031142749</v>
      </c>
      <c r="BD66" s="60">
        <f t="shared" si="164"/>
        <v>49314682.355097607</v>
      </c>
      <c r="BE66" s="60">
        <f t="shared" si="164"/>
        <v>55998913.475344747</v>
      </c>
      <c r="BF66" s="60">
        <f t="shared" si="164"/>
        <v>61041868.818242125</v>
      </c>
      <c r="BG66" s="60">
        <f t="shared" ref="BG66:BH66" si="165">SUM(BG67:BG76)</f>
        <v>72797723.681495935</v>
      </c>
      <c r="BH66" s="60">
        <f t="shared" si="165"/>
        <v>87755256.861417606</v>
      </c>
    </row>
    <row r="67" spans="4:60" x14ac:dyDescent="0.2">
      <c r="D67" s="245">
        <f t="shared" si="142"/>
        <v>0</v>
      </c>
      <c r="E67" s="191" t="s">
        <v>111</v>
      </c>
      <c r="J67" s="60">
        <f t="shared" si="120"/>
        <v>880945.5</v>
      </c>
      <c r="K67" s="60">
        <f t="shared" si="121"/>
        <v>995875.5</v>
      </c>
      <c r="L67" s="60">
        <f t="shared" si="122"/>
        <v>1161519.0132382181</v>
      </c>
      <c r="M67" s="60">
        <f t="shared" si="123"/>
        <v>1338590.9197402024</v>
      </c>
      <c r="N67" s="60">
        <f t="shared" si="124"/>
        <v>1485190.6404422508</v>
      </c>
      <c r="O67" s="60">
        <f t="shared" si="125"/>
        <v>1644543.1826875778</v>
      </c>
      <c r="P67" s="60">
        <f t="shared" si="126"/>
        <v>1857108.5325243152</v>
      </c>
      <c r="Q67" s="60">
        <f t="shared" si="127"/>
        <v>2122992.9952119882</v>
      </c>
      <c r="R67" s="60">
        <f t="shared" si="128"/>
        <v>2448376.2697932515</v>
      </c>
      <c r="S67" s="60">
        <f t="shared" si="129"/>
        <v>2919521.9567636773</v>
      </c>
      <c r="T67" s="60">
        <f t="shared" si="130"/>
        <v>3469290.0522144046</v>
      </c>
      <c r="U67" s="60">
        <f t="shared" si="131"/>
        <v>4085674.8641865887</v>
      </c>
      <c r="V67" s="60">
        <f t="shared" si="132"/>
        <v>4998919.5280243028</v>
      </c>
      <c r="W67" s="60">
        <f t="shared" si="133"/>
        <v>5980325.7067496032</v>
      </c>
      <c r="X67" s="60">
        <f t="shared" si="134"/>
        <v>6830497.5617650747</v>
      </c>
      <c r="Y67" s="60">
        <f t="shared" si="135"/>
        <v>7825082.3904028255</v>
      </c>
      <c r="Z67" s="60">
        <f t="shared" si="90"/>
        <v>8894079.9886424243</v>
      </c>
      <c r="AA67" s="60">
        <f t="shared" si="91"/>
        <v>10137710.55782992</v>
      </c>
      <c r="AB67" s="60">
        <f t="shared" si="91"/>
        <v>11738534.953465406</v>
      </c>
      <c r="AC67" s="60">
        <f t="shared" si="91"/>
        <v>13318466.387687661</v>
      </c>
      <c r="AD67" s="60">
        <f t="shared" si="92"/>
        <v>15609881.180146981</v>
      </c>
      <c r="AE67" s="60">
        <f t="shared" si="93"/>
        <v>19237598.272973731</v>
      </c>
      <c r="AF67" s="60"/>
      <c r="AG67" s="60"/>
      <c r="AH67" s="60"/>
      <c r="AI67" s="60"/>
      <c r="AJ67" s="2"/>
      <c r="AK67" s="2"/>
      <c r="AL67" s="3">
        <v>816928</v>
      </c>
      <c r="AM67" s="3">
        <v>944963</v>
      </c>
      <c r="AN67" s="60">
        <f>AN210</f>
        <v>1046788</v>
      </c>
      <c r="AO67" s="60">
        <f t="shared" ref="AO67:AZ67" si="166">AO210</f>
        <v>1276250.0264764363</v>
      </c>
      <c r="AP67" s="60">
        <f t="shared" si="166"/>
        <v>1400931.8130039682</v>
      </c>
      <c r="AQ67" s="60">
        <f t="shared" si="166"/>
        <v>1569449.4678805335</v>
      </c>
      <c r="AR67" s="60">
        <f t="shared" si="166"/>
        <v>1719636.8974946223</v>
      </c>
      <c r="AS67" s="60">
        <f t="shared" si="166"/>
        <v>1994580.1675540083</v>
      </c>
      <c r="AT67" s="60">
        <f t="shared" si="166"/>
        <v>2251405.8228699681</v>
      </c>
      <c r="AU67" s="60">
        <f t="shared" si="166"/>
        <v>2645346.7167165349</v>
      </c>
      <c r="AV67" s="60">
        <f t="shared" si="166"/>
        <v>3193697.1968108192</v>
      </c>
      <c r="AW67" s="60">
        <f>AW210</f>
        <v>3744882.9076179895</v>
      </c>
      <c r="AX67" s="60">
        <f t="shared" si="166"/>
        <v>4426466.8207551884</v>
      </c>
      <c r="AY67" s="60">
        <f t="shared" si="166"/>
        <v>5571372.2352934182</v>
      </c>
      <c r="AZ67" s="60">
        <f t="shared" si="166"/>
        <v>6389279.1782057891</v>
      </c>
      <c r="BA67" s="60">
        <f t="shared" ref="BA67" si="167">BA210</f>
        <v>7271715.9453243595</v>
      </c>
      <c r="BB67" s="60">
        <f t="shared" ref="BB67:BB71" si="168">BB210</f>
        <v>8378448.8354812926</v>
      </c>
      <c r="BC67" s="60">
        <f t="shared" ref="BC67:BD71" si="169">BC210</f>
        <v>9409711.1418035571</v>
      </c>
      <c r="BD67" s="60">
        <f t="shared" si="169"/>
        <v>10865709.973856281</v>
      </c>
      <c r="BE67" s="60">
        <f t="shared" ref="BE67:BF71" si="170">BE210</f>
        <v>12611359.93307453</v>
      </c>
      <c r="BF67" s="60">
        <f t="shared" si="170"/>
        <v>14025572.842300793</v>
      </c>
      <c r="BG67" s="60">
        <f t="shared" ref="BG67:BH67" si="171">BG210</f>
        <v>17194189.517993167</v>
      </c>
      <c r="BH67" s="60">
        <f t="shared" si="171"/>
        <v>21281007.027954295</v>
      </c>
    </row>
    <row r="68" spans="4:60" x14ac:dyDescent="0.2">
      <c r="D68" s="245">
        <f t="shared" si="142"/>
        <v>0</v>
      </c>
      <c r="E68" s="191" t="s">
        <v>112</v>
      </c>
      <c r="J68" s="60">
        <f t="shared" si="120"/>
        <v>192719.5</v>
      </c>
      <c r="K68" s="60">
        <f t="shared" si="121"/>
        <v>216912.5</v>
      </c>
      <c r="L68" s="60">
        <f t="shared" si="122"/>
        <v>223110.77996460581</v>
      </c>
      <c r="M68" s="60">
        <f t="shared" si="123"/>
        <v>229217.08451749373</v>
      </c>
      <c r="N68" s="60">
        <f t="shared" si="124"/>
        <v>245041.10118281568</v>
      </c>
      <c r="O68" s="60">
        <f t="shared" si="125"/>
        <v>267185.02869567182</v>
      </c>
      <c r="P68" s="60">
        <f t="shared" si="126"/>
        <v>314577.30854774622</v>
      </c>
      <c r="Q68" s="60">
        <f t="shared" si="127"/>
        <v>355559.65717295202</v>
      </c>
      <c r="R68" s="60">
        <f t="shared" si="128"/>
        <v>422731.22835992725</v>
      </c>
      <c r="S68" s="60">
        <f t="shared" si="129"/>
        <v>520895.07820251124</v>
      </c>
      <c r="T68" s="60">
        <f t="shared" si="130"/>
        <v>620230.94885992771</v>
      </c>
      <c r="U68" s="60">
        <f t="shared" si="131"/>
        <v>700720.76274681173</v>
      </c>
      <c r="V68" s="60">
        <f t="shared" si="132"/>
        <v>727365.19839390297</v>
      </c>
      <c r="W68" s="60">
        <f t="shared" si="133"/>
        <v>810964.8390777387</v>
      </c>
      <c r="X68" s="60">
        <f t="shared" si="134"/>
        <v>895390.77489805431</v>
      </c>
      <c r="Y68" s="60">
        <f t="shared" si="135"/>
        <v>887575.24679299549</v>
      </c>
      <c r="Z68" s="60">
        <f t="shared" si="90"/>
        <v>1066329.6318852464</v>
      </c>
      <c r="AA68" s="60">
        <f t="shared" si="91"/>
        <v>1306325.6717777359</v>
      </c>
      <c r="AB68" s="60">
        <f t="shared" si="91"/>
        <v>1406619.4216362294</v>
      </c>
      <c r="AC68" s="60">
        <f t="shared" si="91"/>
        <v>1487172.259023299</v>
      </c>
      <c r="AD68" s="60">
        <f t="shared" si="92"/>
        <v>1612801.7547745579</v>
      </c>
      <c r="AE68" s="60">
        <f t="shared" si="93"/>
        <v>1832770.4001719751</v>
      </c>
      <c r="AF68" s="60"/>
      <c r="AG68" s="60"/>
      <c r="AH68" s="60"/>
      <c r="AI68" s="60"/>
      <c r="AJ68" s="2"/>
      <c r="AK68" s="2"/>
      <c r="AL68" s="3">
        <v>176614</v>
      </c>
      <c r="AM68" s="3">
        <v>208825</v>
      </c>
      <c r="AN68" s="60">
        <f>AN211</f>
        <v>225000</v>
      </c>
      <c r="AO68" s="60">
        <f t="shared" ref="AO68:AZ68" si="172">AO211</f>
        <v>221221.55992921159</v>
      </c>
      <c r="AP68" s="60">
        <f t="shared" si="172"/>
        <v>237212.60910577589</v>
      </c>
      <c r="AQ68" s="60">
        <f t="shared" si="172"/>
        <v>252869.59325985546</v>
      </c>
      <c r="AR68" s="60">
        <f t="shared" si="172"/>
        <v>281500.46413148823</v>
      </c>
      <c r="AS68" s="60">
        <f t="shared" si="172"/>
        <v>347654.1529640042</v>
      </c>
      <c r="AT68" s="60">
        <f t="shared" si="172"/>
        <v>363465.16138189984</v>
      </c>
      <c r="AU68" s="60">
        <f t="shared" si="172"/>
        <v>481997.29533795465</v>
      </c>
      <c r="AV68" s="60">
        <f t="shared" si="172"/>
        <v>559792.86106706783</v>
      </c>
      <c r="AW68" s="60">
        <f>AW211</f>
        <v>680669.03665278759</v>
      </c>
      <c r="AX68" s="60">
        <f t="shared" si="172"/>
        <v>720772.48884083587</v>
      </c>
      <c r="AY68" s="60">
        <f t="shared" si="172"/>
        <v>733957.90794697008</v>
      </c>
      <c r="AZ68" s="60">
        <f t="shared" si="172"/>
        <v>887971.77020850731</v>
      </c>
      <c r="BA68" s="60">
        <f t="shared" ref="BA68" si="173">BA211</f>
        <v>902809.77958760131</v>
      </c>
      <c r="BB68" s="60">
        <f t="shared" si="168"/>
        <v>872340.71399838966</v>
      </c>
      <c r="BC68" s="60">
        <f t="shared" si="169"/>
        <v>1260318.5497721029</v>
      </c>
      <c r="BD68" s="60">
        <f t="shared" si="169"/>
        <v>1352332.7937833692</v>
      </c>
      <c r="BE68" s="60">
        <f t="shared" si="170"/>
        <v>1460906.0494890893</v>
      </c>
      <c r="BF68" s="60">
        <f t="shared" si="170"/>
        <v>1513438.4685575087</v>
      </c>
      <c r="BG68" s="60">
        <f t="shared" ref="BG68:BH68" si="174">BG211</f>
        <v>1712165.0409916074</v>
      </c>
      <c r="BH68" s="60">
        <f t="shared" si="174"/>
        <v>1953375.7593523427</v>
      </c>
    </row>
    <row r="69" spans="4:60" x14ac:dyDescent="0.2">
      <c r="D69" s="245">
        <f t="shared" si="142"/>
        <v>0</v>
      </c>
      <c r="E69" s="191" t="s">
        <v>113</v>
      </c>
      <c r="J69" s="60">
        <f t="shared" si="120"/>
        <v>372329</v>
      </c>
      <c r="K69" s="60">
        <f t="shared" si="121"/>
        <v>425054.5</v>
      </c>
      <c r="L69" s="60">
        <f t="shared" si="122"/>
        <v>644314.9770061858</v>
      </c>
      <c r="M69" s="60">
        <f t="shared" si="123"/>
        <v>875558.50931814639</v>
      </c>
      <c r="N69" s="60">
        <f t="shared" si="124"/>
        <v>954078.53342086298</v>
      </c>
      <c r="O69" s="60">
        <f t="shared" si="125"/>
        <v>1049953.8881548736</v>
      </c>
      <c r="P69" s="60">
        <f t="shared" si="126"/>
        <v>1160774.0869418283</v>
      </c>
      <c r="Q69" s="60">
        <f t="shared" si="127"/>
        <v>1303496.489138857</v>
      </c>
      <c r="R69" s="60">
        <f t="shared" si="128"/>
        <v>1479925.1013738629</v>
      </c>
      <c r="S69" s="60">
        <f t="shared" si="129"/>
        <v>1771176.4344531763</v>
      </c>
      <c r="T69" s="60">
        <f t="shared" si="130"/>
        <v>2145169.876631693</v>
      </c>
      <c r="U69" s="60">
        <f t="shared" si="131"/>
        <v>2429123.5909084082</v>
      </c>
      <c r="V69" s="60">
        <f t="shared" si="132"/>
        <v>2633188.5226124134</v>
      </c>
      <c r="W69" s="60">
        <f t="shared" si="133"/>
        <v>2731294.0991483107</v>
      </c>
      <c r="X69" s="60">
        <f t="shared" si="134"/>
        <v>2859982.3309047446</v>
      </c>
      <c r="Y69" s="60">
        <f t="shared" si="135"/>
        <v>3212211.6235617045</v>
      </c>
      <c r="Z69" s="60">
        <f t="shared" si="90"/>
        <v>4685771.3655992774</v>
      </c>
      <c r="AA69" s="60">
        <f t="shared" si="91"/>
        <v>6472929.9122400619</v>
      </c>
      <c r="AB69" s="60">
        <f t="shared" si="91"/>
        <v>7676024.0424917731</v>
      </c>
      <c r="AC69" s="60">
        <f t="shared" si="91"/>
        <v>8923416.4789166059</v>
      </c>
      <c r="AD69" s="60">
        <f t="shared" si="92"/>
        <v>10656672.402675565</v>
      </c>
      <c r="AE69" s="60">
        <f t="shared" si="93"/>
        <v>13304814.372123508</v>
      </c>
      <c r="AF69" s="60"/>
      <c r="AG69" s="60"/>
      <c r="AH69" s="60"/>
      <c r="AI69" s="60"/>
      <c r="AJ69" s="2"/>
      <c r="AK69" s="2"/>
      <c r="AL69" s="3">
        <v>341863</v>
      </c>
      <c r="AM69" s="3">
        <v>402795</v>
      </c>
      <c r="AN69" s="60">
        <f>AN212</f>
        <v>447314</v>
      </c>
      <c r="AO69" s="60">
        <f t="shared" ref="AO69:AZ69" si="175">AO212</f>
        <v>841315.9540123716</v>
      </c>
      <c r="AP69" s="60">
        <f t="shared" si="175"/>
        <v>909801.06462392106</v>
      </c>
      <c r="AQ69" s="60">
        <f t="shared" si="175"/>
        <v>998356.0022178049</v>
      </c>
      <c r="AR69" s="60">
        <f t="shared" si="175"/>
        <v>1101551.7740919422</v>
      </c>
      <c r="AS69" s="60">
        <f t="shared" si="175"/>
        <v>1219996.3997917143</v>
      </c>
      <c r="AT69" s="60">
        <f t="shared" si="175"/>
        <v>1386996.578486</v>
      </c>
      <c r="AU69" s="60">
        <f t="shared" si="175"/>
        <v>1572853.6242617257</v>
      </c>
      <c r="AV69" s="60">
        <f t="shared" si="175"/>
        <v>1969499.244644627</v>
      </c>
      <c r="AW69" s="60">
        <f>AW212</f>
        <v>2320840.508618759</v>
      </c>
      <c r="AX69" s="60">
        <f t="shared" si="175"/>
        <v>2537406.6731980573</v>
      </c>
      <c r="AY69" s="60">
        <f t="shared" si="175"/>
        <v>2728970.3720267694</v>
      </c>
      <c r="AZ69" s="60">
        <f t="shared" si="175"/>
        <v>2733617.826269852</v>
      </c>
      <c r="BA69" s="60">
        <f t="shared" ref="BA69" si="176">BA212</f>
        <v>2986346.8355396367</v>
      </c>
      <c r="BB69" s="60">
        <f t="shared" si="168"/>
        <v>3438076.4115837729</v>
      </c>
      <c r="BC69" s="60">
        <f t="shared" si="169"/>
        <v>5933466.319614782</v>
      </c>
      <c r="BD69" s="60">
        <f t="shared" si="169"/>
        <v>7012393.5048653428</v>
      </c>
      <c r="BE69" s="60">
        <f t="shared" si="170"/>
        <v>8339654.5801182026</v>
      </c>
      <c r="BF69" s="60">
        <f t="shared" si="170"/>
        <v>9507178.3777150083</v>
      </c>
      <c r="BG69" s="60">
        <f t="shared" ref="BG69:BH69" si="177">BG212</f>
        <v>11806166.42763612</v>
      </c>
      <c r="BH69" s="60">
        <f t="shared" si="177"/>
        <v>14803462.316610895</v>
      </c>
    </row>
    <row r="70" spans="4:60" x14ac:dyDescent="0.2">
      <c r="D70" s="245">
        <f t="shared" si="142"/>
        <v>0</v>
      </c>
      <c r="E70" s="191" t="s">
        <v>114</v>
      </c>
      <c r="J70" s="60">
        <f t="shared" si="120"/>
        <v>77666</v>
      </c>
      <c r="K70" s="60">
        <f t="shared" si="121"/>
        <v>90752.5</v>
      </c>
      <c r="L70" s="60">
        <f t="shared" si="122"/>
        <v>144181.34639779056</v>
      </c>
      <c r="M70" s="60">
        <f t="shared" si="123"/>
        <v>206235.58357029065</v>
      </c>
      <c r="N70" s="60">
        <f t="shared" si="124"/>
        <v>247638.85266286752</v>
      </c>
      <c r="O70" s="60">
        <f t="shared" si="125"/>
        <v>312389.53031561343</v>
      </c>
      <c r="P70" s="60">
        <f t="shared" si="126"/>
        <v>410381.50583195727</v>
      </c>
      <c r="Q70" s="60">
        <f t="shared" si="127"/>
        <v>498624.36968634097</v>
      </c>
      <c r="R70" s="60">
        <f t="shared" si="128"/>
        <v>571152.20316399657</v>
      </c>
      <c r="S70" s="60">
        <f t="shared" si="129"/>
        <v>668806.68185821397</v>
      </c>
      <c r="T70" s="60">
        <f t="shared" si="130"/>
        <v>817639.94102572231</v>
      </c>
      <c r="U70" s="60">
        <f t="shared" si="131"/>
        <v>1032240.3427969187</v>
      </c>
      <c r="V70" s="60">
        <f t="shared" si="132"/>
        <v>1198321.1678307927</v>
      </c>
      <c r="W70" s="60">
        <f t="shared" si="133"/>
        <v>1349779.6576624389</v>
      </c>
      <c r="X70" s="60">
        <f t="shared" si="134"/>
        <v>1539524.763229894</v>
      </c>
      <c r="Y70" s="60">
        <f t="shared" si="135"/>
        <v>1662397.7519107582</v>
      </c>
      <c r="Z70" s="60">
        <f t="shared" si="90"/>
        <v>2777375.2997731762</v>
      </c>
      <c r="AA70" s="60">
        <f t="shared" si="91"/>
        <v>4111372.5719454652</v>
      </c>
      <c r="AB70" s="60">
        <f t="shared" si="91"/>
        <v>4671958.9643346528</v>
      </c>
      <c r="AC70" s="60">
        <f t="shared" si="91"/>
        <v>5211199.9312348254</v>
      </c>
      <c r="AD70" s="60">
        <f t="shared" si="92"/>
        <v>5975363.9723110739</v>
      </c>
      <c r="AE70" s="60">
        <f t="shared" si="93"/>
        <v>7171179.1722888108</v>
      </c>
      <c r="AF70" s="60"/>
      <c r="AG70" s="60"/>
      <c r="AH70" s="60"/>
      <c r="AI70" s="60"/>
      <c r="AJ70" s="2"/>
      <c r="AK70" s="2"/>
      <c r="AL70" s="3">
        <v>70970</v>
      </c>
      <c r="AM70" s="3">
        <v>84362</v>
      </c>
      <c r="AN70" s="60">
        <f>AN213</f>
        <v>97143</v>
      </c>
      <c r="AO70" s="60">
        <f t="shared" ref="AO70:AZ70" si="178">AO213</f>
        <v>191219.69279558113</v>
      </c>
      <c r="AP70" s="60">
        <f t="shared" si="178"/>
        <v>221251.4743450002</v>
      </c>
      <c r="AQ70" s="60">
        <f t="shared" si="178"/>
        <v>274026.23098073481</v>
      </c>
      <c r="AR70" s="60">
        <f t="shared" si="178"/>
        <v>350752.82965049206</v>
      </c>
      <c r="AS70" s="60">
        <f t="shared" si="178"/>
        <v>470010.18201342248</v>
      </c>
      <c r="AT70" s="60">
        <f t="shared" si="178"/>
        <v>527238.55735925946</v>
      </c>
      <c r="AU70" s="60">
        <f t="shared" si="178"/>
        <v>615065.84896873357</v>
      </c>
      <c r="AV70" s="60">
        <f t="shared" si="178"/>
        <v>722547.51474769437</v>
      </c>
      <c r="AW70" s="60">
        <f>AW213</f>
        <v>912732.36730375013</v>
      </c>
      <c r="AX70" s="60">
        <f t="shared" si="178"/>
        <v>1151748.3182900874</v>
      </c>
      <c r="AY70" s="60">
        <f t="shared" si="178"/>
        <v>1244894.017371498</v>
      </c>
      <c r="AZ70" s="60">
        <f t="shared" si="178"/>
        <v>1454665.2979533798</v>
      </c>
      <c r="BA70" s="60">
        <f t="shared" ref="BA70" si="179">BA213</f>
        <v>1624384.2285064084</v>
      </c>
      <c r="BB70" s="60">
        <f t="shared" si="168"/>
        <v>1700411.275315108</v>
      </c>
      <c r="BC70" s="60">
        <f t="shared" si="169"/>
        <v>3854339.3242312442</v>
      </c>
      <c r="BD70" s="60">
        <f t="shared" si="169"/>
        <v>4368405.8196596857</v>
      </c>
      <c r="BE70" s="60">
        <f t="shared" si="170"/>
        <v>4975512.1090096198</v>
      </c>
      <c r="BF70" s="60">
        <f t="shared" si="170"/>
        <v>5446887.7534600319</v>
      </c>
      <c r="BG70" s="60">
        <f t="shared" ref="BG70:BH70" si="180">BG213</f>
        <v>6503840.191162115</v>
      </c>
      <c r="BH70" s="60">
        <f t="shared" si="180"/>
        <v>7838518.1534155058</v>
      </c>
    </row>
    <row r="71" spans="4:60" x14ac:dyDescent="0.2">
      <c r="D71" s="245">
        <f t="shared" si="142"/>
        <v>0</v>
      </c>
      <c r="E71" s="191" t="s">
        <v>115</v>
      </c>
      <c r="J71" s="60">
        <f t="shared" si="120"/>
        <v>112745.5</v>
      </c>
      <c r="K71" s="60">
        <f t="shared" si="121"/>
        <v>122434</v>
      </c>
      <c r="L71" s="60">
        <f t="shared" si="122"/>
        <v>183302.24455790815</v>
      </c>
      <c r="M71" s="60">
        <f t="shared" si="123"/>
        <v>273250.69243808289</v>
      </c>
      <c r="N71" s="60">
        <f t="shared" si="124"/>
        <v>328604.22400977917</v>
      </c>
      <c r="O71" s="60">
        <f t="shared" si="125"/>
        <v>371042.84319565725</v>
      </c>
      <c r="P71" s="60">
        <f t="shared" si="126"/>
        <v>422090.04667587799</v>
      </c>
      <c r="Q71" s="60">
        <f t="shared" si="127"/>
        <v>513383.99733160046</v>
      </c>
      <c r="R71" s="60">
        <f t="shared" si="128"/>
        <v>665366.92017057096</v>
      </c>
      <c r="S71" s="60">
        <f t="shared" si="129"/>
        <v>857677.06079230504</v>
      </c>
      <c r="T71" s="60">
        <f t="shared" si="130"/>
        <v>1069065.9422970405</v>
      </c>
      <c r="U71" s="60">
        <f t="shared" si="131"/>
        <v>1293664.5531621717</v>
      </c>
      <c r="V71" s="60">
        <f t="shared" si="132"/>
        <v>1590629.9609079929</v>
      </c>
      <c r="W71" s="60">
        <f t="shared" si="133"/>
        <v>1921472.9642713782</v>
      </c>
      <c r="X71" s="60">
        <f t="shared" si="134"/>
        <v>2189433.8669118527</v>
      </c>
      <c r="Y71" s="60">
        <f t="shared" si="135"/>
        <v>2501574.7092334921</v>
      </c>
      <c r="Z71" s="60">
        <f t="shared" si="90"/>
        <v>3253262.1599492324</v>
      </c>
      <c r="AA71" s="60">
        <f t="shared" si="91"/>
        <v>4120059.9831867553</v>
      </c>
      <c r="AB71" s="60">
        <f t="shared" si="91"/>
        <v>4801650.7975999098</v>
      </c>
      <c r="AC71" s="60">
        <f t="shared" si="91"/>
        <v>5499194.9370562565</v>
      </c>
      <c r="AD71" s="60">
        <f t="shared" si="92"/>
        <v>6490097.634245459</v>
      </c>
      <c r="AE71" s="60">
        <f t="shared" si="93"/>
        <v>8014201.2561666761</v>
      </c>
      <c r="AF71" s="60"/>
      <c r="AG71" s="60"/>
      <c r="AH71" s="60"/>
      <c r="AI71" s="60"/>
      <c r="AJ71" s="2"/>
      <c r="AK71" s="2"/>
      <c r="AL71" s="3">
        <v>107920</v>
      </c>
      <c r="AM71" s="3">
        <v>117571</v>
      </c>
      <c r="AN71" s="60">
        <f>AN214</f>
        <v>127297</v>
      </c>
      <c r="AO71" s="60">
        <f t="shared" ref="AO71:AZ71" si="181">AO214</f>
        <v>239307.48911581628</v>
      </c>
      <c r="AP71" s="60">
        <f t="shared" si="181"/>
        <v>307193.89576034946</v>
      </c>
      <c r="AQ71" s="60">
        <f t="shared" si="181"/>
        <v>350014.55225920887</v>
      </c>
      <c r="AR71" s="60">
        <f t="shared" si="181"/>
        <v>392071.13413210562</v>
      </c>
      <c r="AS71" s="60">
        <f t="shared" si="181"/>
        <v>452108.95921965037</v>
      </c>
      <c r="AT71" s="60">
        <f t="shared" si="181"/>
        <v>574659.03544355056</v>
      </c>
      <c r="AU71" s="60">
        <f t="shared" si="181"/>
        <v>756074.80489759147</v>
      </c>
      <c r="AV71" s="60">
        <f t="shared" si="181"/>
        <v>959279.31668701861</v>
      </c>
      <c r="AW71" s="60">
        <f>AW214</f>
        <v>1178852.5679070624</v>
      </c>
      <c r="AX71" s="60">
        <f t="shared" si="181"/>
        <v>1408476.5384172811</v>
      </c>
      <c r="AY71" s="60">
        <f t="shared" si="181"/>
        <v>1772783.3833987047</v>
      </c>
      <c r="AZ71" s="60">
        <f t="shared" si="181"/>
        <v>2070162.5451440515</v>
      </c>
      <c r="BA71" s="60">
        <f t="shared" ref="BA71" si="182">BA214</f>
        <v>2308705.1886796537</v>
      </c>
      <c r="BB71" s="60">
        <f t="shared" si="168"/>
        <v>2694444.2297873306</v>
      </c>
      <c r="BC71" s="60">
        <f t="shared" si="169"/>
        <v>3812080.0901111341</v>
      </c>
      <c r="BD71" s="60">
        <f t="shared" si="169"/>
        <v>4428039.876262377</v>
      </c>
      <c r="BE71" s="60">
        <f t="shared" si="170"/>
        <v>5175261.7189374436</v>
      </c>
      <c r="BF71" s="60">
        <f t="shared" si="170"/>
        <v>5823128.1551750693</v>
      </c>
      <c r="BG71" s="60">
        <f t="shared" ref="BG71:BH71" si="183">BG214</f>
        <v>7157067.1133158496</v>
      </c>
      <c r="BH71" s="60">
        <f t="shared" si="183"/>
        <v>8871335.3990175035</v>
      </c>
    </row>
    <row r="72" spans="4:60" x14ac:dyDescent="0.2">
      <c r="D72" s="245">
        <f t="shared" si="142"/>
        <v>108663.88491216395</v>
      </c>
      <c r="E72" s="191" t="s">
        <v>116</v>
      </c>
      <c r="J72" s="60">
        <f t="shared" si="120"/>
        <v>660412.5</v>
      </c>
      <c r="K72" s="60">
        <f t="shared" ref="K72:K80" si="184">AVERAGE(AM72:AN72)</f>
        <v>795724.5</v>
      </c>
      <c r="L72" s="60">
        <f t="shared" si="122"/>
        <v>1041434.0845031925</v>
      </c>
      <c r="M72" s="60">
        <f t="shared" si="123"/>
        <v>1260821.9895149805</v>
      </c>
      <c r="N72" s="60">
        <f t="shared" si="124"/>
        <v>1389730.6051126146</v>
      </c>
      <c r="O72" s="60">
        <f t="shared" si="125"/>
        <v>1559622.2944989521</v>
      </c>
      <c r="P72" s="60">
        <f t="shared" si="126"/>
        <v>1539151.4248546222</v>
      </c>
      <c r="Q72" s="60">
        <f t="shared" si="127"/>
        <v>1542731.4473428796</v>
      </c>
      <c r="R72" s="60">
        <f t="shared" si="128"/>
        <v>1787082.5253998409</v>
      </c>
      <c r="S72" s="60">
        <f t="shared" si="129"/>
        <v>2043269.0919012967</v>
      </c>
      <c r="T72" s="60">
        <f t="shared" si="130"/>
        <v>2320276.7393067209</v>
      </c>
      <c r="U72" s="60">
        <f t="shared" ref="U72:Y76" si="185">AVERAGE(AW72:AX72)</f>
        <v>2619536.2217928967</v>
      </c>
      <c r="V72" s="60">
        <f t="shared" si="185"/>
        <v>2928197.1396188978</v>
      </c>
      <c r="W72" s="60">
        <f t="shared" si="185"/>
        <v>3257085.2275245818</v>
      </c>
      <c r="X72" s="60">
        <f t="shared" si="185"/>
        <v>3498866.4399487888</v>
      </c>
      <c r="Y72" s="60">
        <f t="shared" si="185"/>
        <v>3766692.5863956767</v>
      </c>
      <c r="Z72" s="60">
        <f t="shared" ref="Z72:AC76" si="186">AVERAGE(BB72:BC72)</f>
        <v>4538966.2351883706</v>
      </c>
      <c r="AA72" s="60">
        <f t="shared" si="186"/>
        <v>5294116.581595676</v>
      </c>
      <c r="AB72" s="60">
        <f t="shared" si="186"/>
        <v>5664271.9369646031</v>
      </c>
      <c r="AC72" s="60">
        <f t="shared" si="186"/>
        <v>5938440.2722309735</v>
      </c>
      <c r="AD72" s="60">
        <f t="shared" si="92"/>
        <v>6377964.723757796</v>
      </c>
      <c r="AE72" s="60">
        <f t="shared" si="93"/>
        <v>7178114.1649341155</v>
      </c>
      <c r="AF72" s="60"/>
      <c r="AG72" s="60"/>
      <c r="AH72" s="60"/>
      <c r="AI72" s="60"/>
      <c r="AJ72" s="2"/>
      <c r="AK72" s="2"/>
      <c r="AL72" s="3">
        <v>597879</v>
      </c>
      <c r="AM72" s="3">
        <v>722946</v>
      </c>
      <c r="AN72" s="60">
        <f>AN215+AN235</f>
        <v>868503</v>
      </c>
      <c r="AO72" s="60">
        <f t="shared" ref="AO72:AZ72" si="187">AO215+AO235</f>
        <v>1214365.1690063849</v>
      </c>
      <c r="AP72" s="60">
        <f t="shared" si="187"/>
        <v>1307278.810023576</v>
      </c>
      <c r="AQ72" s="60">
        <f t="shared" si="187"/>
        <v>1472182.4002016534</v>
      </c>
      <c r="AR72" s="60">
        <f t="shared" si="187"/>
        <v>1647062.1887962511</v>
      </c>
      <c r="AS72" s="60">
        <f t="shared" si="187"/>
        <v>1431240.6609129934</v>
      </c>
      <c r="AT72" s="60">
        <f t="shared" si="187"/>
        <v>1654222.2337727656</v>
      </c>
      <c r="AU72" s="60">
        <f t="shared" si="187"/>
        <v>1919942.817026916</v>
      </c>
      <c r="AV72" s="60">
        <f t="shared" si="187"/>
        <v>2166595.3667756775</v>
      </c>
      <c r="AW72" s="60">
        <f>AW215+AW235</f>
        <v>2473958.1118377638</v>
      </c>
      <c r="AX72" s="60">
        <f t="shared" si="187"/>
        <v>2765114.3317480297</v>
      </c>
      <c r="AY72" s="60">
        <f t="shared" si="187"/>
        <v>3091279.9474897659</v>
      </c>
      <c r="AZ72" s="60">
        <f t="shared" si="187"/>
        <v>3422890.5075593977</v>
      </c>
      <c r="BA72" s="60">
        <f t="shared" ref="BA72" si="188">BA215+BA235</f>
        <v>3574842.37233818</v>
      </c>
      <c r="BB72" s="60">
        <f t="shared" ref="BB72:BF72" si="189">BB215+BB235</f>
        <v>3958542.8004531735</v>
      </c>
      <c r="BC72" s="60">
        <f t="shared" si="189"/>
        <v>5119389.6699235681</v>
      </c>
      <c r="BD72" s="60">
        <f t="shared" si="189"/>
        <v>5468843.4932677839</v>
      </c>
      <c r="BE72" s="60">
        <f t="shared" si="189"/>
        <v>5859700.3806614233</v>
      </c>
      <c r="BF72" s="60">
        <f t="shared" si="189"/>
        <v>6017180.1638005227</v>
      </c>
      <c r="BG72" s="60">
        <f t="shared" ref="BG72:BH72" si="190">BG215+BG235</f>
        <v>6738749.2837150684</v>
      </c>
      <c r="BH72" s="60">
        <f t="shared" si="190"/>
        <v>7617479.0461531635</v>
      </c>
    </row>
    <row r="73" spans="4:60" x14ac:dyDescent="0.2">
      <c r="D73" s="245">
        <f t="shared" si="142"/>
        <v>0</v>
      </c>
      <c r="E73" s="191" t="s">
        <v>117</v>
      </c>
      <c r="J73" s="60">
        <f t="shared" si="120"/>
        <v>440446</v>
      </c>
      <c r="K73" s="60">
        <f t="shared" si="184"/>
        <v>501521.5</v>
      </c>
      <c r="L73" s="60">
        <f t="shared" si="122"/>
        <v>584480.25993043755</v>
      </c>
      <c r="M73" s="60">
        <f t="shared" si="123"/>
        <v>684673.6480166507</v>
      </c>
      <c r="N73" s="60">
        <f t="shared" si="124"/>
        <v>795703.10684346571</v>
      </c>
      <c r="O73" s="60">
        <f t="shared" si="125"/>
        <v>953492.7359991991</v>
      </c>
      <c r="P73" s="60">
        <f t="shared" si="126"/>
        <v>1425653.0655876598</v>
      </c>
      <c r="Q73" s="60">
        <f t="shared" si="127"/>
        <v>2075422.4848636528</v>
      </c>
      <c r="R73" s="60">
        <f t="shared" si="128"/>
        <v>2664003.804377907</v>
      </c>
      <c r="S73" s="60">
        <f t="shared" si="129"/>
        <v>3052530.5850699628</v>
      </c>
      <c r="T73" s="60">
        <f t="shared" si="130"/>
        <v>3269895.7790456926</v>
      </c>
      <c r="U73" s="60">
        <f t="shared" si="185"/>
        <v>3527303.1327055134</v>
      </c>
      <c r="V73" s="60">
        <f t="shared" si="185"/>
        <v>4042206.7032453106</v>
      </c>
      <c r="W73" s="60">
        <f t="shared" si="185"/>
        <v>4941000.4363876274</v>
      </c>
      <c r="X73" s="60">
        <f t="shared" si="185"/>
        <v>6046494.9852122497</v>
      </c>
      <c r="Y73" s="60">
        <f t="shared" si="185"/>
        <v>6939252.2596657816</v>
      </c>
      <c r="Z73" s="60">
        <f t="shared" si="186"/>
        <v>7897605.2160187718</v>
      </c>
      <c r="AA73" s="60">
        <f t="shared" si="186"/>
        <v>8987640.5066835508</v>
      </c>
      <c r="AB73" s="60">
        <f t="shared" si="186"/>
        <v>9921195.2798792794</v>
      </c>
      <c r="AC73" s="60">
        <f t="shared" si="186"/>
        <v>10748968.810559487</v>
      </c>
      <c r="AD73" s="60">
        <f t="shared" si="92"/>
        <v>11930806.413701102</v>
      </c>
      <c r="AE73" s="60">
        <f t="shared" si="93"/>
        <v>13873198.168025684</v>
      </c>
      <c r="AF73" s="60"/>
      <c r="AG73" s="60"/>
      <c r="AH73" s="60"/>
      <c r="AI73" s="60"/>
      <c r="AJ73" s="2"/>
      <c r="AK73" s="2"/>
      <c r="AL73" s="3">
        <v>418078</v>
      </c>
      <c r="AM73" s="3">
        <v>462814</v>
      </c>
      <c r="AN73" s="60">
        <f>AN216</f>
        <v>540229</v>
      </c>
      <c r="AO73" s="60">
        <f t="shared" ref="AO73:AZ73" si="191">AO216</f>
        <v>628731.51986087509</v>
      </c>
      <c r="AP73" s="60">
        <f t="shared" si="191"/>
        <v>740615.77617242641</v>
      </c>
      <c r="AQ73" s="60">
        <f t="shared" si="191"/>
        <v>850790.43751450512</v>
      </c>
      <c r="AR73" s="60">
        <f t="shared" si="191"/>
        <v>1056195.0344838931</v>
      </c>
      <c r="AS73" s="60">
        <f t="shared" si="191"/>
        <v>1795111.0966914266</v>
      </c>
      <c r="AT73" s="60">
        <f t="shared" si="191"/>
        <v>2355733.8730358793</v>
      </c>
      <c r="AU73" s="60">
        <f t="shared" si="191"/>
        <v>2972273.735719935</v>
      </c>
      <c r="AV73" s="60">
        <f t="shared" si="191"/>
        <v>3132787.4344199901</v>
      </c>
      <c r="AW73" s="60">
        <f>AW216</f>
        <v>3407004.1236713952</v>
      </c>
      <c r="AX73" s="60">
        <f t="shared" si="191"/>
        <v>3647602.141739632</v>
      </c>
      <c r="AY73" s="60">
        <f t="shared" si="191"/>
        <v>4436811.2647509892</v>
      </c>
      <c r="AZ73" s="60">
        <f t="shared" si="191"/>
        <v>5445189.6080242656</v>
      </c>
      <c r="BA73" s="60">
        <f t="shared" ref="BA73" si="192">BA216</f>
        <v>6647800.3624002347</v>
      </c>
      <c r="BB73" s="60">
        <f t="shared" ref="BB73:BB76" si="193">BB216</f>
        <v>7230704.1569313286</v>
      </c>
      <c r="BC73" s="60">
        <f t="shared" ref="BC73:BD76" si="194">BC216</f>
        <v>8564506.275106214</v>
      </c>
      <c r="BD73" s="60">
        <f t="shared" si="194"/>
        <v>9410774.7382608876</v>
      </c>
      <c r="BE73" s="60">
        <f t="shared" ref="BE73:BF76" si="195">BE216</f>
        <v>10431615.821497673</v>
      </c>
      <c r="BF73" s="60">
        <f t="shared" si="195"/>
        <v>11066321.799621301</v>
      </c>
      <c r="BG73" s="60">
        <f t="shared" ref="BG73:BH73" si="196">BG216</f>
        <v>12795291.027780904</v>
      </c>
      <c r="BH73" s="60">
        <f t="shared" si="196"/>
        <v>14951105.308270466</v>
      </c>
    </row>
    <row r="74" spans="4:60" x14ac:dyDescent="0.2">
      <c r="D74" s="245">
        <f t="shared" si="142"/>
        <v>0</v>
      </c>
      <c r="E74" s="191" t="s">
        <v>118</v>
      </c>
      <c r="J74" s="60">
        <f t="shared" si="120"/>
        <v>134573.5</v>
      </c>
      <c r="K74" s="60">
        <f t="shared" si="184"/>
        <v>160500</v>
      </c>
      <c r="L74" s="60">
        <f t="shared" si="122"/>
        <v>275836.48691895767</v>
      </c>
      <c r="M74" s="60">
        <f t="shared" si="123"/>
        <v>405624.26866901689</v>
      </c>
      <c r="N74" s="60">
        <f t="shared" si="124"/>
        <v>440778.60850572679</v>
      </c>
      <c r="O74" s="60">
        <f t="shared" si="125"/>
        <v>466570.55566761794</v>
      </c>
      <c r="P74" s="60">
        <f t="shared" si="126"/>
        <v>494564.46459341887</v>
      </c>
      <c r="Q74" s="60">
        <f t="shared" si="127"/>
        <v>569713.40358835086</v>
      </c>
      <c r="R74" s="60">
        <f t="shared" si="128"/>
        <v>740832.55273161002</v>
      </c>
      <c r="S74" s="60">
        <f t="shared" si="129"/>
        <v>929257.64564598294</v>
      </c>
      <c r="T74" s="60">
        <f t="shared" si="130"/>
        <v>1100267.6690160902</v>
      </c>
      <c r="U74" s="60">
        <f t="shared" si="185"/>
        <v>1286698.8144839415</v>
      </c>
      <c r="V74" s="60">
        <f t="shared" si="185"/>
        <v>1421968.3009619811</v>
      </c>
      <c r="W74" s="60">
        <f t="shared" si="185"/>
        <v>1535542.1265295027</v>
      </c>
      <c r="X74" s="60">
        <f t="shared" si="185"/>
        <v>1750491.0880706168</v>
      </c>
      <c r="Y74" s="60">
        <f t="shared" si="185"/>
        <v>2032872.5464071282</v>
      </c>
      <c r="Z74" s="60">
        <f t="shared" si="186"/>
        <v>2510637.5319989529</v>
      </c>
      <c r="AA74" s="60">
        <f t="shared" si="186"/>
        <v>2982385.0672080051</v>
      </c>
      <c r="AB74" s="60">
        <f t="shared" si="186"/>
        <v>3271260.5076234555</v>
      </c>
      <c r="AC74" s="60">
        <f t="shared" si="186"/>
        <v>3522581.7516129781</v>
      </c>
      <c r="AD74" s="60">
        <f t="shared" si="92"/>
        <v>3888292.5518433889</v>
      </c>
      <c r="AE74" s="60">
        <f t="shared" si="93"/>
        <v>4491839.7881512176</v>
      </c>
      <c r="AF74" s="60"/>
      <c r="AG74" s="60"/>
      <c r="AH74" s="60"/>
      <c r="AI74" s="60"/>
      <c r="AJ74" s="2"/>
      <c r="AK74" s="2"/>
      <c r="AL74" s="3">
        <v>117147</v>
      </c>
      <c r="AM74" s="3">
        <v>152000</v>
      </c>
      <c r="AN74" s="60">
        <f>AN217</f>
        <v>169000</v>
      </c>
      <c r="AO74" s="60">
        <f t="shared" ref="AO74:AZ74" si="197">AO217</f>
        <v>382672.97383791534</v>
      </c>
      <c r="AP74" s="60">
        <f t="shared" si="197"/>
        <v>428575.56350011838</v>
      </c>
      <c r="AQ74" s="60">
        <f t="shared" si="197"/>
        <v>452981.6535113352</v>
      </c>
      <c r="AR74" s="60">
        <f t="shared" si="197"/>
        <v>480159.45782390068</v>
      </c>
      <c r="AS74" s="60">
        <f t="shared" si="197"/>
        <v>508969.47136293701</v>
      </c>
      <c r="AT74" s="60">
        <f t="shared" si="197"/>
        <v>630457.33581376472</v>
      </c>
      <c r="AU74" s="60">
        <f t="shared" si="197"/>
        <v>851207.76964945532</v>
      </c>
      <c r="AV74" s="60">
        <f t="shared" si="197"/>
        <v>1007307.5216425105</v>
      </c>
      <c r="AW74" s="60">
        <f>AW217</f>
        <v>1193227.8163896697</v>
      </c>
      <c r="AX74" s="60">
        <f t="shared" si="197"/>
        <v>1380169.8125782132</v>
      </c>
      <c r="AY74" s="60">
        <f t="shared" si="197"/>
        <v>1463766.7893457487</v>
      </c>
      <c r="AZ74" s="60">
        <f t="shared" si="197"/>
        <v>1607317.4637132564</v>
      </c>
      <c r="BA74" s="60">
        <f t="shared" ref="BA74" si="198">BA217</f>
        <v>1893664.7124279772</v>
      </c>
      <c r="BB74" s="60">
        <f t="shared" si="193"/>
        <v>2172080.380386279</v>
      </c>
      <c r="BC74" s="60">
        <f t="shared" si="194"/>
        <v>2849194.6836116267</v>
      </c>
      <c r="BD74" s="60">
        <f t="shared" si="194"/>
        <v>3115575.450804384</v>
      </c>
      <c r="BE74" s="60">
        <f t="shared" si="195"/>
        <v>3426945.5644425265</v>
      </c>
      <c r="BF74" s="60">
        <f t="shared" si="195"/>
        <v>3618217.9387834296</v>
      </c>
      <c r="BG74" s="60">
        <f t="shared" ref="BG74:BH74" si="199">BG217</f>
        <v>4158367.1649033488</v>
      </c>
      <c r="BH74" s="60">
        <f t="shared" si="199"/>
        <v>4825312.4113990869</v>
      </c>
    </row>
    <row r="75" spans="4:60" x14ac:dyDescent="0.2">
      <c r="D75" s="245">
        <f t="shared" si="142"/>
        <v>0</v>
      </c>
      <c r="E75" s="191" t="s">
        <v>119</v>
      </c>
      <c r="J75" s="60">
        <f t="shared" si="120"/>
        <v>68294</v>
      </c>
      <c r="K75" s="60">
        <f t="shared" si="184"/>
        <v>86647</v>
      </c>
      <c r="L75" s="60">
        <f t="shared" si="122"/>
        <v>136430.295879432</v>
      </c>
      <c r="M75" s="60">
        <f t="shared" si="123"/>
        <v>199841.11934295707</v>
      </c>
      <c r="N75" s="60">
        <f t="shared" si="124"/>
        <v>241007.06977332939</v>
      </c>
      <c r="O75" s="60">
        <f t="shared" si="125"/>
        <v>277101.12022502726</v>
      </c>
      <c r="P75" s="60">
        <f t="shared" si="126"/>
        <v>320056.28533451317</v>
      </c>
      <c r="Q75" s="60">
        <f t="shared" si="127"/>
        <v>396959.43564852409</v>
      </c>
      <c r="R75" s="60">
        <f t="shared" si="128"/>
        <v>444302.06765866344</v>
      </c>
      <c r="S75" s="60">
        <f t="shared" si="129"/>
        <v>485289.03231127345</v>
      </c>
      <c r="T75" s="60">
        <f t="shared" si="130"/>
        <v>597890.46965278313</v>
      </c>
      <c r="U75" s="60">
        <f t="shared" si="185"/>
        <v>699641.55136979325</v>
      </c>
      <c r="V75" s="60">
        <f t="shared" si="185"/>
        <v>778279.74908875767</v>
      </c>
      <c r="W75" s="60">
        <f t="shared" si="185"/>
        <v>870100.77370308212</v>
      </c>
      <c r="X75" s="60">
        <f t="shared" si="185"/>
        <v>969647.01946643088</v>
      </c>
      <c r="Y75" s="60">
        <f t="shared" si="185"/>
        <v>1085982.1968365919</v>
      </c>
      <c r="Z75" s="60">
        <f t="shared" si="186"/>
        <v>1352015.5458490718</v>
      </c>
      <c r="AA75" s="60">
        <f t="shared" si="186"/>
        <v>1655456.2256244896</v>
      </c>
      <c r="AB75" s="60">
        <f t="shared" si="186"/>
        <v>1881234.8317813342</v>
      </c>
      <c r="AC75" s="60">
        <f t="shared" si="186"/>
        <v>2096164.2531943307</v>
      </c>
      <c r="AD75" s="60">
        <f t="shared" si="92"/>
        <v>2397165.7758981236</v>
      </c>
      <c r="AE75" s="60">
        <f t="shared" si="93"/>
        <v>2867345.3517340291</v>
      </c>
      <c r="AF75" s="60"/>
      <c r="AG75" s="60"/>
      <c r="AH75" s="60"/>
      <c r="AI75" s="60"/>
      <c r="AJ75" s="2"/>
      <c r="AK75" s="2"/>
      <c r="AL75" s="3">
        <v>60667</v>
      </c>
      <c r="AM75" s="3">
        <v>75921</v>
      </c>
      <c r="AN75" s="60">
        <f>AN218</f>
        <v>97373</v>
      </c>
      <c r="AO75" s="60">
        <f t="shared" ref="AO75:AZ75" si="200">AO218</f>
        <v>175487.59175886397</v>
      </c>
      <c r="AP75" s="60">
        <f t="shared" si="200"/>
        <v>224194.64692705017</v>
      </c>
      <c r="AQ75" s="60">
        <f t="shared" si="200"/>
        <v>257819.49261960862</v>
      </c>
      <c r="AR75" s="60">
        <f t="shared" si="200"/>
        <v>296382.74783044594</v>
      </c>
      <c r="AS75" s="60">
        <f t="shared" si="200"/>
        <v>343729.82283858041</v>
      </c>
      <c r="AT75" s="60">
        <f t="shared" si="200"/>
        <v>450189.0484584677</v>
      </c>
      <c r="AU75" s="60">
        <f t="shared" si="200"/>
        <v>438415.08685885917</v>
      </c>
      <c r="AV75" s="60">
        <f t="shared" si="200"/>
        <v>532162.97776368773</v>
      </c>
      <c r="AW75" s="60">
        <f>AW218</f>
        <v>663617.96154187853</v>
      </c>
      <c r="AX75" s="60">
        <f t="shared" si="200"/>
        <v>735665.14119770785</v>
      </c>
      <c r="AY75" s="60">
        <f t="shared" si="200"/>
        <v>820894.35697980761</v>
      </c>
      <c r="AZ75" s="60">
        <f t="shared" si="200"/>
        <v>919307.19042635662</v>
      </c>
      <c r="BA75" s="60">
        <f t="shared" ref="BA75" si="201">BA218</f>
        <v>1019986.848506505</v>
      </c>
      <c r="BB75" s="60">
        <f t="shared" si="193"/>
        <v>1151977.545166679</v>
      </c>
      <c r="BC75" s="60">
        <f t="shared" si="194"/>
        <v>1552053.5465314649</v>
      </c>
      <c r="BD75" s="60">
        <f t="shared" si="194"/>
        <v>1758858.9047175145</v>
      </c>
      <c r="BE75" s="60">
        <f t="shared" si="195"/>
        <v>2003610.758845154</v>
      </c>
      <c r="BF75" s="60">
        <f t="shared" si="195"/>
        <v>2188717.7475435073</v>
      </c>
      <c r="BG75" s="60">
        <f t="shared" ref="BG75:BH75" si="202">BG218</f>
        <v>2605613.80425274</v>
      </c>
      <c r="BH75" s="60">
        <f t="shared" si="202"/>
        <v>3129076.8992153187</v>
      </c>
    </row>
    <row r="76" spans="4:60" x14ac:dyDescent="0.2">
      <c r="E76" s="191" t="s">
        <v>120</v>
      </c>
      <c r="J76" s="60">
        <f t="shared" si="120"/>
        <v>64094.5</v>
      </c>
      <c r="K76" s="60">
        <f t="shared" si="184"/>
        <v>72110</v>
      </c>
      <c r="L76" s="60">
        <f t="shared" si="122"/>
        <v>163968.49393399354</v>
      </c>
      <c r="M76" s="60">
        <f t="shared" si="123"/>
        <v>261085.30144416881</v>
      </c>
      <c r="N76" s="60">
        <f t="shared" si="124"/>
        <v>272278.74555305316</v>
      </c>
      <c r="O76" s="60">
        <f t="shared" si="125"/>
        <v>291536.36713334778</v>
      </c>
      <c r="P76" s="60">
        <f t="shared" si="126"/>
        <v>320631.26228870323</v>
      </c>
      <c r="Q76" s="60">
        <f t="shared" si="127"/>
        <v>356461.68827240978</v>
      </c>
      <c r="R76" s="60">
        <f t="shared" si="128"/>
        <v>409440.29390188103</v>
      </c>
      <c r="S76" s="60">
        <f t="shared" si="129"/>
        <v>471956.83126711089</v>
      </c>
      <c r="T76" s="60">
        <f t="shared" si="130"/>
        <v>538087.49326055963</v>
      </c>
      <c r="U76" s="60">
        <f t="shared" si="185"/>
        <v>592509.69876778871</v>
      </c>
      <c r="V76" s="60">
        <f t="shared" si="185"/>
        <v>646440.36382913264</v>
      </c>
      <c r="W76" s="60">
        <f t="shared" si="185"/>
        <v>730839.85880608566</v>
      </c>
      <c r="X76" s="60">
        <f t="shared" si="185"/>
        <v>827075.53847283951</v>
      </c>
      <c r="Y76" s="60">
        <f t="shared" si="185"/>
        <v>940346.98753037152</v>
      </c>
      <c r="Z76" s="60">
        <f t="shared" si="186"/>
        <v>1194764.7571996539</v>
      </c>
      <c r="AA76" s="60">
        <f t="shared" si="186"/>
        <v>1457247.6150285241</v>
      </c>
      <c r="AB76" s="60">
        <f t="shared" si="186"/>
        <v>1624047.1794445391</v>
      </c>
      <c r="AC76" s="60">
        <f t="shared" si="186"/>
        <v>1774786.0652770265</v>
      </c>
      <c r="AD76" s="60">
        <f t="shared" si="92"/>
        <v>1980749.8405149803</v>
      </c>
      <c r="AE76" s="60">
        <f t="shared" si="93"/>
        <v>2305429.3248870084</v>
      </c>
      <c r="AF76" s="60"/>
      <c r="AG76" s="60"/>
      <c r="AH76" s="60"/>
      <c r="AI76" s="60"/>
      <c r="AJ76" s="2"/>
      <c r="AK76" s="2"/>
      <c r="AL76" s="3">
        <v>59122</v>
      </c>
      <c r="AM76" s="3">
        <v>69067</v>
      </c>
      <c r="AN76" s="60">
        <f>AN219</f>
        <v>75153</v>
      </c>
      <c r="AO76" s="60">
        <f t="shared" ref="AO76:AZ76" si="203">AO219</f>
        <v>252783.98786798707</v>
      </c>
      <c r="AP76" s="60">
        <f t="shared" si="203"/>
        <v>269386.61502035055</v>
      </c>
      <c r="AQ76" s="60">
        <f t="shared" si="203"/>
        <v>275170.87608575576</v>
      </c>
      <c r="AR76" s="60">
        <f t="shared" si="203"/>
        <v>307901.85818093986</v>
      </c>
      <c r="AS76" s="60">
        <f t="shared" si="203"/>
        <v>333360.66639646667</v>
      </c>
      <c r="AT76" s="60">
        <f t="shared" si="203"/>
        <v>379562.7101483529</v>
      </c>
      <c r="AU76" s="60">
        <f t="shared" si="203"/>
        <v>439317.87765540916</v>
      </c>
      <c r="AV76" s="60">
        <f t="shared" si="203"/>
        <v>504595.78487881261</v>
      </c>
      <c r="AW76" s="60">
        <f>AW219</f>
        <v>571579.20164230652</v>
      </c>
      <c r="AX76" s="60">
        <f t="shared" si="203"/>
        <v>613440.19589327089</v>
      </c>
      <c r="AY76" s="60">
        <f t="shared" si="203"/>
        <v>679440.53176499426</v>
      </c>
      <c r="AZ76" s="60">
        <f t="shared" si="203"/>
        <v>782239.18584717705</v>
      </c>
      <c r="BA76" s="60">
        <f t="shared" ref="BA76" si="204">BA219</f>
        <v>871911.89109850198</v>
      </c>
      <c r="BB76" s="60">
        <f t="shared" si="193"/>
        <v>1008782.0839622411</v>
      </c>
      <c r="BC76" s="60">
        <f t="shared" si="194"/>
        <v>1380747.4304370666</v>
      </c>
      <c r="BD76" s="60">
        <f t="shared" si="194"/>
        <v>1533747.7996199816</v>
      </c>
      <c r="BE76" s="60">
        <f t="shared" si="195"/>
        <v>1714346.5592690967</v>
      </c>
      <c r="BF76" s="60">
        <f t="shared" si="195"/>
        <v>1835225.5712849565</v>
      </c>
      <c r="BG76" s="60">
        <f t="shared" ref="BG76:BH76" si="205">BG219</f>
        <v>2126274.1097450042</v>
      </c>
      <c r="BH76" s="60">
        <f t="shared" si="205"/>
        <v>2484584.5400290121</v>
      </c>
    </row>
    <row r="77" spans="4:60" x14ac:dyDescent="0.2">
      <c r="E77" s="177" t="s">
        <v>121</v>
      </c>
      <c r="J77" s="60">
        <f t="shared" si="120"/>
        <v>6420772.5</v>
      </c>
      <c r="K77" s="60">
        <f t="shared" si="184"/>
        <v>7295942</v>
      </c>
      <c r="L77" s="60">
        <f t="shared" si="122"/>
        <v>9155432.0752052628</v>
      </c>
      <c r="M77" s="60">
        <f t="shared" si="123"/>
        <v>11363900.711201187</v>
      </c>
      <c r="N77" s="60">
        <f t="shared" si="124"/>
        <v>13043620.968485042</v>
      </c>
      <c r="O77" s="60">
        <f t="shared" si="125"/>
        <v>14996217.918168489</v>
      </c>
      <c r="P77" s="60">
        <f t="shared" si="126"/>
        <v>17085424.521762803</v>
      </c>
      <c r="Q77" s="60">
        <f t="shared" si="127"/>
        <v>20152357.129152931</v>
      </c>
      <c r="R77" s="60">
        <f t="shared" si="128"/>
        <v>23722279.611839343</v>
      </c>
      <c r="S77" s="60">
        <f t="shared" si="129"/>
        <v>28080643.721323747</v>
      </c>
      <c r="T77" s="60">
        <f t="shared" si="130"/>
        <v>33227497.624980289</v>
      </c>
      <c r="U77" s="60">
        <f t="shared" ref="U77:Y80" si="206">AVERAGE(AW77:AX77)</f>
        <v>38485355.003074549</v>
      </c>
      <c r="V77" s="60">
        <f t="shared" si="206"/>
        <v>45728069.854464158</v>
      </c>
      <c r="W77" s="60">
        <f t="shared" si="206"/>
        <v>54130423.405069053</v>
      </c>
      <c r="X77" s="60">
        <f t="shared" si="206"/>
        <v>62770909.492276058</v>
      </c>
      <c r="Y77" s="60">
        <f t="shared" si="206"/>
        <v>70577654.832282215</v>
      </c>
      <c r="Z77" s="60">
        <f t="shared" ref="Z77:AC80" si="207">AVERAGE(BB77:BC77)</f>
        <v>78843623.986560345</v>
      </c>
      <c r="AA77" s="60">
        <f t="shared" si="207"/>
        <v>88926253.979997188</v>
      </c>
      <c r="AB77" s="60">
        <f t="shared" si="207"/>
        <v>100051681.92127663</v>
      </c>
      <c r="AC77" s="60">
        <f t="shared" si="207"/>
        <v>110636932.7242105</v>
      </c>
      <c r="AD77" s="60">
        <f t="shared" si="92"/>
        <v>125873703.01710255</v>
      </c>
      <c r="AE77" s="60">
        <f t="shared" si="93"/>
        <v>150255554.84309208</v>
      </c>
      <c r="AF77" s="60"/>
      <c r="AG77" s="60"/>
      <c r="AH77" s="60"/>
      <c r="AI77" s="60"/>
      <c r="AJ77" s="2"/>
      <c r="AK77" s="2"/>
      <c r="AL77" s="3">
        <v>5958334</v>
      </c>
      <c r="AM77" s="3">
        <v>6883211</v>
      </c>
      <c r="AN77" s="60">
        <f>AN55+AN60+AN66</f>
        <v>7708673</v>
      </c>
      <c r="AO77" s="60">
        <f t="shared" ref="AO77:BF77" si="208">AO55+AO60+AO66</f>
        <v>10602191.150410527</v>
      </c>
      <c r="AP77" s="60">
        <f t="shared" si="208"/>
        <v>12125610.271991847</v>
      </c>
      <c r="AQ77" s="60">
        <f t="shared" si="208"/>
        <v>13961631.664978236</v>
      </c>
      <c r="AR77" s="60">
        <f t="shared" si="208"/>
        <v>16030804.171358744</v>
      </c>
      <c r="AS77" s="60">
        <f t="shared" si="208"/>
        <v>18140044.872166865</v>
      </c>
      <c r="AT77" s="60">
        <f t="shared" si="208"/>
        <v>22164669.386138998</v>
      </c>
      <c r="AU77" s="60">
        <f t="shared" si="208"/>
        <v>25279889.837539688</v>
      </c>
      <c r="AV77" s="60">
        <f t="shared" si="208"/>
        <v>30881397.605107807</v>
      </c>
      <c r="AW77" s="60">
        <f t="shared" si="208"/>
        <v>35573597.644852772</v>
      </c>
      <c r="AX77" s="60">
        <f t="shared" si="208"/>
        <v>41397112.361296326</v>
      </c>
      <c r="AY77" s="60">
        <f t="shared" si="208"/>
        <v>50059027.347631991</v>
      </c>
      <c r="AZ77" s="60">
        <f t="shared" si="208"/>
        <v>58201819.462506123</v>
      </c>
      <c r="BA77" s="60">
        <f t="shared" si="208"/>
        <v>67339999.522046</v>
      </c>
      <c r="BB77" s="60">
        <f t="shared" si="208"/>
        <v>73815310.142518431</v>
      </c>
      <c r="BC77" s="60">
        <f t="shared" si="208"/>
        <v>83871937.830602258</v>
      </c>
      <c r="BD77" s="60">
        <f t="shared" si="208"/>
        <v>93980570.129392117</v>
      </c>
      <c r="BE77" s="60">
        <f t="shared" si="208"/>
        <v>106122793.71316113</v>
      </c>
      <c r="BF77" s="60">
        <f t="shared" si="208"/>
        <v>115151071.73525986</v>
      </c>
      <c r="BG77" s="60">
        <f t="shared" ref="BG77:BH77" si="209">BG55+BG60+BG66</f>
        <v>136596334.29894525</v>
      </c>
      <c r="BH77" s="60">
        <f t="shared" si="209"/>
        <v>163914775.38723892</v>
      </c>
    </row>
    <row r="78" spans="4:60" x14ac:dyDescent="0.2">
      <c r="E78" s="177" t="s">
        <v>122</v>
      </c>
      <c r="J78" s="60">
        <f t="shared" si="120"/>
        <v>-91931</v>
      </c>
      <c r="K78" s="60">
        <f t="shared" si="184"/>
        <v>-87146</v>
      </c>
      <c r="L78" s="60">
        <f t="shared" si="122"/>
        <v>-95409.19066160229</v>
      </c>
      <c r="M78" s="60">
        <f t="shared" si="123"/>
        <v>-112659.30110921287</v>
      </c>
      <c r="N78" s="60">
        <f t="shared" si="124"/>
        <v>-129440.51226387273</v>
      </c>
      <c r="O78" s="60">
        <f t="shared" si="125"/>
        <v>-149399.19173502835</v>
      </c>
      <c r="P78" s="60">
        <f t="shared" si="126"/>
        <v>-173425.90336419447</v>
      </c>
      <c r="Q78" s="60">
        <f t="shared" si="127"/>
        <v>-251697.09194723706</v>
      </c>
      <c r="R78" s="60">
        <f t="shared" si="128"/>
        <v>-323498.5380230539</v>
      </c>
      <c r="S78" s="60">
        <f t="shared" si="129"/>
        <v>-310014.33356389793</v>
      </c>
      <c r="T78" s="60">
        <f t="shared" si="130"/>
        <v>-308184.33756536228</v>
      </c>
      <c r="U78" s="60">
        <f t="shared" si="206"/>
        <v>-351771.21921471914</v>
      </c>
      <c r="V78" s="60">
        <f t="shared" si="206"/>
        <v>-467060.86074778321</v>
      </c>
      <c r="W78" s="60">
        <f t="shared" si="206"/>
        <v>-598126.64071066526</v>
      </c>
      <c r="X78" s="60">
        <f t="shared" si="206"/>
        <v>-752744.68148096581</v>
      </c>
      <c r="Y78" s="60">
        <f t="shared" si="206"/>
        <v>-846776.65129643225</v>
      </c>
      <c r="Z78" s="60">
        <f t="shared" si="207"/>
        <v>-1105552.7220313072</v>
      </c>
      <c r="AA78" s="60">
        <f t="shared" si="207"/>
        <v>-1453384.1725904776</v>
      </c>
      <c r="AB78" s="60">
        <f t="shared" si="207"/>
        <v>-1653287.1322115078</v>
      </c>
      <c r="AC78" s="60">
        <f t="shared" si="207"/>
        <v>-1930498.0678901691</v>
      </c>
      <c r="AD78" s="60">
        <f t="shared" si="92"/>
        <v>-2370421.656769705</v>
      </c>
      <c r="AE78" s="60">
        <f t="shared" si="93"/>
        <v>-2986345.8029926512</v>
      </c>
      <c r="AF78" s="60"/>
      <c r="AG78" s="60"/>
      <c r="AH78" s="60"/>
      <c r="AI78" s="60"/>
      <c r="AJ78" s="2"/>
      <c r="AK78" s="2"/>
      <c r="AL78" s="3">
        <v>-94605</v>
      </c>
      <c r="AM78" s="3">
        <v>-89257</v>
      </c>
      <c r="AN78" s="60">
        <f>AN221</f>
        <v>-85035</v>
      </c>
      <c r="AO78" s="60">
        <f t="shared" ref="AO78:BA78" si="210">AO221</f>
        <v>-105783.38132320458</v>
      </c>
      <c r="AP78" s="60">
        <f t="shared" si="210"/>
        <v>-119535.22089522117</v>
      </c>
      <c r="AQ78" s="60">
        <f t="shared" si="210"/>
        <v>-139345.8036325243</v>
      </c>
      <c r="AR78" s="60">
        <f t="shared" si="210"/>
        <v>-159452.57983753242</v>
      </c>
      <c r="AS78" s="60">
        <f t="shared" si="210"/>
        <v>-187399.22689085652</v>
      </c>
      <c r="AT78" s="60">
        <f t="shared" si="210"/>
        <v>-315994.9570036176</v>
      </c>
      <c r="AU78" s="60">
        <f t="shared" si="210"/>
        <v>-331002.1190424902</v>
      </c>
      <c r="AV78" s="60">
        <f t="shared" si="210"/>
        <v>-289026.54808530567</v>
      </c>
      <c r="AW78" s="60">
        <f t="shared" si="210"/>
        <v>-327342.12704541889</v>
      </c>
      <c r="AX78" s="60">
        <f t="shared" si="210"/>
        <v>-376200.31138401938</v>
      </c>
      <c r="AY78" s="60">
        <f t="shared" si="210"/>
        <v>-557921.4101115471</v>
      </c>
      <c r="AZ78" s="60">
        <f t="shared" si="210"/>
        <v>-638331.87130978343</v>
      </c>
      <c r="BA78" s="60">
        <f t="shared" si="210"/>
        <v>-867157.49165214831</v>
      </c>
      <c r="BB78" s="60">
        <f t="shared" ref="BB78:BF78" si="211">BB221</f>
        <v>-826395.81094071618</v>
      </c>
      <c r="BC78" s="60">
        <f t="shared" si="211"/>
        <v>-1384709.6331218982</v>
      </c>
      <c r="BD78" s="60">
        <f t="shared" si="211"/>
        <v>-1522058.7120590571</v>
      </c>
      <c r="BE78" s="60">
        <f t="shared" si="211"/>
        <v>-1784515.5523639582</v>
      </c>
      <c r="BF78" s="60">
        <f t="shared" si="211"/>
        <v>-2076480.58341638</v>
      </c>
      <c r="BG78" s="60">
        <f t="shared" ref="BG78:BH78" si="212">BG221</f>
        <v>-2664362.73012303</v>
      </c>
      <c r="BH78" s="60">
        <f t="shared" si="212"/>
        <v>-3308328.875862272</v>
      </c>
    </row>
    <row r="79" spans="4:60" x14ac:dyDescent="0.2">
      <c r="E79" s="177" t="s">
        <v>127</v>
      </c>
      <c r="J79" s="60">
        <f t="shared" si="120"/>
        <v>6328841.5</v>
      </c>
      <c r="K79" s="60">
        <f t="shared" si="184"/>
        <v>7208796</v>
      </c>
      <c r="L79" s="60">
        <f t="shared" si="122"/>
        <v>9060022.884543661</v>
      </c>
      <c r="M79" s="60">
        <f t="shared" si="123"/>
        <v>11251241.410091974</v>
      </c>
      <c r="N79" s="60">
        <f t="shared" si="124"/>
        <v>12914180.456221169</v>
      </c>
      <c r="O79" s="60">
        <f t="shared" si="125"/>
        <v>14846818.726433462</v>
      </c>
      <c r="P79" s="60">
        <f t="shared" si="126"/>
        <v>16911998.618398607</v>
      </c>
      <c r="Q79" s="60">
        <f t="shared" si="127"/>
        <v>19900660.037205696</v>
      </c>
      <c r="R79" s="60">
        <f t="shared" si="128"/>
        <v>23398781.073816292</v>
      </c>
      <c r="S79" s="60">
        <f t="shared" si="129"/>
        <v>27770629.387759849</v>
      </c>
      <c r="T79" s="60">
        <f t="shared" si="130"/>
        <v>32919313.287414931</v>
      </c>
      <c r="U79" s="60">
        <f t="shared" si="206"/>
        <v>38133583.783859834</v>
      </c>
      <c r="V79" s="60">
        <f t="shared" si="206"/>
        <v>45261008.993716374</v>
      </c>
      <c r="W79" s="60">
        <f t="shared" si="206"/>
        <v>53532296.764358386</v>
      </c>
      <c r="X79" s="60">
        <f t="shared" si="206"/>
        <v>62018164.810795099</v>
      </c>
      <c r="Y79" s="60">
        <f t="shared" si="206"/>
        <v>69730878.180985779</v>
      </c>
      <c r="Z79" s="60">
        <f t="shared" si="207"/>
        <v>77738071.264529049</v>
      </c>
      <c r="AA79" s="60">
        <f t="shared" si="207"/>
        <v>87472869.807406723</v>
      </c>
      <c r="AB79" s="60">
        <f t="shared" si="207"/>
        <v>98398394.789065123</v>
      </c>
      <c r="AC79" s="60">
        <f t="shared" si="207"/>
        <v>108706434.65632033</v>
      </c>
      <c r="AD79" s="60">
        <f t="shared" si="92"/>
        <v>123503281.36033285</v>
      </c>
      <c r="AE79" s="60">
        <f t="shared" si="93"/>
        <v>147269209.04009944</v>
      </c>
      <c r="AF79" s="60"/>
      <c r="AG79" s="60"/>
      <c r="AH79" s="60"/>
      <c r="AI79" s="60"/>
      <c r="AJ79" s="2"/>
      <c r="AK79" s="2"/>
      <c r="AL79" s="3">
        <v>5863729</v>
      </c>
      <c r="AM79" s="3">
        <v>6793954</v>
      </c>
      <c r="AN79" s="60">
        <f>AN77+AN78</f>
        <v>7623638</v>
      </c>
      <c r="AO79" s="60">
        <f t="shared" ref="AO79:BA79" si="213">AO77+AO78</f>
        <v>10496407.769087322</v>
      </c>
      <c r="AP79" s="60">
        <f t="shared" si="213"/>
        <v>12006075.051096626</v>
      </c>
      <c r="AQ79" s="60">
        <f t="shared" si="213"/>
        <v>13822285.861345712</v>
      </c>
      <c r="AR79" s="60">
        <f t="shared" si="213"/>
        <v>15871351.591521211</v>
      </c>
      <c r="AS79" s="60">
        <f t="shared" si="213"/>
        <v>17952645.645276006</v>
      </c>
      <c r="AT79" s="60">
        <f t="shared" si="213"/>
        <v>21848674.429135382</v>
      </c>
      <c r="AU79" s="60">
        <f t="shared" si="213"/>
        <v>24948887.718497198</v>
      </c>
      <c r="AV79" s="60">
        <f t="shared" si="213"/>
        <v>30592371.057022501</v>
      </c>
      <c r="AW79" s="60">
        <f t="shared" si="213"/>
        <v>35246255.517807357</v>
      </c>
      <c r="AX79" s="60">
        <f>AX77+AX78</f>
        <v>41020912.049912304</v>
      </c>
      <c r="AY79" s="60">
        <f t="shared" si="213"/>
        <v>49501105.937520444</v>
      </c>
      <c r="AZ79" s="60">
        <f t="shared" si="213"/>
        <v>57563487.591196336</v>
      </c>
      <c r="BA79" s="60">
        <f t="shared" si="213"/>
        <v>66472842.030393854</v>
      </c>
      <c r="BB79" s="60">
        <f>BB77+BB78</f>
        <v>72988914.331577718</v>
      </c>
      <c r="BC79" s="60">
        <f>BC77+BC78</f>
        <v>82487228.197480366</v>
      </c>
      <c r="BD79" s="60">
        <f>BD77+BD78</f>
        <v>92458511.417333066</v>
      </c>
      <c r="BE79" s="60">
        <f>BE77+BE78</f>
        <v>104338278.16079716</v>
      </c>
      <c r="BF79" s="60">
        <f>BF77+BF78</f>
        <v>113074591.15184349</v>
      </c>
      <c r="BG79" s="60">
        <f t="shared" ref="BG79:BH79" si="214">BG77+BG78</f>
        <v>133931971.56882222</v>
      </c>
      <c r="BH79" s="60">
        <f t="shared" si="214"/>
        <v>160606446.51137665</v>
      </c>
    </row>
    <row r="80" spans="4:60" x14ac:dyDescent="0.2">
      <c r="E80" s="177" t="s">
        <v>128</v>
      </c>
      <c r="J80" s="60">
        <f t="shared" si="120"/>
        <v>424424.5</v>
      </c>
      <c r="K80" s="60">
        <f t="shared" si="184"/>
        <v>478878.5</v>
      </c>
      <c r="L80" s="60">
        <f t="shared" si="122"/>
        <v>524180.09048926912</v>
      </c>
      <c r="M80" s="60">
        <f t="shared" si="123"/>
        <v>558478.19300460629</v>
      </c>
      <c r="N80" s="60">
        <f t="shared" si="124"/>
        <v>651675.81679974659</v>
      </c>
      <c r="O80" s="60">
        <f t="shared" si="125"/>
        <v>776568.95530298841</v>
      </c>
      <c r="P80" s="60">
        <f t="shared" si="126"/>
        <v>1003858.7129434464</v>
      </c>
      <c r="Q80" s="60">
        <f t="shared" si="127"/>
        <v>1304972.3987819883</v>
      </c>
      <c r="R80" s="60">
        <f t="shared" si="128"/>
        <v>1635652.4675410837</v>
      </c>
      <c r="S80" s="60">
        <f t="shared" si="129"/>
        <v>1997056.2706839626</v>
      </c>
      <c r="T80" s="60">
        <f>T8+T10</f>
        <v>2493057.2100000037</v>
      </c>
      <c r="U80" s="60">
        <f>U8+U10</f>
        <v>2917332.0900000036</v>
      </c>
      <c r="V80" s="60">
        <f>V8+V10</f>
        <v>3347328.8</v>
      </c>
      <c r="W80" s="60">
        <f t="shared" si="206"/>
        <v>3566100.6557741947</v>
      </c>
      <c r="X80" s="60">
        <f t="shared" si="206"/>
        <v>4175555.8170561972</v>
      </c>
      <c r="Y80" s="60">
        <f>AVERAGE(BA80:BB80)</f>
        <v>5466985.1579190996</v>
      </c>
      <c r="Z80" s="60">
        <f t="shared" si="207"/>
        <v>6541850.9691782007</v>
      </c>
      <c r="AA80" s="60">
        <f t="shared" si="207"/>
        <v>7331834.7267002193</v>
      </c>
      <c r="AB80" s="60">
        <f t="shared" si="207"/>
        <v>8490247.8365749232</v>
      </c>
      <c r="AC80" s="60">
        <f t="shared" si="207"/>
        <v>9663166.396796003</v>
      </c>
      <c r="AD80" s="60">
        <f t="shared" si="92"/>
        <v>11239209.403860267</v>
      </c>
      <c r="AE80" s="60">
        <f>AVERAGE(BG80:BH80)</f>
        <v>6049514.5861171698</v>
      </c>
      <c r="AF80" s="60"/>
      <c r="AG80" s="60"/>
      <c r="AH80" s="60"/>
      <c r="AI80" s="60"/>
      <c r="AJ80" s="2"/>
      <c r="AK80" s="2"/>
      <c r="AL80" s="3">
        <v>420243</v>
      </c>
      <c r="AM80" s="60">
        <f>AM223</f>
        <v>428606</v>
      </c>
      <c r="AN80" s="60">
        <f t="shared" ref="AN80:BB80" si="215">AN223</f>
        <v>529151</v>
      </c>
      <c r="AO80" s="60">
        <f t="shared" si="215"/>
        <v>519209.18097853824</v>
      </c>
      <c r="AP80" s="60">
        <f t="shared" si="215"/>
        <v>597747.20503067423</v>
      </c>
      <c r="AQ80" s="60">
        <f t="shared" si="215"/>
        <v>705604.42856881884</v>
      </c>
      <c r="AR80" s="60">
        <f t="shared" si="215"/>
        <v>847533.4820371581</v>
      </c>
      <c r="AS80" s="60">
        <f t="shared" si="215"/>
        <v>1160183.9438497345</v>
      </c>
      <c r="AT80" s="60">
        <f t="shared" si="215"/>
        <v>1449760.8537142419</v>
      </c>
      <c r="AU80" s="60">
        <f t="shared" si="215"/>
        <v>1821544.0813679253</v>
      </c>
      <c r="AV80" s="60">
        <f t="shared" si="215"/>
        <v>2172568.46</v>
      </c>
      <c r="AW80" s="60">
        <f t="shared" si="215"/>
        <v>2480568.1100000003</v>
      </c>
      <c r="AX80" s="60">
        <f t="shared" si="215"/>
        <v>2815106</v>
      </c>
      <c r="AY80" s="60">
        <f t="shared" si="215"/>
        <v>3261474.9932741951</v>
      </c>
      <c r="AZ80" s="60">
        <f t="shared" si="215"/>
        <v>3870726.3182741944</v>
      </c>
      <c r="BA80" s="60">
        <f t="shared" si="215"/>
        <v>4480385.3158382</v>
      </c>
      <c r="BB80" s="60">
        <f t="shared" si="215"/>
        <v>6453585</v>
      </c>
      <c r="BC80" s="60">
        <f t="shared" ref="BC80:BD80" si="216">BC8+BC10</f>
        <v>6630116.9383564014</v>
      </c>
      <c r="BD80" s="60">
        <f t="shared" si="216"/>
        <v>8033552.5150440373</v>
      </c>
      <c r="BE80" s="457">
        <f>BE8+BE10</f>
        <v>8946943.1581058111</v>
      </c>
      <c r="BF80" s="457">
        <f>BF8+BF10</f>
        <v>10379389.635486197</v>
      </c>
      <c r="BG80" s="457">
        <f>BG8+BG10</f>
        <v>12099029.17223434</v>
      </c>
      <c r="BH80" s="457">
        <f t="shared" ref="BH80" si="217">BH8+BH10</f>
        <v>0</v>
      </c>
    </row>
    <row r="81" spans="4:190" x14ac:dyDescent="0.2">
      <c r="D81" s="249">
        <f>AV81-AV80</f>
        <v>-2172568.46</v>
      </c>
      <c r="E81" s="177"/>
      <c r="AH81" s="60"/>
      <c r="AI81" s="60"/>
      <c r="AJ81" s="2"/>
      <c r="AK81" s="2"/>
      <c r="AL81" s="60"/>
      <c r="AM81" s="60"/>
      <c r="AN81" s="2"/>
      <c r="AO81" s="2"/>
      <c r="AP81" s="2"/>
      <c r="AQ81" s="2"/>
      <c r="AR81" s="2"/>
      <c r="AS81" s="2"/>
      <c r="AT81" s="2"/>
      <c r="AU81" s="382"/>
      <c r="AV81" s="382"/>
      <c r="AW81" s="382"/>
      <c r="AX81" s="382"/>
      <c r="AY81" s="382"/>
      <c r="AZ81" s="382"/>
      <c r="BA81" s="382"/>
      <c r="BB81" s="382"/>
      <c r="BC81" s="382"/>
      <c r="BD81" s="382"/>
      <c r="BE81" s="382"/>
      <c r="BF81" s="382"/>
      <c r="BG81" s="382"/>
      <c r="BH81" s="382"/>
    </row>
    <row r="82" spans="4:190" s="9" customFormat="1" ht="12" customHeight="1" x14ac:dyDescent="0.2">
      <c r="E82" s="15" t="s">
        <v>129</v>
      </c>
      <c r="F82" s="4"/>
      <c r="G82" s="4"/>
      <c r="H82" s="4"/>
      <c r="I82" s="4"/>
      <c r="J82" s="60">
        <f t="shared" ref="J82:AB82" si="218">J79+J80</f>
        <v>6753266</v>
      </c>
      <c r="K82" s="60">
        <f t="shared" si="218"/>
        <v>7687674.5</v>
      </c>
      <c r="L82" s="60">
        <f t="shared" si="218"/>
        <v>9584202.9750329293</v>
      </c>
      <c r="M82" s="60">
        <f t="shared" si="218"/>
        <v>11809719.60309658</v>
      </c>
      <c r="N82" s="60">
        <f t="shared" si="218"/>
        <v>13565856.273020916</v>
      </c>
      <c r="O82" s="60">
        <f t="shared" si="218"/>
        <v>15623387.681736451</v>
      </c>
      <c r="P82" s="60">
        <f t="shared" si="218"/>
        <v>17915857.331342053</v>
      </c>
      <c r="Q82" s="60">
        <f t="shared" si="218"/>
        <v>21205632.435987685</v>
      </c>
      <c r="R82" s="60">
        <f t="shared" si="218"/>
        <v>25034433.541357376</v>
      </c>
      <c r="S82" s="60">
        <f t="shared" si="218"/>
        <v>29767685.658443812</v>
      </c>
      <c r="T82" s="60">
        <f t="shared" si="218"/>
        <v>35412370.497414932</v>
      </c>
      <c r="U82" s="60">
        <f t="shared" si="218"/>
        <v>41050915.873859838</v>
      </c>
      <c r="V82" s="60">
        <f t="shared" si="218"/>
        <v>48608337.793716371</v>
      </c>
      <c r="W82" s="60">
        <f t="shared" si="218"/>
        <v>57098397.420132577</v>
      </c>
      <c r="X82" s="60">
        <f t="shared" si="218"/>
        <v>66193720.627851292</v>
      </c>
      <c r="Y82" s="60">
        <f>Y79+Y80</f>
        <v>75197863.338904873</v>
      </c>
      <c r="Z82" s="457">
        <f t="shared" si="218"/>
        <v>84279922.233707249</v>
      </c>
      <c r="AA82" s="457">
        <f t="shared" si="218"/>
        <v>94804704.53410694</v>
      </c>
      <c r="AB82" s="60">
        <f t="shared" si="218"/>
        <v>106888642.62564005</v>
      </c>
      <c r="AC82" s="60">
        <f>AC79+AC80</f>
        <v>118369601.05311634</v>
      </c>
      <c r="AD82" s="60">
        <f t="shared" ref="AD82:AE82" si="219">AD79+AD80</f>
        <v>134742490.76419312</v>
      </c>
      <c r="AE82" s="60">
        <f t="shared" si="219"/>
        <v>153318723.62621662</v>
      </c>
      <c r="AF82" s="60"/>
      <c r="AG82" s="60"/>
      <c r="AH82" s="7"/>
      <c r="AI82" s="7"/>
      <c r="AJ82" s="2"/>
      <c r="AK82" s="2"/>
      <c r="AL82" s="60">
        <f>AL79+AL80</f>
        <v>6283972</v>
      </c>
      <c r="AM82" s="60">
        <f>AM79+AM80</f>
        <v>7222560</v>
      </c>
      <c r="AN82" s="60">
        <f>SUM(AN79:AN80)</f>
        <v>8152789</v>
      </c>
      <c r="AO82" s="60">
        <f t="shared" ref="AO82:BA82" si="220">SUM(AO79:AO80)</f>
        <v>11015616.950065861</v>
      </c>
      <c r="AP82" s="60">
        <f t="shared" si="220"/>
        <v>12603822.2561273</v>
      </c>
      <c r="AQ82" s="60">
        <f t="shared" si="220"/>
        <v>14527890.289914532</v>
      </c>
      <c r="AR82" s="60">
        <f t="shared" si="220"/>
        <v>16718885.07355837</v>
      </c>
      <c r="AS82" s="60">
        <f t="shared" si="220"/>
        <v>19112829.589125741</v>
      </c>
      <c r="AT82" s="60">
        <f t="shared" si="220"/>
        <v>23298435.282849625</v>
      </c>
      <c r="AU82" s="60">
        <f t="shared" si="220"/>
        <v>26770431.799865123</v>
      </c>
      <c r="AV82" s="60">
        <f t="shared" si="220"/>
        <v>32764939.517022502</v>
      </c>
      <c r="AW82" s="60">
        <f t="shared" si="220"/>
        <v>37726823.627807356</v>
      </c>
      <c r="AX82" s="60">
        <f t="shared" si="220"/>
        <v>43836018.049912304</v>
      </c>
      <c r="AY82" s="60">
        <f t="shared" si="220"/>
        <v>52762580.930794641</v>
      </c>
      <c r="AZ82" s="60">
        <f t="shared" si="220"/>
        <v>61434213.909470528</v>
      </c>
      <c r="BA82" s="60">
        <f t="shared" si="220"/>
        <v>70953227.346232057</v>
      </c>
      <c r="BB82" s="60">
        <f>SUM(BB79:BB80)</f>
        <v>79442499.331577718</v>
      </c>
      <c r="BC82" s="60">
        <f>SUM(BC79:BC80)</f>
        <v>89117345.135836765</v>
      </c>
      <c r="BD82" s="60">
        <f>SUM(BD79:BD80)</f>
        <v>100492063.9323771</v>
      </c>
      <c r="BE82" s="60">
        <f>SUM(BE79:BE80)</f>
        <v>113285221.31890297</v>
      </c>
      <c r="BF82" s="60">
        <f>SUM(BF79:BF80)</f>
        <v>123453980.78732969</v>
      </c>
      <c r="BG82" s="60">
        <f t="shared" ref="BG82:BH82" si="221">SUM(BG79:BG80)</f>
        <v>146031000.74105656</v>
      </c>
      <c r="BH82" s="60">
        <f t="shared" si="221"/>
        <v>160606446.51137665</v>
      </c>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row>
    <row r="83" spans="4:190" x14ac:dyDescent="0.2">
      <c r="E83" s="15" t="s">
        <v>299</v>
      </c>
      <c r="F83" s="60"/>
      <c r="G83" s="60"/>
      <c r="H83" s="60"/>
      <c r="J83" s="60">
        <f>AVERAGE(AL83:AM83)</f>
        <v>5760637.5</v>
      </c>
      <c r="K83" s="60">
        <f>AVERAGE(AM83:AN83)</f>
        <v>6580322.5</v>
      </c>
      <c r="L83" s="60">
        <f t="shared" si="122"/>
        <v>8998435.4750329293</v>
      </c>
      <c r="M83" s="60">
        <f t="shared" si="123"/>
        <v>11809719.60309658</v>
      </c>
      <c r="N83" s="60">
        <f t="shared" si="124"/>
        <v>13565856.273020916</v>
      </c>
      <c r="O83" s="60">
        <f t="shared" si="125"/>
        <v>15623387.681736451</v>
      </c>
      <c r="P83" s="60">
        <f t="shared" si="126"/>
        <v>16704561.412207767</v>
      </c>
      <c r="Q83" s="60">
        <f t="shared" si="127"/>
        <v>18485720.127257217</v>
      </c>
      <c r="R83" s="60">
        <f t="shared" si="128"/>
        <v>21912159.890219167</v>
      </c>
      <c r="S83" s="60">
        <f t="shared" si="129"/>
        <v>26073603.570105981</v>
      </c>
      <c r="T83" s="60">
        <f t="shared" si="130"/>
        <v>30837526.491254322</v>
      </c>
      <c r="U83" s="60">
        <f t="shared" ref="U83:AC85" si="222">AVERAGE(AW83:AX83)</f>
        <v>35786771.058943093</v>
      </c>
      <c r="V83" s="60">
        <f t="shared" si="222"/>
        <v>42480523.32466048</v>
      </c>
      <c r="W83" s="60">
        <f t="shared" si="222"/>
        <v>50253483.060422525</v>
      </c>
      <c r="X83" s="60">
        <f t="shared" si="222"/>
        <v>58356331.096764222</v>
      </c>
      <c r="Y83" s="60">
        <f t="shared" si="222"/>
        <v>66464819.750433132</v>
      </c>
      <c r="Z83" s="60">
        <f t="shared" si="222"/>
        <v>75338788.727343202</v>
      </c>
      <c r="AA83" s="60">
        <f t="shared" si="222"/>
        <v>85879151.26455754</v>
      </c>
      <c r="AB83" s="60">
        <f t="shared" si="222"/>
        <v>97498153.975894675</v>
      </c>
      <c r="AC83" s="60">
        <f t="shared" si="222"/>
        <v>108034122.26620838</v>
      </c>
      <c r="AD83" s="60">
        <f t="shared" ref="AD83:AD84" si="223">AVERAGE(BF83:BG83)</f>
        <v>123171412.68100193</v>
      </c>
      <c r="AE83" s="60">
        <f t="shared" ref="AE83:AE84" si="224">AVERAGE(BG83:BH83)</f>
        <v>140560745.3214789</v>
      </c>
      <c r="AF83" s="60"/>
      <c r="AG83" s="60"/>
      <c r="AH83" s="60"/>
      <c r="AI83" s="60"/>
      <c r="AJ83" s="60"/>
      <c r="AK83" s="177"/>
      <c r="AL83" s="60">
        <f>NA!AL197</f>
        <v>5341884</v>
      </c>
      <c r="AM83" s="60">
        <f>NA!AM197</f>
        <v>6179391</v>
      </c>
      <c r="AN83" s="60">
        <f>NA!AN197</f>
        <v>6981254</v>
      </c>
      <c r="AO83" s="60">
        <f>NA!AO197</f>
        <v>11015616.950065861</v>
      </c>
      <c r="AP83" s="60">
        <f>NA!AP197</f>
        <v>12603822.2561273</v>
      </c>
      <c r="AQ83" s="60">
        <f>NA!AQ197</f>
        <v>14527890.289914532</v>
      </c>
      <c r="AR83" s="60">
        <f>NA!AR197</f>
        <v>16718885.07355837</v>
      </c>
      <c r="AS83" s="60">
        <f>NA!AS197</f>
        <v>16690237.750857163</v>
      </c>
      <c r="AT83" s="60">
        <f>NA!AT197</f>
        <v>20281202.50365727</v>
      </c>
      <c r="AU83" s="60">
        <f>NA!AU197</f>
        <v>23543117.276781064</v>
      </c>
      <c r="AV83" s="60">
        <f>NA!AV197</f>
        <v>28604089.863430899</v>
      </c>
      <c r="AW83" s="60">
        <f>NA!AW197</f>
        <v>33070963.119077742</v>
      </c>
      <c r="AX83" s="60">
        <f>NA!AX197</f>
        <v>38502578.998808451</v>
      </c>
      <c r="AY83" s="60">
        <f>NA!AY197</f>
        <v>46458467.650512502</v>
      </c>
      <c r="AZ83" s="60">
        <f>NA!AZ197</f>
        <v>54048498.470332555</v>
      </c>
      <c r="BA83" s="60">
        <f>NA!BA197</f>
        <v>62664163.723195881</v>
      </c>
      <c r="BB83" s="60">
        <f>NA!BB197</f>
        <v>70265475.777670383</v>
      </c>
      <c r="BC83" s="60">
        <f>NA!BC197</f>
        <v>80412101.677016035</v>
      </c>
      <c r="BD83" s="60">
        <f>NA!BD197</f>
        <v>91346200.852099061</v>
      </c>
      <c r="BE83" s="60">
        <f>NA!BE197</f>
        <v>103650107.09969029</v>
      </c>
      <c r="BF83" s="60">
        <f>NA!BF197</f>
        <v>112418137.43272646</v>
      </c>
      <c r="BG83" s="60">
        <f>NA!BG197</f>
        <v>133924687.92927742</v>
      </c>
      <c r="BH83" s="60">
        <f>NA!BH197</f>
        <v>147196802.71368036</v>
      </c>
    </row>
    <row r="84" spans="4:190" x14ac:dyDescent="0.2">
      <c r="E84" s="413" t="s">
        <v>352</v>
      </c>
      <c r="F84" s="60"/>
      <c r="G84" s="60"/>
      <c r="H84" s="60"/>
      <c r="J84" s="60"/>
      <c r="K84" s="60"/>
      <c r="L84" s="233"/>
      <c r="M84" s="233"/>
      <c r="N84" s="233"/>
      <c r="O84" s="233"/>
      <c r="P84" s="233"/>
      <c r="Q84" s="233"/>
      <c r="R84" s="416"/>
      <c r="S84" s="416">
        <f>AVERAGE(AU84:AV84)</f>
        <v>29767685.658443812</v>
      </c>
      <c r="T84" s="416">
        <f t="shared" si="130"/>
        <v>35245881.572414927</v>
      </c>
      <c r="U84" s="416">
        <f t="shared" si="222"/>
        <v>40781420.838859826</v>
      </c>
      <c r="V84" s="416">
        <f t="shared" si="222"/>
        <v>48299299.490353473</v>
      </c>
      <c r="W84" s="416">
        <f t="shared" si="222"/>
        <v>57098397.420132585</v>
      </c>
      <c r="X84" s="416">
        <f>AVERAGE(AZ84:BA84)</f>
        <v>66193720.627851292</v>
      </c>
      <c r="Y84" s="416">
        <f t="shared" si="222"/>
        <v>74782946.251820087</v>
      </c>
      <c r="Z84" s="416">
        <f t="shared" si="222"/>
        <v>83063261.210537076</v>
      </c>
      <c r="AA84" s="416">
        <f t="shared" si="222"/>
        <v>93024561.716729015</v>
      </c>
      <c r="AB84" s="416">
        <f t="shared" si="222"/>
        <v>104823665.70927137</v>
      </c>
      <c r="AC84" s="416">
        <f t="shared" si="222"/>
        <v>113331495.49701586</v>
      </c>
      <c r="AD84" s="416">
        <f t="shared" si="223"/>
        <v>120736993.07417867</v>
      </c>
      <c r="AE84" s="416">
        <f t="shared" si="224"/>
        <v>137437340.57947701</v>
      </c>
      <c r="AF84" s="233"/>
      <c r="AG84" s="233"/>
      <c r="AH84" s="60"/>
      <c r="AI84" s="60"/>
      <c r="AJ84" s="60"/>
      <c r="AK84" s="177"/>
      <c r="AL84" s="60"/>
      <c r="AM84" s="60"/>
      <c r="AN84" s="193"/>
      <c r="AO84" s="60"/>
      <c r="AP84" s="39"/>
      <c r="AQ84" s="39"/>
      <c r="AR84" s="39"/>
      <c r="AS84" s="39"/>
      <c r="AT84" s="39"/>
      <c r="AU84" s="415">
        <f t="shared" ref="AU84:BA84" si="225">AU82</f>
        <v>26770431.799865123</v>
      </c>
      <c r="AV84" s="415">
        <f t="shared" si="225"/>
        <v>32764939.517022502</v>
      </c>
      <c r="AW84" s="415">
        <f t="shared" si="225"/>
        <v>37726823.627807356</v>
      </c>
      <c r="AX84" s="415">
        <f t="shared" si="225"/>
        <v>43836018.049912304</v>
      </c>
      <c r="AY84" s="415">
        <f t="shared" si="225"/>
        <v>52762580.930794641</v>
      </c>
      <c r="AZ84" s="415">
        <f t="shared" si="225"/>
        <v>61434213.909470528</v>
      </c>
      <c r="BA84" s="415">
        <f t="shared" si="225"/>
        <v>70953227.346232057</v>
      </c>
      <c r="BB84" s="417">
        <f>BA82*(1+'NA ASSUMPTIONS'!P74)*(1+Prices!BB15)</f>
        <v>78612665.157408118</v>
      </c>
      <c r="BC84" s="417">
        <f>BB82*(1+'NA ASSUMPTIONS'!Q74)*(1+Prices!BC15)</f>
        <v>87513857.263666034</v>
      </c>
      <c r="BD84" s="417">
        <f>BC82*(1+'NA ASSUMPTIONS'!R74)*(1+Prices!BD15)</f>
        <v>98535266.169792011</v>
      </c>
      <c r="BE84" s="417">
        <f>BD82*(1+'NA ASSUMPTIONS'!S74)*(1+Prices!BE15)</f>
        <v>111112065.24875072</v>
      </c>
      <c r="BF84" s="417">
        <f>BE82*(1+'NA ASSUMPTIONS'!T74)*(1+Prices!BF15)</f>
        <v>115550925.74528103</v>
      </c>
      <c r="BG84" s="417">
        <f>BF82*(1+'NA ASSUMPTIONS'!U74)*(1+Prices!BG15)</f>
        <v>125923060.40307629</v>
      </c>
      <c r="BH84" s="417">
        <f>BG82*(1+'NA ASSUMPTIONS'!V74)*(1+Prices!BH15)</f>
        <v>148951620.7558777</v>
      </c>
    </row>
    <row r="85" spans="4:190" x14ac:dyDescent="0.2">
      <c r="E85" s="620" t="s">
        <v>527</v>
      </c>
      <c r="F85" s="60"/>
      <c r="G85" s="60"/>
      <c r="H85" s="60"/>
      <c r="J85" s="60"/>
      <c r="K85" s="60"/>
      <c r="L85" s="60"/>
      <c r="M85" s="60"/>
      <c r="N85" s="60"/>
      <c r="O85" s="60"/>
      <c r="P85" s="60"/>
      <c r="Q85" s="60"/>
      <c r="R85" s="60"/>
      <c r="S85" s="233">
        <f>AVERAGE(AU85:AV85)</f>
        <v>38.882947000000001</v>
      </c>
      <c r="T85" s="233">
        <f t="shared" si="130"/>
        <v>40.078982999999994</v>
      </c>
      <c r="U85" s="233">
        <f t="shared" si="222"/>
        <v>41.298802499999994</v>
      </c>
      <c r="V85" s="233">
        <f t="shared" si="222"/>
        <v>42.541808000000003</v>
      </c>
      <c r="W85" s="233">
        <f t="shared" si="222"/>
        <v>43.397329499999998</v>
      </c>
      <c r="X85" s="233">
        <f t="shared" ref="X85" si="226">AVERAGE(AZ85:BA85)</f>
        <v>44.226555521168152</v>
      </c>
      <c r="Y85" s="233">
        <f t="shared" si="222"/>
        <v>45.43293176240784</v>
      </c>
      <c r="Z85" s="233">
        <f t="shared" si="222"/>
        <v>46.659620919992847</v>
      </c>
      <c r="AA85" s="233">
        <f t="shared" si="222"/>
        <v>47.919430684832648</v>
      </c>
      <c r="AB85" s="233">
        <f t="shared" si="222"/>
        <v>49.213255313323124</v>
      </c>
      <c r="AC85" s="233">
        <f t="shared" si="222"/>
        <v>50.54201320678284</v>
      </c>
      <c r="AD85" s="60"/>
      <c r="AE85" s="60"/>
      <c r="AF85" s="60"/>
      <c r="AG85" s="60"/>
      <c r="AH85" s="60"/>
      <c r="AI85" s="60"/>
      <c r="AJ85" s="60"/>
      <c r="AK85" s="60"/>
      <c r="AL85" s="647"/>
      <c r="AM85" s="647">
        <v>30.945402000000001</v>
      </c>
      <c r="AN85" s="647">
        <v>31.899849</v>
      </c>
      <c r="AO85" s="647">
        <v>32.883735000000001</v>
      </c>
      <c r="AP85" s="647">
        <v>33.584606999999998</v>
      </c>
      <c r="AQ85" s="647">
        <v>34.249547999999997</v>
      </c>
      <c r="AR85" s="647">
        <v>35.268073000000001</v>
      </c>
      <c r="AS85" s="647">
        <v>36.197311999999997</v>
      </c>
      <c r="AT85" s="647">
        <v>37.526206000000002</v>
      </c>
      <c r="AU85" s="647">
        <v>38.291221999999998</v>
      </c>
      <c r="AV85" s="647">
        <v>39.474671999999998</v>
      </c>
      <c r="AW85" s="647">
        <v>40.683293999999997</v>
      </c>
      <c r="AX85" s="647">
        <v>41.914310999999998</v>
      </c>
      <c r="AY85" s="647">
        <v>43.169305000000001</v>
      </c>
      <c r="AZ85" s="647">
        <v>43.625354000000002</v>
      </c>
      <c r="BA85" s="647">
        <v>44.827757042336302</v>
      </c>
      <c r="BB85" s="648">
        <f>BA85*1.027</f>
        <v>46.038106482479378</v>
      </c>
      <c r="BC85" s="648">
        <f t="shared" ref="BC85:BF85" si="227">BB85*1.027</f>
        <v>47.281135357506315</v>
      </c>
      <c r="BD85" s="648">
        <f t="shared" si="227"/>
        <v>48.55772601215898</v>
      </c>
      <c r="BE85" s="648">
        <f t="shared" si="227"/>
        <v>49.868784614487268</v>
      </c>
      <c r="BF85" s="648">
        <f t="shared" si="227"/>
        <v>51.21524179907842</v>
      </c>
      <c r="BG85" s="648">
        <f t="shared" ref="BG85" si="228">BF85*1.027</f>
        <v>52.598053327653531</v>
      </c>
      <c r="BH85" s="648">
        <f t="shared" ref="BH85" si="229">BG85*1.027</f>
        <v>54.018200767500169</v>
      </c>
    </row>
    <row r="86" spans="4:190" x14ac:dyDescent="0.2">
      <c r="F86" s="60"/>
      <c r="G86" s="193"/>
      <c r="H86" s="193"/>
      <c r="J86" s="60"/>
      <c r="K86" s="60"/>
      <c r="L86" s="60"/>
      <c r="M86" s="60"/>
      <c r="N86" s="60"/>
      <c r="O86" s="39"/>
      <c r="P86" s="746">
        <f t="shared" ref="P86:Y86" si="230">P82/O82-1</f>
        <v>0.14673319873419466</v>
      </c>
      <c r="Q86" s="746">
        <f t="shared" si="230"/>
        <v>0.18362364936287423</v>
      </c>
      <c r="R86" s="746">
        <f t="shared" si="230"/>
        <v>0.18055585547507191</v>
      </c>
      <c r="S86" s="746">
        <f t="shared" si="230"/>
        <v>0.18906967114981899</v>
      </c>
      <c r="T86" s="746">
        <f t="shared" si="230"/>
        <v>0.1896245782671373</v>
      </c>
      <c r="U86" s="746">
        <f t="shared" si="230"/>
        <v>0.15922530170231086</v>
      </c>
      <c r="V86" s="746">
        <f t="shared" si="230"/>
        <v>0.18409874077057808</v>
      </c>
      <c r="W86" s="746">
        <f t="shared" si="230"/>
        <v>0.17466261986670362</v>
      </c>
      <c r="X86" s="746">
        <f t="shared" si="230"/>
        <v>0.15929209257476917</v>
      </c>
      <c r="Y86" s="746">
        <f t="shared" si="230"/>
        <v>0.13602714314362085</v>
      </c>
      <c r="Z86" s="746">
        <f>Z82/Y82-1</f>
        <v>0.120775491370958</v>
      </c>
      <c r="AA86" s="746">
        <f t="shared" ref="AA86:AE86" si="231">AA82/Z82-1</f>
        <v>0.12487888006368331</v>
      </c>
      <c r="AB86" s="746">
        <f t="shared" si="231"/>
        <v>0.12746137600361163</v>
      </c>
      <c r="AC86" s="746">
        <f t="shared" si="231"/>
        <v>0.10741046144337774</v>
      </c>
      <c r="AD86" s="746">
        <f t="shared" si="231"/>
        <v>0.13832005485707199</v>
      </c>
      <c r="AE86" s="746">
        <f t="shared" si="231"/>
        <v>0.13786469848277449</v>
      </c>
      <c r="AF86" s="195"/>
      <c r="AG86" s="60"/>
      <c r="AH86" s="2"/>
      <c r="AI86" s="2"/>
      <c r="AJ86" s="2"/>
      <c r="AK86" s="2"/>
      <c r="AL86" s="60"/>
      <c r="AM86" s="29"/>
      <c r="AN86" s="29"/>
      <c r="AO86" s="29"/>
      <c r="AP86" s="29"/>
      <c r="AQ86" s="29"/>
      <c r="AR86" s="29"/>
      <c r="AS86" s="29"/>
      <c r="AT86" s="29"/>
      <c r="AU86" s="29"/>
      <c r="AV86" s="29"/>
      <c r="AW86" s="29">
        <f t="shared" ref="AW86:BA86" si="232">AW82/AV82-1</f>
        <v>0.15143883016194759</v>
      </c>
      <c r="AX86" s="29">
        <f t="shared" si="232"/>
        <v>0.16193238217918871</v>
      </c>
      <c r="AY86" s="29">
        <f t="shared" si="232"/>
        <v>0.20363535006118538</v>
      </c>
      <c r="AZ86" s="29">
        <f t="shared" si="232"/>
        <v>0.1643519484016509</v>
      </c>
      <c r="BA86" s="29">
        <f t="shared" si="232"/>
        <v>0.15494645135019947</v>
      </c>
      <c r="BB86" s="29">
        <f>BB82/BA82-1</f>
        <v>0.11964603024920017</v>
      </c>
      <c r="BC86" s="29">
        <f t="shared" ref="BC86:BH86" si="233">BC82/BB82-1</f>
        <v>0.12178425761604128</v>
      </c>
      <c r="BD86" s="29">
        <f t="shared" si="233"/>
        <v>0.12763754103314517</v>
      </c>
      <c r="BE86" s="29">
        <f t="shared" si="233"/>
        <v>0.12730515113247765</v>
      </c>
      <c r="BF86" s="29">
        <f t="shared" si="233"/>
        <v>8.9762454008022852E-2</v>
      </c>
      <c r="BG86" s="29">
        <f t="shared" si="233"/>
        <v>0.18287802312846924</v>
      </c>
      <c r="BH86" s="29">
        <f t="shared" si="233"/>
        <v>9.9810627170633381E-2</v>
      </c>
    </row>
    <row r="87" spans="4:190" ht="15" x14ac:dyDescent="0.25">
      <c r="E87" s="349" t="s">
        <v>549</v>
      </c>
      <c r="F87" s="60"/>
      <c r="G87" s="60"/>
      <c r="H87" s="60"/>
      <c r="J87" s="60"/>
      <c r="K87" s="60"/>
      <c r="L87" s="60"/>
      <c r="M87" s="60"/>
      <c r="N87" s="60"/>
      <c r="O87" s="60"/>
      <c r="P87" s="60"/>
      <c r="Q87" s="60"/>
      <c r="R87" s="60"/>
      <c r="S87" s="60"/>
      <c r="T87" s="60"/>
      <c r="U87" s="60"/>
      <c r="V87" s="60"/>
      <c r="W87" s="60"/>
      <c r="X87" s="60"/>
      <c r="Y87" s="60"/>
      <c r="Z87" s="60"/>
      <c r="AA87" s="60"/>
      <c r="AB87" s="60"/>
      <c r="AC87" s="747"/>
      <c r="AD87" s="747"/>
      <c r="AE87" s="60">
        <f>Z82/Z116*100</f>
        <v>197.45707206878012</v>
      </c>
      <c r="AF87" s="60"/>
      <c r="AG87" s="60"/>
      <c r="AH87" s="2"/>
      <c r="AI87" s="2"/>
      <c r="AJ87" s="2"/>
      <c r="AK87" s="2"/>
      <c r="AL87" s="2"/>
      <c r="AM87" s="2"/>
      <c r="AN87" s="2"/>
      <c r="AO87" s="2"/>
      <c r="AP87" s="29">
        <f>Prices!AP21</f>
        <v>-7.6578147478002512E-3</v>
      </c>
      <c r="AQ87" s="29">
        <f>Prices!AQ21</f>
        <v>0.16933476819065096</v>
      </c>
      <c r="AR87" s="29">
        <f>Prices!AR21</f>
        <v>7.3452752578843317E-2</v>
      </c>
      <c r="AS87" s="29">
        <f>Prices!AS21</f>
        <v>6.1774821114980893E-2</v>
      </c>
      <c r="AT87" s="29">
        <f>Prices!AT21</f>
        <v>0.16471231501112027</v>
      </c>
      <c r="AU87" s="234">
        <f>Prices!AU21</f>
        <v>5.9354896564510096E-2</v>
      </c>
      <c r="AV87" s="234">
        <f>Prices!AV21</f>
        <v>0.15938446768921977</v>
      </c>
      <c r="AW87" s="234">
        <f>Prices!AW21</f>
        <v>9.2629716481473334E-2</v>
      </c>
      <c r="AX87" s="234">
        <f>Prices!AX21</f>
        <v>9.2463850447769946E-2</v>
      </c>
      <c r="AY87" s="234">
        <f>Prices!AY21</f>
        <v>0.11546345666352065</v>
      </c>
      <c r="AZ87" s="234">
        <f>Prices!AZ21</f>
        <v>0.10741936786035611</v>
      </c>
      <c r="BA87" s="234">
        <f>Prices!BA21</f>
        <v>7.6742031249952491E-2</v>
      </c>
      <c r="BB87" s="234">
        <f>Prices!BB21</f>
        <v>6.1347312536537836E-2</v>
      </c>
      <c r="BC87" s="234">
        <f>Prices!BC21</f>
        <v>3.6393352683779807E-2</v>
      </c>
      <c r="BD87" s="234">
        <f>Prices!BD21</f>
        <v>4.8609905999999994E-2</v>
      </c>
      <c r="BE87" s="234">
        <f>Prices!BE21</f>
        <v>5.3999999999999999E-2</v>
      </c>
      <c r="BF87" s="234">
        <f>Prices!BF21</f>
        <v>1.0000000000000002E-2</v>
      </c>
    </row>
    <row r="88" spans="4:190" x14ac:dyDescent="0.2">
      <c r="E88" s="15" t="s">
        <v>100</v>
      </c>
      <c r="F88" s="60"/>
      <c r="G88" s="60"/>
      <c r="H88" s="60"/>
      <c r="J88" s="60"/>
      <c r="K88" s="60"/>
      <c r="L88" s="60"/>
      <c r="M88" s="60"/>
      <c r="N88" s="60"/>
      <c r="O88" s="60"/>
      <c r="P88" s="60"/>
      <c r="Q88" s="60"/>
      <c r="R88" s="60"/>
      <c r="S88" s="60"/>
      <c r="T88" s="60"/>
      <c r="U88" s="60"/>
      <c r="V88" s="60"/>
      <c r="W88" s="60"/>
      <c r="X88" s="60"/>
      <c r="Y88" s="60"/>
      <c r="Z88" s="60"/>
      <c r="AA88" s="60"/>
      <c r="AB88" s="60"/>
      <c r="AC88" s="60"/>
      <c r="AD88" s="60"/>
      <c r="AE88" s="60"/>
      <c r="AF88" s="39"/>
      <c r="AG88" s="39"/>
      <c r="AH88" s="2"/>
      <c r="AI88" s="2"/>
      <c r="AJ88" s="2"/>
      <c r="AK88" s="2"/>
      <c r="AL88" s="2"/>
      <c r="AM88" s="2"/>
      <c r="AN88" s="2"/>
      <c r="AO88" s="2"/>
      <c r="AP88" s="2"/>
      <c r="AQ88" s="2"/>
      <c r="AR88" s="2"/>
      <c r="AS88" s="2"/>
      <c r="AT88" s="60"/>
      <c r="AU88" s="2"/>
      <c r="AV88" s="2"/>
      <c r="AW88" s="60"/>
      <c r="AX88" s="2"/>
      <c r="AY88" s="2"/>
      <c r="AZ88" s="49"/>
      <c r="BA88" s="49"/>
    </row>
    <row r="89" spans="4:190" s="422" customFormat="1" x14ac:dyDescent="0.2">
      <c r="E89" s="620" t="s">
        <v>613</v>
      </c>
      <c r="F89" s="617"/>
      <c r="G89" s="617"/>
      <c r="H89" s="617"/>
      <c r="J89" s="617">
        <f t="shared" ref="J89:Y92" si="234">AVERAGE(AL89:AM89)</f>
        <v>2495706</v>
      </c>
      <c r="K89" s="617">
        <f t="shared" si="234"/>
        <v>2602087.5</v>
      </c>
      <c r="L89" s="617">
        <f t="shared" si="234"/>
        <v>4216428.7448123619</v>
      </c>
      <c r="M89" s="617">
        <f t="shared" si="234"/>
        <v>6662116.6982859541</v>
      </c>
      <c r="N89" s="617">
        <f t="shared" si="234"/>
        <v>6886391.1278809104</v>
      </c>
      <c r="O89" s="617">
        <f t="shared" si="234"/>
        <v>6393491.372769041</v>
      </c>
      <c r="P89" s="617">
        <f t="shared" si="234"/>
        <v>6709430.1426562853</v>
      </c>
      <c r="Q89" s="617">
        <f t="shared" si="234"/>
        <v>6934988.734401213</v>
      </c>
      <c r="R89" s="617">
        <f t="shared" si="234"/>
        <v>7098446.613410309</v>
      </c>
      <c r="S89" s="617">
        <f t="shared" si="234"/>
        <v>7450694.9840062177</v>
      </c>
      <c r="T89" s="617">
        <f t="shared" si="234"/>
        <v>7916891.8324154187</v>
      </c>
      <c r="U89" s="617">
        <f t="shared" si="234"/>
        <v>8223093.1748784967</v>
      </c>
      <c r="V89" s="617">
        <f t="shared" si="234"/>
        <v>8477132.6892427374</v>
      </c>
      <c r="W89" s="617">
        <f t="shared" si="234"/>
        <v>8761873.2875321992</v>
      </c>
      <c r="X89" s="617">
        <f t="shared" si="234"/>
        <v>9044323.880271256</v>
      </c>
      <c r="Y89" s="617">
        <f t="shared" si="234"/>
        <v>9342099.3912984766</v>
      </c>
      <c r="Z89" s="617">
        <f t="shared" ref="Z89:Z105" si="235">AVERAGE(BB89:BC89)</f>
        <v>9661300.7055733353</v>
      </c>
      <c r="AA89" s="617">
        <f t="shared" ref="AA89:AC105" si="236">AVERAGE(BC89:BD89)</f>
        <v>9961065.103586439</v>
      </c>
      <c r="AB89" s="617">
        <f t="shared" si="236"/>
        <v>10268272.864102369</v>
      </c>
      <c r="AC89" s="617">
        <f t="shared" si="236"/>
        <v>10629966.67233007</v>
      </c>
      <c r="AD89" s="617">
        <f t="shared" ref="AD89:AD114" si="237">AVERAGE(BF89:BG89)</f>
        <v>11029439.120374108</v>
      </c>
      <c r="AE89" s="617">
        <f t="shared" ref="AE89:AE114" si="238">AVERAGE(BG89:BH89)</f>
        <v>11470798.64225444</v>
      </c>
      <c r="AF89" s="617"/>
      <c r="AG89" s="617"/>
      <c r="AH89" s="617"/>
      <c r="AI89" s="617"/>
      <c r="AJ89" s="617"/>
      <c r="AK89" s="617"/>
      <c r="AL89" s="617">
        <f>SUM(AL90:AL93)</f>
        <v>2446080</v>
      </c>
      <c r="AM89" s="617">
        <f t="shared" ref="AM89:BF89" si="239">SUM(AM90:AM93)</f>
        <v>2545332</v>
      </c>
      <c r="AN89" s="617">
        <f t="shared" si="239"/>
        <v>2658843</v>
      </c>
      <c r="AO89" s="617">
        <f t="shared" si="239"/>
        <v>5774014.4896247247</v>
      </c>
      <c r="AP89" s="617">
        <f t="shared" si="239"/>
        <v>7550218.9069471844</v>
      </c>
      <c r="AQ89" s="617">
        <f t="shared" si="239"/>
        <v>6222563.3488146374</v>
      </c>
      <c r="AR89" s="617">
        <f t="shared" si="239"/>
        <v>6564419.3967234436</v>
      </c>
      <c r="AS89" s="617">
        <f t="shared" si="239"/>
        <v>6854440.8885891261</v>
      </c>
      <c r="AT89" s="617">
        <f t="shared" si="239"/>
        <v>7015536.5802133009</v>
      </c>
      <c r="AU89" s="617">
        <f t="shared" si="239"/>
        <v>7181356.6466073161</v>
      </c>
      <c r="AV89" s="617">
        <f t="shared" si="239"/>
        <v>7720033.3214051193</v>
      </c>
      <c r="AW89" s="617">
        <f t="shared" si="239"/>
        <v>8113750.3434257172</v>
      </c>
      <c r="AX89" s="617">
        <f t="shared" si="239"/>
        <v>8332436.0063312761</v>
      </c>
      <c r="AY89" s="617">
        <f t="shared" si="239"/>
        <v>8621829.3721541986</v>
      </c>
      <c r="AZ89" s="617">
        <f t="shared" si="239"/>
        <v>8901917.2029101979</v>
      </c>
      <c r="BA89" s="617">
        <f t="shared" si="239"/>
        <v>9186730.5576323122</v>
      </c>
      <c r="BB89" s="617">
        <f t="shared" si="239"/>
        <v>9497468.224964641</v>
      </c>
      <c r="BC89" s="617">
        <f t="shared" si="239"/>
        <v>9825133.1861820295</v>
      </c>
      <c r="BD89" s="617">
        <f t="shared" si="239"/>
        <v>10096997.020990847</v>
      </c>
      <c r="BE89" s="617">
        <f t="shared" si="239"/>
        <v>10439548.707213892</v>
      </c>
      <c r="BF89" s="617">
        <f t="shared" si="239"/>
        <v>10820384.637446251</v>
      </c>
      <c r="BG89" s="617">
        <f t="shared" ref="BG89:BH89" si="240">SUM(BG90:BG93)</f>
        <v>11238493.603301965</v>
      </c>
      <c r="BH89" s="617">
        <f t="shared" si="240"/>
        <v>11703103.681206916</v>
      </c>
      <c r="BO89" s="422" t="s">
        <v>334</v>
      </c>
      <c r="BP89" s="618"/>
      <c r="BQ89" s="618">
        <v>492581.0673992167</v>
      </c>
      <c r="BR89" s="618">
        <v>759288.55231009854</v>
      </c>
      <c r="BS89" s="618">
        <v>992816.26798054657</v>
      </c>
      <c r="BT89" s="618">
        <v>391507.11231013836</v>
      </c>
      <c r="BU89" s="618">
        <v>497530.48347924912</v>
      </c>
      <c r="BV89" s="618">
        <v>789356.89012716175</v>
      </c>
      <c r="BW89" s="618">
        <v>1087054.6861099352</v>
      </c>
      <c r="BX89" s="618">
        <v>392536.94028365373</v>
      </c>
      <c r="BY89" s="618">
        <v>509989.18243254657</v>
      </c>
      <c r="BZ89" s="618">
        <v>807078.66423274355</v>
      </c>
      <c r="CA89" s="618">
        <v>1131871.083376935</v>
      </c>
      <c r="CB89" s="618">
        <v>402017.06995777477</v>
      </c>
      <c r="CC89" s="618">
        <v>533316.89690935274</v>
      </c>
      <c r="CD89" s="618">
        <v>877867.60386677098</v>
      </c>
      <c r="CE89" s="618">
        <v>1194161.7891328959</v>
      </c>
      <c r="CF89" s="618">
        <v>412641.71009098028</v>
      </c>
      <c r="CG89" s="618">
        <v>551345.69420787937</v>
      </c>
      <c r="CH89" s="618">
        <v>909035.5235234974</v>
      </c>
      <c r="CI89" s="618">
        <v>1263276.6467249657</v>
      </c>
      <c r="CJ89" s="618">
        <v>424726.13554365764</v>
      </c>
      <c r="CK89" s="618">
        <v>569666.4362223614</v>
      </c>
      <c r="CL89" s="618">
        <v>969826.37374289671</v>
      </c>
      <c r="CM89" s="618">
        <v>1313365.5674828796</v>
      </c>
      <c r="CN89" s="618">
        <v>415379.62255186233</v>
      </c>
      <c r="CO89" s="618">
        <v>589781.88370647468</v>
      </c>
      <c r="CP89" s="618">
        <v>1004668.5686769136</v>
      </c>
      <c r="CQ89" s="618">
        <v>1382592.4481669567</v>
      </c>
      <c r="CR89" s="618">
        <v>422605.09944965533</v>
      </c>
      <c r="CS89" s="618">
        <v>656045.067411575</v>
      </c>
      <c r="CT89" s="618">
        <v>1024509.55073633</v>
      </c>
      <c r="CU89" s="618">
        <v>1402886.7815610145</v>
      </c>
      <c r="CV89" s="618">
        <v>471046.42029107653</v>
      </c>
      <c r="CW89" s="618">
        <v>655522.66860856849</v>
      </c>
      <c r="CX89" s="618">
        <v>1052186.2277672589</v>
      </c>
      <c r="CY89" s="618">
        <v>1496934.3837432701</v>
      </c>
      <c r="CZ89" s="618">
        <v>465001.81593090249</v>
      </c>
      <c r="DA89" s="618">
        <v>667679.46891666704</v>
      </c>
      <c r="DB89" s="618">
        <v>1084045.7313364781</v>
      </c>
      <c r="DC89" s="618">
        <v>1582722.8767102268</v>
      </c>
      <c r="DD89" s="618">
        <v>489979.82202467782</v>
      </c>
      <c r="DE89" s="618">
        <v>659881.00109652558</v>
      </c>
      <c r="DF89" s="618">
        <v>1147970.2705959401</v>
      </c>
      <c r="DG89" s="618">
        <v>1663669.9952801212</v>
      </c>
      <c r="DH89" s="618">
        <v>489152.00302741711</v>
      </c>
      <c r="DI89" s="507">
        <v>662271.65574786556</v>
      </c>
      <c r="DJ89" s="507">
        <v>1206738.5560135972</v>
      </c>
      <c r="DK89" s="507">
        <v>1759210.8479221021</v>
      </c>
      <c r="DL89" s="507">
        <v>501209.75647443486</v>
      </c>
      <c r="DM89" s="507">
        <v>672904.32240738673</v>
      </c>
      <c r="DN89" s="507">
        <v>1266153.6964833804</v>
      </c>
      <c r="DO89" s="507">
        <v>1854068.0211701097</v>
      </c>
      <c r="DP89" s="606">
        <v>513662.90744807932</v>
      </c>
      <c r="DQ89" s="606">
        <v>683670.79156590498</v>
      </c>
    </row>
    <row r="90" spans="4:190" s="422" customFormat="1" x14ac:dyDescent="0.2">
      <c r="E90" s="620" t="s">
        <v>131</v>
      </c>
      <c r="F90" s="617"/>
      <c r="G90" s="617"/>
      <c r="H90" s="617"/>
      <c r="J90" s="617">
        <f t="shared" si="234"/>
        <v>1727294</v>
      </c>
      <c r="K90" s="617">
        <f t="shared" si="234"/>
        <v>1806345.5</v>
      </c>
      <c r="L90" s="617">
        <f t="shared" si="234"/>
        <v>2452621.3812695844</v>
      </c>
      <c r="M90" s="617">
        <f t="shared" si="234"/>
        <v>3899857.0888346713</v>
      </c>
      <c r="N90" s="617">
        <f t="shared" si="234"/>
        <v>4038458.6992758987</v>
      </c>
      <c r="O90" s="617">
        <f t="shared" si="234"/>
        <v>3445152.2623984325</v>
      </c>
      <c r="P90" s="617">
        <f t="shared" si="234"/>
        <v>3633370.1633359585</v>
      </c>
      <c r="Q90" s="617">
        <f t="shared" si="234"/>
        <v>3685164.3946411144</v>
      </c>
      <c r="R90" s="617">
        <f t="shared" si="234"/>
        <v>3631278.7277401676</v>
      </c>
      <c r="S90" s="617">
        <f t="shared" si="234"/>
        <v>3744161.4903923329</v>
      </c>
      <c r="T90" s="617">
        <f t="shared" si="234"/>
        <v>3991766.9801339526</v>
      </c>
      <c r="U90" s="617">
        <f t="shared" si="234"/>
        <v>4173596.6623319453</v>
      </c>
      <c r="V90" s="617">
        <f t="shared" si="234"/>
        <v>4351330.8673947677</v>
      </c>
      <c r="W90" s="617">
        <f t="shared" si="234"/>
        <v>4547502.7571479119</v>
      </c>
      <c r="X90" s="617">
        <f t="shared" si="234"/>
        <v>4721284.9405732732</v>
      </c>
      <c r="Y90" s="617">
        <f t="shared" si="234"/>
        <v>4897818.8721134793</v>
      </c>
      <c r="Z90" s="617">
        <f t="shared" si="235"/>
        <v>5079073.882042109</v>
      </c>
      <c r="AA90" s="617">
        <f t="shared" si="236"/>
        <v>5235250.5167705994</v>
      </c>
      <c r="AB90" s="617">
        <f t="shared" si="236"/>
        <v>5388153.3196539022</v>
      </c>
      <c r="AC90" s="617">
        <f t="shared" si="236"/>
        <v>5562096.6556455968</v>
      </c>
      <c r="AD90" s="617">
        <f t="shared" si="237"/>
        <v>5758581.1402736511</v>
      </c>
      <c r="AE90" s="617">
        <f t="shared" si="238"/>
        <v>5982846.1272737458</v>
      </c>
      <c r="AF90" s="617"/>
      <c r="AG90" s="617"/>
      <c r="AH90" s="617"/>
      <c r="AI90" s="617"/>
      <c r="AJ90" s="617"/>
      <c r="AK90" s="617"/>
      <c r="AL90" s="621">
        <v>1689468</v>
      </c>
      <c r="AM90" s="621">
        <v>1765120</v>
      </c>
      <c r="AN90" s="622">
        <f t="shared" ref="AN90:AY90" si="241">AN246+AN274</f>
        <v>1847571</v>
      </c>
      <c r="AO90" s="622">
        <f t="shared" si="241"/>
        <v>3057671.7625391693</v>
      </c>
      <c r="AP90" s="622">
        <f>AP246+AS274</f>
        <v>4742042.4151301729</v>
      </c>
      <c r="AQ90" s="622">
        <f t="shared" si="241"/>
        <v>3334874.9834216246</v>
      </c>
      <c r="AR90" s="622">
        <f t="shared" si="241"/>
        <v>3555429.5413752403</v>
      </c>
      <c r="AS90" s="622">
        <f t="shared" si="241"/>
        <v>3711310.7852966767</v>
      </c>
      <c r="AT90" s="622">
        <f t="shared" si="241"/>
        <v>3659018.0039855517</v>
      </c>
      <c r="AU90" s="622">
        <f t="shared" si="241"/>
        <v>3603539.4514947841</v>
      </c>
      <c r="AV90" s="622">
        <f t="shared" si="241"/>
        <v>3884783.5292898817</v>
      </c>
      <c r="AW90" s="622">
        <f t="shared" si="241"/>
        <v>4098750.4309780234</v>
      </c>
      <c r="AX90" s="622">
        <f t="shared" si="241"/>
        <v>4248442.8936858671</v>
      </c>
      <c r="AY90" s="622">
        <f t="shared" si="241"/>
        <v>4454218.8411036683</v>
      </c>
      <c r="AZ90" s="622">
        <f t="shared" ref="AZ90:BA93" si="242">AZ246+AZ274</f>
        <v>4640786.6731921565</v>
      </c>
      <c r="BA90" s="622">
        <f t="shared" si="242"/>
        <v>4801783.2079543909</v>
      </c>
      <c r="BB90" s="622">
        <f t="shared" ref="BB90:BC93" si="243">BB246+BB274</f>
        <v>4993854.5362725668</v>
      </c>
      <c r="BC90" s="622">
        <f t="shared" si="243"/>
        <v>5164293.2278116513</v>
      </c>
      <c r="BD90" s="622">
        <f t="shared" ref="BD90:BE93" si="244">BD246+BD274</f>
        <v>5306207.8057295466</v>
      </c>
      <c r="BE90" s="622">
        <f t="shared" si="244"/>
        <v>5470098.8335782578</v>
      </c>
      <c r="BF90" s="622">
        <f>BF246+BF274</f>
        <v>5654094.4777129358</v>
      </c>
      <c r="BG90" s="622">
        <f t="shared" ref="BG90:BH90" si="245">BG246+BG274</f>
        <v>5863067.8028343674</v>
      </c>
      <c r="BH90" s="622">
        <f t="shared" si="245"/>
        <v>6102624.4517131243</v>
      </c>
      <c r="DP90" s="606"/>
      <c r="DQ90" s="606"/>
    </row>
    <row r="91" spans="4:190" s="422" customFormat="1" x14ac:dyDescent="0.2">
      <c r="E91" s="620" t="s">
        <v>132</v>
      </c>
      <c r="F91" s="617"/>
      <c r="G91" s="617"/>
      <c r="H91" s="617"/>
      <c r="J91" s="617">
        <f t="shared" si="234"/>
        <v>418127</v>
      </c>
      <c r="K91" s="617">
        <f t="shared" si="234"/>
        <v>433552.5</v>
      </c>
      <c r="L91" s="617">
        <f t="shared" si="234"/>
        <v>1170824.7031493885</v>
      </c>
      <c r="M91" s="617">
        <f t="shared" si="234"/>
        <v>1926774.0175398877</v>
      </c>
      <c r="N91" s="617">
        <f t="shared" si="234"/>
        <v>1975469.1254591243</v>
      </c>
      <c r="O91" s="617">
        <f t="shared" si="234"/>
        <v>2038526.9436367122</v>
      </c>
      <c r="P91" s="617">
        <f t="shared" si="234"/>
        <v>2125583.9471718557</v>
      </c>
      <c r="Q91" s="617">
        <f t="shared" si="234"/>
        <v>2251455.9738195501</v>
      </c>
      <c r="R91" s="617">
        <f t="shared" si="234"/>
        <v>2422451.1256979303</v>
      </c>
      <c r="S91" s="617">
        <f t="shared" si="234"/>
        <v>2614555.061814982</v>
      </c>
      <c r="T91" s="617">
        <f t="shared" si="234"/>
        <v>2787745.6933110822</v>
      </c>
      <c r="U91" s="617">
        <f t="shared" si="234"/>
        <v>2880153.5329675456</v>
      </c>
      <c r="V91" s="617">
        <f t="shared" si="234"/>
        <v>2924329.5205740863</v>
      </c>
      <c r="W91" s="617">
        <f t="shared" si="234"/>
        <v>2974980.5633773603</v>
      </c>
      <c r="X91" s="617">
        <f t="shared" si="234"/>
        <v>3032212.548052826</v>
      </c>
      <c r="Y91" s="617">
        <f t="shared" si="234"/>
        <v>3096064.1863894761</v>
      </c>
      <c r="Z91" s="617">
        <f t="shared" si="235"/>
        <v>3179159.0068944544</v>
      </c>
      <c r="AA91" s="617">
        <f t="shared" si="236"/>
        <v>3262653.3997617112</v>
      </c>
      <c r="AB91" s="617">
        <f t="shared" si="236"/>
        <v>3354805.6441027764</v>
      </c>
      <c r="AC91" s="617">
        <f t="shared" si="236"/>
        <v>3477411.2308392264</v>
      </c>
      <c r="AD91" s="617">
        <f t="shared" si="237"/>
        <v>3614689.4199814359</v>
      </c>
      <c r="AE91" s="617">
        <f t="shared" si="238"/>
        <v>3767794.9804593734</v>
      </c>
      <c r="AF91" s="617"/>
      <c r="AG91" s="617"/>
      <c r="AH91" s="617"/>
      <c r="AI91" s="617"/>
      <c r="AJ91" s="617"/>
      <c r="AK91" s="617"/>
      <c r="AL91" s="621">
        <v>411009</v>
      </c>
      <c r="AM91" s="621">
        <v>425245</v>
      </c>
      <c r="AN91" s="622">
        <f t="shared" ref="AN91:AY91" si="246">AN247+AN275</f>
        <v>441860</v>
      </c>
      <c r="AO91" s="622">
        <f t="shared" si="246"/>
        <v>1899789.4062987769</v>
      </c>
      <c r="AP91" s="622">
        <f t="shared" si="246"/>
        <v>1953758.6287809983</v>
      </c>
      <c r="AQ91" s="622">
        <f t="shared" si="246"/>
        <v>1997179.6221372506</v>
      </c>
      <c r="AR91" s="622">
        <f t="shared" si="246"/>
        <v>2079874.2651361739</v>
      </c>
      <c r="AS91" s="622">
        <f t="shared" si="246"/>
        <v>2171293.629207537</v>
      </c>
      <c r="AT91" s="622">
        <f t="shared" si="246"/>
        <v>2331618.3184315632</v>
      </c>
      <c r="AU91" s="622">
        <f t="shared" si="246"/>
        <v>2513283.9329642979</v>
      </c>
      <c r="AV91" s="622">
        <f t="shared" si="246"/>
        <v>2715826.190665666</v>
      </c>
      <c r="AW91" s="622">
        <f t="shared" si="246"/>
        <v>2859665.1959564984</v>
      </c>
      <c r="AX91" s="622">
        <f t="shared" si="246"/>
        <v>2900641.8699785927</v>
      </c>
      <c r="AY91" s="622">
        <f t="shared" si="246"/>
        <v>2948017.17116958</v>
      </c>
      <c r="AZ91" s="622">
        <f t="shared" si="242"/>
        <v>3001943.9555851407</v>
      </c>
      <c r="BA91" s="622">
        <f t="shared" si="242"/>
        <v>3062481.1405205112</v>
      </c>
      <c r="BB91" s="622">
        <f t="shared" si="243"/>
        <v>3129647.2322584409</v>
      </c>
      <c r="BC91" s="622">
        <f t="shared" si="243"/>
        <v>3228670.7815304678</v>
      </c>
      <c r="BD91" s="622">
        <f t="shared" si="244"/>
        <v>3296636.0179929547</v>
      </c>
      <c r="BE91" s="622">
        <f t="shared" si="244"/>
        <v>3412975.2702125977</v>
      </c>
      <c r="BF91" s="622">
        <f>BF247+BF275</f>
        <v>3541847.1914658546</v>
      </c>
      <c r="BG91" s="622">
        <f t="shared" ref="BG91:BH91" si="247">BG247+BG275</f>
        <v>3687531.6484970171</v>
      </c>
      <c r="BH91" s="622">
        <f t="shared" si="247"/>
        <v>3848058.3124217303</v>
      </c>
      <c r="DP91" s="606"/>
      <c r="DQ91" s="606"/>
    </row>
    <row r="92" spans="4:190" s="422" customFormat="1" x14ac:dyDescent="0.2">
      <c r="E92" s="620" t="s">
        <v>133</v>
      </c>
      <c r="F92" s="617"/>
      <c r="G92" s="617"/>
      <c r="H92" s="617"/>
      <c r="J92" s="617">
        <f t="shared" si="234"/>
        <v>209977.5</v>
      </c>
      <c r="K92" s="617">
        <f t="shared" si="234"/>
        <v>217608.5</v>
      </c>
      <c r="L92" s="617">
        <f t="shared" si="234"/>
        <v>359693.88554938964</v>
      </c>
      <c r="M92" s="617">
        <f t="shared" si="234"/>
        <v>504768.6871905044</v>
      </c>
      <c r="N92" s="617">
        <f t="shared" si="234"/>
        <v>520686.04314292059</v>
      </c>
      <c r="O92" s="617">
        <f t="shared" si="234"/>
        <v>535660.88160079066</v>
      </c>
      <c r="P92" s="617">
        <f t="shared" si="234"/>
        <v>552607.90563800232</v>
      </c>
      <c r="Q92" s="617">
        <f t="shared" si="234"/>
        <v>583091.73282707529</v>
      </c>
      <c r="R92" s="617">
        <f t="shared" si="234"/>
        <v>621782.80555237387</v>
      </c>
      <c r="S92" s="617">
        <f t="shared" si="234"/>
        <v>651815.12021994148</v>
      </c>
      <c r="T92" s="617">
        <f t="shared" si="234"/>
        <v>680780.09262321936</v>
      </c>
      <c r="U92" s="617">
        <f t="shared" si="234"/>
        <v>709623.34283698071</v>
      </c>
      <c r="V92" s="617">
        <f t="shared" si="234"/>
        <v>733619.36952908523</v>
      </c>
      <c r="W92" s="617">
        <f t="shared" si="234"/>
        <v>758636.63271029177</v>
      </c>
      <c r="X92" s="617">
        <f t="shared" si="234"/>
        <v>789910.46067793225</v>
      </c>
      <c r="Y92" s="617">
        <f t="shared" si="234"/>
        <v>828838.36154492176</v>
      </c>
      <c r="Z92" s="617">
        <f t="shared" si="235"/>
        <v>871408.87886937417</v>
      </c>
      <c r="AA92" s="617">
        <f t="shared" si="236"/>
        <v>915274.09712986636</v>
      </c>
      <c r="AB92" s="617">
        <f t="shared" si="236"/>
        <v>958566.98048974422</v>
      </c>
      <c r="AC92" s="617">
        <f t="shared" si="236"/>
        <v>1002502.671435472</v>
      </c>
      <c r="AD92" s="617">
        <f t="shared" si="237"/>
        <v>1047278.7239238984</v>
      </c>
      <c r="AE92" s="617">
        <f t="shared" si="238"/>
        <v>1091948.811245149</v>
      </c>
      <c r="AF92" s="617"/>
      <c r="AG92" s="617"/>
      <c r="AH92" s="617"/>
      <c r="AI92" s="617"/>
      <c r="AJ92" s="617"/>
      <c r="AK92" s="617"/>
      <c r="AL92" s="621">
        <v>207475</v>
      </c>
      <c r="AM92" s="621">
        <v>212480</v>
      </c>
      <c r="AN92" s="622">
        <f t="shared" ref="AN92:AY92" si="248">AN248+AN276</f>
        <v>222737</v>
      </c>
      <c r="AO92" s="622">
        <f t="shared" si="248"/>
        <v>496650.77109877934</v>
      </c>
      <c r="AP92" s="622">
        <f t="shared" si="248"/>
        <v>512886.60328222945</v>
      </c>
      <c r="AQ92" s="622">
        <f t="shared" si="248"/>
        <v>528485.48300361179</v>
      </c>
      <c r="AR92" s="622">
        <f t="shared" si="248"/>
        <v>542836.28019796952</v>
      </c>
      <c r="AS92" s="622">
        <f t="shared" si="248"/>
        <v>562379.53107803501</v>
      </c>
      <c r="AT92" s="622">
        <f t="shared" si="248"/>
        <v>603803.93457611545</v>
      </c>
      <c r="AU92" s="622">
        <f t="shared" si="248"/>
        <v>639761.67652863218</v>
      </c>
      <c r="AV92" s="622">
        <f t="shared" si="248"/>
        <v>663868.56391125079</v>
      </c>
      <c r="AW92" s="622">
        <f t="shared" si="248"/>
        <v>697691.62133518781</v>
      </c>
      <c r="AX92" s="622">
        <f t="shared" si="248"/>
        <v>721555.06433877349</v>
      </c>
      <c r="AY92" s="622">
        <f t="shared" si="248"/>
        <v>745683.67471939698</v>
      </c>
      <c r="AZ92" s="622">
        <f t="shared" si="242"/>
        <v>771589.59070118645</v>
      </c>
      <c r="BA92" s="622">
        <f t="shared" si="242"/>
        <v>808231.33065467817</v>
      </c>
      <c r="BB92" s="622">
        <f t="shared" si="243"/>
        <v>849445.39243516535</v>
      </c>
      <c r="BC92" s="622">
        <f t="shared" si="243"/>
        <v>893372.36530358298</v>
      </c>
      <c r="BD92" s="622">
        <f t="shared" si="244"/>
        <v>937175.82895614975</v>
      </c>
      <c r="BE92" s="622">
        <f t="shared" si="244"/>
        <v>979958.13202333869</v>
      </c>
      <c r="BF92" s="622">
        <f>BF248+BF276</f>
        <v>1025047.2108476053</v>
      </c>
      <c r="BG92" s="622">
        <f t="shared" ref="BG92:BH92" si="249">BG248+BG276</f>
        <v>1069510.2370001916</v>
      </c>
      <c r="BH92" s="622">
        <f t="shared" si="249"/>
        <v>1114387.3854901067</v>
      </c>
      <c r="DP92" s="606"/>
      <c r="DQ92" s="606"/>
    </row>
    <row r="93" spans="4:190" s="422" customFormat="1" x14ac:dyDescent="0.2">
      <c r="E93" s="620" t="s">
        <v>612</v>
      </c>
      <c r="F93" s="617"/>
      <c r="G93" s="617"/>
      <c r="H93" s="617"/>
      <c r="J93" s="617">
        <f t="shared" ref="J93:J116" si="250">AVERAGE(AL93:AM93)</f>
        <v>140307.5</v>
      </c>
      <c r="K93" s="617">
        <f t="shared" ref="K93:K116" si="251">AVERAGE(AM93:AN93)</f>
        <v>144581</v>
      </c>
      <c r="L93" s="617">
        <f t="shared" ref="L93:L116" si="252">AVERAGE(AN93:AO93)</f>
        <v>233288.77484399945</v>
      </c>
      <c r="M93" s="617">
        <f t="shared" ref="M93:M116" si="253">AVERAGE(AO93:AP93)</f>
        <v>330716.90472089173</v>
      </c>
      <c r="N93" s="617">
        <f t="shared" ref="N93:N116" si="254">AVERAGE(AP93:AQ93)</f>
        <v>351777.26000296767</v>
      </c>
      <c r="O93" s="617">
        <f t="shared" ref="O93:O116" si="255">AVERAGE(AQ93:AR93)</f>
        <v>374151.28513310518</v>
      </c>
      <c r="P93" s="617">
        <f t="shared" ref="P93:P116" si="256">AVERAGE(AR93:AS93)</f>
        <v>397868.12651046872</v>
      </c>
      <c r="Q93" s="617">
        <f t="shared" ref="Q93:Q116" si="257">AVERAGE(AS93:AT93)</f>
        <v>415276.63311347424</v>
      </c>
      <c r="R93" s="617">
        <f t="shared" ref="R93:R116" si="258">AVERAGE(AT93:AU93)</f>
        <v>422933.95441983594</v>
      </c>
      <c r="S93" s="617">
        <f t="shared" ref="S93:S116" si="259">AVERAGE(AU93:AV93)</f>
        <v>440163.31157896086</v>
      </c>
      <c r="T93" s="617">
        <f t="shared" ref="T93:T116" si="260">AVERAGE(AV93:AW93)</f>
        <v>456599.06634716399</v>
      </c>
      <c r="U93" s="617">
        <f t="shared" ref="U93:U105" si="261">AVERAGE(AW93:AX93)</f>
        <v>459719.63674202503</v>
      </c>
      <c r="V93" s="617">
        <f t="shared" ref="V93:V105" si="262">AVERAGE(AX93:AY93)</f>
        <v>467852.93174479774</v>
      </c>
      <c r="W93" s="617">
        <f t="shared" ref="W93:W105" si="263">AVERAGE(AY93:AZ93)</f>
        <v>480753.33429663285</v>
      </c>
      <c r="X93" s="617">
        <f t="shared" ref="X93:X105" si="264">AVERAGE(AZ93:BA93)</f>
        <v>500915.93096722296</v>
      </c>
      <c r="Y93" s="617">
        <f t="shared" ref="Y93:Y105" si="265">AVERAGE(BA93:BB93)</f>
        <v>519377.97125060041</v>
      </c>
      <c r="Z93" s="617">
        <f t="shared" si="235"/>
        <v>531658.93776739738</v>
      </c>
      <c r="AA93" s="617">
        <f t="shared" si="236"/>
        <v>547887.08992426237</v>
      </c>
      <c r="AB93" s="617">
        <f t="shared" si="236"/>
        <v>566746.91985594807</v>
      </c>
      <c r="AC93" s="617">
        <f t="shared" si="236"/>
        <v>587956.11440977652</v>
      </c>
      <c r="AD93" s="617">
        <f t="shared" si="237"/>
        <v>608889.83619512198</v>
      </c>
      <c r="AE93" s="617">
        <f t="shared" si="238"/>
        <v>628208.72327617207</v>
      </c>
      <c r="AF93" s="617"/>
      <c r="AG93" s="617"/>
      <c r="AH93" s="617"/>
      <c r="AI93" s="617"/>
      <c r="AJ93" s="617"/>
      <c r="AK93" s="617"/>
      <c r="AL93" s="621">
        <v>138128</v>
      </c>
      <c r="AM93" s="621">
        <v>142487</v>
      </c>
      <c r="AN93" s="617">
        <f t="shared" ref="AN93:AY93" si="266">AN249+AN277</f>
        <v>146675</v>
      </c>
      <c r="AO93" s="617">
        <f t="shared" si="266"/>
        <v>319902.54968799889</v>
      </c>
      <c r="AP93" s="617">
        <f t="shared" si="266"/>
        <v>341531.25975378451</v>
      </c>
      <c r="AQ93" s="617">
        <f t="shared" si="266"/>
        <v>362023.26025215088</v>
      </c>
      <c r="AR93" s="617">
        <f t="shared" si="266"/>
        <v>386279.31001405948</v>
      </c>
      <c r="AS93" s="617">
        <f t="shared" si="266"/>
        <v>409456.94300687796</v>
      </c>
      <c r="AT93" s="617">
        <f t="shared" si="266"/>
        <v>421096.32322007051</v>
      </c>
      <c r="AU93" s="617">
        <f t="shared" si="266"/>
        <v>424771.5856196013</v>
      </c>
      <c r="AV93" s="617">
        <f t="shared" si="266"/>
        <v>455555.03753832035</v>
      </c>
      <c r="AW93" s="617">
        <f t="shared" si="266"/>
        <v>457643.09515600756</v>
      </c>
      <c r="AX93" s="617">
        <f t="shared" si="266"/>
        <v>461796.17832804256</v>
      </c>
      <c r="AY93" s="617">
        <f t="shared" si="266"/>
        <v>473909.68516155286</v>
      </c>
      <c r="AZ93" s="617">
        <f t="shared" si="242"/>
        <v>487596.98343171284</v>
      </c>
      <c r="BA93" s="617">
        <f t="shared" si="242"/>
        <v>514234.87850273307</v>
      </c>
      <c r="BB93" s="617">
        <f t="shared" si="243"/>
        <v>524521.06399846775</v>
      </c>
      <c r="BC93" s="617">
        <f t="shared" si="243"/>
        <v>538796.81153632712</v>
      </c>
      <c r="BD93" s="617">
        <f t="shared" si="244"/>
        <v>556977.3683121975</v>
      </c>
      <c r="BE93" s="617">
        <f t="shared" si="244"/>
        <v>576516.47139969852</v>
      </c>
      <c r="BF93" s="617">
        <f>BF249+BF277</f>
        <v>599395.75741985452</v>
      </c>
      <c r="BG93" s="617">
        <f t="shared" ref="BG93:BH93" si="267">BG249+BG277</f>
        <v>618383.91497038945</v>
      </c>
      <c r="BH93" s="617">
        <f t="shared" si="267"/>
        <v>638033.5315819548</v>
      </c>
      <c r="BO93" s="422" t="s">
        <v>105</v>
      </c>
      <c r="BP93" s="618"/>
      <c r="BQ93" s="618">
        <v>34298.503187782255</v>
      </c>
      <c r="BR93" s="618">
        <v>43444.550160455226</v>
      </c>
      <c r="BS93" s="618">
        <v>40008.463649458266</v>
      </c>
      <c r="BT93" s="618">
        <v>35908.48300230423</v>
      </c>
      <c r="BU93" s="618">
        <v>38776</v>
      </c>
      <c r="BV93" s="618">
        <v>48750</v>
      </c>
      <c r="BW93" s="618">
        <v>41162</v>
      </c>
      <c r="BX93" s="618">
        <v>35361</v>
      </c>
      <c r="BY93" s="618">
        <v>40026</v>
      </c>
      <c r="BZ93" s="618">
        <v>47651</v>
      </c>
      <c r="CA93" s="618">
        <v>45721</v>
      </c>
      <c r="CB93" s="618">
        <v>40494</v>
      </c>
      <c r="CC93" s="618">
        <v>42762.206019918616</v>
      </c>
      <c r="CD93" s="618">
        <v>47769.263841528213</v>
      </c>
      <c r="CE93" s="618">
        <v>48257.88209316042</v>
      </c>
      <c r="CF93" s="618">
        <v>46753.648045392758</v>
      </c>
      <c r="CG93" s="618">
        <v>49942.201916609207</v>
      </c>
      <c r="CH93" s="618">
        <v>53946.249403074129</v>
      </c>
      <c r="CI93" s="618">
        <v>44846.169546635225</v>
      </c>
      <c r="CJ93" s="618">
        <v>47941.379133681439</v>
      </c>
      <c r="CK93" s="618">
        <v>50022</v>
      </c>
      <c r="CL93" s="618">
        <v>57477</v>
      </c>
      <c r="CM93" s="618">
        <v>53913</v>
      </c>
      <c r="CN93" s="618">
        <v>45098</v>
      </c>
      <c r="CO93" s="618">
        <v>57208.47012876907</v>
      </c>
      <c r="CP93" s="618">
        <v>53369.896273542654</v>
      </c>
      <c r="CQ93" s="618">
        <v>51518.601395011443</v>
      </c>
      <c r="CR93" s="618">
        <v>53637.032202676826</v>
      </c>
      <c r="CS93" s="618">
        <v>45023.142808331242</v>
      </c>
      <c r="CT93" s="618">
        <v>60739.263135010944</v>
      </c>
      <c r="CU93" s="618">
        <v>67388.04860076918</v>
      </c>
      <c r="CV93" s="618">
        <v>53370.545455888641</v>
      </c>
      <c r="CW93" s="618">
        <v>50278.216988411594</v>
      </c>
      <c r="CX93" s="618">
        <v>65486.895934324915</v>
      </c>
      <c r="CY93" s="618">
        <v>65398.981266152987</v>
      </c>
      <c r="CZ93" s="618">
        <v>51472.664711110498</v>
      </c>
      <c r="DA93" s="618">
        <v>55006.01</v>
      </c>
      <c r="DB93" s="618">
        <v>66761.883000000002</v>
      </c>
      <c r="DC93" s="618">
        <v>64437.197999999997</v>
      </c>
      <c r="DD93" s="618">
        <v>49921.209000000003</v>
      </c>
      <c r="DE93" s="618">
        <v>56151.287707842501</v>
      </c>
      <c r="DF93" s="618">
        <v>66993.491005672171</v>
      </c>
      <c r="DG93" s="618">
        <v>65388.395844962812</v>
      </c>
      <c r="DH93" s="618">
        <v>50426.651448424498</v>
      </c>
      <c r="DI93" s="507">
        <v>57288.998758199486</v>
      </c>
      <c r="DJ93" s="507">
        <v>71376.480681330198</v>
      </c>
      <c r="DK93" s="507">
        <v>66341.572422752201</v>
      </c>
      <c r="DL93" s="507">
        <v>50882.9481377181</v>
      </c>
      <c r="DM93" s="507">
        <v>58338.509090331871</v>
      </c>
      <c r="DN93" s="507">
        <v>73131.778342672216</v>
      </c>
      <c r="DO93" s="507">
        <v>68472.035936120621</v>
      </c>
      <c r="DP93" s="634">
        <v>51356.676630875285</v>
      </c>
      <c r="DQ93" s="634">
        <v>59818.8066210916</v>
      </c>
    </row>
    <row r="94" spans="4:190" s="422" customFormat="1" x14ac:dyDescent="0.2">
      <c r="E94" s="620" t="s">
        <v>106</v>
      </c>
      <c r="F94" s="617"/>
      <c r="G94" s="617"/>
      <c r="H94" s="617"/>
      <c r="J94" s="617">
        <f t="shared" si="250"/>
        <v>1424119.5</v>
      </c>
      <c r="K94" s="617">
        <f t="shared" si="251"/>
        <v>1503726</v>
      </c>
      <c r="L94" s="617">
        <f t="shared" si="252"/>
        <v>2274896.5985656907</v>
      </c>
      <c r="M94" s="617">
        <f t="shared" si="253"/>
        <v>3166309.8922941377</v>
      </c>
      <c r="N94" s="617">
        <f t="shared" si="254"/>
        <v>3514704.4269082942</v>
      </c>
      <c r="O94" s="617">
        <f t="shared" si="255"/>
        <v>3923999.9219121533</v>
      </c>
      <c r="P94" s="617">
        <f t="shared" si="256"/>
        <v>4361957.8206134094</v>
      </c>
      <c r="Q94" s="617">
        <f t="shared" si="257"/>
        <v>4727379.4988209121</v>
      </c>
      <c r="R94" s="617">
        <f t="shared" si="258"/>
        <v>5137625.2738594385</v>
      </c>
      <c r="S94" s="617">
        <f t="shared" si="259"/>
        <v>5582604.2508181222</v>
      </c>
      <c r="T94" s="617">
        <f t="shared" si="260"/>
        <v>5854266.7530012876</v>
      </c>
      <c r="U94" s="617">
        <f t="shared" si="261"/>
        <v>6219636.5073175197</v>
      </c>
      <c r="V94" s="617">
        <f t="shared" si="262"/>
        <v>6880857.3709734399</v>
      </c>
      <c r="W94" s="617">
        <f t="shared" si="263"/>
        <v>7418930.6182790399</v>
      </c>
      <c r="X94" s="617">
        <f t="shared" si="264"/>
        <v>7926682.9729900062</v>
      </c>
      <c r="Y94" s="617">
        <f t="shared" si="265"/>
        <v>8715886.463943094</v>
      </c>
      <c r="Z94" s="617">
        <f t="shared" si="235"/>
        <v>9571103.4970877543</v>
      </c>
      <c r="AA94" s="617">
        <f t="shared" si="236"/>
        <v>10469100.113854695</v>
      </c>
      <c r="AB94" s="617">
        <f t="shared" si="236"/>
        <v>11449764.779789969</v>
      </c>
      <c r="AC94" s="617">
        <f t="shared" si="236"/>
        <v>12539405.019806571</v>
      </c>
      <c r="AD94" s="617">
        <f t="shared" si="237"/>
        <v>13771127.487576015</v>
      </c>
      <c r="AE94" s="617">
        <f t="shared" si="238"/>
        <v>15158266.561087353</v>
      </c>
      <c r="AF94" s="617"/>
      <c r="AG94" s="617"/>
      <c r="AH94" s="617"/>
      <c r="AI94" s="617"/>
      <c r="AJ94" s="617"/>
      <c r="AK94" s="617"/>
      <c r="AL94" s="617">
        <f>SUM(AL95:AL99)</f>
        <v>1377739</v>
      </c>
      <c r="AM94" s="617">
        <f>SUM(AM95:AM99)</f>
        <v>1470500</v>
      </c>
      <c r="AN94" s="617">
        <f t="shared" ref="AN94:AY94" si="268">SUM(AN95:AN99)</f>
        <v>1536952</v>
      </c>
      <c r="AO94" s="617">
        <f t="shared" si="268"/>
        <v>3012841.1971313814</v>
      </c>
      <c r="AP94" s="617">
        <f t="shared" si="268"/>
        <v>3319778.5874568941</v>
      </c>
      <c r="AQ94" s="617">
        <f t="shared" si="268"/>
        <v>3709630.2663596943</v>
      </c>
      <c r="AR94" s="617">
        <f t="shared" si="268"/>
        <v>4138369.5774646122</v>
      </c>
      <c r="AS94" s="617">
        <f t="shared" si="268"/>
        <v>4585546.0637622066</v>
      </c>
      <c r="AT94" s="617">
        <f t="shared" si="268"/>
        <v>4869212.9338796176</v>
      </c>
      <c r="AU94" s="617">
        <f t="shared" si="268"/>
        <v>5406037.6138392594</v>
      </c>
      <c r="AV94" s="617">
        <f t="shared" si="268"/>
        <v>5759170.887796985</v>
      </c>
      <c r="AW94" s="617">
        <f t="shared" si="268"/>
        <v>5949362.6182055902</v>
      </c>
      <c r="AX94" s="617">
        <f t="shared" si="268"/>
        <v>6489910.3964294493</v>
      </c>
      <c r="AY94" s="617">
        <f t="shared" si="268"/>
        <v>7271804.3455174305</v>
      </c>
      <c r="AZ94" s="617">
        <f t="shared" ref="AZ94:BF94" si="269">SUM(AZ95:AZ99)</f>
        <v>7566056.8910406493</v>
      </c>
      <c r="BA94" s="617">
        <f t="shared" si="269"/>
        <v>8287309.0549393641</v>
      </c>
      <c r="BB94" s="617">
        <f t="shared" si="269"/>
        <v>9144463.8729468249</v>
      </c>
      <c r="BC94" s="617">
        <f t="shared" si="269"/>
        <v>9997743.1212286837</v>
      </c>
      <c r="BD94" s="617">
        <f t="shared" si="269"/>
        <v>10940457.106480708</v>
      </c>
      <c r="BE94" s="617">
        <f t="shared" si="269"/>
        <v>11959072.453099228</v>
      </c>
      <c r="BF94" s="617">
        <f t="shared" si="269"/>
        <v>13119737.586513914</v>
      </c>
      <c r="BG94" s="617">
        <f t="shared" ref="BG94:BH94" si="270">SUM(BG95:BG99)</f>
        <v>14422517.388638116</v>
      </c>
      <c r="BH94" s="617">
        <f t="shared" si="270"/>
        <v>15894015.73353659</v>
      </c>
      <c r="BO94" s="620" t="s">
        <v>106</v>
      </c>
      <c r="BP94" s="618"/>
      <c r="BQ94" s="618"/>
      <c r="BR94" s="618"/>
      <c r="BS94" s="618"/>
      <c r="BT94" s="618"/>
      <c r="BU94" s="618"/>
      <c r="BV94" s="618"/>
      <c r="BW94" s="618"/>
      <c r="BX94" s="618"/>
      <c r="BY94" s="618"/>
      <c r="BZ94" s="618"/>
      <c r="CA94" s="618"/>
      <c r="CB94" s="618"/>
      <c r="CC94" s="618"/>
      <c r="CD94" s="618"/>
      <c r="CE94" s="618"/>
      <c r="CF94" s="618"/>
      <c r="CG94" s="618"/>
      <c r="CH94" s="618"/>
      <c r="CI94" s="618"/>
      <c r="CJ94" s="618"/>
      <c r="CK94" s="618"/>
      <c r="CL94" s="618"/>
      <c r="CM94" s="618"/>
      <c r="CN94" s="618"/>
      <c r="CO94" s="618"/>
      <c r="CP94" s="618"/>
      <c r="CQ94" s="618"/>
      <c r="CR94" s="618"/>
      <c r="CS94" s="618"/>
      <c r="CT94" s="618"/>
      <c r="CU94" s="618"/>
      <c r="CV94" s="618"/>
      <c r="CW94" s="618"/>
      <c r="CX94" s="618"/>
      <c r="CY94" s="618"/>
      <c r="CZ94" s="618"/>
      <c r="DA94" s="618"/>
      <c r="DB94" s="618"/>
      <c r="DC94" s="618"/>
      <c r="DD94" s="618"/>
      <c r="DE94" s="618"/>
      <c r="DF94" s="618"/>
      <c r="DG94" s="618"/>
      <c r="DH94" s="618"/>
      <c r="DI94" s="507"/>
      <c r="DJ94" s="507"/>
      <c r="DK94" s="507"/>
      <c r="DL94" s="507"/>
      <c r="DP94" s="634"/>
      <c r="DQ94" s="634"/>
    </row>
    <row r="95" spans="4:190" s="422" customFormat="1" x14ac:dyDescent="0.2">
      <c r="E95" s="623" t="s">
        <v>136</v>
      </c>
      <c r="F95" s="617"/>
      <c r="G95" s="617"/>
      <c r="H95" s="617"/>
      <c r="J95" s="617">
        <f t="shared" si="250"/>
        <v>117691.5</v>
      </c>
      <c r="K95" s="617">
        <f t="shared" si="251"/>
        <v>131602.5</v>
      </c>
      <c r="L95" s="617">
        <f t="shared" si="252"/>
        <v>339152.11894791265</v>
      </c>
      <c r="M95" s="617">
        <f t="shared" si="253"/>
        <v>583331.1702187648</v>
      </c>
      <c r="N95" s="617">
        <f t="shared" si="254"/>
        <v>682555.58725115506</v>
      </c>
      <c r="O95" s="617">
        <f t="shared" si="255"/>
        <v>795194.07086156728</v>
      </c>
      <c r="P95" s="617">
        <f t="shared" si="256"/>
        <v>922963.09704651253</v>
      </c>
      <c r="Q95" s="617">
        <f t="shared" si="257"/>
        <v>924099.12134310917</v>
      </c>
      <c r="R95" s="617">
        <f t="shared" si="258"/>
        <v>895859.50274032587</v>
      </c>
      <c r="S95" s="617">
        <f t="shared" si="259"/>
        <v>889680.28579213726</v>
      </c>
      <c r="T95" s="617">
        <f t="shared" si="260"/>
        <v>922800.64283036639</v>
      </c>
      <c r="U95" s="617">
        <f t="shared" si="261"/>
        <v>1037968.8598737917</v>
      </c>
      <c r="V95" s="617">
        <f t="shared" si="262"/>
        <v>1108041.6743473141</v>
      </c>
      <c r="W95" s="617">
        <f t="shared" si="263"/>
        <v>1179810.5950812353</v>
      </c>
      <c r="X95" s="617">
        <f t="shared" si="264"/>
        <v>1241333.8965476556</v>
      </c>
      <c r="Y95" s="617">
        <f t="shared" si="265"/>
        <v>1324096.9974998333</v>
      </c>
      <c r="Z95" s="617">
        <f t="shared" si="235"/>
        <v>1439771.9417665624</v>
      </c>
      <c r="AA95" s="617">
        <f t="shared" si="236"/>
        <v>1558590.5776399481</v>
      </c>
      <c r="AB95" s="617">
        <f t="shared" si="236"/>
        <v>1688689.5240119463</v>
      </c>
      <c r="AC95" s="617">
        <f t="shared" si="236"/>
        <v>1831605.5674970471</v>
      </c>
      <c r="AD95" s="617">
        <f t="shared" si="237"/>
        <v>1988400.8915205263</v>
      </c>
      <c r="AE95" s="617">
        <f t="shared" si="238"/>
        <v>2150978.0243924409</v>
      </c>
      <c r="AF95" s="617"/>
      <c r="AG95" s="617"/>
      <c r="AH95" s="617"/>
      <c r="AI95" s="617"/>
      <c r="AJ95" s="617"/>
      <c r="AK95" s="617"/>
      <c r="AL95" s="621">
        <v>112578</v>
      </c>
      <c r="AM95" s="621">
        <v>122805</v>
      </c>
      <c r="AN95" s="622">
        <f t="shared" ref="AN95:AY95" si="271">AN251</f>
        <v>140400</v>
      </c>
      <c r="AO95" s="622">
        <f t="shared" si="271"/>
        <v>537904.2378958253</v>
      </c>
      <c r="AP95" s="622">
        <f t="shared" si="271"/>
        <v>628758.10254170443</v>
      </c>
      <c r="AQ95" s="622">
        <f t="shared" si="271"/>
        <v>736353.07196060568</v>
      </c>
      <c r="AR95" s="622">
        <f t="shared" si="271"/>
        <v>854035.06976252887</v>
      </c>
      <c r="AS95" s="622">
        <f t="shared" si="271"/>
        <v>991891.12433049618</v>
      </c>
      <c r="AT95" s="622">
        <f t="shared" si="271"/>
        <v>856307.11835572217</v>
      </c>
      <c r="AU95" s="622">
        <f t="shared" si="271"/>
        <v>935411.88712492958</v>
      </c>
      <c r="AV95" s="622">
        <f t="shared" si="271"/>
        <v>843948.68445934507</v>
      </c>
      <c r="AW95" s="622">
        <f t="shared" si="271"/>
        <v>1001652.6012013877</v>
      </c>
      <c r="AX95" s="622">
        <f t="shared" si="271"/>
        <v>1074285.1185461956</v>
      </c>
      <c r="AY95" s="622">
        <f t="shared" si="271"/>
        <v>1141798.2301484323</v>
      </c>
      <c r="AZ95" s="622">
        <f t="shared" ref="AZ95:BA97" si="272">AZ251</f>
        <v>1217822.9600140383</v>
      </c>
      <c r="BA95" s="622">
        <f t="shared" si="272"/>
        <v>1264844.8330812729</v>
      </c>
      <c r="BB95" s="622">
        <f t="shared" ref="BB95:BC97" si="273">BB251</f>
        <v>1383349.161918394</v>
      </c>
      <c r="BC95" s="622">
        <f t="shared" si="273"/>
        <v>1496194.7216147305</v>
      </c>
      <c r="BD95" s="622">
        <f t="shared" ref="BD95:BE97" si="274">BD251</f>
        <v>1620986.4336651659</v>
      </c>
      <c r="BE95" s="622">
        <f t="shared" si="274"/>
        <v>1756392.6143587269</v>
      </c>
      <c r="BF95" s="622">
        <f>BF251</f>
        <v>1906818.5206353671</v>
      </c>
      <c r="BG95" s="622">
        <f t="shared" ref="BG95:BH95" si="275">BG251</f>
        <v>2069983.2624056856</v>
      </c>
      <c r="BH95" s="622">
        <f t="shared" si="275"/>
        <v>2231972.7863791967</v>
      </c>
      <c r="BO95" s="623" t="s">
        <v>39</v>
      </c>
      <c r="BP95" s="618"/>
      <c r="BQ95" s="618">
        <v>43533.359233813848</v>
      </c>
      <c r="BR95" s="618">
        <v>42605.174452802748</v>
      </c>
      <c r="BS95" s="618">
        <v>39154.74708913442</v>
      </c>
      <c r="BT95" s="618">
        <v>34685.719224248962</v>
      </c>
      <c r="BU95" s="618">
        <v>50830.639020345334</v>
      </c>
      <c r="BV95" s="618">
        <v>48944.689358941323</v>
      </c>
      <c r="BW95" s="618">
        <v>45463.909176804045</v>
      </c>
      <c r="BX95" s="618">
        <v>41760.762443909291</v>
      </c>
      <c r="BY95" s="618">
        <v>54784.923591619896</v>
      </c>
      <c r="BZ95" s="618">
        <v>56599.526629964341</v>
      </c>
      <c r="CA95" s="618">
        <v>55319.084225711107</v>
      </c>
      <c r="CB95" s="618">
        <v>52296.465552704671</v>
      </c>
      <c r="CC95" s="618">
        <v>64836.347074490659</v>
      </c>
      <c r="CD95" s="618">
        <v>66805.287800820544</v>
      </c>
      <c r="CE95" s="618">
        <v>63915.546928730597</v>
      </c>
      <c r="CF95" s="618">
        <v>58442.818195958185</v>
      </c>
      <c r="CG95" s="618">
        <v>69680.017009637915</v>
      </c>
      <c r="CH95" s="618">
        <v>68883.642998571464</v>
      </c>
      <c r="CI95" s="618">
        <v>71789.770164074042</v>
      </c>
      <c r="CJ95" s="618">
        <v>84646.569827716594</v>
      </c>
      <c r="CK95" s="618">
        <v>82112.150136138574</v>
      </c>
      <c r="CL95" s="618">
        <v>82559.271573133316</v>
      </c>
      <c r="CM95" s="618">
        <v>88820.506022841961</v>
      </c>
      <c r="CN95" s="618">
        <v>87508.072267886149</v>
      </c>
      <c r="CO95" s="618">
        <v>97080.175141672124</v>
      </c>
      <c r="CP95" s="618">
        <v>89870.339789399746</v>
      </c>
      <c r="CQ95" s="618">
        <v>93435.850958706491</v>
      </c>
      <c r="CR95" s="618">
        <v>97172.63411022161</v>
      </c>
      <c r="CS95" s="618">
        <v>95257.930844539907</v>
      </c>
      <c r="CT95" s="618">
        <v>103635.97349474678</v>
      </c>
      <c r="CU95" s="618">
        <v>97652.5286786496</v>
      </c>
      <c r="CV95" s="618">
        <v>90451.566982063756</v>
      </c>
      <c r="CW95" s="618">
        <v>67433.1905331913</v>
      </c>
      <c r="CX95" s="618">
        <v>84947.052486321307</v>
      </c>
      <c r="CY95" s="618">
        <v>126628.74004631089</v>
      </c>
      <c r="CZ95" s="618">
        <v>112633.0169341765</v>
      </c>
      <c r="DA95" s="618">
        <v>86539.93</v>
      </c>
      <c r="DB95" s="618">
        <v>102368.89</v>
      </c>
      <c r="DC95" s="618">
        <v>111066.53</v>
      </c>
      <c r="DD95" s="618">
        <v>102355.64</v>
      </c>
      <c r="DE95" s="618">
        <v>87269.893754539546</v>
      </c>
      <c r="DF95" s="618">
        <v>108132.01567224637</v>
      </c>
      <c r="DG95" s="618">
        <v>112394.63961329497</v>
      </c>
      <c r="DH95" s="618">
        <v>103385.30970034831</v>
      </c>
      <c r="DI95" s="507">
        <v>108028.73888974152</v>
      </c>
      <c r="DJ95" s="507">
        <v>102586.26741878058</v>
      </c>
      <c r="DK95" s="507">
        <v>113811.75577855241</v>
      </c>
      <c r="DL95" s="507">
        <v>118726.7379129255</v>
      </c>
      <c r="DM95" s="507">
        <v>106166.18052541142</v>
      </c>
      <c r="DN95" s="507">
        <v>108907.17902625652</v>
      </c>
      <c r="DO95" s="507">
        <v>124215.06884489143</v>
      </c>
      <c r="DP95" s="634">
        <v>134442.6631034406</v>
      </c>
      <c r="DQ95" s="634">
        <v>115417.15770161484</v>
      </c>
    </row>
    <row r="96" spans="4:190" s="422" customFormat="1" x14ac:dyDescent="0.2">
      <c r="E96" s="623" t="s">
        <v>135</v>
      </c>
      <c r="F96" s="617"/>
      <c r="G96" s="617"/>
      <c r="H96" s="617"/>
      <c r="J96" s="617">
        <f t="shared" si="250"/>
        <v>673316.5</v>
      </c>
      <c r="K96" s="617">
        <f t="shared" si="251"/>
        <v>709708</v>
      </c>
      <c r="L96" s="617">
        <f t="shared" si="252"/>
        <v>916603.90606252546</v>
      </c>
      <c r="M96" s="617">
        <f t="shared" si="253"/>
        <v>1148080.8387047355</v>
      </c>
      <c r="N96" s="617">
        <f t="shared" si="254"/>
        <v>1242883.1639037984</v>
      </c>
      <c r="O96" s="617">
        <f t="shared" si="255"/>
        <v>1357429.9243663726</v>
      </c>
      <c r="P96" s="617">
        <f t="shared" si="256"/>
        <v>1486639.8316055248</v>
      </c>
      <c r="Q96" s="617">
        <f t="shared" si="257"/>
        <v>1620450.7588119516</v>
      </c>
      <c r="R96" s="617">
        <f t="shared" si="258"/>
        <v>1783029.5809107283</v>
      </c>
      <c r="S96" s="617">
        <f t="shared" si="259"/>
        <v>1987033.6594635011</v>
      </c>
      <c r="T96" s="617">
        <f t="shared" si="260"/>
        <v>2143121.3070593709</v>
      </c>
      <c r="U96" s="617">
        <f t="shared" si="261"/>
        <v>2290299.1231308035</v>
      </c>
      <c r="V96" s="617">
        <f t="shared" si="262"/>
        <v>2471255.1795708369</v>
      </c>
      <c r="W96" s="617">
        <f t="shared" si="263"/>
        <v>2606659.4251485514</v>
      </c>
      <c r="X96" s="617">
        <f t="shared" si="264"/>
        <v>2745299.6913564764</v>
      </c>
      <c r="Y96" s="617">
        <f t="shared" si="265"/>
        <v>2927861.2583491178</v>
      </c>
      <c r="Z96" s="617">
        <f t="shared" si="235"/>
        <v>3129191.8237736425</v>
      </c>
      <c r="AA96" s="617">
        <f t="shared" si="236"/>
        <v>3347360.6330347159</v>
      </c>
      <c r="AB96" s="617">
        <f t="shared" si="236"/>
        <v>3582908.6413652366</v>
      </c>
      <c r="AC96" s="617">
        <f t="shared" si="236"/>
        <v>3839050.077410643</v>
      </c>
      <c r="AD96" s="617">
        <f t="shared" si="237"/>
        <v>4118663.2701740479</v>
      </c>
      <c r="AE96" s="617">
        <f t="shared" si="238"/>
        <v>4427955.1938181259</v>
      </c>
      <c r="AF96" s="617"/>
      <c r="AG96" s="617"/>
      <c r="AH96" s="617"/>
      <c r="AI96" s="617"/>
      <c r="AJ96" s="617"/>
      <c r="AK96" s="617"/>
      <c r="AL96" s="621">
        <v>653575</v>
      </c>
      <c r="AM96" s="621">
        <v>693058</v>
      </c>
      <c r="AN96" s="622">
        <f t="shared" ref="AN96:AY96" si="276">AN252</f>
        <v>726358</v>
      </c>
      <c r="AO96" s="622">
        <f t="shared" si="276"/>
        <v>1106849.8121250509</v>
      </c>
      <c r="AP96" s="622">
        <f t="shared" si="276"/>
        <v>1189311.8652844199</v>
      </c>
      <c r="AQ96" s="622">
        <f t="shared" si="276"/>
        <v>1296454.4625231773</v>
      </c>
      <c r="AR96" s="622">
        <f t="shared" si="276"/>
        <v>1418405.386209568</v>
      </c>
      <c r="AS96" s="622">
        <f t="shared" si="276"/>
        <v>1554874.2770014815</v>
      </c>
      <c r="AT96" s="622">
        <f t="shared" si="276"/>
        <v>1686027.2406224217</v>
      </c>
      <c r="AU96" s="622">
        <f t="shared" si="276"/>
        <v>1880031.9211990349</v>
      </c>
      <c r="AV96" s="622">
        <f t="shared" si="276"/>
        <v>2094035.3977279672</v>
      </c>
      <c r="AW96" s="622">
        <f t="shared" si="276"/>
        <v>2192207.2163907746</v>
      </c>
      <c r="AX96" s="622">
        <f t="shared" si="276"/>
        <v>2388391.0298708323</v>
      </c>
      <c r="AY96" s="622">
        <f t="shared" si="276"/>
        <v>2554119.3292708416</v>
      </c>
      <c r="AZ96" s="622">
        <f t="shared" si="272"/>
        <v>2659199.5210262612</v>
      </c>
      <c r="BA96" s="622">
        <f t="shared" si="272"/>
        <v>2831399.8616866916</v>
      </c>
      <c r="BB96" s="622">
        <f t="shared" si="273"/>
        <v>3024322.655011544</v>
      </c>
      <c r="BC96" s="622">
        <f t="shared" si="273"/>
        <v>3234060.9925357411</v>
      </c>
      <c r="BD96" s="622">
        <f t="shared" si="274"/>
        <v>3460660.2735336907</v>
      </c>
      <c r="BE96" s="622">
        <f t="shared" si="274"/>
        <v>3705157.009196783</v>
      </c>
      <c r="BF96" s="622">
        <f>BF252</f>
        <v>3972943.1456245035</v>
      </c>
      <c r="BG96" s="622">
        <f t="shared" ref="BG96:BH96" si="277">BG252</f>
        <v>4264383.3947235923</v>
      </c>
      <c r="BH96" s="622">
        <f t="shared" si="277"/>
        <v>4591526.9929126604</v>
      </c>
      <c r="BO96" s="623" t="s">
        <v>40</v>
      </c>
      <c r="BP96" s="618"/>
      <c r="BQ96" s="618">
        <v>176717.52937587796</v>
      </c>
      <c r="BR96" s="618">
        <v>189712.12023113135</v>
      </c>
      <c r="BS96" s="618">
        <v>197773.77319632971</v>
      </c>
      <c r="BT96" s="618">
        <v>198196.57719666103</v>
      </c>
      <c r="BU96" s="618">
        <v>182959.64718881444</v>
      </c>
      <c r="BV96" s="618">
        <v>188501.29828215629</v>
      </c>
      <c r="BW96" s="618">
        <v>221718.59432408964</v>
      </c>
      <c r="BX96" s="618">
        <v>226020.46020493956</v>
      </c>
      <c r="BY96" s="618">
        <v>207997.07196376778</v>
      </c>
      <c r="BZ96" s="618">
        <v>206147.90457673793</v>
      </c>
      <c r="CA96" s="618">
        <v>233457.78844627517</v>
      </c>
      <c r="CB96" s="618">
        <v>245397.23501321912</v>
      </c>
      <c r="CC96" s="618">
        <v>223593.62082796084</v>
      </c>
      <c r="CD96" s="618">
        <v>222036.1646459107</v>
      </c>
      <c r="CE96" s="618">
        <v>266492.63583874778</v>
      </c>
      <c r="CF96" s="618">
        <v>264877.57868738077</v>
      </c>
      <c r="CG96" s="618">
        <v>243835.71107770782</v>
      </c>
      <c r="CH96" s="618">
        <v>249815.10164831305</v>
      </c>
      <c r="CI96" s="618">
        <v>282416.4739705706</v>
      </c>
      <c r="CJ96" s="618">
        <v>294932.71330340853</v>
      </c>
      <c r="CK96" s="618">
        <v>276754.23066033836</v>
      </c>
      <c r="CL96" s="618">
        <v>277027.21320803068</v>
      </c>
      <c r="CM96" s="618">
        <v>302759.97993567889</v>
      </c>
      <c r="CN96" s="618">
        <v>305458.57619595208</v>
      </c>
      <c r="CO96" s="618">
        <v>289739.94245332945</v>
      </c>
      <c r="CP96" s="618">
        <v>304303.2568203457</v>
      </c>
      <c r="CQ96" s="618">
        <v>330270.38859503542</v>
      </c>
      <c r="CR96" s="618">
        <v>339121.41213128949</v>
      </c>
      <c r="CS96" s="618">
        <v>309896.15277235565</v>
      </c>
      <c r="CT96" s="618">
        <v>320438.73416467477</v>
      </c>
      <c r="CU96" s="618">
        <v>364038.18250212417</v>
      </c>
      <c r="CV96" s="618">
        <v>394141.9305608453</v>
      </c>
      <c r="CW96" s="618">
        <v>335852.11597439571</v>
      </c>
      <c r="CX96" s="618">
        <v>346929.25087761076</v>
      </c>
      <c r="CY96" s="618">
        <v>390549.08295426425</v>
      </c>
      <c r="CZ96" s="618">
        <v>426265.55019372934</v>
      </c>
      <c r="DA96" s="618">
        <v>350982.73</v>
      </c>
      <c r="DB96" s="618">
        <v>372937.63</v>
      </c>
      <c r="DC96" s="618">
        <v>425779.93</v>
      </c>
      <c r="DD96" s="618">
        <v>468363.71</v>
      </c>
      <c r="DE96" s="618">
        <v>367187.55048540799</v>
      </c>
      <c r="DF96" s="618">
        <v>404559.42114105343</v>
      </c>
      <c r="DG96" s="618">
        <v>476955.69955494528</v>
      </c>
      <c r="DH96" s="618">
        <v>495570.32081859343</v>
      </c>
      <c r="DI96" s="507">
        <v>385139.32133085589</v>
      </c>
      <c r="DJ96" s="507">
        <v>437704.62658192351</v>
      </c>
      <c r="DK96" s="507">
        <v>532062.88392838906</v>
      </c>
      <c r="DL96" s="507">
        <v>532396.54550283169</v>
      </c>
      <c r="DM96" s="507">
        <v>417008.15831883624</v>
      </c>
      <c r="DN96" s="507">
        <v>466497.19010747457</v>
      </c>
      <c r="DO96" s="507">
        <v>572981.74882913847</v>
      </c>
      <c r="DP96" s="634">
        <v>575691.80445813073</v>
      </c>
      <c r="DQ96" s="634">
        <v>452453.85177593731</v>
      </c>
    </row>
    <row r="97" spans="5:121" s="422" customFormat="1" x14ac:dyDescent="0.2">
      <c r="E97" s="623" t="s">
        <v>107</v>
      </c>
      <c r="F97" s="617"/>
      <c r="G97" s="617"/>
      <c r="H97" s="617"/>
      <c r="J97" s="617">
        <f t="shared" si="250"/>
        <v>171680.5</v>
      </c>
      <c r="K97" s="617">
        <f t="shared" si="251"/>
        <v>180442.5</v>
      </c>
      <c r="L97" s="617">
        <f t="shared" si="252"/>
        <v>173192.07322983103</v>
      </c>
      <c r="M97" s="617">
        <f t="shared" si="253"/>
        <v>165487.16413217119</v>
      </c>
      <c r="N97" s="617">
        <f t="shared" si="254"/>
        <v>176534.18462651141</v>
      </c>
      <c r="O97" s="617">
        <f t="shared" si="255"/>
        <v>189462.94577642245</v>
      </c>
      <c r="P97" s="617">
        <f t="shared" si="256"/>
        <v>205473.0317658023</v>
      </c>
      <c r="Q97" s="617">
        <f t="shared" si="257"/>
        <v>205296.46145498689</v>
      </c>
      <c r="R97" s="617">
        <f t="shared" si="258"/>
        <v>214281.91054734247</v>
      </c>
      <c r="S97" s="617">
        <f t="shared" si="259"/>
        <v>241991.45873422001</v>
      </c>
      <c r="T97" s="617">
        <f t="shared" si="260"/>
        <v>256730.103424253</v>
      </c>
      <c r="U97" s="617">
        <f t="shared" si="261"/>
        <v>279668.64896427694</v>
      </c>
      <c r="V97" s="617">
        <f t="shared" si="262"/>
        <v>290815.68367025803</v>
      </c>
      <c r="W97" s="617">
        <f t="shared" si="263"/>
        <v>289098.59303290839</v>
      </c>
      <c r="X97" s="617">
        <f t="shared" si="264"/>
        <v>312941.81159716402</v>
      </c>
      <c r="Y97" s="617">
        <f t="shared" si="265"/>
        <v>347594.78676728276</v>
      </c>
      <c r="Z97" s="617">
        <f t="shared" si="235"/>
        <v>380068.67030038359</v>
      </c>
      <c r="AA97" s="617">
        <f t="shared" si="236"/>
        <v>414793.57449884294</v>
      </c>
      <c r="AB97" s="617">
        <f t="shared" si="236"/>
        <v>451609.36471218895</v>
      </c>
      <c r="AC97" s="617">
        <f t="shared" si="236"/>
        <v>491662.14094642893</v>
      </c>
      <c r="AD97" s="617">
        <f t="shared" si="237"/>
        <v>536537.11673791218</v>
      </c>
      <c r="AE97" s="617">
        <f t="shared" si="238"/>
        <v>586818.72455009609</v>
      </c>
      <c r="AF97" s="617"/>
      <c r="AG97" s="617"/>
      <c r="AH97" s="617"/>
      <c r="AI97" s="617"/>
      <c r="AJ97" s="617"/>
      <c r="AK97" s="617"/>
      <c r="AL97" s="621">
        <v>168323</v>
      </c>
      <c r="AM97" s="621">
        <v>175038</v>
      </c>
      <c r="AN97" s="622">
        <f t="shared" ref="AN97:AY97" si="278">AN253</f>
        <v>185847</v>
      </c>
      <c r="AO97" s="622">
        <f t="shared" si="278"/>
        <v>160537.14645966206</v>
      </c>
      <c r="AP97" s="622">
        <f t="shared" si="278"/>
        <v>170437.18180468032</v>
      </c>
      <c r="AQ97" s="622">
        <f t="shared" si="278"/>
        <v>182631.18744834248</v>
      </c>
      <c r="AR97" s="622">
        <f t="shared" si="278"/>
        <v>196294.70410450239</v>
      </c>
      <c r="AS97" s="622">
        <f t="shared" si="278"/>
        <v>214651.3594271022</v>
      </c>
      <c r="AT97" s="622">
        <f t="shared" si="278"/>
        <v>195941.56348287157</v>
      </c>
      <c r="AU97" s="622">
        <f t="shared" si="278"/>
        <v>232622.25761181337</v>
      </c>
      <c r="AV97" s="622">
        <f t="shared" si="278"/>
        <v>251360.65985662665</v>
      </c>
      <c r="AW97" s="622">
        <f t="shared" si="278"/>
        <v>262099.54699187938</v>
      </c>
      <c r="AX97" s="622">
        <f t="shared" si="278"/>
        <v>297237.75093667454</v>
      </c>
      <c r="AY97" s="622">
        <f t="shared" si="278"/>
        <v>284393.61640384153</v>
      </c>
      <c r="AZ97" s="622">
        <f t="shared" si="272"/>
        <v>293803.56966197531</v>
      </c>
      <c r="BA97" s="622">
        <f t="shared" si="272"/>
        <v>332080.05353235267</v>
      </c>
      <c r="BB97" s="622">
        <f t="shared" si="273"/>
        <v>363109.52000221278</v>
      </c>
      <c r="BC97" s="622">
        <f>BC253</f>
        <v>397027.82059855433</v>
      </c>
      <c r="BD97" s="622">
        <f t="shared" si="274"/>
        <v>432559.32839913154</v>
      </c>
      <c r="BE97" s="622">
        <f t="shared" si="274"/>
        <v>470659.4010252463</v>
      </c>
      <c r="BF97" s="622">
        <f>BF253</f>
        <v>512664.88086761156</v>
      </c>
      <c r="BG97" s="622">
        <f t="shared" ref="BG97:BH97" si="279">BG253</f>
        <v>560409.35260821285</v>
      </c>
      <c r="BH97" s="622">
        <f t="shared" si="279"/>
        <v>613228.09649197932</v>
      </c>
      <c r="BO97" s="623" t="s">
        <v>335</v>
      </c>
      <c r="BP97" s="618"/>
      <c r="BQ97" s="618">
        <v>66301.933000000005</v>
      </c>
      <c r="BR97" s="618">
        <v>55838.78</v>
      </c>
      <c r="BS97" s="618">
        <v>57477.657999999996</v>
      </c>
      <c r="BT97" s="618">
        <v>61081.629000000001</v>
      </c>
      <c r="BU97" s="618">
        <v>70436.206999999995</v>
      </c>
      <c r="BV97" s="618">
        <v>58637.161</v>
      </c>
      <c r="BW97" s="618">
        <v>54389.104000000007</v>
      </c>
      <c r="BX97" s="618">
        <v>70621.528000000006</v>
      </c>
      <c r="BY97" s="618">
        <v>70480.807000000001</v>
      </c>
      <c r="BZ97" s="618">
        <v>67792.801000000007</v>
      </c>
      <c r="CA97" s="618">
        <v>65565.017999999996</v>
      </c>
      <c r="CB97" s="618">
        <v>67242.373999999996</v>
      </c>
      <c r="CC97" s="618">
        <v>68572.058000000005</v>
      </c>
      <c r="CD97" s="618">
        <v>71539.520999999993</v>
      </c>
      <c r="CE97" s="618">
        <v>72517.991999999998</v>
      </c>
      <c r="CF97" s="618">
        <v>77635.429000000004</v>
      </c>
      <c r="CG97" s="618">
        <v>76307.031999999992</v>
      </c>
      <c r="CH97" s="618">
        <v>75645.148000000001</v>
      </c>
      <c r="CI97" s="618">
        <v>77479.998999999996</v>
      </c>
      <c r="CJ97" s="618">
        <v>85485.820999999996</v>
      </c>
      <c r="CK97" s="618">
        <v>77237.232000000004</v>
      </c>
      <c r="CL97" s="618">
        <v>78166.134999999995</v>
      </c>
      <c r="CM97" s="618">
        <v>78975.383000000002</v>
      </c>
      <c r="CN97" s="618">
        <v>78873.25</v>
      </c>
      <c r="CO97" s="618">
        <v>84452.869000000006</v>
      </c>
      <c r="CP97" s="618">
        <v>88085.775000000009</v>
      </c>
      <c r="CQ97" s="618">
        <v>85088.926999999996</v>
      </c>
      <c r="CR97" s="618">
        <v>87353.228999999992</v>
      </c>
      <c r="CS97" s="618">
        <v>86789.002000000008</v>
      </c>
      <c r="CT97" s="618">
        <v>86166.430999999997</v>
      </c>
      <c r="CU97" s="618">
        <v>90346.212</v>
      </c>
      <c r="CV97" s="618">
        <v>101009.455</v>
      </c>
      <c r="CW97" s="618">
        <v>93180.739999999991</v>
      </c>
      <c r="CX97" s="618">
        <v>95797.909999999989</v>
      </c>
      <c r="CY97" s="618">
        <v>100454.341</v>
      </c>
      <c r="CZ97" s="618">
        <v>103735.01</v>
      </c>
      <c r="DA97" s="618">
        <v>97535.952473866244</v>
      </c>
      <c r="DB97" s="618">
        <v>104909.08650815047</v>
      </c>
      <c r="DC97" s="618">
        <v>113916.89024232139</v>
      </c>
      <c r="DD97" s="618">
        <v>114326.07177566187</v>
      </c>
      <c r="DE97" s="618">
        <v>103980.26008689689</v>
      </c>
      <c r="DF97" s="618">
        <v>115669.70090970893</v>
      </c>
      <c r="DG97" s="618">
        <v>109006.45639981815</v>
      </c>
      <c r="DH97" s="618">
        <v>110240.86692357603</v>
      </c>
      <c r="DI97" s="507">
        <v>107199.33042724093</v>
      </c>
      <c r="DJ97" s="507">
        <v>114228.58512768528</v>
      </c>
      <c r="DK97" s="507">
        <v>119127.54009529689</v>
      </c>
      <c r="DL97" s="507">
        <v>124239.11714977694</v>
      </c>
      <c r="DM97" s="507">
        <v>113804.96655787277</v>
      </c>
      <c r="DN97" s="507">
        <v>119949.82733723985</v>
      </c>
      <c r="DO97" s="507">
        <v>122960.53077179706</v>
      </c>
      <c r="DP97" s="634">
        <v>128913.61870029013</v>
      </c>
      <c r="DQ97" s="634">
        <v>128108.81002984976</v>
      </c>
    </row>
    <row r="98" spans="5:121" s="422" customFormat="1" x14ac:dyDescent="0.2">
      <c r="E98" s="623" t="s">
        <v>134</v>
      </c>
      <c r="F98" s="617"/>
      <c r="G98" s="617"/>
      <c r="H98" s="617"/>
      <c r="J98" s="617">
        <f t="shared" si="250"/>
        <v>40375</v>
      </c>
      <c r="K98" s="617">
        <f t="shared" si="251"/>
        <v>41665.5</v>
      </c>
      <c r="L98" s="617">
        <f t="shared" si="252"/>
        <v>128980.41771951909</v>
      </c>
      <c r="M98" s="617">
        <f t="shared" si="253"/>
        <v>218656.72808600627</v>
      </c>
      <c r="N98" s="617">
        <f t="shared" si="254"/>
        <v>226741.64691497019</v>
      </c>
      <c r="O98" s="617">
        <f t="shared" si="255"/>
        <v>237740.38229269395</v>
      </c>
      <c r="P98" s="617">
        <f t="shared" si="256"/>
        <v>248982.55044537736</v>
      </c>
      <c r="Q98" s="617">
        <f t="shared" si="257"/>
        <v>257006.97570583897</v>
      </c>
      <c r="R98" s="617">
        <f t="shared" si="258"/>
        <v>250329.89685981959</v>
      </c>
      <c r="S98" s="617">
        <f t="shared" si="259"/>
        <v>243702.21791145729</v>
      </c>
      <c r="T98" s="617">
        <f t="shared" si="260"/>
        <v>252130.78624393523</v>
      </c>
      <c r="U98" s="617">
        <f t="shared" si="261"/>
        <v>260545.71402077854</v>
      </c>
      <c r="V98" s="617">
        <f t="shared" si="262"/>
        <v>261693.10466370697</v>
      </c>
      <c r="W98" s="617">
        <f t="shared" si="263"/>
        <v>263728.50764322875</v>
      </c>
      <c r="X98" s="617">
        <f t="shared" si="264"/>
        <v>270957.02690452075</v>
      </c>
      <c r="Y98" s="617">
        <f t="shared" si="265"/>
        <v>279630.95209284092</v>
      </c>
      <c r="Z98" s="617">
        <f t="shared" si="235"/>
        <v>290053.57006036537</v>
      </c>
      <c r="AA98" s="617">
        <f t="shared" si="236"/>
        <v>300615.25034466834</v>
      </c>
      <c r="AB98" s="617">
        <f t="shared" si="236"/>
        <v>311388.14783679537</v>
      </c>
      <c r="AC98" s="617">
        <f t="shared" si="236"/>
        <v>322356.21959987364</v>
      </c>
      <c r="AD98" s="617">
        <f t="shared" si="237"/>
        <v>333463.06588021555</v>
      </c>
      <c r="AE98" s="617">
        <f t="shared" si="238"/>
        <v>344696.95011014235</v>
      </c>
      <c r="AF98" s="617"/>
      <c r="AG98" s="617"/>
      <c r="AH98" s="617"/>
      <c r="AI98" s="617"/>
      <c r="AJ98" s="617"/>
      <c r="AK98" s="617"/>
      <c r="AL98" s="621">
        <v>39782</v>
      </c>
      <c r="AM98" s="621">
        <v>40968</v>
      </c>
      <c r="AN98" s="622">
        <f t="shared" ref="AN98:AY98" si="280">AN254+AN279</f>
        <v>42363</v>
      </c>
      <c r="AO98" s="622">
        <f t="shared" si="280"/>
        <v>215597.83543903817</v>
      </c>
      <c r="AP98" s="622">
        <f t="shared" si="280"/>
        <v>221715.62073297438</v>
      </c>
      <c r="AQ98" s="622">
        <f t="shared" si="280"/>
        <v>231767.67309696603</v>
      </c>
      <c r="AR98" s="622">
        <f t="shared" si="280"/>
        <v>243713.09148842187</v>
      </c>
      <c r="AS98" s="622">
        <f t="shared" si="280"/>
        <v>254252.00940233289</v>
      </c>
      <c r="AT98" s="622">
        <f t="shared" si="280"/>
        <v>259761.94200934505</v>
      </c>
      <c r="AU98" s="622">
        <f t="shared" si="280"/>
        <v>240897.85171029414</v>
      </c>
      <c r="AV98" s="622">
        <f t="shared" si="280"/>
        <v>246506.58411262045</v>
      </c>
      <c r="AW98" s="622">
        <f t="shared" si="280"/>
        <v>257754.98837525002</v>
      </c>
      <c r="AX98" s="622">
        <f t="shared" si="280"/>
        <v>263336.43966630707</v>
      </c>
      <c r="AY98" s="622">
        <f t="shared" si="280"/>
        <v>260049.76966110687</v>
      </c>
      <c r="AZ98" s="622">
        <f t="shared" ref="AZ98:BB99" si="281">AZ254+AZ279</f>
        <v>267407.24562535062</v>
      </c>
      <c r="BA98" s="622">
        <f t="shared" si="281"/>
        <v>274506.80818369088</v>
      </c>
      <c r="BB98" s="622">
        <f t="shared" si="281"/>
        <v>284755.09600199095</v>
      </c>
      <c r="BC98" s="622">
        <f t="shared" ref="BC98:BE99" si="282">BC254+BC279</f>
        <v>295352.04411873984</v>
      </c>
      <c r="BD98" s="622">
        <f t="shared" si="282"/>
        <v>305878.45657059684</v>
      </c>
      <c r="BE98" s="622">
        <f t="shared" si="282"/>
        <v>316897.83910299389</v>
      </c>
      <c r="BF98" s="622">
        <f>BF254+BF279</f>
        <v>327814.60009675333</v>
      </c>
      <c r="BG98" s="622">
        <f t="shared" ref="BG98:BH98" si="283">BG254+BG279</f>
        <v>339111.53166367777</v>
      </c>
      <c r="BH98" s="622">
        <f t="shared" si="283"/>
        <v>350282.36855660687</v>
      </c>
      <c r="DP98" s="634"/>
      <c r="DQ98" s="634"/>
    </row>
    <row r="99" spans="5:121" s="422" customFormat="1" x14ac:dyDescent="0.2">
      <c r="E99" s="623" t="s">
        <v>109</v>
      </c>
      <c r="F99" s="617"/>
      <c r="G99" s="617"/>
      <c r="H99" s="617"/>
      <c r="J99" s="617">
        <f t="shared" si="250"/>
        <v>421056</v>
      </c>
      <c r="K99" s="617">
        <f t="shared" si="251"/>
        <v>440307.5</v>
      </c>
      <c r="L99" s="617">
        <f t="shared" si="252"/>
        <v>716968.08260590245</v>
      </c>
      <c r="M99" s="617">
        <f t="shared" si="253"/>
        <v>1050753.9911524602</v>
      </c>
      <c r="N99" s="617">
        <f t="shared" si="254"/>
        <v>1185989.8442118592</v>
      </c>
      <c r="O99" s="617">
        <f t="shared" si="255"/>
        <v>1344172.5986150973</v>
      </c>
      <c r="P99" s="617">
        <f t="shared" si="256"/>
        <v>1497899.3097501923</v>
      </c>
      <c r="Q99" s="617">
        <f t="shared" si="257"/>
        <v>1720526.1815050251</v>
      </c>
      <c r="R99" s="617">
        <f t="shared" si="258"/>
        <v>1994124.3828012224</v>
      </c>
      <c r="S99" s="617">
        <f t="shared" si="259"/>
        <v>2220196.6289168065</v>
      </c>
      <c r="T99" s="617">
        <f t="shared" si="260"/>
        <v>2279483.9134433614</v>
      </c>
      <c r="U99" s="617">
        <f t="shared" si="261"/>
        <v>2351154.1613278687</v>
      </c>
      <c r="V99" s="617">
        <f t="shared" si="262"/>
        <v>2749051.7287213244</v>
      </c>
      <c r="W99" s="617">
        <f t="shared" si="263"/>
        <v>3079633.4973731162</v>
      </c>
      <c r="X99" s="617">
        <f t="shared" si="264"/>
        <v>3356150.5465841899</v>
      </c>
      <c r="Y99" s="617">
        <f t="shared" si="265"/>
        <v>3836702.4692340191</v>
      </c>
      <c r="Z99" s="617">
        <f t="shared" si="235"/>
        <v>4332017.4911868013</v>
      </c>
      <c r="AA99" s="617">
        <f t="shared" si="236"/>
        <v>4847740.078336522</v>
      </c>
      <c r="AB99" s="617">
        <f t="shared" si="236"/>
        <v>5415169.1018638015</v>
      </c>
      <c r="AC99" s="617">
        <f t="shared" si="236"/>
        <v>6054731.0143525787</v>
      </c>
      <c r="AD99" s="617">
        <f t="shared" si="237"/>
        <v>6794063.1432633121</v>
      </c>
      <c r="AE99" s="617">
        <f t="shared" si="238"/>
        <v>7647817.6682165461</v>
      </c>
      <c r="AF99" s="617"/>
      <c r="AG99" s="617"/>
      <c r="AH99" s="617"/>
      <c r="AI99" s="617"/>
      <c r="AJ99" s="617"/>
      <c r="AK99" s="617"/>
      <c r="AL99" s="621">
        <v>403481</v>
      </c>
      <c r="AM99" s="621">
        <v>438631</v>
      </c>
      <c r="AN99" s="622">
        <f t="shared" ref="AN99:AY99" si="284">AN255+AN280</f>
        <v>441984</v>
      </c>
      <c r="AO99" s="622">
        <f t="shared" si="284"/>
        <v>991952.16521180491</v>
      </c>
      <c r="AP99" s="622">
        <f t="shared" si="284"/>
        <v>1109555.8170931153</v>
      </c>
      <c r="AQ99" s="622">
        <f t="shared" si="284"/>
        <v>1262423.871330603</v>
      </c>
      <c r="AR99" s="622">
        <f t="shared" si="284"/>
        <v>1425921.3258995914</v>
      </c>
      <c r="AS99" s="622">
        <f t="shared" si="284"/>
        <v>1569877.293600793</v>
      </c>
      <c r="AT99" s="622">
        <f t="shared" si="284"/>
        <v>1871175.0694092573</v>
      </c>
      <c r="AU99" s="622">
        <f t="shared" si="284"/>
        <v>2117073.6961931875</v>
      </c>
      <c r="AV99" s="622">
        <f t="shared" si="284"/>
        <v>2323319.5616404256</v>
      </c>
      <c r="AW99" s="622">
        <f t="shared" si="284"/>
        <v>2235648.2652462977</v>
      </c>
      <c r="AX99" s="622">
        <f t="shared" si="284"/>
        <v>2466660.0574094402</v>
      </c>
      <c r="AY99" s="622">
        <f t="shared" si="284"/>
        <v>3031443.4000332081</v>
      </c>
      <c r="AZ99" s="622">
        <f t="shared" si="281"/>
        <v>3127823.5947130239</v>
      </c>
      <c r="BA99" s="622">
        <f t="shared" si="281"/>
        <v>3584477.4984553559</v>
      </c>
      <c r="BB99" s="622">
        <f t="shared" si="281"/>
        <v>4088927.4400126822</v>
      </c>
      <c r="BC99" s="622">
        <f t="shared" si="282"/>
        <v>4575107.5423609195</v>
      </c>
      <c r="BD99" s="622">
        <f t="shared" si="282"/>
        <v>5120372.6143121244</v>
      </c>
      <c r="BE99" s="622">
        <f t="shared" si="282"/>
        <v>5709965.5894154785</v>
      </c>
      <c r="BF99" s="622">
        <f>BF255+BF280</f>
        <v>6399496.4392896779</v>
      </c>
      <c r="BG99" s="622">
        <f t="shared" ref="BG99:BH99" si="285">BG255+BG280</f>
        <v>7188629.8472369462</v>
      </c>
      <c r="BH99" s="622">
        <f t="shared" si="285"/>
        <v>8107005.4891961459</v>
      </c>
      <c r="BO99" s="623" t="s">
        <v>109</v>
      </c>
      <c r="BP99" s="618"/>
      <c r="BQ99" s="618">
        <v>111955.62258397482</v>
      </c>
      <c r="BR99" s="618">
        <v>128996.47086340825</v>
      </c>
      <c r="BS99" s="618">
        <v>112562.91570919227</v>
      </c>
      <c r="BT99" s="618">
        <v>121864.99084342463</v>
      </c>
      <c r="BU99" s="618">
        <v>124299.62037703472</v>
      </c>
      <c r="BV99" s="618">
        <v>141403.11477311031</v>
      </c>
      <c r="BW99" s="618">
        <v>134002.33375799691</v>
      </c>
      <c r="BX99" s="618">
        <v>132034.93109185816</v>
      </c>
      <c r="BY99" s="618">
        <v>134323.55065111598</v>
      </c>
      <c r="BZ99" s="618">
        <v>170480.04989191971</v>
      </c>
      <c r="CA99" s="618">
        <v>153012.90801177183</v>
      </c>
      <c r="CB99" s="618">
        <v>147183.49144519249</v>
      </c>
      <c r="CC99" s="618">
        <v>175352.07749155379</v>
      </c>
      <c r="CD99" s="618">
        <v>177363.70200464086</v>
      </c>
      <c r="CE99" s="618">
        <v>159043.43022173198</v>
      </c>
      <c r="CF99" s="618">
        <v>171594.79028207346</v>
      </c>
      <c r="CG99" s="618">
        <v>166986.93352580076</v>
      </c>
      <c r="CH99" s="618">
        <v>186496.79720859203</v>
      </c>
      <c r="CI99" s="618">
        <v>206499.66137338031</v>
      </c>
      <c r="CJ99" s="618">
        <v>192359.60789222681</v>
      </c>
      <c r="CK99" s="618">
        <v>209116.33345693891</v>
      </c>
      <c r="CL99" s="618">
        <v>206080.2745125778</v>
      </c>
      <c r="CM99" s="618">
        <v>204704.77418398418</v>
      </c>
      <c r="CN99" s="618">
        <v>203748.61784649911</v>
      </c>
      <c r="CO99" s="618">
        <v>221414.38706936335</v>
      </c>
      <c r="CP99" s="618">
        <v>202964.89621728123</v>
      </c>
      <c r="CQ99" s="618">
        <v>217351.05010653459</v>
      </c>
      <c r="CR99" s="618">
        <v>261813.66660682089</v>
      </c>
      <c r="CS99" s="618">
        <v>239090.95622301108</v>
      </c>
      <c r="CT99" s="618">
        <v>199342.59583462542</v>
      </c>
      <c r="CU99" s="618">
        <v>291251.79014978913</v>
      </c>
      <c r="CV99" s="618">
        <v>268730.65779257438</v>
      </c>
      <c r="CW99" s="618">
        <v>256688.98021861305</v>
      </c>
      <c r="CX99" s="618">
        <v>198185.67831337024</v>
      </c>
      <c r="CY99" s="618">
        <v>275461.75260188675</v>
      </c>
      <c r="CZ99" s="618">
        <v>342960.97725987982</v>
      </c>
      <c r="DA99" s="618">
        <v>278746.69149090123</v>
      </c>
      <c r="DB99" s="618">
        <v>245685.78909434081</v>
      </c>
      <c r="DC99" s="618">
        <v>311853.43334783241</v>
      </c>
      <c r="DD99" s="618">
        <v>346295.18326110556</v>
      </c>
      <c r="DE99" s="618">
        <v>279806.46266787453</v>
      </c>
      <c r="DF99" s="618">
        <v>257710.6839818692</v>
      </c>
      <c r="DG99" s="618">
        <v>294939.1205361028</v>
      </c>
      <c r="DH99" s="618">
        <v>456557.12875580968</v>
      </c>
      <c r="DI99" s="507">
        <v>290213.87021692703</v>
      </c>
      <c r="DJ99" s="507">
        <v>268708.70881098346</v>
      </c>
      <c r="DK99" s="507">
        <v>313970.27387489559</v>
      </c>
      <c r="DL99" s="507">
        <v>516663.5879222994</v>
      </c>
      <c r="DM99" s="507">
        <v>308014.30379275524</v>
      </c>
      <c r="DN99" s="507">
        <v>305548.88492275256</v>
      </c>
      <c r="DO99" s="507">
        <v>342260.37672979309</v>
      </c>
      <c r="DP99" s="634">
        <v>553234.72929076361</v>
      </c>
      <c r="DQ99" s="634">
        <v>328409.75208199077</v>
      </c>
    </row>
    <row r="100" spans="5:121" s="422" customFormat="1" x14ac:dyDescent="0.2">
      <c r="E100" s="624" t="s">
        <v>110</v>
      </c>
      <c r="F100" s="617"/>
      <c r="G100" s="617"/>
      <c r="H100" s="617"/>
      <c r="J100" s="617">
        <f t="shared" si="250"/>
        <v>3610796.5</v>
      </c>
      <c r="K100" s="617">
        <f t="shared" si="251"/>
        <v>3791152.5</v>
      </c>
      <c r="L100" s="617">
        <f t="shared" si="252"/>
        <v>6140065.7844979577</v>
      </c>
      <c r="M100" s="617">
        <f t="shared" si="253"/>
        <v>8695102.9670302663</v>
      </c>
      <c r="N100" s="617">
        <f t="shared" si="254"/>
        <v>9291753.2356155962</v>
      </c>
      <c r="O100" s="617">
        <f t="shared" si="255"/>
        <v>9898451.3962935433</v>
      </c>
      <c r="P100" s="617">
        <f t="shared" si="256"/>
        <v>10626321.522355597</v>
      </c>
      <c r="Q100" s="617">
        <f t="shared" si="257"/>
        <v>11371052.193551121</v>
      </c>
      <c r="R100" s="617">
        <f t="shared" si="258"/>
        <v>12197738.802916221</v>
      </c>
      <c r="S100" s="617">
        <f t="shared" si="259"/>
        <v>12958850.965176161</v>
      </c>
      <c r="T100" s="617">
        <f t="shared" si="260"/>
        <v>13607298.524109073</v>
      </c>
      <c r="U100" s="617">
        <f t="shared" si="261"/>
        <v>14532957.805812698</v>
      </c>
      <c r="V100" s="617">
        <f t="shared" si="262"/>
        <v>15708901.317565359</v>
      </c>
      <c r="W100" s="617">
        <f t="shared" si="263"/>
        <v>16931056.421292037</v>
      </c>
      <c r="X100" s="617">
        <f t="shared" si="264"/>
        <v>18144210.271145135</v>
      </c>
      <c r="Y100" s="617">
        <f t="shared" si="265"/>
        <v>19443318.263410084</v>
      </c>
      <c r="Z100" s="617">
        <f t="shared" si="235"/>
        <v>20859887.66842407</v>
      </c>
      <c r="AA100" s="617">
        <f t="shared" si="236"/>
        <v>22413870.985740095</v>
      </c>
      <c r="AB100" s="617">
        <f t="shared" si="236"/>
        <v>24125493.602031983</v>
      </c>
      <c r="AC100" s="617">
        <f t="shared" si="236"/>
        <v>26015693.170939438</v>
      </c>
      <c r="AD100" s="617">
        <f t="shared" si="237"/>
        <v>28144020.898017161</v>
      </c>
      <c r="AE100" s="617">
        <f t="shared" si="238"/>
        <v>30539784.708264627</v>
      </c>
      <c r="AF100" s="617"/>
      <c r="AG100" s="617"/>
      <c r="AH100" s="617"/>
      <c r="AI100" s="617"/>
      <c r="AJ100" s="617"/>
      <c r="AK100" s="617"/>
      <c r="AL100" s="617">
        <f>SUM(AL101:AL110)</f>
        <v>3529338</v>
      </c>
      <c r="AM100" s="617">
        <f>SUM(AM101:AM110)</f>
        <v>3692255</v>
      </c>
      <c r="AN100" s="617">
        <f t="shared" ref="AN100:AY100" si="286">SUM(AN101:AN110)</f>
        <v>3890050</v>
      </c>
      <c r="AO100" s="617">
        <f t="shared" si="286"/>
        <v>8390081.5689959154</v>
      </c>
      <c r="AP100" s="617">
        <f t="shared" si="286"/>
        <v>9000124.3650646172</v>
      </c>
      <c r="AQ100" s="617">
        <f t="shared" si="286"/>
        <v>9583382.1061665751</v>
      </c>
      <c r="AR100" s="617">
        <f t="shared" si="286"/>
        <v>10213520.686420511</v>
      </c>
      <c r="AS100" s="617">
        <f t="shared" si="286"/>
        <v>11039122.358290683</v>
      </c>
      <c r="AT100" s="617">
        <f t="shared" si="286"/>
        <v>11702982.028811559</v>
      </c>
      <c r="AU100" s="617">
        <f t="shared" si="286"/>
        <v>12692495.577020882</v>
      </c>
      <c r="AV100" s="617">
        <f t="shared" si="286"/>
        <v>13225206.353331439</v>
      </c>
      <c r="AW100" s="617">
        <f t="shared" si="286"/>
        <v>13989390.694886709</v>
      </c>
      <c r="AX100" s="617">
        <f t="shared" si="286"/>
        <v>15076524.916738689</v>
      </c>
      <c r="AY100" s="617">
        <f t="shared" si="286"/>
        <v>16341277.718392029</v>
      </c>
      <c r="AZ100" s="617">
        <f t="shared" ref="AZ100:BF100" si="287">SUM(AZ101:AZ110)</f>
        <v>17520835.124192048</v>
      </c>
      <c r="BA100" s="617">
        <f t="shared" si="287"/>
        <v>18767585.418098222</v>
      </c>
      <c r="BB100" s="617">
        <f t="shared" si="287"/>
        <v>20119051.108721949</v>
      </c>
      <c r="BC100" s="617">
        <f t="shared" si="287"/>
        <v>21600724.228126194</v>
      </c>
      <c r="BD100" s="617">
        <f t="shared" si="287"/>
        <v>23227017.743354</v>
      </c>
      <c r="BE100" s="617">
        <f t="shared" si="287"/>
        <v>25023969.460709963</v>
      </c>
      <c r="BF100" s="617">
        <f t="shared" si="287"/>
        <v>27007416.881168913</v>
      </c>
      <c r="BG100" s="617">
        <f t="shared" ref="BG100:BH100" si="288">SUM(BG101:BG110)</f>
        <v>29280624.914865412</v>
      </c>
      <c r="BH100" s="617">
        <f t="shared" si="288"/>
        <v>31798944.501663841</v>
      </c>
      <c r="BO100" s="624" t="s">
        <v>110</v>
      </c>
      <c r="BP100" s="618"/>
      <c r="BQ100" s="618"/>
      <c r="BR100" s="618"/>
      <c r="BS100" s="618"/>
      <c r="BT100" s="618"/>
      <c r="BU100" s="618"/>
      <c r="BV100" s="618"/>
      <c r="BW100" s="618"/>
      <c r="BX100" s="618"/>
      <c r="BY100" s="618"/>
      <c r="BZ100" s="618"/>
      <c r="CA100" s="618"/>
      <c r="CB100" s="618"/>
      <c r="CC100" s="618"/>
      <c r="CD100" s="618"/>
      <c r="CE100" s="618"/>
      <c r="CF100" s="618"/>
      <c r="CG100" s="618"/>
      <c r="CH100" s="618"/>
      <c r="CI100" s="618"/>
      <c r="CJ100" s="618"/>
      <c r="CK100" s="618"/>
      <c r="CL100" s="618"/>
      <c r="CM100" s="618"/>
      <c r="CN100" s="618"/>
      <c r="CO100" s="618"/>
      <c r="CP100" s="618"/>
      <c r="CQ100" s="618"/>
      <c r="CR100" s="618"/>
      <c r="CS100" s="618"/>
      <c r="CT100" s="618"/>
      <c r="CU100" s="618"/>
      <c r="CV100" s="618"/>
      <c r="CW100" s="618"/>
      <c r="CX100" s="618"/>
      <c r="CY100" s="618"/>
      <c r="CZ100" s="618"/>
      <c r="DA100" s="618"/>
      <c r="DB100" s="618"/>
      <c r="DC100" s="618"/>
      <c r="DD100" s="618"/>
      <c r="DE100" s="618"/>
      <c r="DF100" s="618"/>
      <c r="DG100" s="618"/>
      <c r="DH100" s="618"/>
      <c r="DI100" s="507"/>
      <c r="DJ100" s="507"/>
      <c r="DK100" s="507"/>
      <c r="DL100" s="507"/>
      <c r="DM100" s="507"/>
      <c r="DN100" s="507"/>
      <c r="DO100" s="507"/>
      <c r="DP100" s="634"/>
      <c r="DQ100" s="634"/>
    </row>
    <row r="101" spans="5:121" s="422" customFormat="1" x14ac:dyDescent="0.2">
      <c r="E101" s="623" t="s">
        <v>111</v>
      </c>
      <c r="F101" s="617"/>
      <c r="G101" s="617"/>
      <c r="H101" s="617"/>
      <c r="J101" s="617">
        <f t="shared" si="250"/>
        <v>1035213.5</v>
      </c>
      <c r="K101" s="617">
        <f t="shared" si="251"/>
        <v>1088175.5</v>
      </c>
      <c r="L101" s="617">
        <f t="shared" si="252"/>
        <v>1312925.7485943018</v>
      </c>
      <c r="M101" s="617">
        <f t="shared" si="253"/>
        <v>1577914.0618247511</v>
      </c>
      <c r="N101" s="617">
        <f t="shared" si="254"/>
        <v>1720637.2573138489</v>
      </c>
      <c r="O101" s="617">
        <f t="shared" si="255"/>
        <v>1852146.2633385835</v>
      </c>
      <c r="P101" s="617">
        <f t="shared" si="256"/>
        <v>2022498.2329926009</v>
      </c>
      <c r="Q101" s="617">
        <f t="shared" si="257"/>
        <v>2241949.594111681</v>
      </c>
      <c r="R101" s="617">
        <f t="shared" si="258"/>
        <v>2494204.538732531</v>
      </c>
      <c r="S101" s="617">
        <f t="shared" si="259"/>
        <v>2731246.1306651495</v>
      </c>
      <c r="T101" s="617">
        <f t="shared" si="260"/>
        <v>2855294.7519908845</v>
      </c>
      <c r="U101" s="617">
        <f t="shared" si="261"/>
        <v>3037613.3802010315</v>
      </c>
      <c r="V101" s="617">
        <f t="shared" si="262"/>
        <v>3361523.8479898358</v>
      </c>
      <c r="W101" s="617">
        <f t="shared" si="263"/>
        <v>3608230.9822381102</v>
      </c>
      <c r="X101" s="617">
        <f t="shared" si="264"/>
        <v>3757524.2955666892</v>
      </c>
      <c r="Y101" s="617">
        <f t="shared" si="265"/>
        <v>4031844.0976829091</v>
      </c>
      <c r="Z101" s="617">
        <f t="shared" si="235"/>
        <v>4435604.456308715</v>
      </c>
      <c r="AA101" s="617">
        <f t="shared" si="236"/>
        <v>4882539.0441972744</v>
      </c>
      <c r="AB101" s="617">
        <f t="shared" si="236"/>
        <v>5376642.2910068482</v>
      </c>
      <c r="AC101" s="617">
        <f t="shared" si="236"/>
        <v>5920532.6151133245</v>
      </c>
      <c r="AD101" s="617">
        <f t="shared" si="237"/>
        <v>6560657.7861098126</v>
      </c>
      <c r="AE101" s="617">
        <f t="shared" si="238"/>
        <v>7313601.2825304456</v>
      </c>
      <c r="AF101" s="617"/>
      <c r="AG101" s="617"/>
      <c r="AH101" s="617"/>
      <c r="AI101" s="617"/>
      <c r="AJ101" s="617"/>
      <c r="AK101" s="617"/>
      <c r="AL101" s="621">
        <v>1005241</v>
      </c>
      <c r="AM101" s="621">
        <v>1065186</v>
      </c>
      <c r="AN101" s="622">
        <f t="shared" ref="AN101:AY101" si="289">AN257</f>
        <v>1111165</v>
      </c>
      <c r="AO101" s="622">
        <f t="shared" si="289"/>
        <v>1514686.4971886035</v>
      </c>
      <c r="AP101" s="622">
        <f t="shared" si="289"/>
        <v>1641141.6264608987</v>
      </c>
      <c r="AQ101" s="622">
        <f t="shared" si="289"/>
        <v>1800132.8881667992</v>
      </c>
      <c r="AR101" s="622">
        <f t="shared" si="289"/>
        <v>1904159.6385103678</v>
      </c>
      <c r="AS101" s="622">
        <f t="shared" si="289"/>
        <v>2140836.8274748339</v>
      </c>
      <c r="AT101" s="622">
        <f t="shared" si="289"/>
        <v>2343062.360748528</v>
      </c>
      <c r="AU101" s="622">
        <f t="shared" si="289"/>
        <v>2645346.716716534</v>
      </c>
      <c r="AV101" s="622">
        <f t="shared" si="289"/>
        <v>2817145.5446137651</v>
      </c>
      <c r="AW101" s="622">
        <f t="shared" si="289"/>
        <v>2893443.9593680045</v>
      </c>
      <c r="AX101" s="622">
        <f t="shared" si="289"/>
        <v>3181782.8010340589</v>
      </c>
      <c r="AY101" s="622">
        <f t="shared" si="289"/>
        <v>3541264.8949456131</v>
      </c>
      <c r="AZ101" s="622">
        <f t="shared" ref="AZ101:BA105" si="290">AZ257</f>
        <v>3675197.0695306077</v>
      </c>
      <c r="BA101" s="622">
        <f t="shared" si="290"/>
        <v>3839851.5216027703</v>
      </c>
      <c r="BB101" s="622">
        <f t="shared" ref="BB101:BC105" si="291">BB257</f>
        <v>4223836.6737630479</v>
      </c>
      <c r="BC101" s="622">
        <f t="shared" si="291"/>
        <v>4647372.2388543813</v>
      </c>
      <c r="BD101" s="622">
        <f t="shared" ref="BD101:BE105" si="292">BD257</f>
        <v>5117705.8495401684</v>
      </c>
      <c r="BE101" s="622">
        <f t="shared" si="292"/>
        <v>5635578.7324735289</v>
      </c>
      <c r="BF101" s="622">
        <f>BF257</f>
        <v>6205486.49775312</v>
      </c>
      <c r="BG101" s="622">
        <f t="shared" ref="BG101:BH101" si="293">BG257</f>
        <v>6915829.0744665051</v>
      </c>
      <c r="BH101" s="622">
        <f t="shared" si="293"/>
        <v>7711373.4905943871</v>
      </c>
      <c r="BO101" s="623" t="s">
        <v>336</v>
      </c>
      <c r="BP101" s="618"/>
      <c r="BQ101" s="618">
        <v>294575.23697367462</v>
      </c>
      <c r="BR101" s="618">
        <v>285447.18179141486</v>
      </c>
      <c r="BS101" s="618">
        <v>303030.10600163054</v>
      </c>
      <c r="BT101" s="618">
        <v>299744.47523328004</v>
      </c>
      <c r="BU101" s="618">
        <v>300101.86688124732</v>
      </c>
      <c r="BV101" s="618">
        <v>305717.23440144391</v>
      </c>
      <c r="BW101" s="618">
        <v>322114.31006520899</v>
      </c>
      <c r="BX101" s="618">
        <v>353610.58865209995</v>
      </c>
      <c r="BY101" s="618">
        <v>308604.53876784729</v>
      </c>
      <c r="BZ101" s="618">
        <v>314591.15447021282</v>
      </c>
      <c r="CA101" s="618">
        <v>358764.44606050203</v>
      </c>
      <c r="CB101" s="618">
        <v>423737.86070143798</v>
      </c>
      <c r="CC101" s="618">
        <v>336164.53916951205</v>
      </c>
      <c r="CD101" s="618">
        <v>324680.53359931486</v>
      </c>
      <c r="CE101" s="618">
        <v>366097.47308230732</v>
      </c>
      <c r="CF101" s="618">
        <v>459988.45414886577</v>
      </c>
      <c r="CG101" s="618">
        <v>347884.82530247048</v>
      </c>
      <c r="CH101" s="618">
        <v>353372.5149145202</v>
      </c>
      <c r="CI101" s="618">
        <v>392957.49536434223</v>
      </c>
      <c r="CJ101" s="618">
        <v>491691.16441866703</v>
      </c>
      <c r="CK101" s="618">
        <v>357566.81690922298</v>
      </c>
      <c r="CL101" s="618">
        <v>428838.13139450888</v>
      </c>
      <c r="CM101" s="618">
        <v>430562.28812261764</v>
      </c>
      <c r="CN101" s="618">
        <v>519663.7635736505</v>
      </c>
      <c r="CO101" s="618">
        <v>414649.01070316002</v>
      </c>
      <c r="CP101" s="618">
        <v>449433.57504334499</v>
      </c>
      <c r="CQ101" s="618">
        <v>463507.0443650416</v>
      </c>
      <c r="CR101" s="618">
        <v>579230.76988845295</v>
      </c>
      <c r="CS101" s="618">
        <v>456964.601705432</v>
      </c>
      <c r="CT101" s="618">
        <v>504228.01466106699</v>
      </c>
      <c r="CU101" s="618">
        <v>519028.02414779499</v>
      </c>
      <c r="CV101" s="618">
        <v>617281.93948570662</v>
      </c>
      <c r="CW101" s="618">
        <v>509399.33435708575</v>
      </c>
      <c r="CX101" s="618">
        <v>527828.34357066976</v>
      </c>
      <c r="CY101" s="618">
        <v>559697.69280608569</v>
      </c>
      <c r="CZ101" s="618">
        <v>657890.62926615891</v>
      </c>
      <c r="DA101" s="618">
        <v>555331.43000000005</v>
      </c>
      <c r="DB101" s="618">
        <v>578677.27</v>
      </c>
      <c r="DC101" s="618">
        <v>601155.25</v>
      </c>
      <c r="DD101" s="618">
        <v>704547.05</v>
      </c>
      <c r="DE101" s="618">
        <v>631562.38353242632</v>
      </c>
      <c r="DF101" s="618">
        <v>609392.76330319711</v>
      </c>
      <c r="DG101" s="618">
        <v>640839.62683649431</v>
      </c>
      <c r="DH101" s="618">
        <v>755533.22632788215</v>
      </c>
      <c r="DI101" s="507">
        <v>707857.59380124602</v>
      </c>
      <c r="DJ101" s="507">
        <v>652002.30221297219</v>
      </c>
      <c r="DK101" s="507">
        <v>680051.17429298721</v>
      </c>
      <c r="DL101" s="507">
        <v>800490.74519979407</v>
      </c>
      <c r="DM101" s="507">
        <v>778712.06549270381</v>
      </c>
      <c r="DN101" s="507">
        <v>695312.12838655745</v>
      </c>
      <c r="DO101" s="507">
        <v>733778.6283089408</v>
      </c>
      <c r="DP101" s="634">
        <v>868352.34400587925</v>
      </c>
      <c r="DQ101" s="634">
        <v>841009.03073212015</v>
      </c>
    </row>
    <row r="102" spans="5:121" s="422" customFormat="1" x14ac:dyDescent="0.2">
      <c r="E102" s="623" t="s">
        <v>112</v>
      </c>
      <c r="F102" s="617"/>
      <c r="G102" s="617"/>
      <c r="H102" s="617"/>
      <c r="J102" s="617">
        <f t="shared" si="250"/>
        <v>223500</v>
      </c>
      <c r="K102" s="617">
        <f t="shared" si="251"/>
        <v>234764</v>
      </c>
      <c r="L102" s="617">
        <f t="shared" si="252"/>
        <v>305092.26935136685</v>
      </c>
      <c r="M102" s="617">
        <f t="shared" si="253"/>
        <v>382607.19856607832</v>
      </c>
      <c r="N102" s="617">
        <f t="shared" si="254"/>
        <v>400962.9513393743</v>
      </c>
      <c r="O102" s="617">
        <f t="shared" si="255"/>
        <v>414675.49172879045</v>
      </c>
      <c r="P102" s="617">
        <f t="shared" si="256"/>
        <v>433901.84682406398</v>
      </c>
      <c r="Q102" s="617">
        <f t="shared" si="257"/>
        <v>453509.94164477778</v>
      </c>
      <c r="R102" s="617">
        <f t="shared" si="258"/>
        <v>471598.21209381876</v>
      </c>
      <c r="S102" s="617">
        <f t="shared" si="259"/>
        <v>489947.26838204364</v>
      </c>
      <c r="T102" s="617">
        <f t="shared" si="260"/>
        <v>500444.7154282009</v>
      </c>
      <c r="U102" s="617">
        <f t="shared" si="261"/>
        <v>512266.08050995006</v>
      </c>
      <c r="V102" s="617">
        <f t="shared" si="262"/>
        <v>532356.38396137767</v>
      </c>
      <c r="W102" s="617">
        <f t="shared" si="263"/>
        <v>561385.33869249618</v>
      </c>
      <c r="X102" s="617">
        <f t="shared" si="264"/>
        <v>587661.11348190997</v>
      </c>
      <c r="Y102" s="617">
        <f t="shared" si="265"/>
        <v>602417.69301709416</v>
      </c>
      <c r="Z102" s="617">
        <f t="shared" si="235"/>
        <v>615785.55422779091</v>
      </c>
      <c r="AA102" s="617">
        <f t="shared" si="236"/>
        <v>629701.69712851383</v>
      </c>
      <c r="AB102" s="617">
        <f t="shared" si="236"/>
        <v>644885.74940190255</v>
      </c>
      <c r="AC102" s="617">
        <f t="shared" si="236"/>
        <v>661217.5945537861</v>
      </c>
      <c r="AD102" s="617">
        <f t="shared" si="237"/>
        <v>679136.13159631519</v>
      </c>
      <c r="AE102" s="617">
        <f t="shared" si="238"/>
        <v>698244.68290845829</v>
      </c>
      <c r="AF102" s="617"/>
      <c r="AG102" s="617"/>
      <c r="AH102" s="617"/>
      <c r="AI102" s="617"/>
      <c r="AJ102" s="617"/>
      <c r="AK102" s="617"/>
      <c r="AL102" s="621">
        <v>217000</v>
      </c>
      <c r="AM102" s="621">
        <v>230000</v>
      </c>
      <c r="AN102" s="622">
        <f t="shared" ref="AN102:AY102" si="294">AN258</f>
        <v>239528</v>
      </c>
      <c r="AO102" s="622">
        <f t="shared" si="294"/>
        <v>370656.5387027337</v>
      </c>
      <c r="AP102" s="622">
        <f t="shared" si="294"/>
        <v>394557.85842942301</v>
      </c>
      <c r="AQ102" s="622">
        <f t="shared" si="294"/>
        <v>407368.04424932558</v>
      </c>
      <c r="AR102" s="622">
        <f t="shared" si="294"/>
        <v>421982.93920825527</v>
      </c>
      <c r="AS102" s="622">
        <f t="shared" si="294"/>
        <v>445820.75443987269</v>
      </c>
      <c r="AT102" s="622">
        <f t="shared" si="294"/>
        <v>461199.12884968286</v>
      </c>
      <c r="AU102" s="622">
        <f t="shared" si="294"/>
        <v>481997.29533795465</v>
      </c>
      <c r="AV102" s="622">
        <f t="shared" si="294"/>
        <v>497897.24142613262</v>
      </c>
      <c r="AW102" s="622">
        <f t="shared" si="294"/>
        <v>502992.18943026918</v>
      </c>
      <c r="AX102" s="622">
        <f t="shared" si="294"/>
        <v>521539.97158963094</v>
      </c>
      <c r="AY102" s="622">
        <f t="shared" si="294"/>
        <v>543172.7963331244</v>
      </c>
      <c r="AZ102" s="622">
        <f t="shared" si="290"/>
        <v>579597.88105186797</v>
      </c>
      <c r="BA102" s="622">
        <f t="shared" si="290"/>
        <v>595724.34591195208</v>
      </c>
      <c r="BB102" s="622">
        <f t="shared" si="291"/>
        <v>609111.04012223636</v>
      </c>
      <c r="BC102" s="622">
        <f t="shared" si="291"/>
        <v>622460.06833334547</v>
      </c>
      <c r="BD102" s="622">
        <f t="shared" si="292"/>
        <v>636943.32592368231</v>
      </c>
      <c r="BE102" s="622">
        <f t="shared" si="292"/>
        <v>652828.17288012279</v>
      </c>
      <c r="BF102" s="622">
        <f>BF258</f>
        <v>669607.01622744929</v>
      </c>
      <c r="BG102" s="622">
        <f t="shared" ref="BG102:BH102" si="295">BG258</f>
        <v>688665.2469651812</v>
      </c>
      <c r="BH102" s="622">
        <f t="shared" si="295"/>
        <v>707824.11885173537</v>
      </c>
      <c r="BO102" s="623" t="s">
        <v>112</v>
      </c>
      <c r="BP102" s="618"/>
      <c r="BQ102" s="618">
        <v>66390.949982321836</v>
      </c>
      <c r="BR102" s="618">
        <v>55728.606677432166</v>
      </c>
      <c r="BS102" s="618">
        <v>69968.660377119144</v>
      </c>
      <c r="BT102" s="618">
        <v>58889.782963126825</v>
      </c>
      <c r="BU102" s="618">
        <v>70003.355437710343</v>
      </c>
      <c r="BV102" s="618">
        <v>61792.123445047037</v>
      </c>
      <c r="BW102" s="618">
        <v>73827.129307648123</v>
      </c>
      <c r="BX102" s="618">
        <v>61539.39180959449</v>
      </c>
      <c r="BY102" s="618">
        <v>73436.047254166449</v>
      </c>
      <c r="BZ102" s="618">
        <v>63375.635474685703</v>
      </c>
      <c r="CA102" s="618">
        <v>75002.366685728965</v>
      </c>
      <c r="CB102" s="618">
        <v>64021.95058541889</v>
      </c>
      <c r="CC102" s="618">
        <v>72819.753874711067</v>
      </c>
      <c r="CD102" s="618">
        <v>65868.268243067345</v>
      </c>
      <c r="CE102" s="618">
        <v>78281.882067903716</v>
      </c>
      <c r="CF102" s="618">
        <v>68762.095814317887</v>
      </c>
      <c r="CG102" s="618">
        <v>75422.087998045026</v>
      </c>
      <c r="CH102" s="618">
        <v>69280.511680034804</v>
      </c>
      <c r="CI102" s="618">
        <v>80309.52913585896</v>
      </c>
      <c r="CJ102" s="618">
        <v>76860.871186061209</v>
      </c>
      <c r="CK102" s="618">
        <v>75563.811585104369</v>
      </c>
      <c r="CL102" s="618">
        <v>71551.461032339066</v>
      </c>
      <c r="CM102" s="618">
        <v>84194.992505008835</v>
      </c>
      <c r="CN102" s="618">
        <v>83610.734877547715</v>
      </c>
      <c r="CO102" s="618">
        <v>78470.535387498894</v>
      </c>
      <c r="CP102" s="618">
        <v>74577.435622760328</v>
      </c>
      <c r="CQ102" s="618">
        <v>89456.98882285897</v>
      </c>
      <c r="CR102" s="618">
        <v>86354.040166881809</v>
      </c>
      <c r="CS102" s="618">
        <v>81970.311753270027</v>
      </c>
      <c r="CT102" s="618">
        <v>77236.344351431631</v>
      </c>
      <c r="CU102" s="618">
        <v>92599.518585022364</v>
      </c>
      <c r="CV102" s="618">
        <v>91851.525310275989</v>
      </c>
      <c r="CW102" s="618">
        <v>84431.547087766929</v>
      </c>
      <c r="CX102" s="618">
        <v>80211.473975718996</v>
      </c>
      <c r="CY102" s="618">
        <v>97099.695436748545</v>
      </c>
      <c r="CZ102" s="618">
        <v>97036.283499765515</v>
      </c>
      <c r="DA102" s="618">
        <v>87394.93</v>
      </c>
      <c r="DB102" s="618">
        <v>86047.62</v>
      </c>
      <c r="DC102" s="618">
        <v>103851.85</v>
      </c>
      <c r="DD102" s="618">
        <v>103369.61</v>
      </c>
      <c r="DE102" s="618">
        <v>90142.589511690167</v>
      </c>
      <c r="DF102" s="618">
        <v>88341.293386601435</v>
      </c>
      <c r="DG102" s="618">
        <v>109344.57270255171</v>
      </c>
      <c r="DH102" s="618">
        <v>110346.0988591567</v>
      </c>
      <c r="DI102" s="507">
        <v>93691.97028243581</v>
      </c>
      <c r="DJ102" s="507">
        <v>90756.63063022017</v>
      </c>
      <c r="DK102" s="507">
        <v>116336.99058306887</v>
      </c>
      <c r="DL102" s="507">
        <v>116501.34157835522</v>
      </c>
      <c r="DM102" s="507">
        <v>97778.313360750966</v>
      </c>
      <c r="DN102" s="507">
        <v>95026.974351974161</v>
      </c>
      <c r="DO102" s="507">
        <v>123383.92933109043</v>
      </c>
      <c r="DP102" s="634">
        <v>127386.79281393149</v>
      </c>
      <c r="DQ102" s="634">
        <v>100756.47929715327</v>
      </c>
    </row>
    <row r="103" spans="5:121" x14ac:dyDescent="0.2">
      <c r="E103" s="191" t="s">
        <v>113</v>
      </c>
      <c r="F103" s="60"/>
      <c r="G103" s="60"/>
      <c r="H103" s="60"/>
      <c r="J103" s="60">
        <f t="shared" si="250"/>
        <v>436922.5</v>
      </c>
      <c r="K103" s="60">
        <f t="shared" si="251"/>
        <v>454823.5</v>
      </c>
      <c r="L103" s="60">
        <f t="shared" si="252"/>
        <v>780194.25097902201</v>
      </c>
      <c r="M103" s="60">
        <f t="shared" si="253"/>
        <v>1128463.2867366369</v>
      </c>
      <c r="N103" s="60">
        <f t="shared" si="254"/>
        <v>1190158.1751696055</v>
      </c>
      <c r="O103" s="60">
        <f t="shared" si="255"/>
        <v>1271805.2663480421</v>
      </c>
      <c r="P103" s="60">
        <f t="shared" si="256"/>
        <v>1368613.1065649851</v>
      </c>
      <c r="Q103" s="60">
        <f t="shared" si="257"/>
        <v>1477232.0671917507</v>
      </c>
      <c r="R103" s="60">
        <f t="shared" si="258"/>
        <v>1557202.3996936791</v>
      </c>
      <c r="S103" s="60">
        <f t="shared" si="259"/>
        <v>1587047.6791877891</v>
      </c>
      <c r="T103" s="60">
        <f t="shared" si="260"/>
        <v>1656858.5064639428</v>
      </c>
      <c r="U103" s="60">
        <f t="shared" si="261"/>
        <v>1804293.8447542465</v>
      </c>
      <c r="V103" s="60">
        <f t="shared" si="262"/>
        <v>1938144.7405422758</v>
      </c>
      <c r="W103" s="60">
        <f t="shared" si="263"/>
        <v>2021347.6682372489</v>
      </c>
      <c r="X103" s="60">
        <f t="shared" si="264"/>
        <v>2188369.8474733047</v>
      </c>
      <c r="Y103" s="60">
        <f t="shared" si="265"/>
        <v>2458860.2681660904</v>
      </c>
      <c r="Z103" s="60">
        <f t="shared" si="235"/>
        <v>2766992.5478291688</v>
      </c>
      <c r="AA103" s="60">
        <f t="shared" si="236"/>
        <v>3116647.6121759508</v>
      </c>
      <c r="AB103" s="60">
        <f t="shared" si="236"/>
        <v>3514755.6062900564</v>
      </c>
      <c r="AC103" s="60">
        <f t="shared" si="236"/>
        <v>3966533.0727470489</v>
      </c>
      <c r="AD103" s="60">
        <f t="shared" si="237"/>
        <v>4477514.0922438297</v>
      </c>
      <c r="AE103" s="60">
        <f t="shared" si="238"/>
        <v>5056419.061371618</v>
      </c>
      <c r="AF103" s="60"/>
      <c r="AG103" s="60"/>
      <c r="AH103" s="60"/>
      <c r="AI103" s="60"/>
      <c r="AJ103" s="60"/>
      <c r="AK103" s="60"/>
      <c r="AL103" s="3">
        <v>428679</v>
      </c>
      <c r="AM103" s="3">
        <v>445166</v>
      </c>
      <c r="AN103" s="195">
        <f t="shared" ref="AN103:AY103" si="296">AN259</f>
        <v>464481</v>
      </c>
      <c r="AO103" s="195">
        <f t="shared" si="296"/>
        <v>1095907.501958044</v>
      </c>
      <c r="AP103" s="195">
        <f t="shared" si="296"/>
        <v>1161019.0715152295</v>
      </c>
      <c r="AQ103" s="195">
        <f t="shared" si="296"/>
        <v>1219297.2788239815</v>
      </c>
      <c r="AR103" s="195">
        <f t="shared" si="296"/>
        <v>1324313.2538721024</v>
      </c>
      <c r="AS103" s="195">
        <f t="shared" si="296"/>
        <v>1412912.9592578681</v>
      </c>
      <c r="AT103" s="195">
        <f t="shared" si="296"/>
        <v>1541551.1751256331</v>
      </c>
      <c r="AU103" s="195">
        <f t="shared" si="296"/>
        <v>1572853.6242617252</v>
      </c>
      <c r="AV103" s="195">
        <f t="shared" si="296"/>
        <v>1601241.734113853</v>
      </c>
      <c r="AW103" s="195">
        <f t="shared" si="296"/>
        <v>1712475.2788140327</v>
      </c>
      <c r="AX103" s="195">
        <f t="shared" si="296"/>
        <v>1896112.4106944602</v>
      </c>
      <c r="AY103" s="195">
        <f t="shared" si="296"/>
        <v>1980177.0703900917</v>
      </c>
      <c r="AZ103" s="195">
        <f t="shared" si="290"/>
        <v>2062518.2660844061</v>
      </c>
      <c r="BA103" s="195">
        <f t="shared" si="290"/>
        <v>2314221.4288622029</v>
      </c>
      <c r="BB103" s="195">
        <f t="shared" si="291"/>
        <v>2603499.1074699783</v>
      </c>
      <c r="BC103" s="195">
        <f t="shared" si="291"/>
        <v>2930485.9881883594</v>
      </c>
      <c r="BD103" s="195">
        <f t="shared" si="292"/>
        <v>3302809.2361635426</v>
      </c>
      <c r="BE103" s="195">
        <f t="shared" si="292"/>
        <v>3726701.9764165706</v>
      </c>
      <c r="BF103" s="195">
        <f>BF259</f>
        <v>4206364.1690775268</v>
      </c>
      <c r="BG103" s="195">
        <f t="shared" ref="BG103:BH103" si="297">BG259</f>
        <v>4748664.0154101327</v>
      </c>
      <c r="BH103" s="195">
        <f t="shared" si="297"/>
        <v>5364174.1073331032</v>
      </c>
      <c r="BO103" s="614" t="s">
        <v>337</v>
      </c>
      <c r="BP103" s="615"/>
      <c r="BQ103" s="615">
        <v>160028.578246711</v>
      </c>
      <c r="BR103" s="615">
        <v>153281.26377579215</v>
      </c>
      <c r="BS103" s="615">
        <v>143552.40196270394</v>
      </c>
      <c r="BT103" s="615">
        <v>142982.75601479283</v>
      </c>
      <c r="BU103" s="615">
        <v>168392.30211211886</v>
      </c>
      <c r="BV103" s="615">
        <v>160922.28462347615</v>
      </c>
      <c r="BW103" s="615">
        <v>151417.90288690213</v>
      </c>
      <c r="BX103" s="615">
        <v>159816.51037750283</v>
      </c>
      <c r="BY103" s="615">
        <v>182691.96771858563</v>
      </c>
      <c r="BZ103" s="615">
        <v>178767.84707042249</v>
      </c>
      <c r="CA103" s="615">
        <v>164291.40175683849</v>
      </c>
      <c r="CB103" s="615">
        <v>160188.78345415337</v>
      </c>
      <c r="CC103" s="615">
        <v>190827.59310325963</v>
      </c>
      <c r="CD103" s="615">
        <v>183694.70719600626</v>
      </c>
      <c r="CE103" s="615">
        <v>181540.06987107595</v>
      </c>
      <c r="CF103" s="615">
        <v>201669.6298296582</v>
      </c>
      <c r="CG103" s="615">
        <v>204293.67418174911</v>
      </c>
      <c r="CH103" s="615">
        <v>212471.14556674514</v>
      </c>
      <c r="CI103" s="615">
        <v>207292.15815962042</v>
      </c>
      <c r="CJ103" s="615">
        <v>204794.02209188533</v>
      </c>
      <c r="CK103" s="615">
        <v>250766.05057554922</v>
      </c>
      <c r="CL103" s="615">
        <v>225247.98691401357</v>
      </c>
      <c r="CM103" s="615">
        <v>208350.68598108238</v>
      </c>
      <c r="CN103" s="615">
        <v>216172.27652935483</v>
      </c>
      <c r="CO103" s="615">
        <v>215117.79304791224</v>
      </c>
      <c r="CP103" s="615">
        <v>243302.77587106504</v>
      </c>
      <c r="CQ103" s="615">
        <v>262545.69796427857</v>
      </c>
      <c r="CR103" s="615">
        <v>270682.63311674417</v>
      </c>
      <c r="CS103" s="615">
        <v>244005.12273549402</v>
      </c>
      <c r="CT103" s="615">
        <v>265125.07429155172</v>
      </c>
      <c r="CU103" s="615">
        <v>283805.87473624601</v>
      </c>
      <c r="CV103" s="615">
        <v>306261.52823670825</v>
      </c>
      <c r="CW103" s="615">
        <v>268701.7921048943</v>
      </c>
      <c r="CX103" s="615">
        <v>301321.33649275586</v>
      </c>
      <c r="CY103" s="615">
        <v>299861.11925643735</v>
      </c>
      <c r="CZ103" s="615">
        <v>350383.75214591244</v>
      </c>
      <c r="DA103" s="615">
        <v>298966.81501561351</v>
      </c>
      <c r="DB103" s="615">
        <v>321347.91282699601</v>
      </c>
      <c r="DC103" s="615">
        <v>338678.3160784808</v>
      </c>
      <c r="DD103" s="615">
        <v>410502.95607890957</v>
      </c>
      <c r="DE103" s="615">
        <v>344219.64904032205</v>
      </c>
      <c r="DF103" s="615">
        <v>374715.35964923457</v>
      </c>
      <c r="DG103" s="615">
        <v>378232.06321096147</v>
      </c>
      <c r="DH103" s="615">
        <v>427549.24794187618</v>
      </c>
      <c r="DI103" s="616">
        <v>400040.0913677736</v>
      </c>
      <c r="DJ103" s="616">
        <v>425793.27573469246</v>
      </c>
      <c r="DK103" s="616">
        <v>418266.42648374027</v>
      </c>
      <c r="DL103" s="616">
        <v>471761.44586679374</v>
      </c>
      <c r="DM103" s="616">
        <v>476609.04535372963</v>
      </c>
      <c r="DN103" s="616">
        <v>477723.66650711163</v>
      </c>
      <c r="DO103" s="616">
        <v>457286.67864940094</v>
      </c>
      <c r="DP103" s="176">
        <v>533545.82636437099</v>
      </c>
      <c r="DQ103" s="176">
        <v>555415.20138367766</v>
      </c>
    </row>
    <row r="104" spans="5:121" x14ac:dyDescent="0.2">
      <c r="E104" s="191" t="s">
        <v>114</v>
      </c>
      <c r="F104" s="60"/>
      <c r="G104" s="60"/>
      <c r="H104" s="60"/>
      <c r="J104" s="60">
        <f t="shared" si="250"/>
        <v>95203</v>
      </c>
      <c r="K104" s="60">
        <f t="shared" si="251"/>
        <v>100982</v>
      </c>
      <c r="L104" s="60">
        <f t="shared" si="252"/>
        <v>192183.59032603275</v>
      </c>
      <c r="M104" s="60">
        <f t="shared" si="253"/>
        <v>295290.54026988114</v>
      </c>
      <c r="N104" s="60">
        <f t="shared" si="254"/>
        <v>334179.52753950935</v>
      </c>
      <c r="O104" s="60">
        <f t="shared" si="255"/>
        <v>389682.43364108494</v>
      </c>
      <c r="P104" s="60">
        <f t="shared" si="256"/>
        <v>460429.38479089073</v>
      </c>
      <c r="Q104" s="60">
        <f t="shared" si="257"/>
        <v>511248.93979663815</v>
      </c>
      <c r="R104" s="60">
        <f t="shared" si="258"/>
        <v>568820.33553553815</v>
      </c>
      <c r="S104" s="60">
        <f t="shared" si="259"/>
        <v>651585.99358842301</v>
      </c>
      <c r="T104" s="60">
        <f t="shared" si="260"/>
        <v>779758.7056932007</v>
      </c>
      <c r="U104" s="60">
        <f t="shared" si="261"/>
        <v>977917.32464202051</v>
      </c>
      <c r="V104" s="60">
        <f t="shared" si="262"/>
        <v>1130942.7053000634</v>
      </c>
      <c r="W104" s="60">
        <f t="shared" si="263"/>
        <v>1308393.8872180465</v>
      </c>
      <c r="X104" s="60">
        <f t="shared" si="264"/>
        <v>1535294.142388144</v>
      </c>
      <c r="Y104" s="60">
        <f t="shared" si="265"/>
        <v>1696689.1621501669</v>
      </c>
      <c r="Z104" s="60">
        <f t="shared" si="235"/>
        <v>1832869.7628401653</v>
      </c>
      <c r="AA104" s="60">
        <f t="shared" si="236"/>
        <v>1980562.6896774124</v>
      </c>
      <c r="AB104" s="60">
        <f t="shared" si="236"/>
        <v>2140442.591822763</v>
      </c>
      <c r="AC104" s="60">
        <f t="shared" si="236"/>
        <v>2316654.623790673</v>
      </c>
      <c r="AD104" s="60">
        <f t="shared" si="237"/>
        <v>2512946.7765578274</v>
      </c>
      <c r="AE104" s="60">
        <f t="shared" si="238"/>
        <v>2728164.3972614673</v>
      </c>
      <c r="AF104" s="60"/>
      <c r="AG104" s="60"/>
      <c r="AH104" s="60"/>
      <c r="AI104" s="60"/>
      <c r="AJ104" s="60"/>
      <c r="AK104" s="60"/>
      <c r="AL104" s="3">
        <v>92158</v>
      </c>
      <c r="AM104" s="3">
        <v>98248</v>
      </c>
      <c r="AN104" s="195">
        <f t="shared" ref="AN104:AY104" si="298">AN260</f>
        <v>103716</v>
      </c>
      <c r="AO104" s="195">
        <f t="shared" si="298"/>
        <v>280651.18065206549</v>
      </c>
      <c r="AP104" s="195">
        <f t="shared" si="298"/>
        <v>309929.89988769678</v>
      </c>
      <c r="AQ104" s="195">
        <f t="shared" si="298"/>
        <v>358429.15519132197</v>
      </c>
      <c r="AR104" s="195">
        <f t="shared" si="298"/>
        <v>420935.7120908479</v>
      </c>
      <c r="AS104" s="195">
        <f t="shared" si="298"/>
        <v>499923.05749093357</v>
      </c>
      <c r="AT104" s="195">
        <f t="shared" si="298"/>
        <v>522574.82210234273</v>
      </c>
      <c r="AU104" s="195">
        <f t="shared" si="298"/>
        <v>615065.84896873357</v>
      </c>
      <c r="AV104" s="195">
        <f t="shared" si="298"/>
        <v>688106.13820811245</v>
      </c>
      <c r="AW104" s="195">
        <f t="shared" si="298"/>
        <v>871411.27317828906</v>
      </c>
      <c r="AX104" s="195">
        <f t="shared" si="298"/>
        <v>1084423.3761057518</v>
      </c>
      <c r="AY104" s="195">
        <f t="shared" si="298"/>
        <v>1177462.0344943751</v>
      </c>
      <c r="AZ104" s="195">
        <f t="shared" si="290"/>
        <v>1439325.7399417178</v>
      </c>
      <c r="BA104" s="195">
        <f t="shared" si="290"/>
        <v>1631262.5448345705</v>
      </c>
      <c r="BB104" s="195">
        <f t="shared" si="291"/>
        <v>1762115.7794657636</v>
      </c>
      <c r="BC104" s="195">
        <f t="shared" si="291"/>
        <v>1903623.746214567</v>
      </c>
      <c r="BD104" s="195">
        <f t="shared" si="292"/>
        <v>2057501.6331402578</v>
      </c>
      <c r="BE104" s="195">
        <f t="shared" si="292"/>
        <v>2223383.5505052679</v>
      </c>
      <c r="BF104" s="195">
        <f>BF260</f>
        <v>2409925.6970760785</v>
      </c>
      <c r="BG104" s="195">
        <f t="shared" ref="BG104:BH104" si="299">BG260</f>
        <v>2615967.8560395767</v>
      </c>
      <c r="BH104" s="195">
        <f t="shared" si="299"/>
        <v>2840360.9384833579</v>
      </c>
      <c r="DP104" s="176"/>
      <c r="DQ104" s="176"/>
    </row>
    <row r="105" spans="5:121" x14ac:dyDescent="0.2">
      <c r="E105" s="191" t="s">
        <v>115</v>
      </c>
      <c r="F105" s="60"/>
      <c r="G105" s="60"/>
      <c r="H105" s="60"/>
      <c r="J105" s="60">
        <f t="shared" si="250"/>
        <v>123675</v>
      </c>
      <c r="K105" s="60">
        <f t="shared" si="251"/>
        <v>128550</v>
      </c>
      <c r="L105" s="60">
        <f t="shared" si="252"/>
        <v>242819.03149843749</v>
      </c>
      <c r="M105" s="60">
        <f t="shared" si="253"/>
        <v>372506.75511387468</v>
      </c>
      <c r="N105" s="60">
        <f t="shared" si="254"/>
        <v>411318.0914153505</v>
      </c>
      <c r="O105" s="60">
        <f t="shared" si="255"/>
        <v>450159.82526508323</v>
      </c>
      <c r="P105" s="60">
        <f t="shared" si="256"/>
        <v>494740.85703144158</v>
      </c>
      <c r="Q105" s="60">
        <f t="shared" si="257"/>
        <v>571246.77304002387</v>
      </c>
      <c r="R105" s="60">
        <f t="shared" si="258"/>
        <v>688572.77592254803</v>
      </c>
      <c r="S105" s="60">
        <f t="shared" si="259"/>
        <v>827040.97493055253</v>
      </c>
      <c r="T105" s="60">
        <f t="shared" si="260"/>
        <v>980464.23664465651</v>
      </c>
      <c r="U105" s="60">
        <f t="shared" si="261"/>
        <v>1130042.8599809995</v>
      </c>
      <c r="V105" s="60">
        <f t="shared" si="262"/>
        <v>1285850.4467577171</v>
      </c>
      <c r="W105" s="60">
        <f t="shared" si="263"/>
        <v>1409838.0673146776</v>
      </c>
      <c r="X105" s="60">
        <f t="shared" si="264"/>
        <v>1489685.5573792285</v>
      </c>
      <c r="Y105" s="60">
        <f t="shared" si="265"/>
        <v>1616965.7238626322</v>
      </c>
      <c r="Z105" s="60">
        <f t="shared" si="235"/>
        <v>1791226.1269340378</v>
      </c>
      <c r="AA105" s="60">
        <f t="shared" si="236"/>
        <v>1984170.6614734309</v>
      </c>
      <c r="AB105" s="60">
        <f t="shared" si="236"/>
        <v>2199116.8741065348</v>
      </c>
      <c r="AC105" s="60">
        <f t="shared" si="236"/>
        <v>2444517.2685286636</v>
      </c>
      <c r="AD105" s="60">
        <f t="shared" si="237"/>
        <v>2727548.9673973294</v>
      </c>
      <c r="AE105" s="60">
        <f t="shared" si="238"/>
        <v>3046660.0569402706</v>
      </c>
      <c r="AF105" s="60"/>
      <c r="AG105" s="60"/>
      <c r="AH105" s="60"/>
      <c r="AI105" s="60"/>
      <c r="AJ105" s="60"/>
      <c r="AK105" s="60"/>
      <c r="AL105" s="3">
        <v>121250</v>
      </c>
      <c r="AM105" s="3">
        <v>126100</v>
      </c>
      <c r="AN105" s="195">
        <f t="shared" ref="AN105:AY105" si="300">AN261</f>
        <v>131000</v>
      </c>
      <c r="AO105" s="195">
        <f t="shared" si="300"/>
        <v>354638.06299687497</v>
      </c>
      <c r="AP105" s="195">
        <f t="shared" si="300"/>
        <v>390375.44723087433</v>
      </c>
      <c r="AQ105" s="195">
        <f t="shared" si="300"/>
        <v>432260.73559982667</v>
      </c>
      <c r="AR105" s="195">
        <f t="shared" si="300"/>
        <v>468058.91493033979</v>
      </c>
      <c r="AS105" s="195">
        <f t="shared" si="300"/>
        <v>521422.79913254338</v>
      </c>
      <c r="AT105" s="195">
        <f t="shared" si="300"/>
        <v>621070.74694750435</v>
      </c>
      <c r="AU105" s="195">
        <f t="shared" si="300"/>
        <v>756074.80489759182</v>
      </c>
      <c r="AV105" s="195">
        <f t="shared" si="300"/>
        <v>898007.14496351313</v>
      </c>
      <c r="AW105" s="195">
        <f t="shared" si="300"/>
        <v>1062921.3283257999</v>
      </c>
      <c r="AX105" s="195">
        <f t="shared" si="300"/>
        <v>1197164.3916361993</v>
      </c>
      <c r="AY105" s="195">
        <f t="shared" si="300"/>
        <v>1374536.5018792348</v>
      </c>
      <c r="AZ105" s="195">
        <f t="shared" si="290"/>
        <v>1445139.6327501205</v>
      </c>
      <c r="BA105" s="195">
        <f t="shared" si="290"/>
        <v>1534231.4820083363</v>
      </c>
      <c r="BB105" s="195">
        <f t="shared" si="291"/>
        <v>1699699.9657169282</v>
      </c>
      <c r="BC105" s="195">
        <f t="shared" si="291"/>
        <v>1882752.2881511473</v>
      </c>
      <c r="BD105" s="195">
        <f t="shared" si="292"/>
        <v>2085589.0347957145</v>
      </c>
      <c r="BE105" s="195">
        <f t="shared" si="292"/>
        <v>2312644.7134173545</v>
      </c>
      <c r="BF105" s="195">
        <f>BF261</f>
        <v>2576389.8236399726</v>
      </c>
      <c r="BG105" s="195">
        <f t="shared" ref="BG105:BH105" si="301">BG261</f>
        <v>2878708.1111546862</v>
      </c>
      <c r="BH105" s="195">
        <f t="shared" si="301"/>
        <v>3214612.0027258554</v>
      </c>
      <c r="BO105" s="191" t="s">
        <v>115</v>
      </c>
      <c r="BP105" s="5"/>
      <c r="BQ105" s="5">
        <v>35873.473636943469</v>
      </c>
      <c r="BR105" s="5">
        <v>35071.85798136345</v>
      </c>
      <c r="BS105" s="5">
        <v>36612.973651800843</v>
      </c>
      <c r="BT105" s="5">
        <v>32441.694729892235</v>
      </c>
      <c r="BU105" s="5">
        <v>45748.28765064881</v>
      </c>
      <c r="BV105" s="5">
        <v>38940.239956100937</v>
      </c>
      <c r="BW105" s="5">
        <v>38043.423335198124</v>
      </c>
      <c r="BX105" s="5">
        <v>31376.049058052122</v>
      </c>
      <c r="BY105" s="5">
        <v>38622.369377421746</v>
      </c>
      <c r="BZ105" s="5">
        <v>43557.699311189623</v>
      </c>
      <c r="CA105" s="5">
        <v>46314.175469804366</v>
      </c>
      <c r="CB105" s="5">
        <v>42148.755841584272</v>
      </c>
      <c r="CC105" s="5">
        <v>44969.946078783054</v>
      </c>
      <c r="CD105" s="5">
        <v>45650.234447530711</v>
      </c>
      <c r="CE105" s="5">
        <v>48130.98585062752</v>
      </c>
      <c r="CF105" s="5">
        <v>46023.833623058723</v>
      </c>
      <c r="CG105" s="5">
        <v>45595.774495608726</v>
      </c>
      <c r="CH105" s="5">
        <v>53007.389752026764</v>
      </c>
      <c r="CI105" s="5">
        <v>49854.640179972528</v>
      </c>
      <c r="CJ105" s="5">
        <v>56236.195572392004</v>
      </c>
      <c r="CK105" s="5">
        <v>56130.933166343289</v>
      </c>
      <c r="CL105" s="5">
        <v>53479.57785932262</v>
      </c>
      <c r="CM105" s="5">
        <v>59366.453006757052</v>
      </c>
      <c r="CN105" s="5">
        <v>59023.035967577031</v>
      </c>
      <c r="CO105" s="5">
        <v>42617.682523762101</v>
      </c>
      <c r="CP105" s="5">
        <v>59360.653606628286</v>
      </c>
      <c r="CQ105" s="5">
        <v>70964.090508870868</v>
      </c>
      <c r="CR105" s="5">
        <v>78337.573360738737</v>
      </c>
      <c r="CS105" s="5">
        <v>50606.995810662993</v>
      </c>
      <c r="CT105" s="5">
        <v>66913.452734683</v>
      </c>
      <c r="CU105" s="5">
        <v>79073.132791631215</v>
      </c>
      <c r="CV105" s="5">
        <v>84526.418663022792</v>
      </c>
      <c r="CW105" s="5">
        <v>55417.351775032483</v>
      </c>
      <c r="CX105" s="5">
        <v>79145.521262161899</v>
      </c>
      <c r="CY105" s="5">
        <v>92391.214561876201</v>
      </c>
      <c r="CZ105" s="5">
        <v>79384.912400929417</v>
      </c>
      <c r="DA105" s="5">
        <v>60847.464538246481</v>
      </c>
      <c r="DB105" s="5">
        <v>90676.422204873859</v>
      </c>
      <c r="DC105" s="5">
        <v>101688.11642263443</v>
      </c>
      <c r="DD105" s="5">
        <v>84143.506383240223</v>
      </c>
      <c r="DE105" s="5">
        <v>66958.210879189093</v>
      </c>
      <c r="DF105" s="5">
        <v>99706.598550029739</v>
      </c>
      <c r="DG105" s="5">
        <v>112924.07954398548</v>
      </c>
      <c r="DH105" s="5">
        <v>93863.660097533138</v>
      </c>
      <c r="DI105" s="507">
        <v>75708.46582561775</v>
      </c>
      <c r="DJ105" s="507">
        <v>110684.54316937375</v>
      </c>
      <c r="DK105" s="507">
        <v>125668.7009624464</v>
      </c>
      <c r="DL105" s="507">
        <v>110686.57559063689</v>
      </c>
      <c r="DM105" s="507">
        <v>85470.239084143977</v>
      </c>
      <c r="DN105" s="507">
        <v>126188.11265808735</v>
      </c>
      <c r="DO105" s="507">
        <v>138469.01666639646</v>
      </c>
      <c r="DP105" s="176">
        <v>124196.20797631222</v>
      </c>
      <c r="DQ105" s="176">
        <v>96752.310643250967</v>
      </c>
    </row>
    <row r="106" spans="5:121" x14ac:dyDescent="0.2">
      <c r="E106" s="191" t="s">
        <v>116</v>
      </c>
      <c r="F106" s="60"/>
      <c r="G106" s="60"/>
      <c r="H106" s="60"/>
      <c r="J106" s="60">
        <f t="shared" si="250"/>
        <v>840192.5</v>
      </c>
      <c r="K106" s="60">
        <f t="shared" si="251"/>
        <v>877824</v>
      </c>
      <c r="L106" s="60">
        <f t="shared" si="252"/>
        <v>1421006.5</v>
      </c>
      <c r="M106" s="60">
        <f t="shared" si="253"/>
        <v>2012376</v>
      </c>
      <c r="N106" s="60">
        <f t="shared" si="254"/>
        <v>2149625</v>
      </c>
      <c r="O106" s="60">
        <f t="shared" si="255"/>
        <v>2292540</v>
      </c>
      <c r="P106" s="60">
        <f t="shared" si="256"/>
        <v>2087477.4605949814</v>
      </c>
      <c r="Q106" s="60">
        <f t="shared" si="257"/>
        <v>1833734.2566866688</v>
      </c>
      <c r="R106" s="60">
        <f t="shared" si="258"/>
        <v>1889993.2045690292</v>
      </c>
      <c r="S106" s="60">
        <f t="shared" si="259"/>
        <v>1982075.5706184926</v>
      </c>
      <c r="T106" s="60">
        <f t="shared" si="260"/>
        <v>2091347.3706864663</v>
      </c>
      <c r="U106" s="60">
        <f t="shared" ref="U106:Y110" si="302">AVERAGE(AW106:AX106)</f>
        <v>2225779.9294147026</v>
      </c>
      <c r="V106" s="60">
        <f t="shared" si="302"/>
        <v>2344363.1857944024</v>
      </c>
      <c r="W106" s="60">
        <f t="shared" si="302"/>
        <v>2373815.9830658413</v>
      </c>
      <c r="X106" s="60">
        <f t="shared" si="302"/>
        <v>2406955.8948412095</v>
      </c>
      <c r="Y106" s="60">
        <f t="shared" si="302"/>
        <v>2462984.9217400271</v>
      </c>
      <c r="Z106" s="60">
        <f t="shared" ref="Z106:AC110" si="303">AVERAGE(BB106:BC106)</f>
        <v>2506228.9481721949</v>
      </c>
      <c r="AA106" s="60">
        <f t="shared" si="303"/>
        <v>2552112.0866422951</v>
      </c>
      <c r="AB106" s="60">
        <f t="shared" si="303"/>
        <v>2597149.9731139839</v>
      </c>
      <c r="AC106" s="60">
        <f t="shared" si="303"/>
        <v>2640371.4701276384</v>
      </c>
      <c r="AD106" s="60">
        <f t="shared" si="237"/>
        <v>2686349.5543250646</v>
      </c>
      <c r="AE106" s="60">
        <f t="shared" si="238"/>
        <v>2735359.0410317099</v>
      </c>
      <c r="AF106" s="60"/>
      <c r="AG106" s="60"/>
      <c r="AH106" s="60"/>
      <c r="AI106" s="60"/>
      <c r="AJ106" s="60"/>
      <c r="AK106" s="60"/>
      <c r="AL106" s="3">
        <v>823698</v>
      </c>
      <c r="AM106" s="3">
        <v>856687</v>
      </c>
      <c r="AN106" s="195">
        <f t="shared" ref="AN106:AY106" si="304">AN262+AN282</f>
        <v>898961</v>
      </c>
      <c r="AO106" s="195">
        <f t="shared" si="304"/>
        <v>1943052</v>
      </c>
      <c r="AP106" s="195">
        <f t="shared" si="304"/>
        <v>2081700</v>
      </c>
      <c r="AQ106" s="195">
        <f t="shared" si="304"/>
        <v>2217550</v>
      </c>
      <c r="AR106" s="195">
        <f t="shared" si="304"/>
        <v>2367530</v>
      </c>
      <c r="AS106" s="195">
        <f t="shared" si="304"/>
        <v>1807424.9211899631</v>
      </c>
      <c r="AT106" s="195">
        <f t="shared" si="304"/>
        <v>1860043.5921833743</v>
      </c>
      <c r="AU106" s="195">
        <f t="shared" si="304"/>
        <v>1919942.816954684</v>
      </c>
      <c r="AV106" s="195">
        <f t="shared" si="304"/>
        <v>2044208.3242823009</v>
      </c>
      <c r="AW106" s="195">
        <f t="shared" si="304"/>
        <v>2138486.4170906316</v>
      </c>
      <c r="AX106" s="195">
        <f t="shared" si="304"/>
        <v>2313073.4417387731</v>
      </c>
      <c r="AY106" s="195">
        <f t="shared" si="304"/>
        <v>2375652.9298500316</v>
      </c>
      <c r="AZ106" s="195">
        <f t="shared" ref="AZ106:BE106" si="305">AZ262+AZ282</f>
        <v>2371979.0362816509</v>
      </c>
      <c r="BA106" s="195">
        <f t="shared" si="305"/>
        <v>2441932.7534007682</v>
      </c>
      <c r="BB106" s="195">
        <f t="shared" si="305"/>
        <v>2484037.0900792857</v>
      </c>
      <c r="BC106" s="195">
        <f t="shared" si="305"/>
        <v>2528420.8062651036</v>
      </c>
      <c r="BD106" s="195">
        <f t="shared" si="305"/>
        <v>2575803.3670194866</v>
      </c>
      <c r="BE106" s="195">
        <f t="shared" si="305"/>
        <v>2618496.5792084816</v>
      </c>
      <c r="BF106" s="195">
        <f>BF262+BF282</f>
        <v>2662246.3610467957</v>
      </c>
      <c r="BG106" s="195">
        <f t="shared" ref="BG106:BH106" si="306">BG262+BG282</f>
        <v>2710452.7476033331</v>
      </c>
      <c r="BH106" s="195">
        <f t="shared" si="306"/>
        <v>2760265.3344600867</v>
      </c>
      <c r="BO106" s="191" t="s">
        <v>338</v>
      </c>
      <c r="BP106" s="5"/>
      <c r="BQ106" s="5">
        <v>239585.55548424966</v>
      </c>
      <c r="BR106" s="5">
        <v>224243.36673289389</v>
      </c>
      <c r="BS106" s="5">
        <v>229890.32113966648</v>
      </c>
      <c r="BT106" s="5">
        <v>242720.75664318996</v>
      </c>
      <c r="BU106" s="5">
        <v>248840.33480933568</v>
      </c>
      <c r="BV106" s="5">
        <v>239929.10103621366</v>
      </c>
      <c r="BW106" s="5">
        <v>248592.87574726692</v>
      </c>
      <c r="BX106" s="5">
        <v>265897.68840718362</v>
      </c>
      <c r="BY106" s="5">
        <v>262910.92490183032</v>
      </c>
      <c r="BZ106" s="5">
        <v>256478.22123695587</v>
      </c>
      <c r="CA106" s="5">
        <v>266596.66219374305</v>
      </c>
      <c r="CB106" s="5">
        <v>282746.19166747085</v>
      </c>
      <c r="CC106" s="5">
        <v>279731.07247804734</v>
      </c>
      <c r="CD106" s="5">
        <v>258940.13024248005</v>
      </c>
      <c r="CE106" s="5">
        <v>282532.17585938156</v>
      </c>
      <c r="CF106" s="5">
        <v>319810.62142009108</v>
      </c>
      <c r="CG106" s="5">
        <v>300965.63279430394</v>
      </c>
      <c r="CH106" s="5">
        <v>278664.40678358974</v>
      </c>
      <c r="CI106" s="5">
        <v>324130.59928923502</v>
      </c>
      <c r="CJ106" s="5">
        <v>323029.36113287118</v>
      </c>
      <c r="CK106" s="5">
        <v>347417.72578425187</v>
      </c>
      <c r="CL106" s="5">
        <v>288480.01937022229</v>
      </c>
      <c r="CM106" s="5">
        <v>350671.09516175935</v>
      </c>
      <c r="CN106" s="5">
        <v>329431.15968376666</v>
      </c>
      <c r="CO106" s="5">
        <v>359809.9532650378</v>
      </c>
      <c r="CP106" s="5">
        <v>332296.08321565855</v>
      </c>
      <c r="CQ106" s="5">
        <v>360200.70874142519</v>
      </c>
      <c r="CR106" s="5">
        <v>355813.25477787835</v>
      </c>
      <c r="CS106" s="5">
        <v>386043.97426588222</v>
      </c>
      <c r="CT106" s="5">
        <v>359152.65595802292</v>
      </c>
      <c r="CU106" s="5">
        <v>388053.71500725631</v>
      </c>
      <c r="CV106" s="5">
        <v>374846.15476883861</v>
      </c>
      <c r="CW106" s="5">
        <v>419694.25</v>
      </c>
      <c r="CX106" s="5">
        <v>382517</v>
      </c>
      <c r="CY106" s="5">
        <v>403185.43</v>
      </c>
      <c r="CZ106" s="5">
        <v>405250.33</v>
      </c>
      <c r="DA106" s="5">
        <v>474835.28</v>
      </c>
      <c r="DB106" s="5">
        <v>403965.28</v>
      </c>
      <c r="DC106" s="5">
        <v>418450.22</v>
      </c>
      <c r="DD106" s="5">
        <v>426141.22</v>
      </c>
      <c r="DE106" s="5">
        <v>516706.3572076984</v>
      </c>
      <c r="DF106" s="5">
        <v>429744.24809544825</v>
      </c>
      <c r="DG106" s="5">
        <v>443074.07557842066</v>
      </c>
      <c r="DH106" s="5">
        <v>445888.20296132076</v>
      </c>
      <c r="DI106" s="507">
        <v>558431.63319314679</v>
      </c>
      <c r="DJ106" s="507">
        <v>459492.86914038629</v>
      </c>
      <c r="DK106" s="507">
        <v>465374.14517115004</v>
      </c>
      <c r="DL106" s="507">
        <v>475086.8995556772</v>
      </c>
      <c r="DM106" s="507">
        <v>608422.83641073992</v>
      </c>
      <c r="DN106" s="507">
        <v>481268.23638744466</v>
      </c>
      <c r="DO106" s="507">
        <v>484338.0845920819</v>
      </c>
      <c r="DP106" s="176">
        <v>509693.06468195817</v>
      </c>
      <c r="DQ106" s="176">
        <v>657705.08616000984</v>
      </c>
    </row>
    <row r="107" spans="5:121" x14ac:dyDescent="0.2">
      <c r="E107" s="191" t="s">
        <v>117</v>
      </c>
      <c r="F107" s="60"/>
      <c r="G107" s="60"/>
      <c r="H107" s="60"/>
      <c r="J107" s="60">
        <f t="shared" si="250"/>
        <v>517013.5</v>
      </c>
      <c r="K107" s="60">
        <f t="shared" si="251"/>
        <v>552000</v>
      </c>
      <c r="L107" s="60">
        <f t="shared" si="252"/>
        <v>1132522.2902046659</v>
      </c>
      <c r="M107" s="60">
        <f t="shared" si="253"/>
        <v>1744269.7462475547</v>
      </c>
      <c r="N107" s="60">
        <f t="shared" si="254"/>
        <v>1828520.636039126</v>
      </c>
      <c r="O107" s="60">
        <f t="shared" si="255"/>
        <v>1890616.2158092079</v>
      </c>
      <c r="P107" s="60">
        <f t="shared" si="256"/>
        <v>2335284.9774589157</v>
      </c>
      <c r="Q107" s="60">
        <f t="shared" si="257"/>
        <v>2759131.8316254839</v>
      </c>
      <c r="R107" s="60">
        <f t="shared" si="258"/>
        <v>2873826.7578395065</v>
      </c>
      <c r="S107" s="60">
        <f t="shared" si="259"/>
        <v>2896751.782675494</v>
      </c>
      <c r="T107" s="60">
        <f t="shared" si="260"/>
        <v>2815170.4822433731</v>
      </c>
      <c r="U107" s="60">
        <f t="shared" si="302"/>
        <v>2792243.9265861278</v>
      </c>
      <c r="V107" s="60">
        <f t="shared" si="302"/>
        <v>2949669.1786075355</v>
      </c>
      <c r="W107" s="60">
        <f t="shared" si="302"/>
        <v>3331896.3977333247</v>
      </c>
      <c r="X107" s="60">
        <f t="shared" si="302"/>
        <v>3702303.2783176196</v>
      </c>
      <c r="Y107" s="60">
        <f t="shared" si="302"/>
        <v>3953287.9329393976</v>
      </c>
      <c r="Z107" s="60">
        <f t="shared" si="303"/>
        <v>4135866.7872773483</v>
      </c>
      <c r="AA107" s="60">
        <f t="shared" si="303"/>
        <v>4331185.1467406582</v>
      </c>
      <c r="AB107" s="60">
        <f t="shared" si="303"/>
        <v>4546981.9906442668</v>
      </c>
      <c r="AC107" s="60">
        <f t="shared" si="303"/>
        <v>4778859.8603400355</v>
      </c>
      <c r="AD107" s="60">
        <f t="shared" si="237"/>
        <v>5021350.8051552363</v>
      </c>
      <c r="AE107" s="60">
        <f t="shared" si="238"/>
        <v>5282091.3116095774</v>
      </c>
      <c r="AF107" s="60"/>
      <c r="AG107" s="60"/>
      <c r="AH107" s="60"/>
      <c r="AI107" s="60"/>
      <c r="AJ107" s="60"/>
      <c r="AK107" s="60"/>
      <c r="AL107" s="3">
        <v>510027</v>
      </c>
      <c r="AM107" s="3">
        <v>524000</v>
      </c>
      <c r="AN107" s="195">
        <f t="shared" ref="AN107:AY107" si="307">AN263</f>
        <v>580000</v>
      </c>
      <c r="AO107" s="195">
        <f t="shared" si="307"/>
        <v>1685044.5804093317</v>
      </c>
      <c r="AP107" s="195">
        <f t="shared" si="307"/>
        <v>1803494.9120857774</v>
      </c>
      <c r="AQ107" s="195">
        <f t="shared" si="307"/>
        <v>1853546.3599924746</v>
      </c>
      <c r="AR107" s="195">
        <f t="shared" si="307"/>
        <v>1927686.0716259414</v>
      </c>
      <c r="AS107" s="195">
        <f t="shared" si="307"/>
        <v>2742883.8832918899</v>
      </c>
      <c r="AT107" s="195">
        <f t="shared" si="307"/>
        <v>2775379.7799590775</v>
      </c>
      <c r="AU107" s="195">
        <f t="shared" si="307"/>
        <v>2972273.735719936</v>
      </c>
      <c r="AV107" s="195">
        <f t="shared" si="307"/>
        <v>2821229.829631052</v>
      </c>
      <c r="AW107" s="195">
        <f t="shared" si="307"/>
        <v>2809111.1348556941</v>
      </c>
      <c r="AX107" s="195">
        <f t="shared" si="307"/>
        <v>2775376.718316562</v>
      </c>
      <c r="AY107" s="195">
        <f t="shared" si="307"/>
        <v>3123961.6388985086</v>
      </c>
      <c r="AZ107" s="195">
        <f t="shared" ref="AZ107:BA110" si="308">AZ263</f>
        <v>3539831.1565681407</v>
      </c>
      <c r="BA107" s="195">
        <f t="shared" si="308"/>
        <v>3864775.4000670984</v>
      </c>
      <c r="BB107" s="195">
        <f t="shared" ref="BB107:BC110" si="309">BB263</f>
        <v>4041800.4658116968</v>
      </c>
      <c r="BC107" s="195">
        <f t="shared" si="309"/>
        <v>4229933.1087429998</v>
      </c>
      <c r="BD107" s="195">
        <f t="shared" ref="BD107:BE110" si="310">BD263</f>
        <v>4432437.1847383175</v>
      </c>
      <c r="BE107" s="195">
        <f t="shared" si="310"/>
        <v>4661526.7965502171</v>
      </c>
      <c r="BF107" s="195">
        <f>BF263</f>
        <v>4896192.924129854</v>
      </c>
      <c r="BG107" s="195">
        <f t="shared" ref="BG107:BH107" si="311">BG263</f>
        <v>5146508.6861806195</v>
      </c>
      <c r="BH107" s="195">
        <f t="shared" si="311"/>
        <v>5417673.9370385353</v>
      </c>
      <c r="BO107" s="191" t="s">
        <v>117</v>
      </c>
      <c r="BP107" s="5"/>
      <c r="BQ107" s="5">
        <v>157063.44999999998</v>
      </c>
      <c r="BR107" s="5">
        <v>158074.87</v>
      </c>
      <c r="BS107" s="5">
        <v>160658.67000000001</v>
      </c>
      <c r="BT107" s="5">
        <v>164852.01</v>
      </c>
      <c r="BU107" s="5">
        <v>169235.96000000002</v>
      </c>
      <c r="BV107" s="5">
        <v>172730.44</v>
      </c>
      <c r="BW107" s="5">
        <v>176642.41000000003</v>
      </c>
      <c r="BX107" s="5">
        <v>180952.19</v>
      </c>
      <c r="BY107" s="5">
        <v>184552.73</v>
      </c>
      <c r="BZ107" s="5">
        <v>188487.03000000003</v>
      </c>
      <c r="CA107" s="5">
        <v>193640.54</v>
      </c>
      <c r="CB107" s="5">
        <v>200079.7</v>
      </c>
      <c r="CC107" s="5">
        <v>207126.05</v>
      </c>
      <c r="CD107" s="5">
        <v>214159.37000000002</v>
      </c>
      <c r="CE107" s="5">
        <v>221307.06999999998</v>
      </c>
      <c r="CF107" s="5">
        <v>228576.52</v>
      </c>
      <c r="CG107" s="5">
        <v>234947.3</v>
      </c>
      <c r="CH107" s="5">
        <v>239830.49</v>
      </c>
      <c r="CI107" s="5">
        <v>245181.19</v>
      </c>
      <c r="CJ107" s="5">
        <v>250827.03000000003</v>
      </c>
      <c r="CK107" s="5">
        <v>253714.75</v>
      </c>
      <c r="CL107" s="5">
        <v>255924.94</v>
      </c>
      <c r="CM107" s="5">
        <v>259469.63</v>
      </c>
      <c r="CN107" s="5">
        <v>264378.68</v>
      </c>
      <c r="CO107" s="5">
        <v>269538.27</v>
      </c>
      <c r="CP107" s="5">
        <v>273252.46999999997</v>
      </c>
      <c r="CQ107" s="5">
        <v>277622.88</v>
      </c>
      <c r="CR107" s="5">
        <v>282537.38</v>
      </c>
      <c r="CS107" s="5">
        <v>288261.69</v>
      </c>
      <c r="CT107" s="5">
        <v>294514.56</v>
      </c>
      <c r="CU107" s="5">
        <v>298109.39</v>
      </c>
      <c r="CV107" s="5">
        <v>299272.34999999998</v>
      </c>
      <c r="CW107" s="5">
        <v>301927.27999999997</v>
      </c>
      <c r="CX107" s="5">
        <v>306031.63</v>
      </c>
      <c r="CY107" s="5">
        <v>310132.58999999997</v>
      </c>
      <c r="CZ107" s="5">
        <v>314221.5</v>
      </c>
      <c r="DA107" s="5">
        <v>321598.40325269941</v>
      </c>
      <c r="DB107" s="5">
        <v>327431.66654548404</v>
      </c>
      <c r="DC107" s="5">
        <v>331026.88625571359</v>
      </c>
      <c r="DD107" s="5">
        <v>332356.62642832805</v>
      </c>
      <c r="DE107" s="5">
        <v>340874.34912508936</v>
      </c>
      <c r="DF107" s="5">
        <v>347976.52914904995</v>
      </c>
      <c r="DG107" s="5">
        <v>353970.44423449354</v>
      </c>
      <c r="DH107" s="5">
        <v>358836.82949136733</v>
      </c>
      <c r="DI107" s="507">
        <v>364135.65338105976</v>
      </c>
      <c r="DJ107" s="507">
        <v>369827.08577388403</v>
      </c>
      <c r="DK107" s="507">
        <v>373584.03867495613</v>
      </c>
      <c r="DL107" s="507">
        <v>375407.54698610021</v>
      </c>
      <c r="DM107" s="507">
        <v>382340.81240433594</v>
      </c>
      <c r="DN107" s="507">
        <v>386969.75748493109</v>
      </c>
      <c r="DO107" s="507">
        <v>392092.37640461425</v>
      </c>
      <c r="DP107" s="176">
        <v>397695.92227355874</v>
      </c>
      <c r="DQ107" s="176">
        <v>401840.19383695704</v>
      </c>
    </row>
    <row r="108" spans="5:121" x14ac:dyDescent="0.2">
      <c r="E108" s="191" t="s">
        <v>118</v>
      </c>
      <c r="F108" s="60"/>
      <c r="G108" s="60"/>
      <c r="H108" s="60"/>
      <c r="J108" s="60">
        <f t="shared" si="250"/>
        <v>160168.5</v>
      </c>
      <c r="K108" s="60">
        <f t="shared" si="251"/>
        <v>166215.5</v>
      </c>
      <c r="L108" s="60">
        <f t="shared" si="252"/>
        <v>338536.17047658691</v>
      </c>
      <c r="M108" s="60">
        <f t="shared" si="253"/>
        <v>529491.78897101281</v>
      </c>
      <c r="N108" s="60">
        <f t="shared" si="254"/>
        <v>575283.47091533535</v>
      </c>
      <c r="O108" s="60">
        <f t="shared" si="255"/>
        <v>622517.27617642283</v>
      </c>
      <c r="P108" s="60">
        <f t="shared" si="256"/>
        <v>671871.60004233953</v>
      </c>
      <c r="Q108" s="60">
        <f t="shared" si="257"/>
        <v>724795.57942924532</v>
      </c>
      <c r="R108" s="60">
        <f t="shared" si="258"/>
        <v>801448.28796714684</v>
      </c>
      <c r="S108" s="60">
        <f t="shared" si="259"/>
        <v>891818.35336895392</v>
      </c>
      <c r="T108" s="60">
        <f t="shared" si="260"/>
        <v>975123.25978361536</v>
      </c>
      <c r="U108" s="60">
        <f t="shared" si="302"/>
        <v>1050179.0094668246</v>
      </c>
      <c r="V108" s="60">
        <f t="shared" si="302"/>
        <v>1112962.6924477767</v>
      </c>
      <c r="W108" s="60">
        <f t="shared" si="302"/>
        <v>1185742.1082931971</v>
      </c>
      <c r="X108" s="60">
        <f t="shared" si="302"/>
        <v>1254386.1114200428</v>
      </c>
      <c r="Y108" s="60">
        <f t="shared" si="302"/>
        <v>1311089.7663914387</v>
      </c>
      <c r="Z108" s="60">
        <f t="shared" si="303"/>
        <v>1374349.1846123177</v>
      </c>
      <c r="AA108" s="60">
        <f t="shared" si="303"/>
        <v>1437307.670851469</v>
      </c>
      <c r="AB108" s="60">
        <f t="shared" si="303"/>
        <v>1499403.2487963834</v>
      </c>
      <c r="AC108" s="60">
        <f t="shared" si="303"/>
        <v>1566115.2001408006</v>
      </c>
      <c r="AD108" s="60">
        <f t="shared" si="237"/>
        <v>1636710.7906749661</v>
      </c>
      <c r="AE108" s="60">
        <f t="shared" si="238"/>
        <v>1710535.7817939373</v>
      </c>
      <c r="AF108" s="60"/>
      <c r="AG108" s="60"/>
      <c r="AH108" s="60"/>
      <c r="AI108" s="60"/>
      <c r="AJ108" s="60"/>
      <c r="AK108" s="60"/>
      <c r="AL108" s="3">
        <v>157368</v>
      </c>
      <c r="AM108" s="3">
        <v>162969</v>
      </c>
      <c r="AN108" s="195">
        <f t="shared" ref="AN108:AY108" si="312">AN264</f>
        <v>169462</v>
      </c>
      <c r="AO108" s="195">
        <f t="shared" si="312"/>
        <v>507610.34095317376</v>
      </c>
      <c r="AP108" s="195">
        <f t="shared" si="312"/>
        <v>551373.23698885192</v>
      </c>
      <c r="AQ108" s="195">
        <f t="shared" si="312"/>
        <v>599193.70484181878</v>
      </c>
      <c r="AR108" s="195">
        <f t="shared" si="312"/>
        <v>645840.84751102701</v>
      </c>
      <c r="AS108" s="195">
        <f t="shared" si="312"/>
        <v>697902.35257365205</v>
      </c>
      <c r="AT108" s="195">
        <f t="shared" si="312"/>
        <v>751688.80628483847</v>
      </c>
      <c r="AU108" s="195">
        <f t="shared" si="312"/>
        <v>851207.76964945532</v>
      </c>
      <c r="AV108" s="195">
        <f t="shared" si="312"/>
        <v>932428.93708845251</v>
      </c>
      <c r="AW108" s="195">
        <f t="shared" si="312"/>
        <v>1017817.5824787783</v>
      </c>
      <c r="AX108" s="195">
        <f t="shared" si="312"/>
        <v>1082540.436454871</v>
      </c>
      <c r="AY108" s="195">
        <f t="shared" si="312"/>
        <v>1143384.9484406824</v>
      </c>
      <c r="AZ108" s="195">
        <f t="shared" si="308"/>
        <v>1228099.2681457116</v>
      </c>
      <c r="BA108" s="195">
        <f t="shared" si="308"/>
        <v>1280672.954694374</v>
      </c>
      <c r="BB108" s="195">
        <f t="shared" si="309"/>
        <v>1341506.5780885033</v>
      </c>
      <c r="BC108" s="195">
        <f t="shared" si="309"/>
        <v>1407191.7911361321</v>
      </c>
      <c r="BD108" s="195">
        <f t="shared" si="310"/>
        <v>1467423.5505668062</v>
      </c>
      <c r="BE108" s="195">
        <f t="shared" si="310"/>
        <v>1531382.9470259608</v>
      </c>
      <c r="BF108" s="195">
        <f>BF264</f>
        <v>1600847.4532556403</v>
      </c>
      <c r="BG108" s="195">
        <f t="shared" ref="BG108:BH108" si="313">BG264</f>
        <v>1672574.1280942918</v>
      </c>
      <c r="BH108" s="195">
        <f t="shared" si="313"/>
        <v>1748497.4354935829</v>
      </c>
      <c r="BO108" s="191" t="s">
        <v>118</v>
      </c>
      <c r="BP108" s="5"/>
      <c r="BQ108" s="5">
        <v>47742.858999999997</v>
      </c>
      <c r="BR108" s="5">
        <v>47347.794000000002</v>
      </c>
      <c r="BS108" s="5">
        <v>47428.631000000001</v>
      </c>
      <c r="BT108" s="5">
        <v>46213.716</v>
      </c>
      <c r="BU108" s="5">
        <v>51975.188999999998</v>
      </c>
      <c r="BV108" s="5">
        <v>50480.703000000001</v>
      </c>
      <c r="BW108" s="5">
        <v>50121.856</v>
      </c>
      <c r="BX108" s="5">
        <v>49422.252</v>
      </c>
      <c r="BY108" s="5">
        <v>52671.981</v>
      </c>
      <c r="BZ108" s="5">
        <v>52019.434999999998</v>
      </c>
      <c r="CA108" s="5">
        <v>52145.982000000004</v>
      </c>
      <c r="CB108" s="5">
        <v>50768.601999999999</v>
      </c>
      <c r="CC108" s="5">
        <v>55305.445</v>
      </c>
      <c r="CD108" s="5">
        <v>53575.748</v>
      </c>
      <c r="CE108" s="5">
        <v>54192.11</v>
      </c>
      <c r="CF108" s="5">
        <v>52836.697</v>
      </c>
      <c r="CG108" s="5">
        <v>57166.974000000002</v>
      </c>
      <c r="CH108" s="5">
        <v>55776.076000000001</v>
      </c>
      <c r="CI108" s="5">
        <v>56558.048000000003</v>
      </c>
      <c r="CJ108" s="5">
        <v>55045.902000000002</v>
      </c>
      <c r="CK108" s="5">
        <v>60941.877</v>
      </c>
      <c r="CL108" s="5">
        <v>58889.699000000001</v>
      </c>
      <c r="CM108" s="5">
        <v>59547.798000000003</v>
      </c>
      <c r="CN108" s="5">
        <v>56394.625</v>
      </c>
      <c r="CO108" s="5">
        <v>65056.544000000002</v>
      </c>
      <c r="CP108" s="5">
        <v>61766.296999999999</v>
      </c>
      <c r="CQ108" s="5">
        <v>61489.733999999997</v>
      </c>
      <c r="CR108" s="5">
        <v>60429.425000000003</v>
      </c>
      <c r="CS108" s="5">
        <v>66875.114000000001</v>
      </c>
      <c r="CT108" s="5">
        <v>66739.437000000005</v>
      </c>
      <c r="CU108" s="5">
        <v>66488.418000000005</v>
      </c>
      <c r="CV108" s="5">
        <v>65802.031000000003</v>
      </c>
      <c r="CW108" s="5">
        <v>72097.414999999994</v>
      </c>
      <c r="CX108" s="5">
        <v>71295.407000000007</v>
      </c>
      <c r="CY108" s="5">
        <v>70788.778999999995</v>
      </c>
      <c r="CZ108" s="5">
        <v>70521.899000000005</v>
      </c>
      <c r="DA108" s="5">
        <v>76364.249878361428</v>
      </c>
      <c r="DB108" s="5">
        <v>76352.493711842704</v>
      </c>
      <c r="DC108" s="5">
        <v>76344.656267496903</v>
      </c>
      <c r="DD108" s="5">
        <v>76340.73754532398</v>
      </c>
      <c r="DE108" s="5">
        <v>80738.026501255255</v>
      </c>
      <c r="DF108" s="5">
        <v>80317.550593069856</v>
      </c>
      <c r="DG108" s="5">
        <v>83547.282002778549</v>
      </c>
      <c r="DH108" s="5">
        <v>83398.888902896346</v>
      </c>
      <c r="DI108" s="507">
        <v>85582.311911327168</v>
      </c>
      <c r="DJ108" s="507">
        <v>85544.910293746434</v>
      </c>
      <c r="DK108" s="507">
        <v>89103.902841101139</v>
      </c>
      <c r="DL108" s="507">
        <v>89090.73657382527</v>
      </c>
      <c r="DM108" s="507">
        <v>90392.584597189809</v>
      </c>
      <c r="DN108" s="507">
        <v>91656.864737662938</v>
      </c>
      <c r="DO108" s="507">
        <v>93657.133316776177</v>
      </c>
      <c r="DP108" s="176">
        <v>94085.576756838112</v>
      </c>
      <c r="DQ108" s="176">
        <v>95112.300907311001</v>
      </c>
    </row>
    <row r="109" spans="5:121" x14ac:dyDescent="0.2">
      <c r="E109" s="191" t="s">
        <v>119</v>
      </c>
      <c r="F109" s="60"/>
      <c r="G109" s="60"/>
      <c r="H109" s="60"/>
      <c r="J109" s="60">
        <f t="shared" si="250"/>
        <v>105497.5</v>
      </c>
      <c r="K109" s="60">
        <f t="shared" si="251"/>
        <v>109893.5</v>
      </c>
      <c r="L109" s="60">
        <f t="shared" si="252"/>
        <v>225576.88143574278</v>
      </c>
      <c r="M109" s="60">
        <f t="shared" si="253"/>
        <v>342132.18449967168</v>
      </c>
      <c r="N109" s="60">
        <f t="shared" si="254"/>
        <v>349162.29787980195</v>
      </c>
      <c r="O109" s="60">
        <f t="shared" si="255"/>
        <v>357827.9971304792</v>
      </c>
      <c r="P109" s="60">
        <f t="shared" si="256"/>
        <v>367853.22524563386</v>
      </c>
      <c r="Q109" s="60">
        <f t="shared" si="257"/>
        <v>391094.35486045829</v>
      </c>
      <c r="R109" s="60">
        <f t="shared" si="258"/>
        <v>423984.17535886011</v>
      </c>
      <c r="S109" s="60">
        <f t="shared" si="259"/>
        <v>450517.47740335308</v>
      </c>
      <c r="T109" s="60">
        <f t="shared" si="260"/>
        <v>479833.38197954255</v>
      </c>
      <c r="U109" s="60">
        <f t="shared" si="302"/>
        <v>505371.37754762976</v>
      </c>
      <c r="V109" s="60">
        <f t="shared" si="302"/>
        <v>527394.43895030837</v>
      </c>
      <c r="W109" s="60">
        <f t="shared" si="302"/>
        <v>571862.28676329809</v>
      </c>
      <c r="X109" s="60">
        <f t="shared" si="302"/>
        <v>629246.38515306567</v>
      </c>
      <c r="Y109" s="60">
        <f t="shared" si="302"/>
        <v>682585.50898778974</v>
      </c>
      <c r="Z109" s="60">
        <f t="shared" si="303"/>
        <v>737927.58919613378</v>
      </c>
      <c r="AA109" s="60">
        <f t="shared" si="303"/>
        <v>797480.43544520985</v>
      </c>
      <c r="AB109" s="60">
        <f t="shared" si="303"/>
        <v>861879.77649134607</v>
      </c>
      <c r="AC109" s="60">
        <f t="shared" si="303"/>
        <v>931861.10933063191</v>
      </c>
      <c r="AD109" s="60">
        <f t="shared" si="237"/>
        <v>1008202.7212067572</v>
      </c>
      <c r="AE109" s="60">
        <f t="shared" si="238"/>
        <v>1090938.8954277718</v>
      </c>
      <c r="AF109" s="60"/>
      <c r="AG109" s="60"/>
      <c r="AH109" s="60"/>
      <c r="AI109" s="60"/>
      <c r="AJ109" s="60"/>
      <c r="AK109" s="60"/>
      <c r="AL109" s="3">
        <v>103837</v>
      </c>
      <c r="AM109" s="3">
        <v>107158</v>
      </c>
      <c r="AN109" s="195">
        <f t="shared" ref="AN109:AY109" si="314">AN265</f>
        <v>112629</v>
      </c>
      <c r="AO109" s="195">
        <f t="shared" si="314"/>
        <v>338524.76287148555</v>
      </c>
      <c r="AP109" s="195">
        <f t="shared" si="314"/>
        <v>345739.60612785781</v>
      </c>
      <c r="AQ109" s="195">
        <f t="shared" si="314"/>
        <v>352584.98963174608</v>
      </c>
      <c r="AR109" s="195">
        <f t="shared" si="314"/>
        <v>363071.00462921226</v>
      </c>
      <c r="AS109" s="195">
        <f t="shared" si="314"/>
        <v>372635.44586205552</v>
      </c>
      <c r="AT109" s="195">
        <f t="shared" si="314"/>
        <v>409553.26385886106</v>
      </c>
      <c r="AU109" s="195">
        <f t="shared" si="314"/>
        <v>438415.08685885917</v>
      </c>
      <c r="AV109" s="195">
        <f t="shared" si="314"/>
        <v>462619.867947847</v>
      </c>
      <c r="AW109" s="195">
        <f t="shared" si="314"/>
        <v>497046.8960112381</v>
      </c>
      <c r="AX109" s="195">
        <f t="shared" si="314"/>
        <v>513695.85908402142</v>
      </c>
      <c r="AY109" s="195">
        <f t="shared" si="314"/>
        <v>541093.01881659543</v>
      </c>
      <c r="AZ109" s="195">
        <f t="shared" si="308"/>
        <v>602631.55471000075</v>
      </c>
      <c r="BA109" s="195">
        <f t="shared" si="308"/>
        <v>655861.21559613047</v>
      </c>
      <c r="BB109" s="195">
        <f t="shared" si="309"/>
        <v>709309.80237944901</v>
      </c>
      <c r="BC109" s="195">
        <f t="shared" si="309"/>
        <v>766545.37601281854</v>
      </c>
      <c r="BD109" s="195">
        <f t="shared" si="310"/>
        <v>828415.49487760116</v>
      </c>
      <c r="BE109" s="195">
        <f t="shared" si="310"/>
        <v>895344.05810509098</v>
      </c>
      <c r="BF109" s="195">
        <f>BF265</f>
        <v>968378.16055617284</v>
      </c>
      <c r="BG109" s="195">
        <f t="shared" ref="BG109:BH109" si="315">BG265</f>
        <v>1048027.2818573418</v>
      </c>
      <c r="BH109" s="195">
        <f t="shared" si="315"/>
        <v>1133850.5089982022</v>
      </c>
      <c r="DP109" s="176"/>
      <c r="DQ109" s="176"/>
    </row>
    <row r="110" spans="5:121" x14ac:dyDescent="0.2">
      <c r="E110" s="191" t="s">
        <v>120</v>
      </c>
      <c r="F110" s="60"/>
      <c r="G110" s="60"/>
      <c r="H110" s="60"/>
      <c r="J110" s="60">
        <f t="shared" si="250"/>
        <v>73410.5</v>
      </c>
      <c r="K110" s="60">
        <f t="shared" si="251"/>
        <v>77924.5</v>
      </c>
      <c r="L110" s="60">
        <f t="shared" si="252"/>
        <v>189209.05163180176</v>
      </c>
      <c r="M110" s="60">
        <f t="shared" si="253"/>
        <v>310051.40480080585</v>
      </c>
      <c r="N110" s="60">
        <f t="shared" si="254"/>
        <v>331905.82800364448</v>
      </c>
      <c r="O110" s="60">
        <f t="shared" si="255"/>
        <v>356480.62685585022</v>
      </c>
      <c r="P110" s="60">
        <f t="shared" si="256"/>
        <v>383650.83080974605</v>
      </c>
      <c r="Q110" s="60">
        <f t="shared" si="257"/>
        <v>407108.85516439454</v>
      </c>
      <c r="R110" s="60">
        <f t="shared" si="258"/>
        <v>428088.11520356289</v>
      </c>
      <c r="S110" s="60">
        <f t="shared" si="259"/>
        <v>450819.73435590963</v>
      </c>
      <c r="T110" s="60">
        <f t="shared" si="260"/>
        <v>473003.11319519149</v>
      </c>
      <c r="U110" s="60">
        <f t="shared" si="302"/>
        <v>497250.07270916546</v>
      </c>
      <c r="V110" s="60">
        <f t="shared" si="302"/>
        <v>525693.69721406559</v>
      </c>
      <c r="W110" s="60">
        <f t="shared" si="302"/>
        <v>558543.70173579955</v>
      </c>
      <c r="X110" s="60">
        <f t="shared" si="302"/>
        <v>592783.64512392157</v>
      </c>
      <c r="Y110" s="60">
        <f t="shared" si="302"/>
        <v>626593.18847254023</v>
      </c>
      <c r="Z110" s="60">
        <f t="shared" si="303"/>
        <v>663036.71102620254</v>
      </c>
      <c r="AA110" s="60">
        <f t="shared" si="303"/>
        <v>702163.94140788156</v>
      </c>
      <c r="AB110" s="60">
        <f t="shared" si="303"/>
        <v>744235.5003578933</v>
      </c>
      <c r="AC110" s="60">
        <f t="shared" si="303"/>
        <v>789030.35626683524</v>
      </c>
      <c r="AD110" s="60">
        <f t="shared" si="237"/>
        <v>833603.27275002282</v>
      </c>
      <c r="AE110" s="60">
        <f t="shared" si="238"/>
        <v>877770.19738936739</v>
      </c>
      <c r="AF110" s="60"/>
      <c r="AG110" s="60"/>
      <c r="AH110" s="60"/>
      <c r="AI110" s="60"/>
      <c r="AJ110" s="60"/>
      <c r="AK110" s="60"/>
      <c r="AL110" s="3">
        <v>70080</v>
      </c>
      <c r="AM110" s="3">
        <v>76741</v>
      </c>
      <c r="AN110" s="195">
        <f t="shared" ref="AN110:AY110" si="316">AN266</f>
        <v>79108</v>
      </c>
      <c r="AO110" s="195">
        <f t="shared" si="316"/>
        <v>299310.10326360352</v>
      </c>
      <c r="AP110" s="195">
        <f t="shared" si="316"/>
        <v>320792.70633800817</v>
      </c>
      <c r="AQ110" s="195">
        <f t="shared" si="316"/>
        <v>343018.94966928085</v>
      </c>
      <c r="AR110" s="195">
        <f t="shared" si="316"/>
        <v>369942.30404241954</v>
      </c>
      <c r="AS110" s="195">
        <f t="shared" si="316"/>
        <v>397359.35757707251</v>
      </c>
      <c r="AT110" s="195">
        <f t="shared" si="316"/>
        <v>416858.35275171656</v>
      </c>
      <c r="AU110" s="195">
        <f t="shared" si="316"/>
        <v>439317.87765540916</v>
      </c>
      <c r="AV110" s="195">
        <f t="shared" si="316"/>
        <v>462321.59105641005</v>
      </c>
      <c r="AW110" s="195">
        <f t="shared" si="316"/>
        <v>483684.63533397287</v>
      </c>
      <c r="AX110" s="195">
        <f t="shared" si="316"/>
        <v>510815.51008435804</v>
      </c>
      <c r="AY110" s="195">
        <f t="shared" si="316"/>
        <v>540571.88434377301</v>
      </c>
      <c r="AZ110" s="195">
        <f t="shared" si="308"/>
        <v>576515.51912782609</v>
      </c>
      <c r="BA110" s="195">
        <f t="shared" si="308"/>
        <v>609051.77112001693</v>
      </c>
      <c r="BB110" s="195">
        <f t="shared" si="309"/>
        <v>644134.60582506354</v>
      </c>
      <c r="BC110" s="195">
        <f t="shared" si="309"/>
        <v>681938.81622734154</v>
      </c>
      <c r="BD110" s="195">
        <f t="shared" si="310"/>
        <v>722389.06658842159</v>
      </c>
      <c r="BE110" s="195">
        <f t="shared" si="310"/>
        <v>766081.93412736501</v>
      </c>
      <c r="BF110" s="195">
        <f>BF266</f>
        <v>811978.77840630559</v>
      </c>
      <c r="BG110" s="195">
        <f t="shared" ref="BG110:BH110" si="317">BG266</f>
        <v>855227.76709373994</v>
      </c>
      <c r="BH110" s="195">
        <f t="shared" si="317"/>
        <v>900312.62768499483</v>
      </c>
      <c r="BO110" s="191" t="s">
        <v>339</v>
      </c>
      <c r="BP110" s="5"/>
      <c r="BQ110" s="5">
        <v>47816.46</v>
      </c>
      <c r="BR110" s="5">
        <v>49752.521999999997</v>
      </c>
      <c r="BS110" s="5">
        <v>51102.278999999995</v>
      </c>
      <c r="BT110" s="5">
        <v>51848.739000000001</v>
      </c>
      <c r="BU110" s="5">
        <v>52258.251999999993</v>
      </c>
      <c r="BV110" s="5">
        <v>52740.182000000001</v>
      </c>
      <c r="BW110" s="5">
        <v>53377.472999999998</v>
      </c>
      <c r="BX110" s="5">
        <v>54139.092000000004</v>
      </c>
      <c r="BY110" s="5">
        <v>55045.147000000004</v>
      </c>
      <c r="BZ110" s="5">
        <v>56128.751000000004</v>
      </c>
      <c r="CA110" s="5">
        <v>56870.073000000004</v>
      </c>
      <c r="CB110" s="5">
        <v>57328.028999999995</v>
      </c>
      <c r="CC110" s="5">
        <v>58113.997000000003</v>
      </c>
      <c r="CD110" s="5">
        <v>59191.189999999995</v>
      </c>
      <c r="CE110" s="5">
        <v>60247.19</v>
      </c>
      <c r="CF110" s="5">
        <v>61278.623</v>
      </c>
      <c r="CG110" s="5">
        <v>62036.485999999997</v>
      </c>
      <c r="CH110" s="5">
        <v>62756.205000000002</v>
      </c>
      <c r="CI110" s="5">
        <v>63697.084999999999</v>
      </c>
      <c r="CJ110" s="5">
        <v>64847.225000000006</v>
      </c>
      <c r="CK110" s="5">
        <v>66011.085999999996</v>
      </c>
      <c r="CL110" s="5">
        <v>67180.630999999994</v>
      </c>
      <c r="CM110" s="5">
        <v>68226.692999999999</v>
      </c>
      <c r="CN110" s="5">
        <v>69162.59</v>
      </c>
      <c r="CO110" s="5">
        <v>70253.008000000002</v>
      </c>
      <c r="CP110" s="5">
        <v>71545.436000000002</v>
      </c>
      <c r="CQ110" s="5">
        <v>72930.429999999993</v>
      </c>
      <c r="CR110" s="5">
        <v>74411.127000000008</v>
      </c>
      <c r="CS110" s="5">
        <v>75720.766000000003</v>
      </c>
      <c r="CT110" s="5">
        <v>76681.562999999995</v>
      </c>
      <c r="CU110" s="5">
        <v>77861.793999999994</v>
      </c>
      <c r="CV110" s="5">
        <v>79234.775999999998</v>
      </c>
      <c r="CW110" s="5">
        <v>80190.42</v>
      </c>
      <c r="CX110" s="5">
        <v>81082.362999999998</v>
      </c>
      <c r="CY110" s="5">
        <v>82139.945000000007</v>
      </c>
      <c r="CZ110" s="5">
        <v>83382.573000000004</v>
      </c>
      <c r="DA110" s="5">
        <v>84689.558396786</v>
      </c>
      <c r="DB110" s="5">
        <v>86221.20200474275</v>
      </c>
      <c r="DC110" s="5">
        <v>87207.282739423812</v>
      </c>
      <c r="DD110" s="5">
        <v>87655.84952082044</v>
      </c>
      <c r="DE110" s="5">
        <v>89110.02412065817</v>
      </c>
      <c r="DF110" s="5">
        <v>89694.710836791361</v>
      </c>
      <c r="DG110" s="5">
        <v>90757.451345253387</v>
      </c>
      <c r="DH110" s="5">
        <v>92346.42569729712</v>
      </c>
      <c r="DI110" s="507">
        <v>93470.25166113372</v>
      </c>
      <c r="DJ110" s="507">
        <v>94637.183432630613</v>
      </c>
      <c r="DK110" s="507">
        <v>95637.620671979443</v>
      </c>
      <c r="DL110" s="507">
        <v>96470.463866256221</v>
      </c>
      <c r="DM110" s="507">
        <v>97375.368889794714</v>
      </c>
      <c r="DN110" s="507">
        <v>98745.726084950031</v>
      </c>
      <c r="DO110" s="507">
        <v>102519.87082471151</v>
      </c>
      <c r="DP110" s="176">
        <v>101327.66634997977</v>
      </c>
      <c r="DQ110" s="176">
        <v>101757.26048983546</v>
      </c>
    </row>
    <row r="111" spans="5:121" x14ac:dyDescent="0.2">
      <c r="E111" s="177" t="s">
        <v>121</v>
      </c>
      <c r="F111" s="60"/>
      <c r="G111" s="60"/>
      <c r="H111" s="60"/>
      <c r="J111" s="60">
        <f t="shared" si="250"/>
        <v>7530621.5</v>
      </c>
      <c r="K111" s="60">
        <f t="shared" si="251"/>
        <v>7896967</v>
      </c>
      <c r="L111" s="60">
        <f t="shared" si="252"/>
        <v>12631391.12787601</v>
      </c>
      <c r="M111" s="60">
        <f t="shared" si="253"/>
        <v>18523529.557610355</v>
      </c>
      <c r="N111" s="60">
        <f t="shared" si="254"/>
        <v>19692848.7904048</v>
      </c>
      <c r="O111" s="60">
        <f t="shared" si="255"/>
        <v>20215942.690974735</v>
      </c>
      <c r="P111" s="60">
        <f t="shared" si="256"/>
        <v>21697709.485625289</v>
      </c>
      <c r="Q111" s="60">
        <f t="shared" si="257"/>
        <v>23033420.426773246</v>
      </c>
      <c r="R111" s="60">
        <f t="shared" si="258"/>
        <v>24433810.690185964</v>
      </c>
      <c r="S111" s="60">
        <f t="shared" si="259"/>
        <v>25992150.200000498</v>
      </c>
      <c r="T111" s="60">
        <f t="shared" si="260"/>
        <v>27378457.109525777</v>
      </c>
      <c r="U111" s="60">
        <f t="shared" ref="U111:Y114" si="318">AVERAGE(AW111:AX111)</f>
        <v>28975687.488008715</v>
      </c>
      <c r="V111" s="60">
        <f t="shared" si="318"/>
        <v>31066891.377781536</v>
      </c>
      <c r="W111" s="60">
        <f t="shared" si="318"/>
        <v>33111860.32710328</v>
      </c>
      <c r="X111" s="60">
        <f t="shared" si="318"/>
        <v>35115217.124406397</v>
      </c>
      <c r="Y111" s="60">
        <f t="shared" si="318"/>
        <v>37501304.118651658</v>
      </c>
      <c r="Z111" s="60">
        <f t="shared" ref="Z111:AC114" si="319">AVERAGE(BB111:BC111)</f>
        <v>40092291.871085167</v>
      </c>
      <c r="AA111" s="60">
        <f t="shared" si="319"/>
        <v>42844036.203181237</v>
      </c>
      <c r="AB111" s="60">
        <f t="shared" si="319"/>
        <v>45843531.245924324</v>
      </c>
      <c r="AC111" s="60">
        <f t="shared" si="319"/>
        <v>49185064.863076083</v>
      </c>
      <c r="AD111" s="60">
        <f t="shared" si="237"/>
        <v>52944587.505967289</v>
      </c>
      <c r="AE111" s="60">
        <f t="shared" si="238"/>
        <v>57168849.911606416</v>
      </c>
      <c r="AF111" s="60"/>
      <c r="AG111" s="60"/>
      <c r="AH111" s="60"/>
      <c r="AI111" s="60"/>
      <c r="AJ111" s="60"/>
      <c r="AK111" s="60"/>
      <c r="AL111" s="3">
        <v>7353154</v>
      </c>
      <c r="AM111" s="3">
        <v>7708089</v>
      </c>
      <c r="AN111" s="60">
        <f>AN89+AN94+AN100</f>
        <v>8085845</v>
      </c>
      <c r="AO111" s="60">
        <f t="shared" ref="AO111:BF111" si="320">AO89+AO94+AO100</f>
        <v>17176937.25575202</v>
      </c>
      <c r="AP111" s="60">
        <f t="shared" si="320"/>
        <v>19870121.859468695</v>
      </c>
      <c r="AQ111" s="60">
        <f t="shared" si="320"/>
        <v>19515575.721340906</v>
      </c>
      <c r="AR111" s="60">
        <f t="shared" si="320"/>
        <v>20916309.660608567</v>
      </c>
      <c r="AS111" s="60">
        <f t="shared" si="320"/>
        <v>22479109.310642015</v>
      </c>
      <c r="AT111" s="60">
        <f t="shared" si="320"/>
        <v>23587731.542904478</v>
      </c>
      <c r="AU111" s="60">
        <f t="shared" si="320"/>
        <v>25279889.837467454</v>
      </c>
      <c r="AV111" s="60">
        <f t="shared" si="320"/>
        <v>26704410.562533543</v>
      </c>
      <c r="AW111" s="60">
        <f t="shared" si="320"/>
        <v>28052503.656518016</v>
      </c>
      <c r="AX111" s="60">
        <f t="shared" si="320"/>
        <v>29898871.319499414</v>
      </c>
      <c r="AY111" s="60">
        <f t="shared" si="320"/>
        <v>32234911.436063658</v>
      </c>
      <c r="AZ111" s="60">
        <f t="shared" si="320"/>
        <v>33988809.218142897</v>
      </c>
      <c r="BA111" s="60">
        <f t="shared" si="320"/>
        <v>36241625.030669898</v>
      </c>
      <c r="BB111" s="60">
        <f t="shared" si="320"/>
        <v>38760983.206633419</v>
      </c>
      <c r="BC111" s="60">
        <f t="shared" si="320"/>
        <v>41423600.535536908</v>
      </c>
      <c r="BD111" s="60">
        <f t="shared" si="320"/>
        <v>44264471.870825559</v>
      </c>
      <c r="BE111" s="60">
        <f t="shared" si="320"/>
        <v>47422590.621023089</v>
      </c>
      <c r="BF111" s="60">
        <f t="shared" si="320"/>
        <v>50947539.105129078</v>
      </c>
      <c r="BG111" s="60">
        <f t="shared" ref="BG111:BH111" si="321">BG89+BG94+BG100</f>
        <v>54941635.906805493</v>
      </c>
      <c r="BH111" s="60">
        <f t="shared" si="321"/>
        <v>59396063.916407347</v>
      </c>
      <c r="DP111" s="176"/>
      <c r="DQ111" s="176"/>
    </row>
    <row r="112" spans="5:121" x14ac:dyDescent="0.2">
      <c r="E112" s="177" t="s">
        <v>122</v>
      </c>
      <c r="F112" s="60"/>
      <c r="G112" s="60"/>
      <c r="H112" s="60"/>
      <c r="J112" s="60">
        <f t="shared" si="250"/>
        <v>-75707.5</v>
      </c>
      <c r="K112" s="60">
        <f t="shared" si="251"/>
        <v>-77513.5</v>
      </c>
      <c r="L112" s="60">
        <f t="shared" si="252"/>
        <v>-129601.38523520478</v>
      </c>
      <c r="M112" s="60">
        <f t="shared" si="253"/>
        <v>-187641.38655757217</v>
      </c>
      <c r="N112" s="60">
        <f t="shared" si="254"/>
        <v>-200810.12346994603</v>
      </c>
      <c r="O112" s="60">
        <f t="shared" si="255"/>
        <v>-215611.21914476916</v>
      </c>
      <c r="P112" s="60">
        <f t="shared" si="256"/>
        <v>-231972.21868122814</v>
      </c>
      <c r="Q112" s="60">
        <f t="shared" si="257"/>
        <v>-268321.91012977221</v>
      </c>
      <c r="R112" s="60">
        <f t="shared" si="258"/>
        <v>-313716.34796697972</v>
      </c>
      <c r="S112" s="60">
        <f t="shared" si="259"/>
        <v>-342302.15801024658</v>
      </c>
      <c r="T112" s="60">
        <f t="shared" si="260"/>
        <v>-388889.42523394054</v>
      </c>
      <c r="U112" s="60">
        <f t="shared" si="318"/>
        <v>-441021.63129351137</v>
      </c>
      <c r="V112" s="60">
        <f t="shared" si="318"/>
        <v>-509571.01731161331</v>
      </c>
      <c r="W112" s="60">
        <f t="shared" si="318"/>
        <v>-564729.17289765598</v>
      </c>
      <c r="X112" s="60">
        <f t="shared" si="318"/>
        <v>-568381.24530133756</v>
      </c>
      <c r="Y112" s="60">
        <f t="shared" si="318"/>
        <v>-596068.84216996003</v>
      </c>
      <c r="Z112" s="60">
        <f t="shared" si="319"/>
        <v>-653726.91336493124</v>
      </c>
      <c r="AA112" s="60">
        <f t="shared" si="319"/>
        <v>-700389.63295936724</v>
      </c>
      <c r="AB112" s="60">
        <f t="shared" si="319"/>
        <v>-757160.78660291829</v>
      </c>
      <c r="AC112" s="60">
        <f t="shared" si="319"/>
        <v>-858078.93662351067</v>
      </c>
      <c r="AD112" s="60">
        <f t="shared" si="237"/>
        <v>-995188.53356212028</v>
      </c>
      <c r="AE112" s="60">
        <f t="shared" si="238"/>
        <v>-1135230.6831233446</v>
      </c>
      <c r="AF112" s="60"/>
      <c r="AG112" s="60"/>
      <c r="AH112" s="60"/>
      <c r="AI112" s="60"/>
      <c r="AJ112" s="60"/>
      <c r="AK112" s="60"/>
      <c r="AL112" s="3">
        <v>-74437</v>
      </c>
      <c r="AM112" s="3">
        <v>-76978</v>
      </c>
      <c r="AN112" s="60">
        <f t="shared" ref="AN112:BA112" si="322">AN268</f>
        <v>-78049</v>
      </c>
      <c r="AO112" s="60">
        <f t="shared" si="322"/>
        <v>-181153.77047040957</v>
      </c>
      <c r="AP112" s="60">
        <f t="shared" si="322"/>
        <v>-194129.00264473478</v>
      </c>
      <c r="AQ112" s="60">
        <f t="shared" si="322"/>
        <v>-207491.24429515729</v>
      </c>
      <c r="AR112" s="60">
        <f t="shared" si="322"/>
        <v>-223731.19399438103</v>
      </c>
      <c r="AS112" s="60">
        <f t="shared" si="322"/>
        <v>-240213.24336807526</v>
      </c>
      <c r="AT112" s="60">
        <f t="shared" si="322"/>
        <v>-296430.57689146919</v>
      </c>
      <c r="AU112" s="60">
        <f t="shared" si="322"/>
        <v>-331002.1190424902</v>
      </c>
      <c r="AV112" s="60">
        <f t="shared" si="322"/>
        <v>-353602.19697800302</v>
      </c>
      <c r="AW112" s="60">
        <f>AW268</f>
        <v>-424176.65348987805</v>
      </c>
      <c r="AX112" s="60">
        <f t="shared" si="322"/>
        <v>-457866.60909714474</v>
      </c>
      <c r="AY112" s="60">
        <f t="shared" si="322"/>
        <v>-561275.42552608182</v>
      </c>
      <c r="AZ112" s="60">
        <f t="shared" si="322"/>
        <v>-568182.92026923015</v>
      </c>
      <c r="BA112" s="60">
        <f t="shared" si="322"/>
        <v>-568579.57033344498</v>
      </c>
      <c r="BB112" s="60">
        <f>BB268</f>
        <v>-623558.11400647496</v>
      </c>
      <c r="BC112" s="60">
        <f>BC268</f>
        <v>-683895.71272338752</v>
      </c>
      <c r="BD112" s="60">
        <f>BD268</f>
        <v>-716883.55319534696</v>
      </c>
      <c r="BE112" s="60">
        <f>BE268</f>
        <v>-797438.02001048974</v>
      </c>
      <c r="BF112" s="60">
        <f>BF268</f>
        <v>-918719.85323653149</v>
      </c>
      <c r="BG112" s="60">
        <f t="shared" ref="BG112:BH112" si="323">BG268</f>
        <v>-1071657.213887709</v>
      </c>
      <c r="BH112" s="60">
        <f t="shared" si="323"/>
        <v>-1198804.1523589804</v>
      </c>
      <c r="BO112" s="9" t="s">
        <v>340</v>
      </c>
      <c r="BP112" s="5"/>
      <c r="BQ112" s="5">
        <v>-21432.311636994229</v>
      </c>
      <c r="BR112" s="5">
        <v>-20979.911026340415</v>
      </c>
      <c r="BS112" s="5">
        <v>-21730.578168793301</v>
      </c>
      <c r="BT112" s="5">
        <v>-15857.199167872046</v>
      </c>
      <c r="BU112" s="5">
        <v>-26843.469304555711</v>
      </c>
      <c r="BV112" s="5">
        <v>-21987.336967192485</v>
      </c>
      <c r="BW112" s="5">
        <v>-21074.603211863898</v>
      </c>
      <c r="BX112" s="5">
        <v>-17094.590516387911</v>
      </c>
      <c r="BY112" s="5">
        <v>-21401.40703613541</v>
      </c>
      <c r="BZ112" s="5">
        <v>-24190.936909933873</v>
      </c>
      <c r="CA112" s="5">
        <v>-26246.603757774836</v>
      </c>
      <c r="CB112" s="5">
        <v>-25315.052296155882</v>
      </c>
      <c r="CC112" s="5">
        <v>-25931.454309469515</v>
      </c>
      <c r="CD112" s="5">
        <v>-25737.473106439375</v>
      </c>
      <c r="CE112" s="5">
        <v>-27582.375231957682</v>
      </c>
      <c r="CF112" s="5">
        <v>-27679.697352133433</v>
      </c>
      <c r="CG112" s="5">
        <v>-26715.054864044021</v>
      </c>
      <c r="CH112" s="5">
        <v>-31269.057377226811</v>
      </c>
      <c r="CI112" s="5">
        <v>-29662.508469499706</v>
      </c>
      <c r="CJ112" s="5">
        <v>-31850.379289229451</v>
      </c>
      <c r="CK112" s="5">
        <v>-33585.869019811325</v>
      </c>
      <c r="CL112" s="5">
        <v>-32352.317178929236</v>
      </c>
      <c r="CM112" s="5">
        <v>-34802.978974030899</v>
      </c>
      <c r="CN112" s="5">
        <v>-36545.834827228537</v>
      </c>
      <c r="CO112" s="5">
        <v>-24770.71611822749</v>
      </c>
      <c r="CP112" s="5">
        <v>-37455.466362345222</v>
      </c>
      <c r="CQ112" s="5">
        <v>-45301.880299045093</v>
      </c>
      <c r="CR112" s="5">
        <v>-50763.937220382184</v>
      </c>
      <c r="CS112" s="5">
        <v>-31040.627190144489</v>
      </c>
      <c r="CT112" s="5">
        <v>-41642.334263892844</v>
      </c>
      <c r="CU112" s="5">
        <v>-49665.254597978477</v>
      </c>
      <c r="CV112" s="5">
        <v>-53355.783947984193</v>
      </c>
      <c r="CW112" s="5">
        <v>-34113.808409699188</v>
      </c>
      <c r="CX112" s="5">
        <v>-50110.544061003129</v>
      </c>
      <c r="CY112" s="5">
        <v>-57488.14887897345</v>
      </c>
      <c r="CZ112" s="5">
        <v>-49277.49865032424</v>
      </c>
      <c r="DA112" s="5">
        <v>-37702.213646584023</v>
      </c>
      <c r="DB112" s="5">
        <v>-56563.716384205356</v>
      </c>
      <c r="DC112" s="5">
        <v>-61626.877629218012</v>
      </c>
      <c r="DD112" s="5">
        <v>-52477.57806129261</v>
      </c>
      <c r="DE112" s="5">
        <v>-42806.400818211303</v>
      </c>
      <c r="DF112" s="5">
        <v>-65224.608373288902</v>
      </c>
      <c r="DG112" s="5">
        <v>-67075.582015568798</v>
      </c>
      <c r="DH112" s="5">
        <v>-56601.277715016098</v>
      </c>
      <c r="DI112" s="507">
        <v>-49660.892152993198</v>
      </c>
      <c r="DJ112" s="507">
        <v>-75550.728663095302</v>
      </c>
      <c r="DK112" s="507">
        <v>-73317.186524039396</v>
      </c>
      <c r="DL112" s="507">
        <v>-62605.960935062103</v>
      </c>
      <c r="DM112" s="507">
        <v>-57508.067566370803</v>
      </c>
      <c r="DN112" s="507">
        <v>-86573.364121587903</v>
      </c>
      <c r="DO112" s="507">
        <v>-77964.631723366998</v>
      </c>
      <c r="DP112" s="176">
        <v>-67552.394605860303</v>
      </c>
      <c r="DQ112" s="176">
        <v>-66759.026075828602</v>
      </c>
    </row>
    <row r="113" spans="1:190" x14ac:dyDescent="0.2">
      <c r="A113" s="176"/>
      <c r="E113" s="177" t="s">
        <v>123</v>
      </c>
      <c r="F113" s="60"/>
      <c r="G113" s="60"/>
      <c r="H113" s="60"/>
      <c r="J113" s="60">
        <f t="shared" si="250"/>
        <v>7454914</v>
      </c>
      <c r="K113" s="60">
        <f t="shared" si="251"/>
        <v>7819453.5</v>
      </c>
      <c r="L113" s="60">
        <f t="shared" si="252"/>
        <v>12501789.742640804</v>
      </c>
      <c r="M113" s="60">
        <f t="shared" si="253"/>
        <v>18335888.171052784</v>
      </c>
      <c r="N113" s="60">
        <f t="shared" si="254"/>
        <v>19492038.666934855</v>
      </c>
      <c r="O113" s="60">
        <f t="shared" si="255"/>
        <v>20000331.471829966</v>
      </c>
      <c r="P113" s="60">
        <f t="shared" si="256"/>
        <v>21465737.266944066</v>
      </c>
      <c r="Q113" s="60">
        <f t="shared" si="257"/>
        <v>22765098.516643472</v>
      </c>
      <c r="R113" s="60">
        <f t="shared" si="258"/>
        <v>24120094.342218988</v>
      </c>
      <c r="S113" s="60">
        <f t="shared" si="259"/>
        <v>25649848.04199025</v>
      </c>
      <c r="T113" s="60">
        <f t="shared" si="260"/>
        <v>26989567.68429184</v>
      </c>
      <c r="U113" s="60">
        <f t="shared" si="318"/>
        <v>28534665.856715202</v>
      </c>
      <c r="V113" s="60">
        <f t="shared" si="318"/>
        <v>30557320.360469922</v>
      </c>
      <c r="W113" s="60">
        <f t="shared" si="318"/>
        <v>32547131.15420562</v>
      </c>
      <c r="X113" s="60">
        <f t="shared" si="318"/>
        <v>34546835.879105061</v>
      </c>
      <c r="Y113" s="60">
        <f t="shared" si="318"/>
        <v>36905235.276481703</v>
      </c>
      <c r="Z113" s="60">
        <f t="shared" si="319"/>
        <v>39438564.957720235</v>
      </c>
      <c r="AA113" s="60">
        <f t="shared" si="319"/>
        <v>42143646.570221864</v>
      </c>
      <c r="AB113" s="60">
        <f t="shared" si="319"/>
        <v>45086370.459321409</v>
      </c>
      <c r="AC113" s="60">
        <f t="shared" si="319"/>
        <v>48326985.926452577</v>
      </c>
      <c r="AD113" s="60">
        <f t="shared" si="237"/>
        <v>51949398.972405165</v>
      </c>
      <c r="AE113" s="60">
        <f t="shared" si="238"/>
        <v>56033619.228483081</v>
      </c>
      <c r="AF113" s="60"/>
      <c r="AG113" s="60"/>
      <c r="AH113" s="60"/>
      <c r="AI113" s="60"/>
      <c r="AJ113" s="60"/>
      <c r="AK113" s="60"/>
      <c r="AL113" s="3">
        <v>7278717</v>
      </c>
      <c r="AM113" s="3">
        <v>7631111</v>
      </c>
      <c r="AN113" s="60">
        <f t="shared" ref="AN113:AY113" si="324">AN111+AN112</f>
        <v>8007796</v>
      </c>
      <c r="AO113" s="60">
        <f t="shared" si="324"/>
        <v>16995783.485281609</v>
      </c>
      <c r="AP113" s="60">
        <f t="shared" si="324"/>
        <v>19675992.856823958</v>
      </c>
      <c r="AQ113" s="60">
        <f t="shared" si="324"/>
        <v>19308084.477045748</v>
      </c>
      <c r="AR113" s="60">
        <f t="shared" si="324"/>
        <v>20692578.466614187</v>
      </c>
      <c r="AS113" s="60">
        <f t="shared" si="324"/>
        <v>22238896.067273941</v>
      </c>
      <c r="AT113" s="60">
        <f t="shared" si="324"/>
        <v>23291300.966013007</v>
      </c>
      <c r="AU113" s="60">
        <f t="shared" si="324"/>
        <v>24948887.718424965</v>
      </c>
      <c r="AV113" s="60">
        <f t="shared" si="324"/>
        <v>26350808.36555554</v>
      </c>
      <c r="AW113" s="60">
        <f t="shared" si="324"/>
        <v>27628327.003028139</v>
      </c>
      <c r="AX113" s="60">
        <f t="shared" si="324"/>
        <v>29441004.710402269</v>
      </c>
      <c r="AY113" s="60">
        <f t="shared" si="324"/>
        <v>31673636.010537576</v>
      </c>
      <c r="AZ113" s="60">
        <f t="shared" ref="AZ113:BE113" si="325">AZ111+AZ112</f>
        <v>33420626.297873668</v>
      </c>
      <c r="BA113" s="60">
        <f t="shared" si="325"/>
        <v>35673045.460336454</v>
      </c>
      <c r="BB113" s="60">
        <f t="shared" si="325"/>
        <v>38137425.092626944</v>
      </c>
      <c r="BC113" s="60">
        <f t="shared" si="325"/>
        <v>40739704.822813518</v>
      </c>
      <c r="BD113" s="60">
        <f t="shared" si="325"/>
        <v>43547588.317630209</v>
      </c>
      <c r="BE113" s="60">
        <f t="shared" si="325"/>
        <v>46625152.601012602</v>
      </c>
      <c r="BF113" s="60">
        <f>BF111+BF112</f>
        <v>50028819.251892544</v>
      </c>
      <c r="BG113" s="60">
        <f t="shared" ref="BG113:BH113" si="326">BG111+BG112</f>
        <v>53869978.692917787</v>
      </c>
      <c r="BH113" s="60">
        <f t="shared" si="326"/>
        <v>58197259.764048368</v>
      </c>
      <c r="BO113" s="9" t="s">
        <v>341</v>
      </c>
      <c r="BP113" s="5"/>
      <c r="BQ113" s="5">
        <v>1953032.266467572</v>
      </c>
      <c r="BR113" s="5">
        <v>2207853.1999504524</v>
      </c>
      <c r="BS113" s="5">
        <v>2460307.2905887892</v>
      </c>
      <c r="BT113" s="5">
        <v>1867081.2429931874</v>
      </c>
      <c r="BU113" s="5">
        <v>2044544.6756519487</v>
      </c>
      <c r="BV113" s="5">
        <v>2336858.125036459</v>
      </c>
      <c r="BW113" s="5">
        <v>2676853.4044991862</v>
      </c>
      <c r="BX113" s="5">
        <v>2037994.7938124058</v>
      </c>
      <c r="BY113" s="5">
        <v>2154735.8346227659</v>
      </c>
      <c r="BZ113" s="5">
        <v>2484964.7829848984</v>
      </c>
      <c r="CA113" s="5">
        <v>2872325.9254695345</v>
      </c>
      <c r="CB113" s="5">
        <v>2210335.4569228003</v>
      </c>
      <c r="CC113" s="5">
        <v>2327560.1487181196</v>
      </c>
      <c r="CD113" s="5">
        <v>2643404.2517816313</v>
      </c>
      <c r="CE113" s="5">
        <v>3069135.8577146051</v>
      </c>
      <c r="CF113" s="5">
        <v>2443212.7517856443</v>
      </c>
      <c r="CG113" s="5">
        <v>2459695.2896457682</v>
      </c>
      <c r="CH113" s="5">
        <v>2837712.1451017377</v>
      </c>
      <c r="CI113" s="5">
        <v>3336626.9574391558</v>
      </c>
      <c r="CJ113" s="5">
        <v>2621573.6188133382</v>
      </c>
      <c r="CK113" s="5">
        <v>2699435.5644764374</v>
      </c>
      <c r="CL113" s="5">
        <v>3088376.3974281158</v>
      </c>
      <c r="CM113" s="5">
        <v>3528125.8674285784</v>
      </c>
      <c r="CN113" s="5">
        <v>2697357.1696668682</v>
      </c>
      <c r="CO113" s="5">
        <v>2830419.8083087518</v>
      </c>
      <c r="CP113" s="5">
        <v>3271341.9927745946</v>
      </c>
      <c r="CQ113" s="5">
        <v>3773672.9603256742</v>
      </c>
      <c r="CR113" s="5">
        <v>2998735.3395909779</v>
      </c>
      <c r="CS113" s="5">
        <v>3051510.2011404093</v>
      </c>
      <c r="CT113" s="5">
        <v>3463781.3160982514</v>
      </c>
      <c r="CU113" s="5">
        <v>4068918.1561623197</v>
      </c>
      <c r="CV113" s="5">
        <v>3244471.5155990166</v>
      </c>
      <c r="CW113" s="5">
        <v>3216701.4942382597</v>
      </c>
      <c r="CX113" s="5">
        <v>3622855.5466191894</v>
      </c>
      <c r="CY113" s="5">
        <v>4313235.5987940589</v>
      </c>
      <c r="CZ113" s="5">
        <v>3510863.4156922409</v>
      </c>
      <c r="DA113" s="5">
        <v>3458816.7003165572</v>
      </c>
      <c r="DB113" s="5">
        <v>3890865.1608487037</v>
      </c>
      <c r="DC113" s="5">
        <v>4606552.5584349129</v>
      </c>
      <c r="DD113" s="5">
        <v>3743821.6139567746</v>
      </c>
      <c r="DE113" s="5">
        <v>3671781.6448992039</v>
      </c>
      <c r="DF113" s="5">
        <v>4155700.0284966221</v>
      </c>
      <c r="DG113" s="5">
        <v>4867968.3206686163</v>
      </c>
      <c r="DH113" s="5">
        <v>4016493.5832384829</v>
      </c>
      <c r="DI113" s="507">
        <v>3939398.9946415788</v>
      </c>
      <c r="DJ113" s="507">
        <v>4414531.2963591097</v>
      </c>
      <c r="DK113" s="507">
        <v>5195230.6871793782</v>
      </c>
      <c r="DL113" s="507">
        <v>4317008.4873823635</v>
      </c>
      <c r="DM113" s="4">
        <v>4235829.6387196127</v>
      </c>
      <c r="DN113" s="4">
        <v>4706506.6586969076</v>
      </c>
      <c r="DO113" s="4">
        <v>5532518.8686524946</v>
      </c>
      <c r="DP113" s="176">
        <v>4646033.406248549</v>
      </c>
      <c r="DQ113" s="176">
        <v>4551468.0071508754</v>
      </c>
    </row>
    <row r="114" spans="1:190" x14ac:dyDescent="0.2">
      <c r="A114" s="176"/>
      <c r="E114" s="177" t="s">
        <v>124</v>
      </c>
      <c r="F114" s="60"/>
      <c r="G114" s="60"/>
      <c r="H114" s="60"/>
      <c r="J114" s="60">
        <f t="shared" si="250"/>
        <v>537884.5</v>
      </c>
      <c r="K114" s="60">
        <f t="shared" si="251"/>
        <v>564051</v>
      </c>
      <c r="L114" s="60">
        <f t="shared" si="252"/>
        <v>778705.10779113229</v>
      </c>
      <c r="M114" s="60">
        <f t="shared" si="253"/>
        <v>1014964.9076897069</v>
      </c>
      <c r="N114" s="60">
        <f t="shared" si="254"/>
        <v>1086216.4100397737</v>
      </c>
      <c r="O114" s="60">
        <f t="shared" si="255"/>
        <v>1166302.504317546</v>
      </c>
      <c r="P114" s="60">
        <f t="shared" si="256"/>
        <v>1276790.9919891933</v>
      </c>
      <c r="Q114" s="60">
        <f t="shared" si="257"/>
        <v>1366679.3643620932</v>
      </c>
      <c r="R114" s="60">
        <f t="shared" si="258"/>
        <v>1605777.3072332095</v>
      </c>
      <c r="S114" s="60">
        <f t="shared" si="259"/>
        <v>1865684.6035834095</v>
      </c>
      <c r="T114" s="60">
        <f t="shared" si="260"/>
        <v>2031608.36901453</v>
      </c>
      <c r="U114" s="60">
        <f t="shared" si="318"/>
        <v>2193945.5384699954</v>
      </c>
      <c r="V114" s="60">
        <f t="shared" si="318"/>
        <v>2370080.1276774397</v>
      </c>
      <c r="W114" s="60">
        <f t="shared" si="318"/>
        <v>2510746.7990015764</v>
      </c>
      <c r="X114" s="60">
        <f t="shared" si="318"/>
        <v>2694666.524900144</v>
      </c>
      <c r="Y114" s="60">
        <f t="shared" si="318"/>
        <v>2983719.5064357817</v>
      </c>
      <c r="Z114" s="60">
        <f t="shared" si="319"/>
        <v>3244090.7459711861</v>
      </c>
      <c r="AA114" s="60">
        <f t="shared" si="319"/>
        <v>3573371.6369265374</v>
      </c>
      <c r="AB114" s="60">
        <f t="shared" si="319"/>
        <v>3957718.6621056376</v>
      </c>
      <c r="AC114" s="60">
        <f t="shared" si="319"/>
        <v>4388200.0603810195</v>
      </c>
      <c r="AD114" s="60">
        <f t="shared" si="237"/>
        <v>4855708.8579635564</v>
      </c>
      <c r="AE114" s="60">
        <f t="shared" si="238"/>
        <v>5336227.3122913111</v>
      </c>
      <c r="AF114" s="60"/>
      <c r="AG114" s="60"/>
      <c r="AH114" s="60"/>
      <c r="AI114" s="60"/>
      <c r="AJ114" s="60"/>
      <c r="AK114" s="60"/>
      <c r="AL114" s="3">
        <v>525209</v>
      </c>
      <c r="AM114" s="3">
        <v>550560</v>
      </c>
      <c r="AN114" s="195">
        <f t="shared" ref="AN114:AZ114" si="327">AN270</f>
        <v>577542</v>
      </c>
      <c r="AO114" s="195">
        <f t="shared" si="327"/>
        <v>979868.21558226459</v>
      </c>
      <c r="AP114" s="195">
        <f t="shared" si="327"/>
        <v>1050061.5997971492</v>
      </c>
      <c r="AQ114" s="195">
        <f t="shared" si="327"/>
        <v>1122371.2202823982</v>
      </c>
      <c r="AR114" s="195">
        <f t="shared" si="327"/>
        <v>1210233.7883526939</v>
      </c>
      <c r="AS114" s="195">
        <f t="shared" si="327"/>
        <v>1343348.1956256926</v>
      </c>
      <c r="AT114" s="195">
        <f t="shared" si="327"/>
        <v>1390010.5330984937</v>
      </c>
      <c r="AU114" s="195">
        <f t="shared" si="327"/>
        <v>1821544.0813679253</v>
      </c>
      <c r="AV114" s="195">
        <f t="shared" si="327"/>
        <v>1909825.1257988934</v>
      </c>
      <c r="AW114" s="195">
        <f t="shared" si="327"/>
        <v>2153391.6122301663</v>
      </c>
      <c r="AX114" s="195">
        <f t="shared" si="327"/>
        <v>2234499.4647098249</v>
      </c>
      <c r="AY114" s="195">
        <f t="shared" si="327"/>
        <v>2505660.7906450545</v>
      </c>
      <c r="AZ114" s="195">
        <f t="shared" si="327"/>
        <v>2515832.8073580987</v>
      </c>
      <c r="BA114" s="195">
        <f t="shared" ref="BA114:BF114" si="328">BA270</f>
        <v>2873500.2424421897</v>
      </c>
      <c r="BB114" s="195">
        <f t="shared" si="328"/>
        <v>3093938.7704293737</v>
      </c>
      <c r="BC114" s="195">
        <f t="shared" si="328"/>
        <v>3394242.7215129989</v>
      </c>
      <c r="BD114" s="195">
        <f t="shared" si="328"/>
        <v>3752500.5523400763</v>
      </c>
      <c r="BE114" s="195">
        <f t="shared" si="328"/>
        <v>4162936.7718711984</v>
      </c>
      <c r="BF114" s="195">
        <f t="shared" si="328"/>
        <v>4613463.348890841</v>
      </c>
      <c r="BG114" s="195">
        <f t="shared" ref="BG114:BH114" si="329">BG270</f>
        <v>5097954.3670362718</v>
      </c>
      <c r="BH114" s="195">
        <f t="shared" si="329"/>
        <v>5574500.2575463504</v>
      </c>
      <c r="BO114" s="9" t="s">
        <v>294</v>
      </c>
      <c r="BP114" s="5"/>
      <c r="BQ114" s="5">
        <v>145429.32</v>
      </c>
      <c r="BR114" s="5">
        <v>139048.01999999999</v>
      </c>
      <c r="BS114" s="5">
        <v>165157.19</v>
      </c>
      <c r="BT114" s="5">
        <v>162365.47</v>
      </c>
      <c r="BU114" s="5">
        <v>146431.53</v>
      </c>
      <c r="BV114" s="5">
        <v>149482.56</v>
      </c>
      <c r="BW114" s="5">
        <v>176818.33</v>
      </c>
      <c r="BX114" s="5">
        <v>183193.58000000002</v>
      </c>
      <c r="BY114" s="5">
        <v>163227.89000000001</v>
      </c>
      <c r="BZ114" s="5">
        <v>157775.20000000001</v>
      </c>
      <c r="CA114" s="5">
        <v>184520.28999999998</v>
      </c>
      <c r="CB114" s="5">
        <v>195848.61000000002</v>
      </c>
      <c r="CC114" s="5">
        <v>170543.29</v>
      </c>
      <c r="CD114" s="5">
        <v>164173.32999999999</v>
      </c>
      <c r="CE114" s="5">
        <v>212220.77000000002</v>
      </c>
      <c r="CF114" s="5">
        <v>209484.61</v>
      </c>
      <c r="CG114" s="5">
        <v>180085.57</v>
      </c>
      <c r="CH114" s="5">
        <v>185134.72000000003</v>
      </c>
      <c r="CI114" s="5">
        <v>218653.29</v>
      </c>
      <c r="CJ114" s="5">
        <v>228608.42</v>
      </c>
      <c r="CK114" s="5">
        <v>199643.25</v>
      </c>
      <c r="CL114" s="5">
        <v>202617.53</v>
      </c>
      <c r="CM114" s="5">
        <v>229457.15</v>
      </c>
      <c r="CN114" s="5">
        <v>236150.06</v>
      </c>
      <c r="CO114" s="5">
        <v>198634.38999999998</v>
      </c>
      <c r="CP114" s="5">
        <v>212532.62</v>
      </c>
      <c r="CQ114" s="5">
        <v>252727.53</v>
      </c>
      <c r="CR114" s="5">
        <v>263856.45</v>
      </c>
      <c r="CS114" s="5">
        <v>216891.28</v>
      </c>
      <c r="CT114" s="5">
        <v>234545.36</v>
      </c>
      <c r="CU114" s="5">
        <v>268763.83</v>
      </c>
      <c r="CV114" s="5">
        <v>279463.52999999997</v>
      </c>
      <c r="CW114" s="5">
        <v>232685.11</v>
      </c>
      <c r="CX114" s="5">
        <v>235429.31</v>
      </c>
      <c r="CY114" s="5">
        <v>276643.5</v>
      </c>
      <c r="CZ114" s="5">
        <v>312887.07</v>
      </c>
      <c r="DA114" s="5">
        <v>253695.32448282797</v>
      </c>
      <c r="DB114" s="5">
        <v>245573.67552493248</v>
      </c>
      <c r="DC114" s="5">
        <v>283741.98771173245</v>
      </c>
      <c r="DD114" s="5">
        <v>345495.70658450725</v>
      </c>
      <c r="DE114" s="5">
        <v>268478.87546760129</v>
      </c>
      <c r="DF114" s="5">
        <v>271205.03983489028</v>
      </c>
      <c r="DG114" s="5">
        <v>307138.03430300171</v>
      </c>
      <c r="DH114" s="5">
        <v>355038.00539450662</v>
      </c>
      <c r="DI114" s="507">
        <v>286185.65873742127</v>
      </c>
      <c r="DJ114" s="507">
        <v>285353.1859148817</v>
      </c>
      <c r="DK114" s="507">
        <v>356277.51798438601</v>
      </c>
      <c r="DL114" s="507">
        <v>361779.36907831079</v>
      </c>
      <c r="DM114" s="507">
        <v>290318.06434418831</v>
      </c>
      <c r="DN114" s="507">
        <v>348842.56477265578</v>
      </c>
      <c r="DO114" s="507">
        <v>416523.622279957</v>
      </c>
      <c r="DP114" s="176">
        <v>312576.81995281379</v>
      </c>
      <c r="DQ114" s="176">
        <v>311220.96497696987</v>
      </c>
    </row>
    <row r="115" spans="1:190" x14ac:dyDescent="0.2">
      <c r="A115" s="176"/>
      <c r="E115" s="177"/>
      <c r="F115" s="60"/>
      <c r="G115" s="60"/>
      <c r="H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c r="AL115" s="60"/>
      <c r="AM115" s="60"/>
      <c r="AN115" s="177"/>
      <c r="AO115" s="177"/>
      <c r="AP115" s="177"/>
      <c r="AQ115" s="177"/>
      <c r="AR115" s="177"/>
      <c r="AS115" s="177"/>
      <c r="AT115" s="177"/>
      <c r="AU115" s="177"/>
      <c r="AV115" s="177"/>
      <c r="AW115" s="195"/>
      <c r="AX115" s="177"/>
      <c r="AY115" s="177"/>
      <c r="AZ115" s="177"/>
      <c r="BA115" s="177"/>
      <c r="DP115" s="176"/>
      <c r="DQ115" s="176"/>
    </row>
    <row r="116" spans="1:190" s="9" customFormat="1" ht="15" x14ac:dyDescent="0.25">
      <c r="A116" s="352"/>
      <c r="E116" s="349" t="s">
        <v>543</v>
      </c>
      <c r="F116" s="7"/>
      <c r="G116" s="7"/>
      <c r="H116" s="7"/>
      <c r="J116" s="7">
        <f t="shared" si="250"/>
        <v>7992798.5</v>
      </c>
      <c r="K116" s="7">
        <f t="shared" si="251"/>
        <v>8383504.5</v>
      </c>
      <c r="L116" s="7">
        <f t="shared" si="252"/>
        <v>13280494.850431938</v>
      </c>
      <c r="M116" s="7">
        <f t="shared" si="253"/>
        <v>19350853.078742489</v>
      </c>
      <c r="N116" s="7">
        <f t="shared" si="254"/>
        <v>20578255.076974627</v>
      </c>
      <c r="O116" s="7">
        <f t="shared" si="255"/>
        <v>21166633.976147514</v>
      </c>
      <c r="P116" s="7">
        <f t="shared" si="256"/>
        <v>22742528.258933257</v>
      </c>
      <c r="Q116" s="7">
        <f t="shared" si="257"/>
        <v>24131777.881005567</v>
      </c>
      <c r="R116" s="7">
        <f t="shared" si="258"/>
        <v>25725871.649452195</v>
      </c>
      <c r="S116" s="7">
        <f t="shared" si="259"/>
        <v>27515532.645573661</v>
      </c>
      <c r="T116" s="7">
        <f t="shared" si="260"/>
        <v>29021176.053306371</v>
      </c>
      <c r="U116" s="7">
        <f t="shared" ref="U116:AC116" si="330">AVERAGE(AW116:AX116)</f>
        <v>30728611.395185202</v>
      </c>
      <c r="V116" s="7">
        <f t="shared" si="330"/>
        <v>32927400.488147363</v>
      </c>
      <c r="W116" s="7">
        <f t="shared" si="330"/>
        <v>35057877.953207195</v>
      </c>
      <c r="X116" s="7">
        <f t="shared" si="330"/>
        <v>37241502.404005207</v>
      </c>
      <c r="Y116" s="7">
        <f t="shared" si="330"/>
        <v>39888954.782917485</v>
      </c>
      <c r="Z116" s="7">
        <f t="shared" si="330"/>
        <v>42682655.703691415</v>
      </c>
      <c r="AA116" s="7">
        <f t="shared" si="330"/>
        <v>45717018.207148403</v>
      </c>
      <c r="AB116" s="462">
        <f t="shared" si="330"/>
        <v>49044089.121427044</v>
      </c>
      <c r="AC116" s="462">
        <f t="shared" si="330"/>
        <v>52715185.986833595</v>
      </c>
      <c r="AD116" s="462">
        <f t="shared" ref="AD116" si="331">AVERAGE(BF116:BG116)</f>
        <v>56805107.830368727</v>
      </c>
      <c r="AE116" s="462">
        <f t="shared" ref="AE116" si="332">AVERAGE(BG116:BH116)</f>
        <v>61369846.54077439</v>
      </c>
      <c r="AF116" s="7"/>
      <c r="AG116" s="7"/>
      <c r="AH116" s="7"/>
      <c r="AI116" s="7"/>
      <c r="AJ116" s="7"/>
      <c r="AK116" s="7"/>
      <c r="AL116" s="7">
        <f t="shared" ref="AL116:AY116" si="333">AL113+AL114</f>
        <v>7803926</v>
      </c>
      <c r="AM116" s="7">
        <f t="shared" si="333"/>
        <v>8181671</v>
      </c>
      <c r="AN116" s="7">
        <f t="shared" si="333"/>
        <v>8585338</v>
      </c>
      <c r="AO116" s="7">
        <f t="shared" si="333"/>
        <v>17975651.700863875</v>
      </c>
      <c r="AP116" s="7">
        <f t="shared" si="333"/>
        <v>20726054.456621107</v>
      </c>
      <c r="AQ116" s="7">
        <f t="shared" si="333"/>
        <v>20430455.697328147</v>
      </c>
      <c r="AR116" s="7">
        <f t="shared" si="333"/>
        <v>21902812.254966881</v>
      </c>
      <c r="AS116" s="7">
        <f t="shared" si="333"/>
        <v>23582244.262899633</v>
      </c>
      <c r="AT116" s="7">
        <f t="shared" si="333"/>
        <v>24681311.4991115</v>
      </c>
      <c r="AU116" s="7">
        <f t="shared" si="333"/>
        <v>26770431.79979289</v>
      </c>
      <c r="AV116" s="7">
        <f t="shared" si="333"/>
        <v>28260633.491354432</v>
      </c>
      <c r="AW116" s="7">
        <f t="shared" si="333"/>
        <v>29781718.615258306</v>
      </c>
      <c r="AX116" s="7">
        <f t="shared" si="333"/>
        <v>31675504.175112095</v>
      </c>
      <c r="AY116" s="7">
        <f t="shared" si="333"/>
        <v>34179296.801182628</v>
      </c>
      <c r="AZ116" s="7">
        <f t="shared" ref="AZ116:BF116" si="334">AZ113+AZ114</f>
        <v>35936459.105231769</v>
      </c>
      <c r="BA116" s="7">
        <f t="shared" si="334"/>
        <v>38546545.702778645</v>
      </c>
      <c r="BB116" s="7">
        <f t="shared" si="334"/>
        <v>41231363.863056317</v>
      </c>
      <c r="BC116" s="7">
        <f t="shared" si="334"/>
        <v>44133947.544326514</v>
      </c>
      <c r="BD116" s="7">
        <f t="shared" si="334"/>
        <v>47300088.869970284</v>
      </c>
      <c r="BE116" s="7">
        <f t="shared" si="334"/>
        <v>50788089.372883804</v>
      </c>
      <c r="BF116" s="7">
        <f t="shared" si="334"/>
        <v>54642282.600783385</v>
      </c>
      <c r="BG116" s="7">
        <f t="shared" ref="BG116:BH116" si="335">BG113+BG114</f>
        <v>58967933.059954062</v>
      </c>
      <c r="BH116" s="7">
        <f t="shared" si="335"/>
        <v>63771760.021594718</v>
      </c>
      <c r="BO116" s="9" t="s">
        <v>165</v>
      </c>
      <c r="BP116" s="1"/>
      <c r="BQ116" s="1">
        <v>2098461.586467572</v>
      </c>
      <c r="BR116" s="1">
        <v>2346901.2199504524</v>
      </c>
      <c r="BS116" s="1">
        <v>2625464.4805887891</v>
      </c>
      <c r="BT116" s="1">
        <v>2029446.7129931874</v>
      </c>
      <c r="BU116" s="1">
        <v>2190976.2056519487</v>
      </c>
      <c r="BV116" s="1">
        <v>2486340.685036459</v>
      </c>
      <c r="BW116" s="1">
        <v>2853671.7344991863</v>
      </c>
      <c r="BX116" s="1">
        <v>2221188.3738124059</v>
      </c>
      <c r="BY116" s="1">
        <v>2317963.724622766</v>
      </c>
      <c r="BZ116" s="1">
        <v>2642739.9829848986</v>
      </c>
      <c r="CA116" s="1">
        <v>3056846.2154695345</v>
      </c>
      <c r="CB116" s="1">
        <v>2406184.0669228001</v>
      </c>
      <c r="CC116" s="1">
        <v>2498103.4387181201</v>
      </c>
      <c r="CD116" s="1">
        <v>2807577.5817816313</v>
      </c>
      <c r="CE116" s="1">
        <v>3281356.6277146051</v>
      </c>
      <c r="CF116" s="1">
        <v>2652697.3617856442</v>
      </c>
      <c r="CG116" s="1">
        <v>2639780.8596457685</v>
      </c>
      <c r="CH116" s="1">
        <v>3022846.8651017379</v>
      </c>
      <c r="CI116" s="1">
        <v>3555280.2474391558</v>
      </c>
      <c r="CJ116" s="1">
        <v>2850182.0388133381</v>
      </c>
      <c r="CK116" s="1">
        <v>2899078.8144764374</v>
      </c>
      <c r="CL116" s="1">
        <v>3290993.9274281156</v>
      </c>
      <c r="CM116" s="1">
        <v>3757583.0174285783</v>
      </c>
      <c r="CN116" s="1">
        <v>2933507.2296668682</v>
      </c>
      <c r="CO116" s="1">
        <v>3029054.1983087519</v>
      </c>
      <c r="CP116" s="1">
        <v>3483874.6127745947</v>
      </c>
      <c r="CQ116" s="1">
        <v>4026400.4903256739</v>
      </c>
      <c r="CR116" s="1">
        <v>3262591.7895909781</v>
      </c>
      <c r="CS116" s="1">
        <v>3268401.4811404091</v>
      </c>
      <c r="CT116" s="1">
        <v>3698326.6760982512</v>
      </c>
      <c r="CU116" s="1">
        <v>4337681.9861623198</v>
      </c>
      <c r="CV116" s="1">
        <v>3523935.0455990164</v>
      </c>
      <c r="CW116" s="1">
        <v>3449386.6042382596</v>
      </c>
      <c r="CX116" s="1">
        <v>3858284.8566191895</v>
      </c>
      <c r="CY116" s="1">
        <v>4589879.0987940589</v>
      </c>
      <c r="CZ116" s="1">
        <v>3823750.4856922408</v>
      </c>
      <c r="DA116" s="1">
        <v>3712512.0247993851</v>
      </c>
      <c r="DB116" s="1">
        <v>4136438.836373636</v>
      </c>
      <c r="DC116" s="1">
        <v>4890294.5461466452</v>
      </c>
      <c r="DD116" s="1">
        <v>4089317.3205412817</v>
      </c>
      <c r="DE116" s="1">
        <v>3940260.5203668051</v>
      </c>
      <c r="DF116" s="1">
        <v>4426905.0683315126</v>
      </c>
      <c r="DG116" s="1">
        <v>5175106.3549716184</v>
      </c>
      <c r="DH116" s="1">
        <v>4371531.5886329897</v>
      </c>
      <c r="DI116" s="619">
        <v>4225584.6533789998</v>
      </c>
      <c r="DJ116" s="619">
        <v>4699884.4822739912</v>
      </c>
      <c r="DK116" s="619">
        <v>5551508.2051637638</v>
      </c>
      <c r="DL116" s="619">
        <v>4678787.8564606747</v>
      </c>
      <c r="DM116" s="619">
        <v>4526147.7030638009</v>
      </c>
      <c r="DN116" s="619">
        <v>5055349.2234695638</v>
      </c>
      <c r="DO116" s="619">
        <v>5949042.4909324516</v>
      </c>
      <c r="DP116" s="352">
        <v>4958610.2262013629</v>
      </c>
      <c r="DQ116" s="352">
        <v>4862688.9721278455</v>
      </c>
    </row>
    <row r="117" spans="1:190" x14ac:dyDescent="0.2">
      <c r="A117" s="176"/>
      <c r="F117" s="2"/>
      <c r="G117" s="2"/>
      <c r="H117" s="2"/>
      <c r="J117" s="2"/>
      <c r="K117" s="2"/>
      <c r="L117" s="2"/>
      <c r="M117" s="2"/>
      <c r="N117" s="2"/>
      <c r="O117" s="2"/>
      <c r="P117" s="2"/>
      <c r="Q117" s="2"/>
      <c r="R117" s="2"/>
      <c r="S117" s="2"/>
      <c r="Z117" s="29"/>
      <c r="AA117" s="29"/>
      <c r="AB117" s="29"/>
      <c r="AC117" s="463"/>
      <c r="AH117" s="2"/>
      <c r="AI117" s="2"/>
      <c r="AJ117" s="2"/>
      <c r="AK117" s="2"/>
      <c r="AL117" s="2"/>
      <c r="AM117" s="29">
        <f>AM116/AL116-1</f>
        <v>4.8404482564288864E-2</v>
      </c>
      <c r="AN117" s="29">
        <f t="shared" ref="AN117:AY117" si="336">AN116/AM116-1</f>
        <v>4.9337965312953758E-2</v>
      </c>
      <c r="AO117" s="29">
        <f t="shared" si="336"/>
        <v>1.0937616784410671</v>
      </c>
      <c r="AP117" s="29">
        <f t="shared" si="336"/>
        <v>0.15300712327581723</v>
      </c>
      <c r="AQ117" s="29">
        <f t="shared" si="336"/>
        <v>-1.426218192717954E-2</v>
      </c>
      <c r="AR117" s="29">
        <f t="shared" si="336"/>
        <v>7.2066750710376271E-2</v>
      </c>
      <c r="AS117" s="29">
        <f t="shared" si="336"/>
        <v>7.6676546754945063E-2</v>
      </c>
      <c r="AT117" s="29">
        <f t="shared" si="336"/>
        <v>4.6605709955305441E-2</v>
      </c>
      <c r="AU117" s="29">
        <f t="shared" si="336"/>
        <v>8.46438124147737E-2</v>
      </c>
      <c r="AV117" s="29">
        <f t="shared" si="336"/>
        <v>5.5665956481623535E-2</v>
      </c>
      <c r="AW117" s="39">
        <f t="shared" si="336"/>
        <v>5.3823461684580076E-2</v>
      </c>
      <c r="AX117" s="29">
        <f>AX116/AW116-1</f>
        <v>6.3588860814886905E-2</v>
      </c>
      <c r="AY117" s="29">
        <f t="shared" si="336"/>
        <v>7.9045075722513625E-2</v>
      </c>
      <c r="AZ117" s="29">
        <f t="shared" ref="AZ117:BF117" si="337">AZ116/AY116-1</f>
        <v>5.1410136208195567E-2</v>
      </c>
      <c r="BA117" s="29">
        <f t="shared" si="337"/>
        <v>7.2630600302156401E-2</v>
      </c>
      <c r="BB117" s="29">
        <f t="shared" si="337"/>
        <v>6.965132961535736E-2</v>
      </c>
      <c r="BC117" s="29">
        <f t="shared" si="337"/>
        <v>7.0397469530978585E-2</v>
      </c>
      <c r="BD117" s="29">
        <f t="shared" si="337"/>
        <v>7.1739363954783641E-2</v>
      </c>
      <c r="BE117" s="29">
        <f t="shared" si="337"/>
        <v>7.3741943963407053E-2</v>
      </c>
      <c r="BF117" s="29">
        <f t="shared" si="337"/>
        <v>7.5887738158493701E-2</v>
      </c>
    </row>
    <row r="118" spans="1:190" x14ac:dyDescent="0.2">
      <c r="E118" s="15" t="s">
        <v>542</v>
      </c>
      <c r="Z118" s="29"/>
      <c r="AA118" s="29"/>
      <c r="AB118" s="29"/>
      <c r="AC118" s="29"/>
      <c r="AO118" s="29"/>
      <c r="AP118" s="29"/>
      <c r="AQ118" s="45"/>
      <c r="AR118" s="45"/>
      <c r="BA118" s="460"/>
      <c r="BB118" s="460"/>
    </row>
    <row r="119" spans="1:190" x14ac:dyDescent="0.2">
      <c r="E119" s="15" t="s">
        <v>100</v>
      </c>
      <c r="F119" s="29"/>
      <c r="G119" s="29"/>
      <c r="H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39"/>
      <c r="AX119" s="29"/>
      <c r="AY119" s="29"/>
      <c r="AZ119" s="29"/>
      <c r="BA119" s="29"/>
    </row>
    <row r="120" spans="1:190" x14ac:dyDescent="0.2">
      <c r="E120" s="620" t="s">
        <v>613</v>
      </c>
      <c r="F120" s="29"/>
      <c r="G120" s="29"/>
      <c r="H120" s="29"/>
      <c r="J120" s="29"/>
      <c r="K120" s="29">
        <f t="shared" ref="K120:Y120" si="338">K89/J89-1</f>
        <v>4.2625814098295134E-2</v>
      </c>
      <c r="L120" s="29">
        <f t="shared" si="338"/>
        <v>0.62040236725796571</v>
      </c>
      <c r="M120" s="29">
        <f t="shared" si="338"/>
        <v>0.58003777639610732</v>
      </c>
      <c r="N120" s="29">
        <f t="shared" si="338"/>
        <v>3.3664140055165603E-2</v>
      </c>
      <c r="O120" s="29">
        <f t="shared" si="338"/>
        <v>-7.1575916319400967E-2</v>
      </c>
      <c r="P120" s="29">
        <f t="shared" si="338"/>
        <v>4.9415687214794835E-2</v>
      </c>
      <c r="Q120" s="29">
        <f t="shared" si="338"/>
        <v>3.3618144454758081E-2</v>
      </c>
      <c r="R120" s="29">
        <f t="shared" si="338"/>
        <v>2.3570028051849379E-2</v>
      </c>
      <c r="S120" s="29">
        <f t="shared" si="338"/>
        <v>4.962330348874433E-2</v>
      </c>
      <c r="T120" s="29">
        <f t="shared" si="338"/>
        <v>6.257092115701246E-2</v>
      </c>
      <c r="U120" s="29">
        <f t="shared" si="338"/>
        <v>3.8676964261321389E-2</v>
      </c>
      <c r="V120" s="29">
        <f t="shared" si="338"/>
        <v>3.089342525514982E-2</v>
      </c>
      <c r="W120" s="29">
        <f t="shared" si="338"/>
        <v>3.3589258152203927E-2</v>
      </c>
      <c r="X120" s="29">
        <f t="shared" si="338"/>
        <v>3.2236324752718426E-2</v>
      </c>
      <c r="Y120" s="29">
        <f t="shared" si="338"/>
        <v>3.2924021183802443E-2</v>
      </c>
      <c r="Z120" s="29">
        <f t="shared" ref="Z120:Z136" si="339">Z89/Y89-1</f>
        <v>3.4168049482771856E-2</v>
      </c>
      <c r="AA120" s="29">
        <f t="shared" ref="AA120:AC136" si="340">AA89/Z89-1</f>
        <v>3.1027333394164858E-2</v>
      </c>
      <c r="AB120" s="29">
        <f t="shared" si="340"/>
        <v>3.0840854599506695E-2</v>
      </c>
      <c r="AC120" s="29">
        <f t="shared" si="340"/>
        <v>3.5224405604975084E-2</v>
      </c>
      <c r="AD120" s="29">
        <f t="shared" ref="AD120:AD145" si="341">AD89/AC89-1</f>
        <v>3.7579840121594099E-2</v>
      </c>
      <c r="AE120" s="29">
        <f t="shared" ref="AE120:AE145" si="342">AE89/AD89-1</f>
        <v>4.0016497399675721E-2</v>
      </c>
      <c r="AF120" s="29"/>
      <c r="AG120" s="29"/>
      <c r="AH120" s="29"/>
      <c r="AI120" s="29"/>
      <c r="AJ120" s="29"/>
      <c r="AK120" s="29"/>
      <c r="AL120" s="29"/>
      <c r="AM120" s="29">
        <f t="shared" ref="AM120:BF120" si="343">AM89/AL89-1</f>
        <v>4.057594191522762E-2</v>
      </c>
      <c r="AN120" s="29">
        <f t="shared" si="343"/>
        <v>4.4595754109876484E-2</v>
      </c>
      <c r="AO120" s="29">
        <f t="shared" si="343"/>
        <v>1.1716267149375592</v>
      </c>
      <c r="AP120" s="29">
        <f t="shared" si="343"/>
        <v>0.30762036023880879</v>
      </c>
      <c r="AQ120" s="29">
        <f t="shared" si="343"/>
        <v>-0.17584331984214807</v>
      </c>
      <c r="AR120" s="29">
        <f t="shared" si="343"/>
        <v>5.4938138632839806E-2</v>
      </c>
      <c r="AS120" s="29">
        <f t="shared" si="343"/>
        <v>4.41808291545851E-2</v>
      </c>
      <c r="AT120" s="29">
        <f t="shared" si="343"/>
        <v>2.3502382505385278E-2</v>
      </c>
      <c r="AU120" s="29">
        <f t="shared" si="343"/>
        <v>2.3636120273636152E-2</v>
      </c>
      <c r="AV120" s="29">
        <f t="shared" si="343"/>
        <v>7.5010433446762503E-2</v>
      </c>
      <c r="AW120" s="39">
        <f t="shared" si="343"/>
        <v>5.0999394125534447E-2</v>
      </c>
      <c r="AX120" s="29">
        <f t="shared" si="343"/>
        <v>2.6952476185411856E-2</v>
      </c>
      <c r="AY120" s="29">
        <f t="shared" si="343"/>
        <v>3.4730943700381323E-2</v>
      </c>
      <c r="AZ120" s="29">
        <f t="shared" si="343"/>
        <v>3.2485893499655027E-2</v>
      </c>
      <c r="BA120" s="29">
        <f t="shared" si="343"/>
        <v>3.1994608378182132E-2</v>
      </c>
      <c r="BB120" s="29">
        <f t="shared" si="343"/>
        <v>3.3824619692820912E-2</v>
      </c>
      <c r="BC120" s="29">
        <f t="shared" si="343"/>
        <v>3.4500242954864868E-2</v>
      </c>
      <c r="BD120" s="29">
        <f t="shared" si="343"/>
        <v>2.7670244225407981E-2</v>
      </c>
      <c r="BE120" s="29">
        <f t="shared" si="343"/>
        <v>3.3926095601584105E-2</v>
      </c>
      <c r="BF120" s="29">
        <f t="shared" si="343"/>
        <v>3.6480114314634715E-2</v>
      </c>
      <c r="BG120" s="29">
        <f t="shared" ref="BG120:BG145" si="344">BG89/BF89-1</f>
        <v>3.8640859809064398E-2</v>
      </c>
      <c r="BH120" s="29">
        <f t="shared" ref="BH120:BH145" si="345">BH89/BG89-1</f>
        <v>4.1340956742498269E-2</v>
      </c>
      <c r="BO120" s="422" t="s">
        <v>334</v>
      </c>
      <c r="BU120" s="29">
        <f>BU89/BQ89-1</f>
        <v>1.0047921870332654E-2</v>
      </c>
      <c r="BV120" s="29">
        <f t="shared" ref="BV120:DO124" si="346">BV89/BR89-1</f>
        <v>3.9600673190161695E-2</v>
      </c>
      <c r="BW120" s="29">
        <f t="shared" si="346"/>
        <v>9.4920300128719326E-2</v>
      </c>
      <c r="BX120" s="29">
        <f t="shared" si="346"/>
        <v>2.6304195789412788E-3</v>
      </c>
      <c r="BY120" s="29">
        <f t="shared" si="346"/>
        <v>2.5041076611373336E-2</v>
      </c>
      <c r="BZ120" s="29">
        <f t="shared" si="346"/>
        <v>2.2450901901580833E-2</v>
      </c>
      <c r="CA120" s="29">
        <f t="shared" si="346"/>
        <v>4.1227362192215899E-2</v>
      </c>
      <c r="CB120" s="29">
        <f t="shared" si="346"/>
        <v>2.4150923648792233E-2</v>
      </c>
      <c r="CC120" s="29">
        <f t="shared" si="346"/>
        <v>4.5741586842171111E-2</v>
      </c>
      <c r="CD120" s="29">
        <f t="shared" si="346"/>
        <v>8.7710086725342418E-2</v>
      </c>
      <c r="CE120" s="29">
        <f t="shared" si="346"/>
        <v>5.5033392645845058E-2</v>
      </c>
      <c r="CF120" s="29">
        <f t="shared" si="346"/>
        <v>2.6428330852521942E-2</v>
      </c>
      <c r="CG120" s="29">
        <f t="shared" si="346"/>
        <v>3.380503674833113E-2</v>
      </c>
      <c r="CH120" s="29">
        <f t="shared" si="346"/>
        <v>3.5504123309073155E-2</v>
      </c>
      <c r="CI120" s="29">
        <f t="shared" si="346"/>
        <v>5.7877297884615375E-2</v>
      </c>
      <c r="CJ120" s="29">
        <f t="shared" si="346"/>
        <v>2.9285516120057142E-2</v>
      </c>
      <c r="CK120" s="29">
        <f t="shared" si="346"/>
        <v>3.322913773871683E-2</v>
      </c>
      <c r="CL120" s="29">
        <f t="shared" si="346"/>
        <v>6.6874009481795449E-2</v>
      </c>
      <c r="CM120" s="29">
        <f t="shared" si="346"/>
        <v>3.9650001357793618E-2</v>
      </c>
      <c r="CN120" s="29">
        <f t="shared" si="346"/>
        <v>-2.2005975638470177E-2</v>
      </c>
      <c r="CO120" s="29">
        <f t="shared" si="346"/>
        <v>3.5310922682237011E-2</v>
      </c>
      <c r="CP120" s="29">
        <f t="shared" si="346"/>
        <v>3.592621924638828E-2</v>
      </c>
      <c r="CQ120" s="29">
        <f t="shared" si="346"/>
        <v>5.2709529165404723E-2</v>
      </c>
      <c r="CR120" s="29">
        <f t="shared" si="346"/>
        <v>1.7394875688421241E-2</v>
      </c>
      <c r="CS120" s="29">
        <f t="shared" si="346"/>
        <v>0.11235201611936674</v>
      </c>
      <c r="CT120" s="29">
        <f t="shared" si="346"/>
        <v>1.9748783507326895E-2</v>
      </c>
      <c r="CU120" s="29">
        <f t="shared" si="346"/>
        <v>1.4678463939944209E-2</v>
      </c>
      <c r="CV120" s="29">
        <f t="shared" si="346"/>
        <v>0.1146255000342038</v>
      </c>
      <c r="CW120" s="29">
        <f t="shared" si="346"/>
        <v>-7.9628493369765518E-4</v>
      </c>
      <c r="CX120" s="29">
        <f t="shared" si="346"/>
        <v>2.7014562246918228E-2</v>
      </c>
      <c r="CY120" s="29">
        <f t="shared" si="346"/>
        <v>6.7038625937873242E-2</v>
      </c>
      <c r="CZ120" s="29">
        <f t="shared" si="346"/>
        <v>-1.2832290194327078E-2</v>
      </c>
      <c r="DA120" s="29">
        <f t="shared" si="346"/>
        <v>1.8545202004841332E-2</v>
      </c>
      <c r="DB120" s="29">
        <f t="shared" si="346"/>
        <v>3.0279339083182144E-2</v>
      </c>
      <c r="DC120" s="29">
        <f t="shared" si="346"/>
        <v>5.7309454508240876E-2</v>
      </c>
      <c r="DD120" s="29">
        <f t="shared" si="346"/>
        <v>5.3715932364201802E-2</v>
      </c>
      <c r="DE120" s="29">
        <f t="shared" si="346"/>
        <v>-1.167995749935935E-2</v>
      </c>
      <c r="DF120" s="29">
        <f t="shared" si="346"/>
        <v>5.8968489438772975E-2</v>
      </c>
      <c r="DG120" s="29">
        <f t="shared" si="346"/>
        <v>5.1144214670193699E-2</v>
      </c>
      <c r="DH120" s="29">
        <f t="shared" si="346"/>
        <v>-1.6894960976965301E-3</v>
      </c>
      <c r="DI120" s="29">
        <f t="shared" si="346"/>
        <v>3.6228572232985812E-3</v>
      </c>
      <c r="DJ120" s="29">
        <f t="shared" si="346"/>
        <v>5.1193211987231146E-2</v>
      </c>
      <c r="DK120" s="29">
        <f t="shared" si="346"/>
        <v>5.7427766872656827E-2</v>
      </c>
      <c r="DL120" s="29">
        <f t="shared" si="346"/>
        <v>2.4650320089442346E-2</v>
      </c>
      <c r="DM120" s="29">
        <f t="shared" si="346"/>
        <v>1.605484179677652E-2</v>
      </c>
      <c r="DN120" s="29">
        <f t="shared" si="346"/>
        <v>4.9236133356058698E-2</v>
      </c>
      <c r="DO120" s="29">
        <f t="shared" si="346"/>
        <v>5.3920298047302584E-2</v>
      </c>
      <c r="DP120" s="29">
        <f t="shared" ref="DP120" si="347">DP89/DL89-1</f>
        <v>2.4846186277859506E-2</v>
      </c>
      <c r="DQ120" s="29">
        <f t="shared" ref="DQ120" si="348">DQ89/DM89-1</f>
        <v>1.6000000000000014E-2</v>
      </c>
    </row>
    <row r="121" spans="1:190" x14ac:dyDescent="0.2">
      <c r="E121" s="177" t="s">
        <v>131</v>
      </c>
      <c r="F121" s="29"/>
      <c r="G121" s="29"/>
      <c r="H121" s="29"/>
      <c r="J121" s="29"/>
      <c r="K121" s="29">
        <f t="shared" ref="K121:Y121" si="349">K90/J90-1</f>
        <v>4.576609424915512E-2</v>
      </c>
      <c r="L121" s="29">
        <f t="shared" si="349"/>
        <v>0.3577808792778483</v>
      </c>
      <c r="M121" s="29">
        <f t="shared" si="349"/>
        <v>0.59007709816830123</v>
      </c>
      <c r="N121" s="29">
        <f t="shared" si="349"/>
        <v>3.5540176802387302E-2</v>
      </c>
      <c r="O121" s="29">
        <f t="shared" si="349"/>
        <v>-0.14691407813179991</v>
      </c>
      <c r="P121" s="29">
        <f t="shared" si="349"/>
        <v>5.4632679952001162E-2</v>
      </c>
      <c r="Q121" s="29">
        <f t="shared" si="349"/>
        <v>1.4255148519632721E-2</v>
      </c>
      <c r="R121" s="29">
        <f t="shared" si="349"/>
        <v>-1.4622323763712197E-2</v>
      </c>
      <c r="S121" s="29">
        <f t="shared" si="349"/>
        <v>3.1086229153886702E-2</v>
      </c>
      <c r="T121" s="29">
        <f t="shared" si="349"/>
        <v>6.6131092469431385E-2</v>
      </c>
      <c r="U121" s="29">
        <f t="shared" si="349"/>
        <v>4.5551176484728284E-2</v>
      </c>
      <c r="V121" s="29">
        <f t="shared" si="349"/>
        <v>4.258538125327993E-2</v>
      </c>
      <c r="W121" s="29">
        <f t="shared" si="349"/>
        <v>4.5083193103767849E-2</v>
      </c>
      <c r="X121" s="29">
        <f t="shared" si="349"/>
        <v>3.8214860486275537E-2</v>
      </c>
      <c r="Y121" s="29">
        <f t="shared" si="349"/>
        <v>3.7391077590578803E-2</v>
      </c>
      <c r="Z121" s="29">
        <f t="shared" si="339"/>
        <v>3.7007291339545834E-2</v>
      </c>
      <c r="AA121" s="29">
        <f t="shared" si="340"/>
        <v>3.0749037788301958E-2</v>
      </c>
      <c r="AB121" s="29">
        <f t="shared" si="340"/>
        <v>2.9206396598117745E-2</v>
      </c>
      <c r="AC121" s="29">
        <f t="shared" si="340"/>
        <v>3.2282551306997309E-2</v>
      </c>
      <c r="AD121" s="29">
        <f t="shared" si="341"/>
        <v>3.5325614924116788E-2</v>
      </c>
      <c r="AE121" s="29">
        <f t="shared" si="342"/>
        <v>3.8944486764570962E-2</v>
      </c>
      <c r="AF121" s="29"/>
      <c r="AG121" s="29"/>
      <c r="AH121" s="29"/>
      <c r="AI121" s="29"/>
      <c r="AJ121" s="29"/>
      <c r="AK121" s="29"/>
      <c r="AL121" s="29"/>
      <c r="AM121" s="29">
        <f t="shared" ref="AM121:BF121" si="350">AM90/AL90-1</f>
        <v>4.4778593024549673E-2</v>
      </c>
      <c r="AN121" s="29">
        <f t="shared" si="350"/>
        <v>4.6711271754894756E-2</v>
      </c>
      <c r="AO121" s="29">
        <f t="shared" si="350"/>
        <v>0.65496847619884124</v>
      </c>
      <c r="AP121" s="29">
        <f t="shared" si="350"/>
        <v>0.55086705944926506</v>
      </c>
      <c r="AQ121" s="29">
        <f t="shared" si="350"/>
        <v>-0.29674290285105354</v>
      </c>
      <c r="AR121" s="29">
        <f t="shared" si="350"/>
        <v>6.6135779916800308E-2</v>
      </c>
      <c r="AS121" s="29">
        <f t="shared" si="350"/>
        <v>4.3843153719519856E-2</v>
      </c>
      <c r="AT121" s="29">
        <f t="shared" si="350"/>
        <v>-1.4090111105299119E-2</v>
      </c>
      <c r="AU121" s="29">
        <f t="shared" si="350"/>
        <v>-1.5162142528497569E-2</v>
      </c>
      <c r="AV121" s="29">
        <f t="shared" si="350"/>
        <v>7.8046620990491755E-2</v>
      </c>
      <c r="AW121" s="39">
        <f t="shared" si="350"/>
        <v>5.5078204506096018E-2</v>
      </c>
      <c r="AX121" s="29">
        <f t="shared" si="350"/>
        <v>3.652148751884976E-2</v>
      </c>
      <c r="AY121" s="29">
        <f t="shared" si="350"/>
        <v>4.8435615722558056E-2</v>
      </c>
      <c r="AZ121" s="29">
        <f t="shared" si="350"/>
        <v>4.1885645664023974E-2</v>
      </c>
      <c r="BA121" s="29">
        <f t="shared" si="350"/>
        <v>3.4691647364926803E-2</v>
      </c>
      <c r="BB121" s="29">
        <f t="shared" si="350"/>
        <v>4.0000000000000036E-2</v>
      </c>
      <c r="BC121" s="29">
        <f t="shared" si="350"/>
        <v>3.412968685834028E-2</v>
      </c>
      <c r="BD121" s="29">
        <f t="shared" si="350"/>
        <v>2.7479961275946208E-2</v>
      </c>
      <c r="BE121" s="29">
        <f t="shared" si="350"/>
        <v>3.0886658391279909E-2</v>
      </c>
      <c r="BF121" s="29">
        <f t="shared" si="350"/>
        <v>3.3636621518649434E-2</v>
      </c>
      <c r="BG121" s="29">
        <f t="shared" si="344"/>
        <v>3.695964507582139E-2</v>
      </c>
      <c r="BH121" s="29">
        <f t="shared" si="345"/>
        <v>4.0858584095334605E-2</v>
      </c>
      <c r="BO121" s="422"/>
      <c r="BU121" s="29"/>
      <c r="BV121" s="29"/>
      <c r="BW121" s="29"/>
      <c r="BX121" s="29"/>
      <c r="BY121" s="29"/>
      <c r="BZ121" s="29"/>
      <c r="CA121" s="29"/>
      <c r="CB121" s="29"/>
      <c r="CC121" s="29"/>
      <c r="CD121" s="29"/>
      <c r="CE121" s="29"/>
      <c r="CF121" s="29"/>
      <c r="CG121" s="29"/>
      <c r="CH121" s="29"/>
      <c r="CI121" s="29"/>
      <c r="CJ121" s="29"/>
      <c r="CK121" s="29"/>
      <c r="CL121" s="29"/>
      <c r="CM121" s="29"/>
      <c r="CN121" s="29"/>
      <c r="CO121" s="29"/>
      <c r="CP121" s="29"/>
      <c r="CQ121" s="29"/>
      <c r="CR121" s="29"/>
      <c r="CS121" s="29"/>
      <c r="CT121" s="29"/>
      <c r="CU121" s="29"/>
      <c r="CV121" s="29"/>
      <c r="CW121" s="29"/>
      <c r="CX121" s="29"/>
      <c r="CY121" s="29"/>
      <c r="CZ121" s="29"/>
      <c r="DA121" s="29"/>
      <c r="DB121" s="29"/>
      <c r="DC121" s="29"/>
      <c r="DD121" s="29"/>
      <c r="DE121" s="29"/>
      <c r="DF121" s="29"/>
      <c r="DG121" s="29"/>
      <c r="DH121" s="29"/>
      <c r="DI121" s="29"/>
      <c r="DJ121" s="29"/>
      <c r="DK121" s="29"/>
      <c r="DL121" s="29"/>
      <c r="DM121" s="29"/>
      <c r="DN121" s="29"/>
      <c r="DO121" s="29"/>
    </row>
    <row r="122" spans="1:190" x14ac:dyDescent="0.2">
      <c r="E122" s="177" t="s">
        <v>132</v>
      </c>
      <c r="F122" s="29"/>
      <c r="G122" s="29"/>
      <c r="H122" s="29"/>
      <c r="J122" s="29"/>
      <c r="K122" s="29">
        <f t="shared" ref="K122:Y122" si="351">K91/J91-1</f>
        <v>3.6891901264448412E-2</v>
      </c>
      <c r="L122" s="29">
        <f t="shared" si="351"/>
        <v>1.7005373124348</v>
      </c>
      <c r="M122" s="29">
        <f t="shared" si="351"/>
        <v>0.64565541908799795</v>
      </c>
      <c r="N122" s="29">
        <f t="shared" si="351"/>
        <v>2.5272869301720569E-2</v>
      </c>
      <c r="O122" s="29">
        <f t="shared" si="351"/>
        <v>3.1920427084848768E-2</v>
      </c>
      <c r="P122" s="29">
        <f t="shared" si="351"/>
        <v>4.270583904073133E-2</v>
      </c>
      <c r="Q122" s="29">
        <f t="shared" si="351"/>
        <v>5.9217621969327672E-2</v>
      </c>
      <c r="R122" s="29">
        <f t="shared" si="351"/>
        <v>7.59486989160576E-2</v>
      </c>
      <c r="S122" s="29">
        <f t="shared" si="351"/>
        <v>7.9301470349254055E-2</v>
      </c>
      <c r="T122" s="29">
        <f t="shared" si="351"/>
        <v>6.6240957792594424E-2</v>
      </c>
      <c r="U122" s="29">
        <f t="shared" si="351"/>
        <v>3.3147872805681988E-2</v>
      </c>
      <c r="V122" s="29">
        <f t="shared" si="351"/>
        <v>1.5338066912365056E-2</v>
      </c>
      <c r="W122" s="29">
        <f t="shared" si="351"/>
        <v>1.7320566115042402E-2</v>
      </c>
      <c r="X122" s="29">
        <f t="shared" si="351"/>
        <v>1.9237767594183053E-2</v>
      </c>
      <c r="Y122" s="29">
        <f t="shared" si="351"/>
        <v>2.105777128903874E-2</v>
      </c>
      <c r="Z122" s="29">
        <f t="shared" si="339"/>
        <v>2.6838855883630997E-2</v>
      </c>
      <c r="AA122" s="29">
        <f t="shared" si="340"/>
        <v>2.6263043995656599E-2</v>
      </c>
      <c r="AB122" s="29">
        <f t="shared" si="340"/>
        <v>2.824457061476271E-2</v>
      </c>
      <c r="AC122" s="29">
        <f t="shared" si="340"/>
        <v>3.6546256249440745E-2</v>
      </c>
      <c r="AD122" s="29">
        <f t="shared" si="341"/>
        <v>3.9477122499854467E-2</v>
      </c>
      <c r="AE122" s="29">
        <f t="shared" si="342"/>
        <v>4.2356491163969556E-2</v>
      </c>
      <c r="AF122" s="29"/>
      <c r="AG122" s="29"/>
      <c r="AH122" s="29"/>
      <c r="AI122" s="29"/>
      <c r="AJ122" s="29"/>
      <c r="AK122" s="29"/>
      <c r="AL122" s="29"/>
      <c r="AM122" s="29">
        <f t="shared" ref="AM122:BF122" si="352">AM91/AL91-1</f>
        <v>3.4636711118247954E-2</v>
      </c>
      <c r="AN122" s="29">
        <f t="shared" si="352"/>
        <v>3.9071594022269451E-2</v>
      </c>
      <c r="AO122" s="29">
        <f t="shared" si="352"/>
        <v>3.2995279190213571</v>
      </c>
      <c r="AP122" s="29">
        <f t="shared" si="352"/>
        <v>2.8408002646654218E-2</v>
      </c>
      <c r="AQ122" s="29">
        <f t="shared" si="352"/>
        <v>2.2224338624338591E-2</v>
      </c>
      <c r="AR122" s="29">
        <f t="shared" si="352"/>
        <v>4.1405711375338772E-2</v>
      </c>
      <c r="AS122" s="29">
        <f t="shared" si="352"/>
        <v>4.3954274353876777E-2</v>
      </c>
      <c r="AT122" s="29">
        <f t="shared" si="352"/>
        <v>7.3838327100208989E-2</v>
      </c>
      <c r="AU122" s="29">
        <f t="shared" si="352"/>
        <v>7.7913959200208049E-2</v>
      </c>
      <c r="AV122" s="29">
        <f t="shared" si="352"/>
        <v>8.0588689182634177E-2</v>
      </c>
      <c r="AW122" s="39">
        <f t="shared" si="352"/>
        <v>5.2963258762732668E-2</v>
      </c>
      <c r="AX122" s="29">
        <f t="shared" si="352"/>
        <v>1.4329185836172265E-2</v>
      </c>
      <c r="AY122" s="29">
        <f t="shared" si="352"/>
        <v>1.6332695766863692E-2</v>
      </c>
      <c r="AZ122" s="29">
        <f t="shared" si="352"/>
        <v>1.8292561163802956E-2</v>
      </c>
      <c r="BA122" s="29">
        <f t="shared" si="352"/>
        <v>2.0165994379322205E-2</v>
      </c>
      <c r="BB122" s="29">
        <f>BB91/BA91-1</f>
        <v>2.1931920118376302E-2</v>
      </c>
      <c r="BC122" s="29">
        <f t="shared" si="352"/>
        <v>3.1640482751970955E-2</v>
      </c>
      <c r="BD122" s="29">
        <f t="shared" si="352"/>
        <v>2.1050531646422455E-2</v>
      </c>
      <c r="BE122" s="29">
        <f t="shared" si="352"/>
        <v>3.5290293373204218E-2</v>
      </c>
      <c r="BF122" s="29">
        <f t="shared" si="352"/>
        <v>3.7759406690699437E-2</v>
      </c>
      <c r="BG122" s="29">
        <f t="shared" si="344"/>
        <v>4.1132338340906349E-2</v>
      </c>
      <c r="BH122" s="29">
        <f t="shared" si="345"/>
        <v>4.3532281001612994E-2</v>
      </c>
      <c r="BO122" s="422"/>
      <c r="BU122" s="29"/>
      <c r="BV122" s="29"/>
      <c r="BW122" s="29"/>
      <c r="BX122" s="29"/>
      <c r="BY122" s="29"/>
      <c r="BZ122" s="29"/>
      <c r="CA122" s="29"/>
      <c r="CB122" s="29"/>
      <c r="CC122" s="29"/>
      <c r="CD122" s="29"/>
      <c r="CE122" s="29"/>
      <c r="CF122" s="29"/>
      <c r="CG122" s="29"/>
      <c r="CH122" s="29"/>
      <c r="CI122" s="29"/>
      <c r="CJ122" s="29"/>
      <c r="CK122" s="29"/>
      <c r="CL122" s="29"/>
      <c r="CM122" s="29"/>
      <c r="CN122" s="29"/>
      <c r="CO122" s="29"/>
      <c r="CP122" s="29"/>
      <c r="CQ122" s="29"/>
      <c r="CR122" s="29"/>
      <c r="CS122" s="29"/>
      <c r="CT122" s="29"/>
      <c r="CU122" s="29"/>
      <c r="CV122" s="29"/>
      <c r="CW122" s="29"/>
      <c r="CX122" s="29"/>
      <c r="CY122" s="29"/>
      <c r="CZ122" s="29"/>
      <c r="DA122" s="29"/>
      <c r="DB122" s="29"/>
      <c r="DC122" s="29"/>
      <c r="DD122" s="29"/>
      <c r="DE122" s="29"/>
      <c r="DF122" s="29"/>
      <c r="DG122" s="29"/>
      <c r="DH122" s="29"/>
      <c r="DI122" s="29"/>
      <c r="DJ122" s="29"/>
      <c r="DK122" s="29"/>
      <c r="DL122" s="29"/>
      <c r="DM122" s="29"/>
      <c r="DN122" s="29"/>
      <c r="DO122" s="29"/>
    </row>
    <row r="123" spans="1:190" x14ac:dyDescent="0.2">
      <c r="E123" s="177" t="s">
        <v>133</v>
      </c>
      <c r="F123" s="29"/>
      <c r="G123" s="29"/>
      <c r="H123" s="29"/>
      <c r="J123" s="29"/>
      <c r="K123" s="29">
        <f t="shared" ref="K123:Y123" si="353">K92/J92-1</f>
        <v>3.6341989022633303E-2</v>
      </c>
      <c r="L123" s="29">
        <f t="shared" si="353"/>
        <v>0.65294042075281822</v>
      </c>
      <c r="M123" s="29">
        <f t="shared" si="353"/>
        <v>0.40332851757969213</v>
      </c>
      <c r="N123" s="29">
        <f t="shared" si="353"/>
        <v>3.1533960715770082E-2</v>
      </c>
      <c r="O123" s="29">
        <f t="shared" si="353"/>
        <v>2.8759823035547916E-2</v>
      </c>
      <c r="P123" s="29">
        <f t="shared" si="353"/>
        <v>3.163759874823513E-2</v>
      </c>
      <c r="Q123" s="29">
        <f t="shared" si="353"/>
        <v>5.5163574169063923E-2</v>
      </c>
      <c r="R123" s="29">
        <f t="shared" si="353"/>
        <v>6.6355035660869088E-2</v>
      </c>
      <c r="S123" s="29">
        <f t="shared" si="353"/>
        <v>4.8300329953459897E-2</v>
      </c>
      <c r="T123" s="29">
        <f t="shared" si="353"/>
        <v>4.4437404878708842E-2</v>
      </c>
      <c r="U123" s="29">
        <f t="shared" si="353"/>
        <v>4.2367940141464722E-2</v>
      </c>
      <c r="V123" s="29">
        <f t="shared" si="353"/>
        <v>3.3815159738364242E-2</v>
      </c>
      <c r="W123" s="29">
        <f t="shared" si="353"/>
        <v>3.4101148661417335E-2</v>
      </c>
      <c r="X123" s="29">
        <f t="shared" si="353"/>
        <v>4.1223725060457683E-2</v>
      </c>
      <c r="Y123" s="29">
        <f t="shared" si="353"/>
        <v>4.9281409482259564E-2</v>
      </c>
      <c r="Z123" s="29">
        <f t="shared" si="339"/>
        <v>5.1361663865440166E-2</v>
      </c>
      <c r="AA123" s="29">
        <f t="shared" si="340"/>
        <v>5.0338273254004529E-2</v>
      </c>
      <c r="AB123" s="29">
        <f t="shared" si="340"/>
        <v>4.7300457311789446E-2</v>
      </c>
      <c r="AC123" s="29">
        <f t="shared" si="340"/>
        <v>4.5834763600223871E-2</v>
      </c>
      <c r="AD123" s="29">
        <f t="shared" si="341"/>
        <v>4.4664272489480794E-2</v>
      </c>
      <c r="AE123" s="29">
        <f t="shared" si="342"/>
        <v>4.2653484980466949E-2</v>
      </c>
      <c r="AF123" s="29"/>
      <c r="AG123" s="29"/>
      <c r="AH123" s="29"/>
      <c r="AI123" s="29"/>
      <c r="AJ123" s="29"/>
      <c r="AK123" s="29"/>
      <c r="AL123" s="29"/>
      <c r="AM123" s="29">
        <f t="shared" ref="AM123:BF123" si="354">AM92/AL92-1</f>
        <v>2.4123388360043352E-2</v>
      </c>
      <c r="AN123" s="29">
        <f t="shared" si="354"/>
        <v>4.827277861445789E-2</v>
      </c>
      <c r="AO123" s="29">
        <f t="shared" si="354"/>
        <v>1.2297632234374141</v>
      </c>
      <c r="AP123" s="29">
        <f t="shared" si="354"/>
        <v>3.2690641247833607E-2</v>
      </c>
      <c r="AQ123" s="29">
        <f t="shared" si="354"/>
        <v>3.0413895823281356E-2</v>
      </c>
      <c r="AR123" s="29">
        <f t="shared" si="354"/>
        <v>2.7154572180102088E-2</v>
      </c>
      <c r="AS123" s="29">
        <f t="shared" si="354"/>
        <v>3.6002108910145436E-2</v>
      </c>
      <c r="AT123" s="29">
        <f t="shared" si="354"/>
        <v>7.3659159355734971E-2</v>
      </c>
      <c r="AU123" s="29">
        <f t="shared" si="354"/>
        <v>5.9552016628974025E-2</v>
      </c>
      <c r="AV123" s="29">
        <f t="shared" si="354"/>
        <v>3.7681043218192434E-2</v>
      </c>
      <c r="AW123" s="39">
        <f t="shared" si="354"/>
        <v>5.0948424526483072E-2</v>
      </c>
      <c r="AX123" s="29">
        <f t="shared" si="354"/>
        <v>3.42034249428389E-2</v>
      </c>
      <c r="AY123" s="29">
        <f t="shared" si="354"/>
        <v>3.3439735334315435E-2</v>
      </c>
      <c r="AZ123" s="29">
        <f t="shared" si="354"/>
        <v>3.4741160172961916E-2</v>
      </c>
      <c r="BA123" s="29">
        <f t="shared" si="354"/>
        <v>4.7488639550195666E-2</v>
      </c>
      <c r="BB123" s="29">
        <f t="shared" si="354"/>
        <v>5.0992902919394734E-2</v>
      </c>
      <c r="BC123" s="29">
        <f t="shared" si="354"/>
        <v>5.1712532976945225E-2</v>
      </c>
      <c r="BD123" s="29">
        <f t="shared" si="354"/>
        <v>4.9031585656538201E-2</v>
      </c>
      <c r="BE123" s="29">
        <f t="shared" si="354"/>
        <v>4.5650241657257506E-2</v>
      </c>
      <c r="BF123" s="29">
        <f t="shared" si="354"/>
        <v>4.6011229817717103E-2</v>
      </c>
      <c r="BG123" s="29">
        <f t="shared" si="344"/>
        <v>4.3376564203145396E-2</v>
      </c>
      <c r="BH123" s="29">
        <f t="shared" si="345"/>
        <v>4.1960466517635631E-2</v>
      </c>
      <c r="BO123" s="422"/>
      <c r="BU123" s="29"/>
      <c r="BV123" s="29"/>
      <c r="BW123" s="29"/>
      <c r="BX123" s="29"/>
      <c r="BY123" s="29"/>
      <c r="BZ123" s="29"/>
      <c r="CA123" s="29"/>
      <c r="CB123" s="29"/>
      <c r="CC123" s="29"/>
      <c r="CD123" s="29"/>
      <c r="CE123" s="29"/>
      <c r="CF123" s="29"/>
      <c r="CG123" s="29"/>
      <c r="CH123" s="29"/>
      <c r="CI123" s="29"/>
      <c r="CJ123" s="29"/>
      <c r="CK123" s="29"/>
      <c r="CL123" s="29"/>
      <c r="CM123" s="29"/>
      <c r="CN123" s="29"/>
      <c r="CO123" s="29"/>
      <c r="CP123" s="29"/>
      <c r="CQ123" s="29"/>
      <c r="CR123" s="29"/>
      <c r="CS123" s="29"/>
      <c r="CT123" s="29"/>
      <c r="CU123" s="29"/>
      <c r="CV123" s="29"/>
      <c r="CW123" s="29"/>
      <c r="CX123" s="29"/>
      <c r="CY123" s="29"/>
      <c r="CZ123" s="29"/>
      <c r="DA123" s="29"/>
      <c r="DB123" s="29"/>
      <c r="DC123" s="29"/>
      <c r="DD123" s="29"/>
      <c r="DE123" s="29"/>
      <c r="DF123" s="29"/>
      <c r="DG123" s="29"/>
      <c r="DH123" s="29"/>
      <c r="DI123" s="29"/>
      <c r="DJ123" s="29"/>
      <c r="DK123" s="29"/>
      <c r="DL123" s="29"/>
      <c r="DM123" s="29"/>
      <c r="DN123" s="29"/>
      <c r="DO123" s="29"/>
    </row>
    <row r="124" spans="1:190" s="9" customFormat="1" x14ac:dyDescent="0.2">
      <c r="A124" s="9" t="s">
        <v>384</v>
      </c>
      <c r="E124" s="620" t="s">
        <v>612</v>
      </c>
      <c r="F124" s="56"/>
      <c r="G124" s="56"/>
      <c r="H124" s="56"/>
      <c r="J124" s="56"/>
      <c r="K124" s="56">
        <f t="shared" ref="K124:Y124" si="355">K93/J93-1</f>
        <v>3.0458100956826994E-2</v>
      </c>
      <c r="L124" s="56">
        <f t="shared" si="355"/>
        <v>0.61355070752034813</v>
      </c>
      <c r="M124" s="56">
        <f t="shared" si="355"/>
        <v>0.41762888052390279</v>
      </c>
      <c r="N124" s="56">
        <f t="shared" si="355"/>
        <v>6.3680915554799933E-2</v>
      </c>
      <c r="O124" s="56">
        <f t="shared" si="355"/>
        <v>6.36028182434214E-2</v>
      </c>
      <c r="P124" s="56">
        <f t="shared" si="355"/>
        <v>6.3388373419394295E-2</v>
      </c>
      <c r="Q124" s="56">
        <f t="shared" si="355"/>
        <v>4.3754463961936496E-2</v>
      </c>
      <c r="R124" s="56">
        <f t="shared" si="355"/>
        <v>1.8439085409049039E-2</v>
      </c>
      <c r="S124" s="56">
        <f t="shared" si="355"/>
        <v>4.073770142848776E-2</v>
      </c>
      <c r="T124" s="56">
        <f t="shared" si="355"/>
        <v>3.7340128847278331E-2</v>
      </c>
      <c r="U124" s="56">
        <f t="shared" si="355"/>
        <v>6.8343775203614232E-3</v>
      </c>
      <c r="V124" s="56">
        <f t="shared" si="355"/>
        <v>1.7691859021755851E-2</v>
      </c>
      <c r="W124" s="56">
        <f t="shared" si="355"/>
        <v>2.7573627686214852E-2</v>
      </c>
      <c r="X124" s="56">
        <f t="shared" si="355"/>
        <v>4.1939587793164312E-2</v>
      </c>
      <c r="Y124" s="56">
        <f t="shared" si="355"/>
        <v>3.6856564429342376E-2</v>
      </c>
      <c r="Z124" s="56">
        <f t="shared" si="339"/>
        <v>2.3645528298448681E-2</v>
      </c>
      <c r="AA124" s="56">
        <f t="shared" si="340"/>
        <v>3.0523613926274118E-2</v>
      </c>
      <c r="AB124" s="56">
        <f t="shared" si="340"/>
        <v>3.4422840542369437E-2</v>
      </c>
      <c r="AC124" s="56">
        <f t="shared" si="340"/>
        <v>3.742269046511848E-2</v>
      </c>
      <c r="AD124" s="56">
        <f t="shared" si="341"/>
        <v>3.5604224996214073E-2</v>
      </c>
      <c r="AE124" s="56">
        <f t="shared" si="342"/>
        <v>3.1728049858364304E-2</v>
      </c>
      <c r="AF124" s="56"/>
      <c r="AG124" s="56"/>
      <c r="AH124" s="56"/>
      <c r="AI124" s="56"/>
      <c r="AJ124" s="56"/>
      <c r="AK124" s="56"/>
      <c r="AL124" s="56"/>
      <c r="AM124" s="56">
        <f t="shared" ref="AM124:BF124" si="356">AM93/AL93-1</f>
        <v>3.1557685624927556E-2</v>
      </c>
      <c r="AN124" s="56">
        <f t="shared" si="356"/>
        <v>2.9392155073796111E-2</v>
      </c>
      <c r="AO124" s="56">
        <f t="shared" si="356"/>
        <v>1.181029825723531</v>
      </c>
      <c r="AP124" s="56">
        <f t="shared" si="356"/>
        <v>6.7610308473252667E-2</v>
      </c>
      <c r="AQ124" s="56">
        <f t="shared" si="356"/>
        <v>6.0000365744381279E-2</v>
      </c>
      <c r="AR124" s="56">
        <f t="shared" si="356"/>
        <v>6.7001357164216957E-2</v>
      </c>
      <c r="AS124" s="56">
        <f t="shared" si="356"/>
        <v>6.0002263626221408E-2</v>
      </c>
      <c r="AT124" s="56">
        <f t="shared" si="356"/>
        <v>2.8426383804162292E-2</v>
      </c>
      <c r="AU124" s="56">
        <f t="shared" si="356"/>
        <v>8.727842531196961E-3</v>
      </c>
      <c r="AV124" s="56">
        <f t="shared" si="356"/>
        <v>7.2470600578935063E-2</v>
      </c>
      <c r="AW124" s="330">
        <f t="shared" si="356"/>
        <v>4.5835463239973784E-3</v>
      </c>
      <c r="AX124" s="56">
        <f t="shared" si="356"/>
        <v>9.0749389993947105E-3</v>
      </c>
      <c r="AY124" s="56">
        <f t="shared" si="356"/>
        <v>2.6231284280800793E-2</v>
      </c>
      <c r="AZ124" s="56">
        <f t="shared" si="356"/>
        <v>2.8881659731208265E-2</v>
      </c>
      <c r="BA124" s="56">
        <f>BA93/AZ93-1</f>
        <v>5.463096773803322E-2</v>
      </c>
      <c r="BB124" s="471">
        <f t="shared" si="356"/>
        <v>2.0002893474834638E-2</v>
      </c>
      <c r="BC124" s="471">
        <f t="shared" si="356"/>
        <v>2.7216728779267951E-2</v>
      </c>
      <c r="BD124" s="471">
        <f t="shared" si="356"/>
        <v>3.3742881150373272E-2</v>
      </c>
      <c r="BE124" s="471">
        <f t="shared" si="356"/>
        <v>3.5080605064277792E-2</v>
      </c>
      <c r="BF124" s="471">
        <f t="shared" si="356"/>
        <v>3.9685398692266949E-2</v>
      </c>
      <c r="BG124" s="471">
        <f t="shared" si="344"/>
        <v>3.1678832082947972E-2</v>
      </c>
      <c r="BH124" s="471">
        <f t="shared" si="345"/>
        <v>3.1775756347909301E-2</v>
      </c>
      <c r="BI124" s="56"/>
      <c r="BJ124" s="56"/>
      <c r="BK124" s="56"/>
      <c r="BL124" s="56"/>
      <c r="BM124" s="56"/>
      <c r="BN124" s="56"/>
      <c r="BO124" s="422" t="s">
        <v>105</v>
      </c>
      <c r="BP124" s="56"/>
      <c r="BQ124" s="56"/>
      <c r="BR124" s="56"/>
      <c r="BS124" s="56"/>
      <c r="BT124" s="56"/>
      <c r="BU124" s="29">
        <f t="shared" ref="BU124:BU147" si="357">BU93/BQ93-1</f>
        <v>0.1305449624930779</v>
      </c>
      <c r="BV124" s="29">
        <f t="shared" si="346"/>
        <v>0.12212003162537011</v>
      </c>
      <c r="BW124" s="29">
        <f t="shared" si="346"/>
        <v>2.8832308099822512E-2</v>
      </c>
      <c r="BX124" s="29">
        <f t="shared" si="346"/>
        <v>-1.5246620200276895E-2</v>
      </c>
      <c r="BY124" s="29">
        <f t="shared" si="346"/>
        <v>3.2236434908190725E-2</v>
      </c>
      <c r="BZ124" s="29">
        <f t="shared" si="346"/>
        <v>-2.254358974358972E-2</v>
      </c>
      <c r="CA124" s="29">
        <f t="shared" si="346"/>
        <v>0.1107574947767358</v>
      </c>
      <c r="CB124" s="29">
        <f t="shared" si="346"/>
        <v>0.14515992194790872</v>
      </c>
      <c r="CC124" s="29">
        <f t="shared" si="346"/>
        <v>6.8360716032544344E-2</v>
      </c>
      <c r="CD124" s="29">
        <f t="shared" si="346"/>
        <v>2.481875333743444E-3</v>
      </c>
      <c r="CE124" s="29">
        <f t="shared" si="346"/>
        <v>5.5486146260152136E-2</v>
      </c>
      <c r="CF124" s="29">
        <f t="shared" si="346"/>
        <v>0.15458211205098915</v>
      </c>
      <c r="CG124" s="29">
        <f t="shared" si="346"/>
        <v>0.16790517994666021</v>
      </c>
      <c r="CH124" s="29">
        <f t="shared" si="346"/>
        <v>0.12930878696472514</v>
      </c>
      <c r="CI124" s="29">
        <f t="shared" si="346"/>
        <v>-7.0697519214353077E-2</v>
      </c>
      <c r="CJ124" s="29">
        <f t="shared" si="346"/>
        <v>2.5404030229588148E-2</v>
      </c>
      <c r="CK124" s="29">
        <f t="shared" si="346"/>
        <v>1.5978086733947627E-3</v>
      </c>
      <c r="CL124" s="29">
        <f t="shared" si="346"/>
        <v>6.5449417447817515E-2</v>
      </c>
      <c r="CM124" s="29">
        <f t="shared" si="346"/>
        <v>0.20217625150652485</v>
      </c>
      <c r="CN124" s="29">
        <f t="shared" si="346"/>
        <v>-5.930949807999597E-2</v>
      </c>
      <c r="CO124" s="29">
        <f t="shared" si="346"/>
        <v>0.14366618945202259</v>
      </c>
      <c r="CP124" s="29">
        <f t="shared" si="346"/>
        <v>-7.1456473484304062E-2</v>
      </c>
      <c r="CQ124" s="29">
        <f t="shared" si="346"/>
        <v>-4.4412268005649014E-2</v>
      </c>
      <c r="CR124" s="29">
        <f t="shared" si="346"/>
        <v>0.18934392218450546</v>
      </c>
      <c r="CS124" s="29">
        <f t="shared" si="346"/>
        <v>-0.21299865724446376</v>
      </c>
      <c r="CT124" s="29">
        <f t="shared" si="346"/>
        <v>0.13808096653771362</v>
      </c>
      <c r="CU124" s="29">
        <f t="shared" si="346"/>
        <v>0.30803334671453997</v>
      </c>
      <c r="CV124" s="29">
        <f t="shared" si="346"/>
        <v>-4.9683350447358166E-3</v>
      </c>
      <c r="CW124" s="29">
        <f t="shared" si="346"/>
        <v>0.11671939923100916</v>
      </c>
      <c r="CX124" s="29">
        <f t="shared" si="346"/>
        <v>7.8164148760925034E-2</v>
      </c>
      <c r="CY124" s="29">
        <f t="shared" si="346"/>
        <v>-2.9516618687092988E-2</v>
      </c>
      <c r="CZ124" s="29">
        <f t="shared" si="346"/>
        <v>-3.5560452466178449E-2</v>
      </c>
      <c r="DA124" s="29">
        <f t="shared" si="346"/>
        <v>9.403263072511292E-2</v>
      </c>
      <c r="DB124" s="29">
        <f t="shared" si="346"/>
        <v>1.9469346462134052E-2</v>
      </c>
      <c r="DC124" s="29">
        <f t="shared" si="346"/>
        <v>-1.4706395230207669E-2</v>
      </c>
      <c r="DD124" s="29">
        <f t="shared" si="346"/>
        <v>-3.0141352110251485E-2</v>
      </c>
      <c r="DE124" s="29">
        <f t="shared" si="346"/>
        <v>2.082095588904731E-2</v>
      </c>
      <c r="DF124" s="29">
        <f t="shared" si="346"/>
        <v>3.4691652671354767E-3</v>
      </c>
      <c r="DG124" s="29">
        <f t="shared" si="346"/>
        <v>1.4761626428306363E-2</v>
      </c>
      <c r="DH124" s="29">
        <f t="shared" si="346"/>
        <v>1.0124803836872198E-2</v>
      </c>
      <c r="DI124" s="29">
        <f t="shared" si="346"/>
        <v>2.0261530889131851E-2</v>
      </c>
      <c r="DJ124" s="29">
        <f t="shared" si="346"/>
        <v>6.5424112251247335E-2</v>
      </c>
      <c r="DK124" s="29">
        <f t="shared" si="346"/>
        <v>1.4577151885625028E-2</v>
      </c>
      <c r="DL124" s="29">
        <f t="shared" si="346"/>
        <v>9.0487207892495647E-3</v>
      </c>
      <c r="DM124" s="29">
        <f t="shared" si="346"/>
        <v>1.8319578887424193E-2</v>
      </c>
      <c r="DN124" s="29">
        <f t="shared" si="346"/>
        <v>2.4592101552033396E-2</v>
      </c>
      <c r="DO124" s="29">
        <f t="shared" si="346"/>
        <v>3.2113551662483086E-2</v>
      </c>
      <c r="DP124" s="29">
        <f t="shared" ref="DP124" si="358">DP93/DL93-1</f>
        <v>9.3101620581221844E-3</v>
      </c>
      <c r="DQ124" s="29">
        <f t="shared" ref="DQ124" si="359">DQ93/DM93-1</f>
        <v>2.5374277708530846E-2</v>
      </c>
      <c r="DR124" s="56"/>
      <c r="DS124" s="56"/>
      <c r="DT124" s="56"/>
      <c r="DU124" s="56"/>
      <c r="DV124" s="56"/>
      <c r="DW124" s="56"/>
      <c r="DX124" s="56"/>
      <c r="DY124" s="56"/>
      <c r="DZ124" s="56"/>
      <c r="EA124" s="56"/>
      <c r="EB124" s="56"/>
      <c r="EC124" s="56"/>
      <c r="ED124" s="56"/>
      <c r="EE124" s="56"/>
      <c r="EF124" s="56"/>
      <c r="EG124" s="56"/>
      <c r="EH124" s="56"/>
      <c r="EI124" s="56"/>
      <c r="EJ124" s="56"/>
      <c r="EK124" s="56"/>
      <c r="EL124" s="56"/>
      <c r="EM124" s="56"/>
      <c r="EN124" s="56"/>
      <c r="EO124" s="56"/>
      <c r="EP124" s="56"/>
      <c r="EQ124" s="56"/>
      <c r="ER124" s="56"/>
      <c r="ES124" s="56"/>
      <c r="ET124" s="56"/>
      <c r="EU124" s="56"/>
      <c r="EV124" s="56"/>
      <c r="EW124" s="56"/>
      <c r="EX124" s="56"/>
      <c r="EY124" s="56"/>
      <c r="EZ124" s="56"/>
      <c r="FA124" s="56"/>
      <c r="FB124" s="56"/>
      <c r="FC124" s="56"/>
      <c r="FD124" s="56"/>
      <c r="FE124" s="56"/>
      <c r="FF124" s="56"/>
      <c r="FG124" s="56"/>
      <c r="FH124" s="56"/>
      <c r="FI124" s="56"/>
      <c r="FJ124" s="56"/>
      <c r="FK124" s="56"/>
      <c r="FL124" s="56"/>
      <c r="FM124" s="56"/>
      <c r="FN124" s="56"/>
      <c r="FO124" s="56"/>
      <c r="FP124" s="56"/>
      <c r="FQ124" s="56"/>
      <c r="FR124" s="56"/>
      <c r="FS124" s="56"/>
      <c r="FT124" s="56"/>
      <c r="FU124" s="56"/>
      <c r="FV124" s="56"/>
      <c r="FW124" s="56"/>
      <c r="FX124" s="56"/>
      <c r="FY124" s="56"/>
      <c r="FZ124" s="56"/>
      <c r="GA124" s="56"/>
      <c r="GB124" s="56"/>
      <c r="GC124" s="56"/>
      <c r="GD124" s="56"/>
      <c r="GE124" s="56"/>
      <c r="GF124" s="56"/>
      <c r="GG124" s="56"/>
      <c r="GH124" s="56"/>
    </row>
    <row r="125" spans="1:190" x14ac:dyDescent="0.2">
      <c r="E125" s="177" t="s">
        <v>106</v>
      </c>
      <c r="F125" s="29"/>
      <c r="G125" s="29"/>
      <c r="H125" s="29"/>
      <c r="J125" s="29"/>
      <c r="K125" s="29">
        <f t="shared" ref="K125:Y125" si="360">K94/J94-1</f>
        <v>5.5898750069780068E-2</v>
      </c>
      <c r="L125" s="29">
        <f t="shared" si="360"/>
        <v>0.51283983821899115</v>
      </c>
      <c r="M125" s="29">
        <f t="shared" si="360"/>
        <v>0.39184782916747873</v>
      </c>
      <c r="N125" s="29">
        <f t="shared" si="360"/>
        <v>0.11003172350945367</v>
      </c>
      <c r="O125" s="29">
        <f t="shared" si="360"/>
        <v>0.11645232295220209</v>
      </c>
      <c r="P125" s="29">
        <f t="shared" si="360"/>
        <v>0.11161006814899244</v>
      </c>
      <c r="Q125" s="29">
        <f t="shared" si="360"/>
        <v>8.3774693207857354E-2</v>
      </c>
      <c r="R125" s="29">
        <f t="shared" si="360"/>
        <v>8.6780800048070761E-2</v>
      </c>
      <c r="S125" s="29">
        <f t="shared" si="360"/>
        <v>8.6611800829999197E-2</v>
      </c>
      <c r="T125" s="29">
        <f t="shared" si="360"/>
        <v>4.8662324961213921E-2</v>
      </c>
      <c r="U125" s="29">
        <f t="shared" si="360"/>
        <v>6.2410848314849998E-2</v>
      </c>
      <c r="V125" s="29">
        <f t="shared" si="360"/>
        <v>0.10631181788163691</v>
      </c>
      <c r="W125" s="29">
        <f t="shared" si="360"/>
        <v>7.8198575889021571E-2</v>
      </c>
      <c r="X125" s="29">
        <f t="shared" si="360"/>
        <v>6.8440100175616525E-2</v>
      </c>
      <c r="Y125" s="29">
        <f t="shared" si="360"/>
        <v>9.9562893286167853E-2</v>
      </c>
      <c r="Z125" s="29">
        <f t="shared" si="339"/>
        <v>9.8121635324487366E-2</v>
      </c>
      <c r="AA125" s="29">
        <f t="shared" si="340"/>
        <v>9.3823728584711219E-2</v>
      </c>
      <c r="AB125" s="29">
        <f t="shared" si="340"/>
        <v>9.3672298026596712E-2</v>
      </c>
      <c r="AC125" s="29">
        <f t="shared" si="340"/>
        <v>9.516704150463684E-2</v>
      </c>
      <c r="AD125" s="29">
        <f t="shared" si="341"/>
        <v>9.822814286833248E-2</v>
      </c>
      <c r="AE125" s="29">
        <f t="shared" si="342"/>
        <v>0.10072806854506156</v>
      </c>
      <c r="AF125" s="29"/>
      <c r="AG125" s="29"/>
      <c r="AH125" s="29"/>
      <c r="AI125" s="29"/>
      <c r="AJ125" s="29"/>
      <c r="AK125" s="29"/>
      <c r="AL125" s="29"/>
      <c r="AM125" s="29">
        <f t="shared" ref="AM125:BF125" si="361">AM94/AL94-1</f>
        <v>6.7328427227508314E-2</v>
      </c>
      <c r="AN125" s="29">
        <f t="shared" si="361"/>
        <v>4.5190071404284327E-2</v>
      </c>
      <c r="AO125" s="29">
        <f t="shared" si="361"/>
        <v>0.96027019525097823</v>
      </c>
      <c r="AP125" s="29">
        <f t="shared" si="361"/>
        <v>0.10187639183165609</v>
      </c>
      <c r="AQ125" s="29">
        <f t="shared" si="361"/>
        <v>0.11743303615963274</v>
      </c>
      <c r="AR125" s="29">
        <f t="shared" si="361"/>
        <v>0.11557467464962357</v>
      </c>
      <c r="AS125" s="29">
        <f t="shared" si="361"/>
        <v>0.10805619892739471</v>
      </c>
      <c r="AT125" s="29">
        <f t="shared" si="361"/>
        <v>6.186108833561188E-2</v>
      </c>
      <c r="AU125" s="29">
        <f t="shared" si="361"/>
        <v>0.11024875832076586</v>
      </c>
      <c r="AV125" s="29">
        <f t="shared" si="361"/>
        <v>6.53220157132679E-2</v>
      </c>
      <c r="AW125" s="39">
        <f t="shared" si="361"/>
        <v>3.3024151238783217E-2</v>
      </c>
      <c r="AX125" s="29">
        <f t="shared" si="361"/>
        <v>9.0858099079342391E-2</v>
      </c>
      <c r="AY125" s="29">
        <f t="shared" si="361"/>
        <v>0.12047838896483931</v>
      </c>
      <c r="AZ125" s="29">
        <f t="shared" si="361"/>
        <v>4.0464860101001587E-2</v>
      </c>
      <c r="BA125" s="29">
        <f t="shared" si="361"/>
        <v>9.5327351391288895E-2</v>
      </c>
      <c r="BB125" s="29">
        <f t="shared" si="361"/>
        <v>0.10342981205661483</v>
      </c>
      <c r="BC125" s="29">
        <f t="shared" si="361"/>
        <v>9.3311019665813122E-2</v>
      </c>
      <c r="BD125" s="29">
        <f t="shared" si="361"/>
        <v>9.4292679239809107E-2</v>
      </c>
      <c r="BE125" s="29">
        <f t="shared" si="361"/>
        <v>9.3105373633349586E-2</v>
      </c>
      <c r="BF125" s="29">
        <f t="shared" si="361"/>
        <v>9.7053106582182691E-2</v>
      </c>
      <c r="BG125" s="29">
        <f t="shared" si="344"/>
        <v>9.9299227102176202E-2</v>
      </c>
      <c r="BH125" s="29">
        <f t="shared" si="345"/>
        <v>0.10202784335401138</v>
      </c>
      <c r="BI125" s="29"/>
      <c r="BJ125" s="29"/>
      <c r="BK125" s="29"/>
      <c r="BL125" s="29"/>
      <c r="BM125" s="29"/>
      <c r="BN125" s="29"/>
      <c r="BO125" s="620" t="s">
        <v>106</v>
      </c>
      <c r="BP125" s="29"/>
      <c r="BQ125" s="29"/>
      <c r="BR125" s="29"/>
      <c r="BS125" s="29"/>
      <c r="BT125" s="29"/>
      <c r="BU125" s="29"/>
      <c r="BV125" s="29"/>
      <c r="BW125" s="29"/>
      <c r="BX125" s="29"/>
      <c r="BY125" s="29"/>
      <c r="BZ125" s="29"/>
      <c r="CA125" s="29"/>
      <c r="CB125" s="29"/>
      <c r="CC125" s="29"/>
      <c r="CD125" s="29"/>
      <c r="CE125" s="29"/>
      <c r="CF125" s="29"/>
      <c r="CG125" s="29"/>
      <c r="CH125" s="29"/>
      <c r="CI125" s="29"/>
      <c r="CJ125" s="29"/>
      <c r="CK125" s="29"/>
      <c r="CL125" s="29"/>
      <c r="CM125" s="29"/>
      <c r="CN125" s="29"/>
      <c r="CO125" s="29"/>
      <c r="CP125" s="29"/>
      <c r="CQ125" s="29"/>
      <c r="CR125" s="29"/>
      <c r="CS125" s="29"/>
      <c r="CT125" s="29"/>
      <c r="CU125" s="29"/>
      <c r="CV125" s="29"/>
      <c r="CW125" s="29"/>
      <c r="CX125" s="29"/>
      <c r="CY125" s="29"/>
      <c r="CZ125" s="29"/>
      <c r="DA125" s="29"/>
      <c r="DB125" s="29"/>
      <c r="DC125" s="29"/>
      <c r="DD125" s="29"/>
      <c r="DE125" s="29"/>
      <c r="DF125" s="29"/>
      <c r="DG125" s="29"/>
      <c r="DH125" s="29"/>
      <c r="DI125" s="29"/>
      <c r="DJ125" s="29"/>
      <c r="DK125" s="29"/>
      <c r="DL125" s="29"/>
      <c r="DM125" s="29"/>
      <c r="DN125" s="29"/>
      <c r="DO125" s="29"/>
      <c r="DP125" s="29"/>
      <c r="DQ125" s="29"/>
      <c r="DR125" s="29"/>
      <c r="DS125" s="29"/>
      <c r="DT125" s="29"/>
      <c r="DU125" s="29"/>
      <c r="DV125" s="29"/>
      <c r="DW125" s="29"/>
      <c r="DX125" s="29"/>
      <c r="DY125" s="29"/>
      <c r="DZ125" s="29"/>
      <c r="EA125" s="29"/>
      <c r="EB125" s="29"/>
      <c r="EC125" s="29"/>
      <c r="ED125" s="29"/>
      <c r="EE125" s="29"/>
      <c r="EF125" s="29"/>
      <c r="EG125" s="29"/>
      <c r="EH125" s="29"/>
      <c r="EI125" s="29"/>
      <c r="EJ125" s="29"/>
      <c r="EK125" s="29"/>
      <c r="EL125" s="29"/>
      <c r="EM125" s="29"/>
      <c r="EN125" s="29"/>
      <c r="EO125" s="29"/>
      <c r="EP125" s="29"/>
      <c r="EQ125" s="29"/>
      <c r="ER125" s="29"/>
      <c r="ES125" s="29"/>
      <c r="ET125" s="29"/>
      <c r="EU125" s="29"/>
      <c r="EV125" s="29"/>
      <c r="EW125" s="29"/>
      <c r="EX125" s="29"/>
      <c r="EY125" s="29"/>
      <c r="EZ125" s="29"/>
      <c r="FA125" s="29"/>
      <c r="FB125" s="29"/>
      <c r="FC125" s="29"/>
      <c r="FD125" s="29"/>
      <c r="FE125" s="29"/>
      <c r="FF125" s="29"/>
      <c r="FG125" s="29"/>
      <c r="FH125" s="29"/>
      <c r="FI125" s="29"/>
      <c r="FJ125" s="29"/>
      <c r="FK125" s="29"/>
      <c r="FL125" s="29"/>
      <c r="FM125" s="29"/>
      <c r="FN125" s="29"/>
      <c r="FO125" s="29"/>
      <c r="FP125" s="29"/>
      <c r="FQ125" s="29"/>
      <c r="FR125" s="29"/>
      <c r="FS125" s="29"/>
      <c r="FT125" s="29"/>
      <c r="FU125" s="29"/>
      <c r="FV125" s="29"/>
      <c r="FW125" s="29"/>
      <c r="FX125" s="29"/>
      <c r="FY125" s="29"/>
      <c r="FZ125" s="29"/>
      <c r="GA125" s="29"/>
      <c r="GB125" s="29"/>
      <c r="GC125" s="29"/>
      <c r="GD125" s="29"/>
      <c r="GE125" s="29"/>
      <c r="GF125" s="29"/>
      <c r="GG125" s="29"/>
      <c r="GH125" s="29"/>
    </row>
    <row r="126" spans="1:190" x14ac:dyDescent="0.2">
      <c r="E126" s="191" t="s">
        <v>136</v>
      </c>
      <c r="F126" s="29"/>
      <c r="G126" s="29"/>
      <c r="H126" s="29"/>
      <c r="J126" s="29"/>
      <c r="K126" s="29">
        <f t="shared" ref="K126:Y126" si="362">K95/J95-1</f>
        <v>0.11819885038426725</v>
      </c>
      <c r="L126" s="29">
        <f t="shared" si="362"/>
        <v>1.5770948040342141</v>
      </c>
      <c r="M126" s="29">
        <f t="shared" si="362"/>
        <v>0.71996911600706648</v>
      </c>
      <c r="N126" s="29">
        <f t="shared" si="362"/>
        <v>0.170099631389796</v>
      </c>
      <c r="O126" s="29">
        <f t="shared" si="362"/>
        <v>0.16502463054187189</v>
      </c>
      <c r="P126" s="29">
        <f t="shared" si="362"/>
        <v>0.16067653276955607</v>
      </c>
      <c r="Q126" s="29">
        <f t="shared" si="362"/>
        <v>1.2308447653346377E-3</v>
      </c>
      <c r="R126" s="29">
        <f t="shared" si="362"/>
        <v>-3.0559079594988825E-2</v>
      </c>
      <c r="S126" s="29">
        <f t="shared" si="362"/>
        <v>-6.8975290537044431E-3</v>
      </c>
      <c r="T126" s="29">
        <f t="shared" si="362"/>
        <v>3.7227257439721662E-2</v>
      </c>
      <c r="U126" s="29">
        <f t="shared" si="362"/>
        <v>0.12480292242773827</v>
      </c>
      <c r="V126" s="29">
        <f t="shared" si="362"/>
        <v>6.75095536893493E-2</v>
      </c>
      <c r="W126" s="29">
        <f t="shared" si="362"/>
        <v>6.4770957984225941E-2</v>
      </c>
      <c r="X126" s="29">
        <f t="shared" si="362"/>
        <v>5.2146761287716892E-2</v>
      </c>
      <c r="Y126" s="29">
        <f t="shared" si="362"/>
        <v>6.6672714877403116E-2</v>
      </c>
      <c r="Z126" s="29">
        <f t="shared" si="339"/>
        <v>8.7361382500788842E-2</v>
      </c>
      <c r="AA126" s="29">
        <f t="shared" si="340"/>
        <v>8.2526011534575616E-2</v>
      </c>
      <c r="AB126" s="29">
        <f t="shared" si="340"/>
        <v>8.3472175591486453E-2</v>
      </c>
      <c r="AC126" s="29">
        <f t="shared" si="340"/>
        <v>8.4631331842199398E-2</v>
      </c>
      <c r="AD126" s="29">
        <f t="shared" si="341"/>
        <v>8.5605398239614106E-2</v>
      </c>
      <c r="AE126" s="29">
        <f t="shared" si="342"/>
        <v>8.1762753962352219E-2</v>
      </c>
      <c r="AF126" s="29"/>
      <c r="AG126" s="29"/>
      <c r="AH126" s="29"/>
      <c r="AI126" s="29"/>
      <c r="AJ126" s="29"/>
      <c r="AK126" s="29"/>
      <c r="AL126" s="29"/>
      <c r="AM126" s="29">
        <f t="shared" ref="AM126:BF126" si="363">AM95/AL95-1</f>
        <v>9.0843681714011693E-2</v>
      </c>
      <c r="AN126" s="29">
        <f t="shared" si="363"/>
        <v>0.14327592524734345</v>
      </c>
      <c r="AO126" s="29">
        <f t="shared" si="363"/>
        <v>2.8312267656397814</v>
      </c>
      <c r="AP126" s="29">
        <f t="shared" si="363"/>
        <v>0.16890341857368774</v>
      </c>
      <c r="AQ126" s="29">
        <f t="shared" si="363"/>
        <v>0.17112299465240643</v>
      </c>
      <c r="AR126" s="29">
        <f t="shared" si="363"/>
        <v>0.15981735159817334</v>
      </c>
      <c r="AS126" s="29">
        <f t="shared" si="363"/>
        <v>0.16141732283464583</v>
      </c>
      <c r="AT126" s="29">
        <f t="shared" si="363"/>
        <v>-0.13669242787739444</v>
      </c>
      <c r="AU126" s="29">
        <f t="shared" si="363"/>
        <v>9.2378969032867575E-2</v>
      </c>
      <c r="AV126" s="29">
        <f t="shared" si="363"/>
        <v>-9.7778533632606135E-2</v>
      </c>
      <c r="AW126" s="39">
        <f t="shared" si="363"/>
        <v>0.18686434334934932</v>
      </c>
      <c r="AX126" s="382">
        <f t="shared" si="363"/>
        <v>7.251268279809997E-2</v>
      </c>
      <c r="AY126" s="382">
        <f t="shared" si="363"/>
        <v>6.2844686607593125E-2</v>
      </c>
      <c r="AZ126" s="382">
        <f t="shared" si="363"/>
        <v>6.658333132616856E-2</v>
      </c>
      <c r="BA126" s="382">
        <f t="shared" si="363"/>
        <v>3.8611419402613922E-2</v>
      </c>
      <c r="BB126" s="382">
        <f t="shared" si="363"/>
        <v>9.3690803597176631E-2</v>
      </c>
      <c r="BC126" s="382">
        <f t="shared" si="363"/>
        <v>8.1574169994685253E-2</v>
      </c>
      <c r="BD126" s="382">
        <f t="shared" si="363"/>
        <v>8.3406063560869326E-2</v>
      </c>
      <c r="BE126" s="382">
        <f t="shared" si="363"/>
        <v>8.353319798451242E-2</v>
      </c>
      <c r="BF126" s="382">
        <f t="shared" si="363"/>
        <v>8.5644806888214964E-2</v>
      </c>
      <c r="BG126" s="382">
        <f t="shared" si="344"/>
        <v>8.55690984771591E-2</v>
      </c>
      <c r="BH126" s="382">
        <f t="shared" si="345"/>
        <v>7.825644144834798E-2</v>
      </c>
      <c r="BI126" s="29"/>
      <c r="BJ126" s="29"/>
      <c r="BK126" s="29"/>
      <c r="BL126" s="29"/>
      <c r="BM126" s="29"/>
      <c r="BN126" s="29"/>
      <c r="BO126" s="623" t="s">
        <v>39</v>
      </c>
      <c r="BP126" s="29"/>
      <c r="BQ126" s="29"/>
      <c r="BR126" s="29"/>
      <c r="BS126" s="29"/>
      <c r="BT126" s="29"/>
      <c r="BU126" s="29">
        <f t="shared" si="357"/>
        <v>0.16762501022120624</v>
      </c>
      <c r="BV126" s="29">
        <f t="shared" ref="BV126:BV147" si="364">BV95/BR95-1</f>
        <v>0.14879683013999578</v>
      </c>
      <c r="BW126" s="29">
        <f t="shared" ref="BW126:BW147" si="365">BW95/BS95-1</f>
        <v>0.16113402733280435</v>
      </c>
      <c r="BX126" s="29">
        <f t="shared" ref="BX126:BX147" si="366">BX95/BT95-1</f>
        <v>0.20397568157428125</v>
      </c>
      <c r="BY126" s="29">
        <f t="shared" ref="BY126:BY147" si="367">BY95/BU95-1</f>
        <v>7.7793327951116931E-2</v>
      </c>
      <c r="BZ126" s="29">
        <f t="shared" ref="BZ126:BZ147" si="368">BZ95/BV95-1</f>
        <v>0.15639770874599734</v>
      </c>
      <c r="CA126" s="29">
        <f t="shared" ref="CA126:CA147" si="369">CA95/BW95-1</f>
        <v>0.21676919621190938</v>
      </c>
      <c r="CB126" s="29">
        <f t="shared" ref="CB126:CB147" si="370">CB95/BX95-1</f>
        <v>0.25228713491393617</v>
      </c>
      <c r="CC126" s="29">
        <f t="shared" ref="CC126:CC147" si="371">CC95/BY95-1</f>
        <v>0.18347061242243412</v>
      </c>
      <c r="CD126" s="29">
        <f t="shared" ref="CD126:CD147" si="372">CD95/BZ95-1</f>
        <v>0.18031530965937748</v>
      </c>
      <c r="CE126" s="29">
        <f t="shared" ref="CE126:CE147" si="373">CE95/CA95-1</f>
        <v>0.15539777679515598</v>
      </c>
      <c r="CF126" s="29">
        <f t="shared" ref="CF126:CF147" si="374">CF95/CB95-1</f>
        <v>0.11752902568643364</v>
      </c>
      <c r="CG126" s="29">
        <f t="shared" ref="CG126:CG147" si="375">CG95/CC95-1</f>
        <v>7.4706089311020962E-2</v>
      </c>
      <c r="CH126" s="29">
        <f t="shared" ref="CH126:CH147" si="376">CH95/CD95-1</f>
        <v>3.1110639085150327E-2</v>
      </c>
      <c r="CI126" s="29">
        <f t="shared" ref="CI126:CI147" si="377">CI95/CE95-1</f>
        <v>0.12319730666035977</v>
      </c>
      <c r="CJ126" s="29">
        <f t="shared" ref="CJ126:CJ147" si="378">CJ95/CF95-1</f>
        <v>0.44836564082001473</v>
      </c>
      <c r="CK126" s="29">
        <f t="shared" ref="CK126:CK147" si="379">CK95/CG95-1</f>
        <v>0.17841748122393675</v>
      </c>
      <c r="CL126" s="29">
        <f t="shared" ref="CL126:CL147" si="380">CL95/CH95-1</f>
        <v>0.19853230722488746</v>
      </c>
      <c r="CM126" s="29">
        <f t="shared" ref="CM126:CM147" si="381">CM95/CI95-1</f>
        <v>0.23723067812927279</v>
      </c>
      <c r="CN126" s="29">
        <f t="shared" ref="CN126:CN147" si="382">CN95/CJ95-1</f>
        <v>3.3805297084024133E-2</v>
      </c>
      <c r="CO126" s="29">
        <f t="shared" ref="CO126:CO147" si="383">CO95/CK95-1</f>
        <v>0.18228757839999532</v>
      </c>
      <c r="CP126" s="29">
        <f t="shared" ref="CP126:CP147" si="384">CP95/CL95-1</f>
        <v>8.8555386656846702E-2</v>
      </c>
      <c r="CQ126" s="29">
        <f t="shared" ref="CQ126:CQ147" si="385">CQ95/CM95-1</f>
        <v>5.1962605737436274E-2</v>
      </c>
      <c r="CR126" s="29">
        <f t="shared" ref="CR126:CR147" si="386">CR95/CN95-1</f>
        <v>0.11044194657550666</v>
      </c>
      <c r="CS126" s="29">
        <f t="shared" ref="CS126:CS147" si="387">CS95/CO95-1</f>
        <v>-1.8770508957909882E-2</v>
      </c>
      <c r="CT126" s="29">
        <f t="shared" ref="CT126:CT147" si="388">CT95/CP95-1</f>
        <v>0.15317215599279055</v>
      </c>
      <c r="CU126" s="29">
        <f t="shared" ref="CU126:CU147" si="389">CU95/CQ95-1</f>
        <v>4.5129119890037206E-2</v>
      </c>
      <c r="CV126" s="29">
        <f t="shared" ref="CV126:CV147" si="390">CV95/CR95-1</f>
        <v>-6.9166254364724122E-2</v>
      </c>
      <c r="CW126" s="29">
        <f t="shared" ref="CW126:CW147" si="391">CW95/CS95-1</f>
        <v>-0.2920989366938731</v>
      </c>
      <c r="CX126" s="29">
        <f t="shared" ref="CX126:CX147" si="392">CX95/CT95-1</f>
        <v>-0.18033237280656023</v>
      </c>
      <c r="CY126" s="29">
        <f t="shared" ref="CY126:CY147" si="393">CY95/CU95-1</f>
        <v>0.29672771160913669</v>
      </c>
      <c r="CZ126" s="29">
        <f t="shared" ref="CZ126:CZ147" si="394">CZ95/CV95-1</f>
        <v>0.24523013466987531</v>
      </c>
      <c r="DA126" s="29">
        <f t="shared" ref="DA126:DA147" si="395">DA95/CW95-1</f>
        <v>0.28334325153136808</v>
      </c>
      <c r="DB126" s="29">
        <f t="shared" ref="DB126:DB147" si="396">DB95/CX95-1</f>
        <v>0.20509054762652368</v>
      </c>
      <c r="DC126" s="29">
        <f t="shared" ref="DC126:DC147" si="397">DC95/CY95-1</f>
        <v>-0.12289635070695215</v>
      </c>
      <c r="DD126" s="29">
        <f t="shared" ref="DD126:DD147" si="398">DD95/CZ95-1</f>
        <v>-9.1246574174450701E-2</v>
      </c>
      <c r="DE126" s="29">
        <f t="shared" ref="DE126:DE147" si="399">DE95/DA95-1</f>
        <v>8.434993586654782E-3</v>
      </c>
      <c r="DF126" s="29">
        <f t="shared" ref="DF126:DF147" si="400">DF95/DB95-1</f>
        <v>5.6297627846178422E-2</v>
      </c>
      <c r="DG126" s="29">
        <f t="shared" ref="DG126:DG147" si="401">DG95/DC95-1</f>
        <v>1.1957784341465993E-2</v>
      </c>
      <c r="DH126" s="29">
        <f t="shared" ref="DH126:DH147" si="402">DH95/DD95-1</f>
        <v>1.0059726072235042E-2</v>
      </c>
      <c r="DI126" s="29">
        <f t="shared" ref="DI126:DI147" si="403">DI95/DE95-1</f>
        <v>0.23786949017709969</v>
      </c>
      <c r="DJ126" s="29">
        <f t="shared" ref="DJ126:DJ147" si="404">DJ95/DF95-1</f>
        <v>-5.1286829520271193E-2</v>
      </c>
      <c r="DK126" s="29">
        <f t="shared" ref="DK126:DK147" si="405">DK95/DG95-1</f>
        <v>1.2608396362434826E-2</v>
      </c>
      <c r="DL126" s="29">
        <f t="shared" ref="DL126:DL147" si="406">DL95/DH95-1</f>
        <v>0.14839079417610423</v>
      </c>
      <c r="DM126" s="29">
        <f t="shared" ref="DM126:DM147" si="407">DM95/DI95-1</f>
        <v>-1.7241322850497287E-2</v>
      </c>
      <c r="DN126" s="29">
        <f t="shared" ref="DN126:DN147" si="408">DN95/DJ95-1</f>
        <v>6.1615572595818513E-2</v>
      </c>
      <c r="DO126" s="29">
        <f t="shared" ref="DO126:DO147" si="409">DO95/DK95-1</f>
        <v>9.1408071118603162E-2</v>
      </c>
      <c r="DP126" s="29">
        <f t="shared" ref="DP126:DP128" si="410">DP95/DL95-1</f>
        <v>0.1323705634196839</v>
      </c>
      <c r="DQ126" s="29">
        <f t="shared" ref="DQ126:DQ128" si="411">DQ95/DM95-1</f>
        <v>8.7136761729778467E-2</v>
      </c>
      <c r="DR126" s="29"/>
      <c r="DS126" s="29"/>
      <c r="DT126" s="29"/>
      <c r="DU126" s="29"/>
      <c r="DV126" s="29"/>
      <c r="DW126" s="29"/>
      <c r="DX126" s="29"/>
      <c r="DY126" s="29"/>
      <c r="DZ126" s="29"/>
      <c r="EA126" s="29"/>
      <c r="EB126" s="29"/>
      <c r="EC126" s="29"/>
      <c r="ED126" s="29"/>
      <c r="EE126" s="29"/>
      <c r="EF126" s="29"/>
      <c r="EG126" s="29"/>
      <c r="EH126" s="29"/>
      <c r="EI126" s="29"/>
      <c r="EJ126" s="29"/>
      <c r="EK126" s="29"/>
      <c r="EL126" s="29"/>
      <c r="EM126" s="29"/>
      <c r="EN126" s="29"/>
      <c r="EO126" s="29"/>
      <c r="EP126" s="29"/>
      <c r="EQ126" s="29"/>
      <c r="ER126" s="29"/>
      <c r="ES126" s="29"/>
      <c r="ET126" s="29"/>
      <c r="EU126" s="29"/>
      <c r="EV126" s="29"/>
      <c r="EW126" s="29"/>
      <c r="EX126" s="29"/>
      <c r="EY126" s="29"/>
      <c r="EZ126" s="29"/>
      <c r="FA126" s="29"/>
      <c r="FB126" s="29"/>
      <c r="FC126" s="29"/>
      <c r="FD126" s="29"/>
      <c r="FE126" s="29"/>
      <c r="FF126" s="29"/>
      <c r="FG126" s="29"/>
      <c r="FH126" s="29"/>
      <c r="FI126" s="29"/>
      <c r="FJ126" s="29"/>
      <c r="FK126" s="29"/>
      <c r="FL126" s="29"/>
      <c r="FM126" s="29"/>
      <c r="FN126" s="29"/>
      <c r="FO126" s="29"/>
      <c r="FP126" s="29"/>
      <c r="FQ126" s="29"/>
      <c r="FR126" s="29"/>
      <c r="FS126" s="29"/>
      <c r="FT126" s="29"/>
      <c r="FU126" s="29"/>
      <c r="FV126" s="29"/>
      <c r="FW126" s="29"/>
      <c r="FX126" s="29"/>
      <c r="FY126" s="29"/>
      <c r="FZ126" s="29"/>
      <c r="GA126" s="29"/>
      <c r="GB126" s="29"/>
      <c r="GC126" s="29"/>
      <c r="GD126" s="29"/>
      <c r="GE126" s="29"/>
      <c r="GF126" s="29"/>
      <c r="GG126" s="29"/>
      <c r="GH126" s="29"/>
    </row>
    <row r="127" spans="1:190" x14ac:dyDescent="0.2">
      <c r="E127" s="191" t="s">
        <v>135</v>
      </c>
      <c r="F127" s="29"/>
      <c r="G127" s="29"/>
      <c r="H127" s="29"/>
      <c r="J127" s="29"/>
      <c r="K127" s="29">
        <f t="shared" ref="K127:Y127" si="412">K96/J96-1</f>
        <v>5.4048133381552343E-2</v>
      </c>
      <c r="L127" s="29">
        <f t="shared" si="412"/>
        <v>0.29152257838790807</v>
      </c>
      <c r="M127" s="29">
        <f t="shared" si="412"/>
        <v>0.25253758042180974</v>
      </c>
      <c r="N127" s="29">
        <f t="shared" si="412"/>
        <v>8.2574607991906745E-2</v>
      </c>
      <c r="O127" s="29">
        <f t="shared" si="412"/>
        <v>9.216213059222067E-2</v>
      </c>
      <c r="P127" s="29">
        <f t="shared" si="412"/>
        <v>9.5187165775401095E-2</v>
      </c>
      <c r="Q127" s="29">
        <f t="shared" si="412"/>
        <v>9.0008974844912659E-2</v>
      </c>
      <c r="R127" s="29">
        <f t="shared" si="412"/>
        <v>0.10032938132472036</v>
      </c>
      <c r="S127" s="29">
        <f t="shared" si="412"/>
        <v>0.11441429841482065</v>
      </c>
      <c r="T127" s="29">
        <f t="shared" si="412"/>
        <v>7.8553096900237485E-2</v>
      </c>
      <c r="U127" s="29">
        <f t="shared" si="412"/>
        <v>6.8674514870732617E-2</v>
      </c>
      <c r="V127" s="29">
        <f t="shared" si="412"/>
        <v>7.900979160864785E-2</v>
      </c>
      <c r="W127" s="29">
        <f t="shared" si="412"/>
        <v>5.4791689137189348E-2</v>
      </c>
      <c r="X127" s="29">
        <f t="shared" si="412"/>
        <v>5.3186950650457199E-2</v>
      </c>
      <c r="Y127" s="29">
        <f t="shared" si="412"/>
        <v>6.6499685833001365E-2</v>
      </c>
      <c r="Z127" s="29">
        <f t="shared" si="339"/>
        <v>6.8763697340647134E-2</v>
      </c>
      <c r="AA127" s="29">
        <f t="shared" si="340"/>
        <v>6.9720497031713791E-2</v>
      </c>
      <c r="AB127" s="29">
        <f t="shared" si="340"/>
        <v>7.0368279415705892E-2</v>
      </c>
      <c r="AC127" s="29">
        <f t="shared" si="340"/>
        <v>7.1489803867230695E-2</v>
      </c>
      <c r="AD127" s="29">
        <f t="shared" si="341"/>
        <v>7.2833952963697213E-2</v>
      </c>
      <c r="AE127" s="29">
        <f t="shared" si="342"/>
        <v>7.5095219821407655E-2</v>
      </c>
      <c r="AF127" s="29"/>
      <c r="AG127" s="29"/>
      <c r="AH127" s="29"/>
      <c r="AI127" s="29"/>
      <c r="AJ127" s="29"/>
      <c r="AK127" s="29"/>
      <c r="AL127" s="29"/>
      <c r="AM127" s="29">
        <f t="shared" ref="AM127:BF127" si="413">AM96/AL96-1</f>
        <v>6.0410817427227093E-2</v>
      </c>
      <c r="AN127" s="29">
        <f t="shared" si="413"/>
        <v>4.8047926724747336E-2</v>
      </c>
      <c r="AO127" s="29">
        <f t="shared" si="413"/>
        <v>0.52383509526301197</v>
      </c>
      <c r="AP127" s="29">
        <f t="shared" si="413"/>
        <v>7.4501573976915036E-2</v>
      </c>
      <c r="AQ127" s="29">
        <f t="shared" si="413"/>
        <v>9.0087890624999778E-2</v>
      </c>
      <c r="AR127" s="29">
        <f t="shared" si="413"/>
        <v>9.4064949608062776E-2</v>
      </c>
      <c r="AS127" s="29">
        <f t="shared" si="413"/>
        <v>9.6212896622313249E-2</v>
      </c>
      <c r="AT127" s="29">
        <f t="shared" si="413"/>
        <v>8.4349561608198842E-2</v>
      </c>
      <c r="AU127" s="29">
        <f t="shared" si="413"/>
        <v>0.11506616020331517</v>
      </c>
      <c r="AV127" s="29">
        <f t="shared" si="413"/>
        <v>0.11382970369590661</v>
      </c>
      <c r="AW127" s="39">
        <f t="shared" si="413"/>
        <v>4.688164238738457E-2</v>
      </c>
      <c r="AX127" s="29">
        <f t="shared" si="413"/>
        <v>8.9491455010832777E-2</v>
      </c>
      <c r="AY127" s="29">
        <f t="shared" si="413"/>
        <v>6.9389098069494892E-2</v>
      </c>
      <c r="AZ127" s="29">
        <f t="shared" si="413"/>
        <v>4.1141457468793385E-2</v>
      </c>
      <c r="BA127" s="29">
        <f t="shared" si="413"/>
        <v>6.4756457459789862E-2</v>
      </c>
      <c r="BB127" s="29">
        <f t="shared" si="413"/>
        <v>6.8136894380550928E-2</v>
      </c>
      <c r="BC127" s="29">
        <f t="shared" si="413"/>
        <v>6.9350516280610508E-2</v>
      </c>
      <c r="BD127" s="29">
        <f t="shared" si="413"/>
        <v>7.0066483446336925E-2</v>
      </c>
      <c r="BE127" s="29">
        <f t="shared" si="413"/>
        <v>7.0650314199560471E-2</v>
      </c>
      <c r="BF127" s="29">
        <f t="shared" si="413"/>
        <v>7.2273897101535312E-2</v>
      </c>
      <c r="BG127" s="29">
        <f t="shared" si="344"/>
        <v>7.3356259683720504E-2</v>
      </c>
      <c r="BH127" s="29">
        <f t="shared" si="345"/>
        <v>7.6715334412438052E-2</v>
      </c>
      <c r="BI127" s="29"/>
      <c r="BJ127" s="29"/>
      <c r="BK127" s="29"/>
      <c r="BL127" s="29"/>
      <c r="BM127" s="29"/>
      <c r="BN127" s="29"/>
      <c r="BO127" s="623" t="s">
        <v>40</v>
      </c>
      <c r="BP127" s="29"/>
      <c r="BQ127" s="29"/>
      <c r="BR127" s="29"/>
      <c r="BS127" s="29"/>
      <c r="BT127" s="29"/>
      <c r="BU127" s="29">
        <f t="shared" si="357"/>
        <v>3.5322572893487614E-2</v>
      </c>
      <c r="BV127" s="29">
        <f t="shared" si="364"/>
        <v>-6.3824174623101637E-3</v>
      </c>
      <c r="BW127" s="29">
        <f t="shared" si="365"/>
        <v>0.12107177175605566</v>
      </c>
      <c r="BX127" s="29">
        <f t="shared" si="366"/>
        <v>0.14038528516398241</v>
      </c>
      <c r="BY127" s="29">
        <f t="shared" si="367"/>
        <v>0.13684670450372427</v>
      </c>
      <c r="BZ127" s="29">
        <f t="shared" si="368"/>
        <v>9.3615303742722755E-2</v>
      </c>
      <c r="CA127" s="29">
        <f t="shared" si="369"/>
        <v>5.2946367254278037E-2</v>
      </c>
      <c r="CB127" s="29">
        <f t="shared" si="370"/>
        <v>8.573018031513624E-2</v>
      </c>
      <c r="CC127" s="29">
        <f t="shared" si="371"/>
        <v>7.4984463564515602E-2</v>
      </c>
      <c r="CD127" s="29">
        <f t="shared" si="372"/>
        <v>7.7072139548517216E-2</v>
      </c>
      <c r="CE127" s="29">
        <f t="shared" si="373"/>
        <v>0.14150244295694092</v>
      </c>
      <c r="CF127" s="29">
        <f t="shared" si="374"/>
        <v>7.9382897990322832E-2</v>
      </c>
      <c r="CG127" s="29">
        <f t="shared" si="375"/>
        <v>9.0530714493513242E-2</v>
      </c>
      <c r="CH127" s="29">
        <f t="shared" si="376"/>
        <v>0.12510996596749213</v>
      </c>
      <c r="CI127" s="29">
        <f t="shared" si="377"/>
        <v>5.9753388988422973E-2</v>
      </c>
      <c r="CJ127" s="29">
        <f t="shared" si="378"/>
        <v>0.11346802083048346</v>
      </c>
      <c r="CK127" s="29">
        <f t="shared" si="379"/>
        <v>0.13500286499109126</v>
      </c>
      <c r="CL127" s="29">
        <f t="shared" si="380"/>
        <v>0.10892900941603822</v>
      </c>
      <c r="CM127" s="29">
        <f t="shared" si="381"/>
        <v>7.2033708512443839E-2</v>
      </c>
      <c r="CN127" s="29">
        <f t="shared" si="382"/>
        <v>3.5689031490091727E-2</v>
      </c>
      <c r="CO127" s="29">
        <f t="shared" si="383"/>
        <v>4.6921457214970319E-2</v>
      </c>
      <c r="CP127" s="29">
        <f t="shared" si="384"/>
        <v>9.8459798575212032E-2</v>
      </c>
      <c r="CQ127" s="29">
        <f t="shared" si="385"/>
        <v>9.0865406534909487E-2</v>
      </c>
      <c r="CR127" s="29">
        <f t="shared" si="386"/>
        <v>0.11020425864141603</v>
      </c>
      <c r="CS127" s="29">
        <f t="shared" si="387"/>
        <v>6.9566557335369428E-2</v>
      </c>
      <c r="CT127" s="29">
        <f t="shared" si="388"/>
        <v>5.3024333399938284E-2</v>
      </c>
      <c r="CU127" s="29">
        <f t="shared" si="389"/>
        <v>0.1022428745451156</v>
      </c>
      <c r="CV127" s="29">
        <f t="shared" si="390"/>
        <v>0.16224430679197233</v>
      </c>
      <c r="CW127" s="29">
        <f t="shared" si="391"/>
        <v>8.375697139133842E-2</v>
      </c>
      <c r="CX127" s="29">
        <f t="shared" si="392"/>
        <v>8.2669521155087411E-2</v>
      </c>
      <c r="CY127" s="29">
        <f t="shared" si="393"/>
        <v>7.2824505028357578E-2</v>
      </c>
      <c r="CZ127" s="29">
        <f t="shared" si="394"/>
        <v>8.1502669830570085E-2</v>
      </c>
      <c r="DA127" s="29">
        <f t="shared" si="395"/>
        <v>4.5051417888811951E-2</v>
      </c>
      <c r="DB127" s="29">
        <f t="shared" si="396"/>
        <v>7.4967386164749961E-2</v>
      </c>
      <c r="DC127" s="29">
        <f t="shared" si="397"/>
        <v>9.0208500245951173E-2</v>
      </c>
      <c r="DD127" s="29">
        <f t="shared" si="398"/>
        <v>9.8760408358446794E-2</v>
      </c>
      <c r="DE127" s="29">
        <f t="shared" si="399"/>
        <v>4.616985139242602E-2</v>
      </c>
      <c r="DF127" s="29">
        <f t="shared" si="400"/>
        <v>8.4791098021010702E-2</v>
      </c>
      <c r="DG127" s="29">
        <f t="shared" si="401"/>
        <v>0.12019300570354563</v>
      </c>
      <c r="DH127" s="29">
        <f t="shared" si="402"/>
        <v>5.8088639742377657E-2</v>
      </c>
      <c r="DI127" s="29">
        <f t="shared" si="403"/>
        <v>4.8889922389025342E-2</v>
      </c>
      <c r="DJ127" s="29">
        <f t="shared" si="404"/>
        <v>8.1929139970055687E-2</v>
      </c>
      <c r="DK127" s="29">
        <f t="shared" si="405"/>
        <v>0.11553941891220743</v>
      </c>
      <c r="DL127" s="29">
        <f t="shared" si="406"/>
        <v>7.4310795334571189E-2</v>
      </c>
      <c r="DM127" s="29">
        <f t="shared" si="407"/>
        <v>8.2746256284237596E-2</v>
      </c>
      <c r="DN127" s="29">
        <f t="shared" si="408"/>
        <v>6.5780806911717837E-2</v>
      </c>
      <c r="DO127" s="29">
        <f t="shared" si="409"/>
        <v>7.690606906956643E-2</v>
      </c>
      <c r="DP127" s="29">
        <f t="shared" si="410"/>
        <v>8.1321449812203461E-2</v>
      </c>
      <c r="DQ127" s="29">
        <f t="shared" si="411"/>
        <v>8.4999999999999964E-2</v>
      </c>
      <c r="DR127" s="29"/>
      <c r="DS127" s="29"/>
      <c r="DT127" s="29"/>
      <c r="DU127" s="29"/>
      <c r="DV127" s="29"/>
      <c r="DW127" s="29"/>
      <c r="DX127" s="29"/>
      <c r="DY127" s="29"/>
      <c r="DZ127" s="29"/>
      <c r="EA127" s="29"/>
      <c r="EB127" s="29"/>
      <c r="EC127" s="29"/>
      <c r="ED127" s="29"/>
      <c r="EE127" s="29"/>
      <c r="EF127" s="29"/>
      <c r="EG127" s="29"/>
      <c r="EH127" s="29"/>
      <c r="EI127" s="29"/>
      <c r="EJ127" s="29"/>
      <c r="EK127" s="29"/>
      <c r="EL127" s="29"/>
      <c r="EM127" s="29"/>
      <c r="EN127" s="29"/>
      <c r="EO127" s="29"/>
      <c r="EP127" s="29"/>
      <c r="EQ127" s="29"/>
      <c r="ER127" s="29"/>
      <c r="ES127" s="29"/>
      <c r="ET127" s="29"/>
      <c r="EU127" s="29"/>
      <c r="EV127" s="29"/>
      <c r="EW127" s="29"/>
      <c r="EX127" s="29"/>
      <c r="EY127" s="29"/>
      <c r="EZ127" s="29"/>
      <c r="FA127" s="29"/>
      <c r="FB127" s="29"/>
      <c r="FC127" s="29"/>
      <c r="FD127" s="29"/>
      <c r="FE127" s="29"/>
      <c r="FF127" s="29"/>
      <c r="FG127" s="29"/>
      <c r="FH127" s="29"/>
      <c r="FI127" s="29"/>
      <c r="FJ127" s="29"/>
      <c r="FK127" s="29"/>
      <c r="FL127" s="29"/>
      <c r="FM127" s="29"/>
      <c r="FN127" s="29"/>
      <c r="FO127" s="29"/>
      <c r="FP127" s="29"/>
      <c r="FQ127" s="29"/>
      <c r="FR127" s="29"/>
      <c r="FS127" s="29"/>
      <c r="FT127" s="29"/>
      <c r="FU127" s="29"/>
      <c r="FV127" s="29"/>
      <c r="FW127" s="29"/>
      <c r="FX127" s="29"/>
      <c r="FY127" s="29"/>
      <c r="FZ127" s="29"/>
      <c r="GA127" s="29"/>
      <c r="GB127" s="29"/>
      <c r="GC127" s="29"/>
      <c r="GD127" s="29"/>
      <c r="GE127" s="29"/>
      <c r="GF127" s="29"/>
      <c r="GG127" s="29"/>
      <c r="GH127" s="29"/>
    </row>
    <row r="128" spans="1:190" x14ac:dyDescent="0.2">
      <c r="E128" s="191" t="s">
        <v>107</v>
      </c>
      <c r="F128" s="29"/>
      <c r="G128" s="29"/>
      <c r="H128" s="29"/>
      <c r="J128" s="29"/>
      <c r="K128" s="29">
        <f t="shared" ref="K128:Y128" si="414">K97/J97-1</f>
        <v>5.1036664035810642E-2</v>
      </c>
      <c r="L128" s="29">
        <f t="shared" si="414"/>
        <v>-4.0181369523083377E-2</v>
      </c>
      <c r="M128" s="29">
        <f t="shared" si="414"/>
        <v>-4.4487654394177678E-2</v>
      </c>
      <c r="N128" s="29">
        <f t="shared" si="414"/>
        <v>6.6754545902528051E-2</v>
      </c>
      <c r="O128" s="29">
        <f t="shared" si="414"/>
        <v>7.3236586881255228E-2</v>
      </c>
      <c r="P128" s="29">
        <f t="shared" si="414"/>
        <v>8.4502465238098345E-2</v>
      </c>
      <c r="Q128" s="29">
        <f t="shared" si="414"/>
        <v>-8.593356962613985E-4</v>
      </c>
      <c r="R128" s="29">
        <f t="shared" si="414"/>
        <v>4.3768163506927804E-2</v>
      </c>
      <c r="S128" s="29">
        <f t="shared" si="414"/>
        <v>0.12931352028782439</v>
      </c>
      <c r="T128" s="29">
        <f t="shared" si="414"/>
        <v>6.0905640087985491E-2</v>
      </c>
      <c r="U128" s="29">
        <f t="shared" si="414"/>
        <v>8.9348873521533978E-2</v>
      </c>
      <c r="V128" s="29">
        <f t="shared" si="414"/>
        <v>3.9858006062756468E-2</v>
      </c>
      <c r="W128" s="29">
        <f t="shared" si="414"/>
        <v>-5.9043948925965317E-3</v>
      </c>
      <c r="X128" s="29">
        <f t="shared" si="414"/>
        <v>8.2474350062096358E-2</v>
      </c>
      <c r="Y128" s="29">
        <f t="shared" si="414"/>
        <v>0.11073296659612231</v>
      </c>
      <c r="Z128" s="29">
        <f t="shared" si="339"/>
        <v>9.3424541360691782E-2</v>
      </c>
      <c r="AA128" s="29">
        <f t="shared" si="340"/>
        <v>9.1364816181809694E-2</v>
      </c>
      <c r="AB128" s="29">
        <f t="shared" si="340"/>
        <v>8.8756896144852604E-2</v>
      </c>
      <c r="AC128" s="29">
        <f t="shared" si="340"/>
        <v>8.8688985136005094E-2</v>
      </c>
      <c r="AD128" s="29">
        <f t="shared" si="341"/>
        <v>9.1271977348308386E-2</v>
      </c>
      <c r="AE128" s="29">
        <f t="shared" si="342"/>
        <v>9.3715059487199381E-2</v>
      </c>
      <c r="AF128" s="29"/>
      <c r="AG128" s="29"/>
      <c r="AH128" s="29"/>
      <c r="AI128" s="29"/>
      <c r="AJ128" s="29"/>
      <c r="AK128" s="29"/>
      <c r="AL128" s="29"/>
      <c r="AM128" s="29">
        <f t="shared" ref="AM128:BF128" si="415">AM97/AL97-1</f>
        <v>3.989353801916562E-2</v>
      </c>
      <c r="AN128" s="29">
        <f t="shared" si="415"/>
        <v>6.1752305213724989E-2</v>
      </c>
      <c r="AO128" s="29">
        <f t="shared" si="415"/>
        <v>-0.13618650578345592</v>
      </c>
      <c r="AP128" s="29">
        <f t="shared" si="415"/>
        <v>6.166819059229911E-2</v>
      </c>
      <c r="AQ128" s="29">
        <f t="shared" si="415"/>
        <v>7.1545454545454579E-2</v>
      </c>
      <c r="AR128" s="29">
        <f t="shared" si="415"/>
        <v>7.4814804892098019E-2</v>
      </c>
      <c r="AS128" s="29">
        <f t="shared" si="415"/>
        <v>9.3515795071206664E-2</v>
      </c>
      <c r="AT128" s="29">
        <f t="shared" si="415"/>
        <v>-8.7163649902644469E-2</v>
      </c>
      <c r="AU128" s="29">
        <f t="shared" si="415"/>
        <v>0.1872022121133492</v>
      </c>
      <c r="AV128" s="29">
        <f t="shared" si="415"/>
        <v>8.0552920589752164E-2</v>
      </c>
      <c r="AW128" s="39">
        <f t="shared" si="415"/>
        <v>4.2723022534147059E-2</v>
      </c>
      <c r="AX128" s="29">
        <f t="shared" si="415"/>
        <v>0.13406434443735926</v>
      </c>
      <c r="AY128" s="29">
        <f t="shared" si="415"/>
        <v>-4.3211652935597034E-2</v>
      </c>
      <c r="AZ128" s="29">
        <f t="shared" si="415"/>
        <v>3.3087779455540201E-2</v>
      </c>
      <c r="BA128" s="29">
        <f t="shared" si="415"/>
        <v>0.1302791654792177</v>
      </c>
      <c r="BB128" s="29">
        <f t="shared" si="415"/>
        <v>9.3439717742147099E-2</v>
      </c>
      <c r="BC128" s="29">
        <f t="shared" si="415"/>
        <v>9.3410661874507861E-2</v>
      </c>
      <c r="BD128" s="29">
        <f t="shared" si="415"/>
        <v>8.9493748188754996E-2</v>
      </c>
      <c r="BE128" s="29">
        <f t="shared" si="415"/>
        <v>8.808057097536226E-2</v>
      </c>
      <c r="BF128" s="29">
        <f t="shared" si="415"/>
        <v>8.9248147919416709E-2</v>
      </c>
      <c r="BG128" s="29">
        <f t="shared" si="344"/>
        <v>9.312998319643162E-2</v>
      </c>
      <c r="BH128" s="29">
        <f t="shared" si="345"/>
        <v>9.4250289788958108E-2</v>
      </c>
      <c r="BI128" s="29"/>
      <c r="BJ128" s="29"/>
      <c r="BK128" s="29"/>
      <c r="BL128" s="29"/>
      <c r="BM128" s="29"/>
      <c r="BN128" s="29"/>
      <c r="BO128" s="623" t="s">
        <v>335</v>
      </c>
      <c r="BP128" s="29"/>
      <c r="BQ128" s="29"/>
      <c r="BR128" s="29"/>
      <c r="BS128" s="29"/>
      <c r="BT128" s="29"/>
      <c r="BU128" s="29">
        <f t="shared" si="357"/>
        <v>6.235525591689739E-2</v>
      </c>
      <c r="BV128" s="29">
        <f t="shared" si="364"/>
        <v>5.0115367850085635E-2</v>
      </c>
      <c r="BW128" s="29">
        <f t="shared" si="365"/>
        <v>-5.373486163963026E-2</v>
      </c>
      <c r="BX128" s="29">
        <f t="shared" si="366"/>
        <v>0.15618278615326386</v>
      </c>
      <c r="BY128" s="29">
        <f t="shared" si="367"/>
        <v>6.3319707150055748E-4</v>
      </c>
      <c r="BZ128" s="29">
        <f t="shared" si="368"/>
        <v>0.15614057440468532</v>
      </c>
      <c r="CA128" s="29">
        <f t="shared" si="369"/>
        <v>0.20548075217418527</v>
      </c>
      <c r="CB128" s="29">
        <f t="shared" si="370"/>
        <v>-4.7848780615452169E-2</v>
      </c>
      <c r="CC128" s="29">
        <f t="shared" si="371"/>
        <v>-2.7081826687937793E-2</v>
      </c>
      <c r="CD128" s="29">
        <f t="shared" si="372"/>
        <v>5.5267225202864534E-2</v>
      </c>
      <c r="CE128" s="29">
        <f t="shared" si="373"/>
        <v>0.10604700817744006</v>
      </c>
      <c r="CF128" s="29">
        <f t="shared" si="374"/>
        <v>0.15456109565673581</v>
      </c>
      <c r="CG128" s="29">
        <f t="shared" si="375"/>
        <v>0.11280066875052785</v>
      </c>
      <c r="CH128" s="29">
        <f t="shared" si="376"/>
        <v>5.7389635024254648E-2</v>
      </c>
      <c r="CI128" s="29">
        <f t="shared" si="377"/>
        <v>6.842449526181027E-2</v>
      </c>
      <c r="CJ128" s="29">
        <f t="shared" si="378"/>
        <v>0.10111867868985414</v>
      </c>
      <c r="CK128" s="29">
        <f t="shared" si="379"/>
        <v>1.2190226452524211E-2</v>
      </c>
      <c r="CL128" s="29">
        <f t="shared" si="380"/>
        <v>3.3326486452244009E-2</v>
      </c>
      <c r="CM128" s="29">
        <f t="shared" si="381"/>
        <v>1.9300258380230639E-2</v>
      </c>
      <c r="CN128" s="29">
        <f t="shared" si="382"/>
        <v>-7.7352839601318224E-2</v>
      </c>
      <c r="CO128" s="29">
        <f t="shared" si="383"/>
        <v>9.3421745098270836E-2</v>
      </c>
      <c r="CP128" s="29">
        <f t="shared" si="384"/>
        <v>0.12690457318888826</v>
      </c>
      <c r="CQ128" s="29">
        <f t="shared" si="385"/>
        <v>7.7410754690483641E-2</v>
      </c>
      <c r="CR128" s="29">
        <f t="shared" si="386"/>
        <v>0.10751400506508846</v>
      </c>
      <c r="CS128" s="29">
        <f t="shared" si="387"/>
        <v>2.7661973212538271E-2</v>
      </c>
      <c r="CT128" s="29">
        <f t="shared" si="388"/>
        <v>-2.1789488711429383E-2</v>
      </c>
      <c r="CU128" s="29">
        <f t="shared" si="389"/>
        <v>6.1785771490572516E-2</v>
      </c>
      <c r="CV128" s="29">
        <f t="shared" si="390"/>
        <v>0.15633338522609175</v>
      </c>
      <c r="CW128" s="29">
        <f t="shared" si="391"/>
        <v>7.3646865993458377E-2</v>
      </c>
      <c r="CX128" s="29">
        <f t="shared" si="392"/>
        <v>0.11177762486182119</v>
      </c>
      <c r="CY128" s="29">
        <f t="shared" si="393"/>
        <v>0.11188215616610475</v>
      </c>
      <c r="CZ128" s="29">
        <f t="shared" si="394"/>
        <v>2.6983167070844916E-2</v>
      </c>
      <c r="DA128" s="29">
        <f t="shared" si="395"/>
        <v>4.6739406382330317E-2</v>
      </c>
      <c r="DB128" s="29">
        <f t="shared" si="396"/>
        <v>9.5108301508357362E-2</v>
      </c>
      <c r="DC128" s="29">
        <f t="shared" si="397"/>
        <v>0.13401660006232463</v>
      </c>
      <c r="DD128" s="29">
        <f t="shared" si="398"/>
        <v>0.10209727434992177</v>
      </c>
      <c r="DE128" s="29">
        <f t="shared" si="399"/>
        <v>6.6071099421080914E-2</v>
      </c>
      <c r="DF128" s="29">
        <f t="shared" si="400"/>
        <v>0.10257085215132866</v>
      </c>
      <c r="DG128" s="29">
        <f t="shared" si="401"/>
        <v>-4.3105406336653607E-2</v>
      </c>
      <c r="DH128" s="29">
        <f t="shared" si="402"/>
        <v>-3.5732924158385249E-2</v>
      </c>
      <c r="DI128" s="29">
        <f t="shared" si="403"/>
        <v>3.0958475557320675E-2</v>
      </c>
      <c r="DJ128" s="29">
        <f t="shared" si="404"/>
        <v>-1.2458887424188769E-2</v>
      </c>
      <c r="DK128" s="29">
        <f t="shared" si="405"/>
        <v>9.2848479161236286E-2</v>
      </c>
      <c r="DL128" s="29">
        <f t="shared" si="406"/>
        <v>0.12697877490300513</v>
      </c>
      <c r="DM128" s="29">
        <f t="shared" si="407"/>
        <v>6.1620124904746998E-2</v>
      </c>
      <c r="DN128" s="29">
        <f t="shared" si="408"/>
        <v>5.0085906283084514E-2</v>
      </c>
      <c r="DO128" s="29">
        <f t="shared" si="409"/>
        <v>3.2175521071231117E-2</v>
      </c>
      <c r="DP128" s="29">
        <f t="shared" si="410"/>
        <v>3.762503837561737E-2</v>
      </c>
      <c r="DQ128" s="29">
        <f t="shared" si="411"/>
        <v>0.12568733953015232</v>
      </c>
      <c r="DR128" s="29"/>
      <c r="DS128" s="29"/>
      <c r="DT128" s="29"/>
      <c r="DU128" s="29"/>
      <c r="DV128" s="29"/>
      <c r="DW128" s="29"/>
      <c r="DX128" s="29"/>
      <c r="DY128" s="29"/>
      <c r="DZ128" s="29"/>
      <c r="EA128" s="29"/>
      <c r="EB128" s="29"/>
      <c r="EC128" s="29"/>
      <c r="ED128" s="29"/>
      <c r="EE128" s="29"/>
      <c r="EF128" s="29"/>
      <c r="EG128" s="29"/>
      <c r="EH128" s="29"/>
      <c r="EI128" s="29"/>
      <c r="EJ128" s="29"/>
      <c r="EK128" s="29"/>
      <c r="EL128" s="29"/>
      <c r="EM128" s="29"/>
      <c r="EN128" s="29"/>
      <c r="EO128" s="29"/>
      <c r="EP128" s="29"/>
      <c r="EQ128" s="29"/>
      <c r="ER128" s="29"/>
      <c r="ES128" s="29"/>
      <c r="ET128" s="29"/>
      <c r="EU128" s="29"/>
      <c r="EV128" s="29"/>
      <c r="EW128" s="29"/>
      <c r="EX128" s="29"/>
      <c r="EY128" s="29"/>
      <c r="EZ128" s="29"/>
      <c r="FA128" s="29"/>
      <c r="FB128" s="29"/>
      <c r="FC128" s="29"/>
      <c r="FD128" s="29"/>
      <c r="FE128" s="29"/>
      <c r="FF128" s="29"/>
      <c r="FG128" s="29"/>
      <c r="FH128" s="29"/>
      <c r="FI128" s="29"/>
      <c r="FJ128" s="29"/>
      <c r="FK128" s="29"/>
      <c r="FL128" s="29"/>
      <c r="FM128" s="29"/>
      <c r="FN128" s="29"/>
      <c r="FO128" s="29"/>
      <c r="FP128" s="29"/>
      <c r="FQ128" s="29"/>
      <c r="FR128" s="29"/>
      <c r="FS128" s="29"/>
      <c r="FT128" s="29"/>
      <c r="FU128" s="29"/>
      <c r="FV128" s="29"/>
      <c r="FW128" s="29"/>
      <c r="FX128" s="29"/>
      <c r="FY128" s="29"/>
      <c r="FZ128" s="29"/>
      <c r="GA128" s="29"/>
      <c r="GB128" s="29"/>
      <c r="GC128" s="29"/>
      <c r="GD128" s="29"/>
      <c r="GE128" s="29"/>
      <c r="GF128" s="29"/>
      <c r="GG128" s="29"/>
      <c r="GH128" s="29"/>
    </row>
    <row r="129" spans="5:190" x14ac:dyDescent="0.2">
      <c r="E129" s="191" t="s">
        <v>134</v>
      </c>
      <c r="F129" s="29"/>
      <c r="G129" s="29"/>
      <c r="H129" s="29"/>
      <c r="J129" s="29"/>
      <c r="K129" s="29">
        <f t="shared" ref="K129:Y129" si="416">K98/J98-1</f>
        <v>3.1962848297213631E-2</v>
      </c>
      <c r="L129" s="29">
        <f t="shared" si="416"/>
        <v>2.095616702536129</v>
      </c>
      <c r="M129" s="29">
        <f t="shared" si="416"/>
        <v>0.69527073917140947</v>
      </c>
      <c r="N129" s="29">
        <f t="shared" si="416"/>
        <v>3.6975394719085841E-2</v>
      </c>
      <c r="O129" s="29">
        <f t="shared" si="416"/>
        <v>4.8507786405240116E-2</v>
      </c>
      <c r="P129" s="29">
        <f t="shared" si="416"/>
        <v>4.7287583389357124E-2</v>
      </c>
      <c r="Q129" s="29">
        <f t="shared" si="416"/>
        <v>3.2228866023372271E-2</v>
      </c>
      <c r="R129" s="29">
        <f t="shared" si="416"/>
        <v>-2.5980146366383905E-2</v>
      </c>
      <c r="S129" s="29">
        <f t="shared" si="416"/>
        <v>-2.647577868844686E-2</v>
      </c>
      <c r="T129" s="29">
        <f t="shared" si="416"/>
        <v>3.4585521644863393E-2</v>
      </c>
      <c r="U129" s="29">
        <f t="shared" si="416"/>
        <v>3.3375249021362796E-2</v>
      </c>
      <c r="V129" s="29">
        <f t="shared" si="416"/>
        <v>4.4037978027799962E-3</v>
      </c>
      <c r="W129" s="29">
        <f t="shared" si="416"/>
        <v>7.7778242653256946E-3</v>
      </c>
      <c r="X129" s="29">
        <f t="shared" si="416"/>
        <v>2.7408941588789926E-2</v>
      </c>
      <c r="Y129" s="29">
        <f t="shared" si="416"/>
        <v>3.2012180261250966E-2</v>
      </c>
      <c r="Z129" s="29">
        <f t="shared" si="339"/>
        <v>3.7272762151394412E-2</v>
      </c>
      <c r="AA129" s="29">
        <f t="shared" si="340"/>
        <v>3.6412860845342898E-2</v>
      </c>
      <c r="AB129" s="29">
        <f t="shared" si="340"/>
        <v>3.5836164265703241E-2</v>
      </c>
      <c r="AC129" s="29">
        <f t="shared" si="340"/>
        <v>3.522315103921958E-2</v>
      </c>
      <c r="AD129" s="29">
        <f t="shared" si="341"/>
        <v>3.44551946108822E-2</v>
      </c>
      <c r="AE129" s="29">
        <f t="shared" si="342"/>
        <v>3.3688541189032861E-2</v>
      </c>
      <c r="AF129" s="29"/>
      <c r="AG129" s="29"/>
      <c r="AH129" s="29"/>
      <c r="AI129" s="29"/>
      <c r="AJ129" s="29"/>
      <c r="AK129" s="29"/>
      <c r="AL129" s="29"/>
      <c r="AM129" s="29">
        <f t="shared" ref="AM129:BF129" si="417">AM98/AL98-1</f>
        <v>2.9812478005127874E-2</v>
      </c>
      <c r="AN129" s="29">
        <f t="shared" si="417"/>
        <v>3.4050966608084376E-2</v>
      </c>
      <c r="AO129" s="29">
        <f t="shared" si="417"/>
        <v>4.0892957401278984</v>
      </c>
      <c r="AP129" s="29">
        <f t="shared" si="417"/>
        <v>2.837591240875903E-2</v>
      </c>
      <c r="AQ129" s="29">
        <f t="shared" si="417"/>
        <v>4.5337592050394893E-2</v>
      </c>
      <c r="AR129" s="29">
        <f t="shared" si="417"/>
        <v>5.1540485486335053E-2</v>
      </c>
      <c r="AS129" s="29">
        <f t="shared" si="417"/>
        <v>4.3243134168734931E-2</v>
      </c>
      <c r="AT129" s="29">
        <f t="shared" si="417"/>
        <v>2.1671146749102643E-2</v>
      </c>
      <c r="AU129" s="29">
        <f t="shared" si="417"/>
        <v>-7.2620685513554828E-2</v>
      </c>
      <c r="AV129" s="29">
        <f t="shared" si="417"/>
        <v>2.3282616937038592E-2</v>
      </c>
      <c r="AW129" s="39">
        <f t="shared" si="417"/>
        <v>4.5631252824835489E-2</v>
      </c>
      <c r="AX129" s="29">
        <f t="shared" si="417"/>
        <v>2.1654096109796184E-2</v>
      </c>
      <c r="AY129" s="29">
        <f t="shared" si="417"/>
        <v>-1.2480878109254356E-2</v>
      </c>
      <c r="AZ129" s="29">
        <f t="shared" si="417"/>
        <v>2.8292568664190387E-2</v>
      </c>
      <c r="BA129" s="29">
        <f t="shared" si="417"/>
        <v>2.6549626737814913E-2</v>
      </c>
      <c r="BB129" s="29">
        <f t="shared" si="417"/>
        <v>3.7333455902639257E-2</v>
      </c>
      <c r="BC129" s="29">
        <f t="shared" si="417"/>
        <v>3.7214252758007937E-2</v>
      </c>
      <c r="BD129" s="29">
        <f t="shared" si="417"/>
        <v>3.5640222106013475E-2</v>
      </c>
      <c r="BE129" s="29">
        <f t="shared" si="417"/>
        <v>3.6025363328763049E-2</v>
      </c>
      <c r="BF129" s="29">
        <f t="shared" si="417"/>
        <v>3.4448833809218371E-2</v>
      </c>
      <c r="BG129" s="29">
        <f t="shared" si="344"/>
        <v>3.4461343587473436E-2</v>
      </c>
      <c r="BH129" s="29">
        <f t="shared" si="345"/>
        <v>3.2941483405548366E-2</v>
      </c>
      <c r="BI129" s="29"/>
      <c r="BJ129" s="29"/>
      <c r="BK129" s="29"/>
      <c r="BL129" s="29"/>
      <c r="BM129" s="29"/>
      <c r="BN129" s="29"/>
      <c r="BO129" s="422"/>
      <c r="BP129" s="29"/>
      <c r="BQ129" s="29"/>
      <c r="BR129" s="29"/>
      <c r="BS129" s="29"/>
      <c r="BT129" s="29"/>
      <c r="BU129" s="29"/>
      <c r="BV129" s="29"/>
      <c r="BW129" s="29"/>
      <c r="BX129" s="29"/>
      <c r="BY129" s="29"/>
      <c r="BZ129" s="29"/>
      <c r="CA129" s="29"/>
      <c r="CB129" s="29"/>
      <c r="CC129" s="29"/>
      <c r="CD129" s="29"/>
      <c r="CE129" s="29"/>
      <c r="CF129" s="29"/>
      <c r="CG129" s="29"/>
      <c r="CH129" s="29"/>
      <c r="CI129" s="29"/>
      <c r="CJ129" s="29"/>
      <c r="CK129" s="29"/>
      <c r="CL129" s="29"/>
      <c r="CM129" s="29"/>
      <c r="CN129" s="29"/>
      <c r="CO129" s="29"/>
      <c r="CP129" s="29"/>
      <c r="CQ129" s="29"/>
      <c r="CR129" s="29"/>
      <c r="CS129" s="29"/>
      <c r="CT129" s="29"/>
      <c r="CU129" s="29"/>
      <c r="CV129" s="29"/>
      <c r="CW129" s="29"/>
      <c r="CX129" s="29"/>
      <c r="CY129" s="29"/>
      <c r="CZ129" s="29"/>
      <c r="DA129" s="29"/>
      <c r="DB129" s="29"/>
      <c r="DC129" s="29"/>
      <c r="DD129" s="29"/>
      <c r="DE129" s="29"/>
      <c r="DF129" s="29"/>
      <c r="DG129" s="29"/>
      <c r="DH129" s="29"/>
      <c r="DI129" s="29"/>
      <c r="DJ129" s="29"/>
      <c r="DK129" s="29"/>
      <c r="DL129" s="29"/>
      <c r="DM129" s="29"/>
      <c r="DN129" s="29"/>
      <c r="DO129" s="29"/>
      <c r="DP129" s="29"/>
      <c r="DQ129" s="29"/>
      <c r="DR129" s="29"/>
      <c r="DS129" s="29"/>
      <c r="DT129" s="29"/>
      <c r="DU129" s="29"/>
      <c r="DV129" s="29"/>
      <c r="DW129" s="29"/>
      <c r="DX129" s="29"/>
      <c r="DY129" s="29"/>
      <c r="DZ129" s="29"/>
      <c r="EA129" s="29"/>
      <c r="EB129" s="29"/>
      <c r="EC129" s="29"/>
      <c r="ED129" s="29"/>
      <c r="EE129" s="29"/>
      <c r="EF129" s="29"/>
      <c r="EG129" s="29"/>
      <c r="EH129" s="29"/>
      <c r="EI129" s="29"/>
      <c r="EJ129" s="29"/>
      <c r="EK129" s="29"/>
      <c r="EL129" s="29"/>
      <c r="EM129" s="29"/>
      <c r="EN129" s="29"/>
      <c r="EO129" s="29"/>
      <c r="EP129" s="29"/>
      <c r="EQ129" s="29"/>
      <c r="ER129" s="29"/>
      <c r="ES129" s="29"/>
      <c r="ET129" s="29"/>
      <c r="EU129" s="29"/>
      <c r="EV129" s="29"/>
      <c r="EW129" s="29"/>
      <c r="EX129" s="29"/>
      <c r="EY129" s="29"/>
      <c r="EZ129" s="29"/>
      <c r="FA129" s="29"/>
      <c r="FB129" s="29"/>
      <c r="FC129" s="29"/>
      <c r="FD129" s="29"/>
      <c r="FE129" s="29"/>
      <c r="FF129" s="29"/>
      <c r="FG129" s="29"/>
      <c r="FH129" s="29"/>
      <c r="FI129" s="29"/>
      <c r="FJ129" s="29"/>
      <c r="FK129" s="29"/>
      <c r="FL129" s="29"/>
      <c r="FM129" s="29"/>
      <c r="FN129" s="29"/>
      <c r="FO129" s="29"/>
      <c r="FP129" s="29"/>
      <c r="FQ129" s="29"/>
      <c r="FR129" s="29"/>
      <c r="FS129" s="29"/>
      <c r="FT129" s="29"/>
      <c r="FU129" s="29"/>
      <c r="FV129" s="29"/>
      <c r="FW129" s="29"/>
      <c r="FX129" s="29"/>
      <c r="FY129" s="29"/>
      <c r="FZ129" s="29"/>
      <c r="GA129" s="29"/>
      <c r="GB129" s="29"/>
      <c r="GC129" s="29"/>
      <c r="GD129" s="29"/>
      <c r="GE129" s="29"/>
      <c r="GF129" s="29"/>
      <c r="GG129" s="29"/>
      <c r="GH129" s="29"/>
    </row>
    <row r="130" spans="5:190" x14ac:dyDescent="0.2">
      <c r="E130" s="191" t="s">
        <v>109</v>
      </c>
      <c r="F130" s="29"/>
      <c r="G130" s="29"/>
      <c r="H130" s="29"/>
      <c r="J130" s="29"/>
      <c r="K130" s="29">
        <f t="shared" ref="K130:Y130" si="418">K99/J99-1</f>
        <v>4.572194672442631E-2</v>
      </c>
      <c r="L130" s="29">
        <f t="shared" si="418"/>
        <v>0.62833493094235826</v>
      </c>
      <c r="M130" s="29">
        <f t="shared" si="418"/>
        <v>0.46555197733959752</v>
      </c>
      <c r="N130" s="29">
        <f t="shared" si="418"/>
        <v>0.12870363015330843</v>
      </c>
      <c r="O130" s="29">
        <f t="shared" si="418"/>
        <v>0.13337614582050428</v>
      </c>
      <c r="P130" s="29">
        <f t="shared" si="418"/>
        <v>0.11436530642975451</v>
      </c>
      <c r="Q130" s="29">
        <f t="shared" si="418"/>
        <v>0.14862605937909179</v>
      </c>
      <c r="R130" s="29">
        <f t="shared" si="418"/>
        <v>0.15902007434543552</v>
      </c>
      <c r="S130" s="29">
        <f t="shared" si="418"/>
        <v>0.11336918000973029</v>
      </c>
      <c r="T130" s="29">
        <f t="shared" si="418"/>
        <v>2.6703618839147625E-2</v>
      </c>
      <c r="U130" s="29">
        <f t="shared" si="418"/>
        <v>3.1441436134656886E-2</v>
      </c>
      <c r="V130" s="29">
        <f t="shared" si="418"/>
        <v>0.16923499698068878</v>
      </c>
      <c r="W130" s="29">
        <f t="shared" si="418"/>
        <v>0.12025301859472703</v>
      </c>
      <c r="X130" s="29">
        <f t="shared" si="418"/>
        <v>8.9788947109108452E-2</v>
      </c>
      <c r="Y130" s="29">
        <f t="shared" si="418"/>
        <v>0.14318544891823271</v>
      </c>
      <c r="Z130" s="29">
        <f t="shared" si="339"/>
        <v>0.12909914853305526</v>
      </c>
      <c r="AA130" s="29">
        <f t="shared" si="340"/>
        <v>0.11904905467231464</v>
      </c>
      <c r="AB130" s="29">
        <f t="shared" si="340"/>
        <v>0.1170502160507727</v>
      </c>
      <c r="AC130" s="29">
        <f t="shared" si="340"/>
        <v>0.11810562153426596</v>
      </c>
      <c r="AD130" s="29">
        <f t="shared" si="341"/>
        <v>0.12210817081025827</v>
      </c>
      <c r="AE130" s="29">
        <f t="shared" si="342"/>
        <v>0.12566184725553797</v>
      </c>
      <c r="AF130" s="29"/>
      <c r="AG130" s="29"/>
      <c r="AH130" s="29"/>
      <c r="AI130" s="29"/>
      <c r="AJ130" s="29"/>
      <c r="AK130" s="29"/>
      <c r="AL130" s="29"/>
      <c r="AM130" s="29">
        <f t="shared" ref="AM130:BF130" si="419">AM99/AL99-1</f>
        <v>8.7116865478176209E-2</v>
      </c>
      <c r="AN130" s="29">
        <f t="shared" si="419"/>
        <v>7.6442385513106892E-3</v>
      </c>
      <c r="AO130" s="29">
        <f t="shared" si="419"/>
        <v>1.244316910141102</v>
      </c>
      <c r="AP130" s="29">
        <f t="shared" si="419"/>
        <v>0.11855778535066674</v>
      </c>
      <c r="AQ130" s="29">
        <f t="shared" si="419"/>
        <v>0.13777410012412106</v>
      </c>
      <c r="AR130" s="29">
        <f t="shared" si="419"/>
        <v>0.12951074380165273</v>
      </c>
      <c r="AS130" s="29">
        <f t="shared" si="419"/>
        <v>0.10095645887782911</v>
      </c>
      <c r="AT130" s="29">
        <f t="shared" si="419"/>
        <v>0.19192441156810691</v>
      </c>
      <c r="AU130" s="29">
        <f t="shared" si="419"/>
        <v>0.13141401400862085</v>
      </c>
      <c r="AV130" s="29">
        <f t="shared" si="419"/>
        <v>9.7420257886203343E-2</v>
      </c>
      <c r="AW130" s="39">
        <f t="shared" si="419"/>
        <v>-3.7735358424919263E-2</v>
      </c>
      <c r="AX130" s="29">
        <f t="shared" si="419"/>
        <v>0.10333100951266694</v>
      </c>
      <c r="AY130" s="412">
        <f t="shared" si="419"/>
        <v>0.22896683348289182</v>
      </c>
      <c r="AZ130" s="412">
        <f t="shared" si="419"/>
        <v>3.1793499650615287E-2</v>
      </c>
      <c r="BA130" s="412">
        <f t="shared" si="419"/>
        <v>0.14599733326208564</v>
      </c>
      <c r="BB130" s="29">
        <f t="shared" si="419"/>
        <v>0.14073179194867502</v>
      </c>
      <c r="BC130" s="29">
        <f t="shared" si="419"/>
        <v>0.11890162138625016</v>
      </c>
      <c r="BD130" s="382">
        <f t="shared" si="419"/>
        <v>0.11918082075723802</v>
      </c>
      <c r="BE130" s="382">
        <f t="shared" si="419"/>
        <v>0.11514649802152355</v>
      </c>
      <c r="BF130" s="382">
        <f t="shared" si="419"/>
        <v>0.12075919531851076</v>
      </c>
      <c r="BG130" s="382">
        <f t="shared" si="344"/>
        <v>0.12331179733180053</v>
      </c>
      <c r="BH130" s="382">
        <f t="shared" si="345"/>
        <v>0.12775391993680008</v>
      </c>
      <c r="BI130" s="29"/>
      <c r="BJ130" s="29"/>
      <c r="BK130" s="29"/>
      <c r="BL130" s="29"/>
      <c r="BM130" s="29"/>
      <c r="BN130" s="29"/>
      <c r="BO130" s="623" t="s">
        <v>109</v>
      </c>
      <c r="BP130" s="29"/>
      <c r="BQ130" s="29"/>
      <c r="BR130" s="29"/>
      <c r="BS130" s="29"/>
      <c r="BT130" s="29"/>
      <c r="BU130" s="29">
        <f t="shared" si="357"/>
        <v>0.11025795317962706</v>
      </c>
      <c r="BV130" s="29">
        <f t="shared" si="364"/>
        <v>9.6178165392130754E-2</v>
      </c>
      <c r="BW130" s="29">
        <f t="shared" si="365"/>
        <v>0.1904660865768053</v>
      </c>
      <c r="BX130" s="29">
        <f t="shared" si="366"/>
        <v>8.3452517232780465E-2</v>
      </c>
      <c r="BY130" s="29">
        <f t="shared" si="367"/>
        <v>8.0643289526355133E-2</v>
      </c>
      <c r="BZ130" s="29">
        <f t="shared" si="368"/>
        <v>0.20563150370106809</v>
      </c>
      <c r="CA130" s="29">
        <f t="shared" si="369"/>
        <v>0.14186748633876256</v>
      </c>
      <c r="CB130" s="29">
        <f t="shared" si="370"/>
        <v>0.11473145953168484</v>
      </c>
      <c r="CC130" s="29">
        <f t="shared" si="371"/>
        <v>0.30544552047319584</v>
      </c>
      <c r="CD130" s="29">
        <f t="shared" si="372"/>
        <v>4.0378050787087449E-2</v>
      </c>
      <c r="CE130" s="29">
        <f t="shared" si="373"/>
        <v>3.9411852818954429E-2</v>
      </c>
      <c r="CF130" s="29">
        <f t="shared" si="374"/>
        <v>0.16585622882829321</v>
      </c>
      <c r="CG130" s="29">
        <f t="shared" si="375"/>
        <v>-4.7704846645777232E-2</v>
      </c>
      <c r="CH130" s="29">
        <f t="shared" si="376"/>
        <v>5.149359818680499E-2</v>
      </c>
      <c r="CI130" s="29">
        <f t="shared" si="377"/>
        <v>0.29838535980698322</v>
      </c>
      <c r="CJ130" s="29">
        <f t="shared" si="378"/>
        <v>0.12101076947627276</v>
      </c>
      <c r="CK130" s="29">
        <f t="shared" si="379"/>
        <v>0.25229159576505933</v>
      </c>
      <c r="CL130" s="29">
        <f t="shared" si="380"/>
        <v>0.10500704353695767</v>
      </c>
      <c r="CM130" s="29">
        <f t="shared" si="381"/>
        <v>-8.6919619018198668E-3</v>
      </c>
      <c r="CN130" s="29">
        <f t="shared" si="382"/>
        <v>5.920686821452259E-2</v>
      </c>
      <c r="CO130" s="29">
        <f t="shared" si="383"/>
        <v>5.8809627201869663E-2</v>
      </c>
      <c r="CP130" s="29">
        <f t="shared" si="384"/>
        <v>-1.5117304665209108E-2</v>
      </c>
      <c r="CQ130" s="29">
        <f t="shared" si="385"/>
        <v>6.1778119113060859E-2</v>
      </c>
      <c r="CR130" s="29">
        <f t="shared" si="386"/>
        <v>0.28498376761538102</v>
      </c>
      <c r="CS130" s="29">
        <f t="shared" si="387"/>
        <v>7.9834781233570462E-2</v>
      </c>
      <c r="CT130" s="29">
        <f t="shared" si="388"/>
        <v>-1.7846930430659325E-2</v>
      </c>
      <c r="CU130" s="29">
        <f t="shared" si="389"/>
        <v>0.34000636301058629</v>
      </c>
      <c r="CV130" s="29">
        <f t="shared" si="390"/>
        <v>2.641951917712948E-2</v>
      </c>
      <c r="CW130" s="29">
        <f t="shared" si="391"/>
        <v>7.360388813363361E-2</v>
      </c>
      <c r="CX130" s="29">
        <f t="shared" si="392"/>
        <v>-5.8036643719386882E-3</v>
      </c>
      <c r="CY130" s="29">
        <f t="shared" si="393"/>
        <v>-5.421438796919209E-2</v>
      </c>
      <c r="CZ130" s="29">
        <f t="shared" si="394"/>
        <v>0.27622572012085689</v>
      </c>
      <c r="DA130" s="29">
        <f t="shared" si="395"/>
        <v>8.5931664279091269E-2</v>
      </c>
      <c r="DB130" s="29">
        <f t="shared" si="396"/>
        <v>0.23967478974875078</v>
      </c>
      <c r="DC130" s="29">
        <f t="shared" si="397"/>
        <v>0.13211155596813851</v>
      </c>
      <c r="DD130" s="29">
        <f t="shared" si="398"/>
        <v>9.7218232460867249E-3</v>
      </c>
      <c r="DE130" s="29">
        <f t="shared" si="399"/>
        <v>3.8019148184504914E-3</v>
      </c>
      <c r="DF130" s="29">
        <f t="shared" si="400"/>
        <v>4.8944201990091196E-2</v>
      </c>
      <c r="DG130" s="29">
        <f t="shared" si="401"/>
        <v>-5.4238020181948343E-2</v>
      </c>
      <c r="DH130" s="29">
        <f t="shared" si="402"/>
        <v>0.31840450235649675</v>
      </c>
      <c r="DI130" s="29">
        <f t="shared" si="403"/>
        <v>3.7195022051388138E-2</v>
      </c>
      <c r="DJ130" s="29">
        <f t="shared" si="404"/>
        <v>4.2675859064841948E-2</v>
      </c>
      <c r="DK130" s="29">
        <f t="shared" si="405"/>
        <v>6.4525700436755873E-2</v>
      </c>
      <c r="DL130" s="29">
        <f t="shared" si="406"/>
        <v>0.13165156205158657</v>
      </c>
      <c r="DM130" s="29">
        <f t="shared" ref="DM130" si="420">DM99/DI99-1</f>
        <v>6.1335571461566873E-2</v>
      </c>
      <c r="DN130" s="29">
        <f t="shared" ref="DN130" si="421">DN99/DJ99-1</f>
        <v>0.13710078945630078</v>
      </c>
      <c r="DO130" s="29">
        <f t="shared" ref="DO130" si="422">DO99/DK99-1</f>
        <v>9.0104399074958152E-2</v>
      </c>
      <c r="DP130" s="29">
        <f t="shared" ref="DP130" si="423">DP99/DL99-1</f>
        <v>7.0783276049180666E-2</v>
      </c>
      <c r="DQ130" s="29">
        <f t="shared" ref="DQ130" si="424">DQ99/DM99-1</f>
        <v>6.6215912826433021E-2</v>
      </c>
      <c r="DR130" s="29"/>
      <c r="DS130" s="29"/>
      <c r="DT130" s="29"/>
      <c r="DU130" s="29"/>
      <c r="DV130" s="29"/>
      <c r="DW130" s="29"/>
      <c r="DX130" s="29"/>
      <c r="DY130" s="29"/>
      <c r="DZ130" s="29"/>
      <c r="EA130" s="29"/>
      <c r="EB130" s="29"/>
      <c r="EC130" s="29"/>
      <c r="ED130" s="29"/>
      <c r="EE130" s="29"/>
      <c r="EF130" s="29"/>
      <c r="EG130" s="29"/>
      <c r="EH130" s="29"/>
      <c r="EI130" s="29"/>
      <c r="EJ130" s="29"/>
      <c r="EK130" s="29"/>
      <c r="EL130" s="29"/>
      <c r="EM130" s="29"/>
      <c r="EN130" s="29"/>
      <c r="EO130" s="29"/>
      <c r="EP130" s="29"/>
      <c r="EQ130" s="29"/>
      <c r="ER130" s="29"/>
      <c r="ES130" s="29"/>
      <c r="ET130" s="29"/>
      <c r="EU130" s="29"/>
      <c r="EV130" s="29"/>
      <c r="EW130" s="29"/>
      <c r="EX130" s="29"/>
      <c r="EY130" s="29"/>
      <c r="EZ130" s="29"/>
      <c r="FA130" s="29"/>
      <c r="FB130" s="29"/>
      <c r="FC130" s="29"/>
      <c r="FD130" s="29"/>
      <c r="FE130" s="29"/>
      <c r="FF130" s="29"/>
      <c r="FG130" s="29"/>
      <c r="FH130" s="29"/>
      <c r="FI130" s="29"/>
      <c r="FJ130" s="29"/>
      <c r="FK130" s="29"/>
      <c r="FL130" s="29"/>
      <c r="FM130" s="29"/>
      <c r="FN130" s="29"/>
      <c r="FO130" s="29"/>
      <c r="FP130" s="29"/>
      <c r="FQ130" s="29"/>
      <c r="FR130" s="29"/>
      <c r="FS130" s="29"/>
      <c r="FT130" s="29"/>
      <c r="FU130" s="29"/>
      <c r="FV130" s="29"/>
      <c r="FW130" s="29"/>
      <c r="FX130" s="29"/>
      <c r="FY130" s="29"/>
      <c r="FZ130" s="29"/>
      <c r="GA130" s="29"/>
      <c r="GB130" s="29"/>
      <c r="GC130" s="29"/>
      <c r="GD130" s="29"/>
      <c r="GE130" s="29"/>
      <c r="GF130" s="29"/>
      <c r="GG130" s="29"/>
      <c r="GH130" s="29"/>
    </row>
    <row r="131" spans="5:190" x14ac:dyDescent="0.2">
      <c r="E131" s="192" t="s">
        <v>110</v>
      </c>
      <c r="F131" s="29"/>
      <c r="G131" s="29"/>
      <c r="H131" s="29"/>
      <c r="J131" s="29"/>
      <c r="K131" s="29">
        <f t="shared" ref="K131:Y131" si="425">K100/J100-1</f>
        <v>4.9949090179964406E-2</v>
      </c>
      <c r="L131" s="29">
        <f t="shared" si="425"/>
        <v>0.61957763094414098</v>
      </c>
      <c r="M131" s="29">
        <f t="shared" si="425"/>
        <v>0.4161253758849135</v>
      </c>
      <c r="N131" s="29">
        <f t="shared" si="425"/>
        <v>6.8619114787678015E-2</v>
      </c>
      <c r="O131" s="29">
        <f t="shared" si="425"/>
        <v>6.5294260974608331E-2</v>
      </c>
      <c r="P131" s="29">
        <f t="shared" si="425"/>
        <v>7.3533737442465386E-2</v>
      </c>
      <c r="Q131" s="29">
        <f t="shared" si="425"/>
        <v>7.0083581569479581E-2</v>
      </c>
      <c r="R131" s="29">
        <f t="shared" si="425"/>
        <v>7.2700977472774264E-2</v>
      </c>
      <c r="S131" s="29">
        <f t="shared" si="425"/>
        <v>6.2397807868944888E-2</v>
      </c>
      <c r="T131" s="29">
        <f t="shared" si="425"/>
        <v>5.0038970328114774E-2</v>
      </c>
      <c r="U131" s="29">
        <f t="shared" si="425"/>
        <v>6.802667554206776E-2</v>
      </c>
      <c r="V131" s="29">
        <f t="shared" si="425"/>
        <v>8.0915635169760414E-2</v>
      </c>
      <c r="W131" s="29">
        <f t="shared" si="425"/>
        <v>7.7800164315762199E-2</v>
      </c>
      <c r="X131" s="29">
        <f t="shared" si="425"/>
        <v>7.1652578531807842E-2</v>
      </c>
      <c r="Y131" s="29">
        <f t="shared" si="425"/>
        <v>7.159903753600827E-2</v>
      </c>
      <c r="Z131" s="29">
        <f t="shared" si="339"/>
        <v>7.2856360515364926E-2</v>
      </c>
      <c r="AA131" s="29">
        <f t="shared" si="340"/>
        <v>7.4496245714127829E-2</v>
      </c>
      <c r="AB131" s="29">
        <f t="shared" si="340"/>
        <v>7.6364435995051272E-2</v>
      </c>
      <c r="AC131" s="29">
        <f t="shared" si="340"/>
        <v>7.8348638170381291E-2</v>
      </c>
      <c r="AD131" s="29">
        <f t="shared" si="341"/>
        <v>8.1809379942070937E-2</v>
      </c>
      <c r="AE131" s="29">
        <f t="shared" si="342"/>
        <v>8.5125143238372614E-2</v>
      </c>
      <c r="AF131" s="29"/>
      <c r="AG131" s="29"/>
      <c r="AH131" s="29"/>
      <c r="AI131" s="29"/>
      <c r="AJ131" s="29"/>
      <c r="AK131" s="29"/>
      <c r="AL131" s="29"/>
      <c r="AM131" s="29">
        <f t="shared" ref="AM131:BF131" si="426">AM100/AL100-1</f>
        <v>4.6160781426998421E-2</v>
      </c>
      <c r="AN131" s="29">
        <f t="shared" si="426"/>
        <v>5.3570243658685568E-2</v>
      </c>
      <c r="AO131" s="29">
        <f t="shared" si="426"/>
        <v>1.1568055857883359</v>
      </c>
      <c r="AP131" s="29">
        <f t="shared" si="426"/>
        <v>7.2709995850696929E-2</v>
      </c>
      <c r="AQ131" s="29">
        <f t="shared" si="426"/>
        <v>6.4805520173250475E-2</v>
      </c>
      <c r="AR131" s="29">
        <f t="shared" si="426"/>
        <v>6.5753256342399702E-2</v>
      </c>
      <c r="AS131" s="29">
        <f t="shared" si="426"/>
        <v>8.0834190013230112E-2</v>
      </c>
      <c r="AT131" s="29">
        <f t="shared" si="426"/>
        <v>6.0136997215390009E-2</v>
      </c>
      <c r="AU131" s="29">
        <f t="shared" si="426"/>
        <v>8.4552257345456017E-2</v>
      </c>
      <c r="AV131" s="29">
        <f t="shared" si="426"/>
        <v>4.197053078159052E-2</v>
      </c>
      <c r="AW131" s="39">
        <f t="shared" si="426"/>
        <v>5.7782413456465287E-2</v>
      </c>
      <c r="AX131" s="29">
        <f t="shared" si="426"/>
        <v>7.7711334650860886E-2</v>
      </c>
      <c r="AY131" s="29">
        <f t="shared" si="426"/>
        <v>8.3888880802309496E-2</v>
      </c>
      <c r="AZ131" s="29">
        <f t="shared" si="426"/>
        <v>7.2182691349308215E-2</v>
      </c>
      <c r="BA131" s="29">
        <f t="shared" si="426"/>
        <v>7.1158154566771437E-2</v>
      </c>
      <c r="BB131" s="29">
        <f t="shared" si="426"/>
        <v>7.2010632189288604E-2</v>
      </c>
      <c r="BC131" s="29">
        <f t="shared" si="426"/>
        <v>7.3645278368119182E-2</v>
      </c>
      <c r="BD131" s="29">
        <f t="shared" si="426"/>
        <v>7.5288842080128759E-2</v>
      </c>
      <c r="BE131" s="29">
        <f t="shared" si="426"/>
        <v>7.7364719707510909E-2</v>
      </c>
      <c r="BF131" s="29">
        <f t="shared" si="426"/>
        <v>7.9261902216319235E-2</v>
      </c>
      <c r="BG131" s="29">
        <f t="shared" si="344"/>
        <v>8.4169768760133046E-2</v>
      </c>
      <c r="BH131" s="29">
        <f t="shared" si="345"/>
        <v>8.6006346999783823E-2</v>
      </c>
      <c r="BI131" s="29"/>
      <c r="BJ131" s="29"/>
      <c r="BK131" s="29"/>
      <c r="BL131" s="29"/>
      <c r="BM131" s="29"/>
      <c r="BN131" s="29"/>
      <c r="BO131" s="624" t="s">
        <v>110</v>
      </c>
      <c r="BP131" s="29"/>
      <c r="BQ131" s="29"/>
      <c r="BR131" s="29"/>
      <c r="BS131" s="29"/>
      <c r="BT131" s="29"/>
      <c r="BU131" s="29"/>
      <c r="BV131" s="29"/>
      <c r="BW131" s="29"/>
      <c r="BX131" s="29"/>
      <c r="BY131" s="29"/>
      <c r="BZ131" s="29"/>
      <c r="CA131" s="29"/>
      <c r="CB131" s="29"/>
      <c r="CC131" s="29"/>
      <c r="CD131" s="29"/>
      <c r="CE131" s="29"/>
      <c r="CF131" s="29"/>
      <c r="CG131" s="29"/>
      <c r="CH131" s="29"/>
      <c r="CI131" s="29"/>
      <c r="CJ131" s="29"/>
      <c r="CK131" s="29"/>
      <c r="CL131" s="29"/>
      <c r="CM131" s="29"/>
      <c r="CN131" s="29"/>
      <c r="CO131" s="29"/>
      <c r="CP131" s="29"/>
      <c r="CQ131" s="29"/>
      <c r="CR131" s="29"/>
      <c r="CS131" s="29"/>
      <c r="CT131" s="29"/>
      <c r="CU131" s="29"/>
      <c r="CV131" s="29"/>
      <c r="CW131" s="29"/>
      <c r="CX131" s="29"/>
      <c r="CY131" s="29"/>
      <c r="CZ131" s="29"/>
      <c r="DA131" s="29"/>
      <c r="DB131" s="29"/>
      <c r="DC131" s="29"/>
      <c r="DD131" s="29"/>
      <c r="DE131" s="29"/>
      <c r="DF131" s="29"/>
      <c r="DG131" s="29"/>
      <c r="DH131" s="29"/>
      <c r="DI131" s="29"/>
      <c r="DJ131" s="29"/>
      <c r="DK131" s="29"/>
      <c r="DL131" s="29"/>
      <c r="DM131" s="29"/>
      <c r="DN131" s="29"/>
      <c r="DO131" s="29"/>
      <c r="DP131" s="29"/>
      <c r="DQ131" s="29"/>
      <c r="DR131" s="29"/>
      <c r="DS131" s="29"/>
      <c r="DT131" s="29"/>
      <c r="DU131" s="29"/>
      <c r="DV131" s="29"/>
      <c r="DW131" s="29"/>
      <c r="DX131" s="29"/>
      <c r="DY131" s="29"/>
      <c r="DZ131" s="29"/>
      <c r="EA131" s="29"/>
      <c r="EB131" s="29"/>
      <c r="EC131" s="29"/>
      <c r="ED131" s="29"/>
      <c r="EE131" s="29"/>
      <c r="EF131" s="29"/>
      <c r="EG131" s="29"/>
      <c r="EH131" s="29"/>
      <c r="EI131" s="29"/>
      <c r="EJ131" s="29"/>
      <c r="EK131" s="29"/>
      <c r="EL131" s="29"/>
      <c r="EM131" s="29"/>
      <c r="EN131" s="29"/>
      <c r="EO131" s="29"/>
      <c r="EP131" s="29"/>
      <c r="EQ131" s="29"/>
      <c r="ER131" s="29"/>
      <c r="ES131" s="29"/>
      <c r="ET131" s="29"/>
      <c r="EU131" s="29"/>
      <c r="EV131" s="29"/>
      <c r="EW131" s="29"/>
      <c r="EX131" s="29"/>
      <c r="EY131" s="29"/>
      <c r="EZ131" s="29"/>
      <c r="FA131" s="29"/>
      <c r="FB131" s="29"/>
      <c r="FC131" s="29"/>
      <c r="FD131" s="29"/>
      <c r="FE131" s="29"/>
      <c r="FF131" s="29"/>
      <c r="FG131" s="29"/>
      <c r="FH131" s="29"/>
      <c r="FI131" s="29"/>
      <c r="FJ131" s="29"/>
      <c r="FK131" s="29"/>
      <c r="FL131" s="29"/>
      <c r="FM131" s="29"/>
      <c r="FN131" s="29"/>
      <c r="FO131" s="29"/>
      <c r="FP131" s="29"/>
      <c r="FQ131" s="29"/>
      <c r="FR131" s="29"/>
      <c r="FS131" s="29"/>
      <c r="FT131" s="29"/>
      <c r="FU131" s="29"/>
      <c r="FV131" s="29"/>
      <c r="FW131" s="29"/>
      <c r="FX131" s="29"/>
      <c r="FY131" s="29"/>
      <c r="FZ131" s="29"/>
      <c r="GA131" s="29"/>
      <c r="GB131" s="29"/>
      <c r="GC131" s="29"/>
      <c r="GD131" s="29"/>
      <c r="GE131" s="29"/>
      <c r="GF131" s="29"/>
      <c r="GG131" s="29"/>
      <c r="GH131" s="29"/>
    </row>
    <row r="132" spans="5:190" x14ac:dyDescent="0.2">
      <c r="E132" s="191" t="s">
        <v>111</v>
      </c>
      <c r="F132" s="29"/>
      <c r="G132" s="29"/>
      <c r="H132" s="29"/>
      <c r="J132" s="29"/>
      <c r="K132" s="29">
        <f t="shared" ref="K132:Y132" si="427">K101/J101-1</f>
        <v>5.1160461102951249E-2</v>
      </c>
      <c r="L132" s="29">
        <f t="shared" si="427"/>
        <v>0.20653860392400092</v>
      </c>
      <c r="M132" s="29">
        <f t="shared" si="427"/>
        <v>0.20183038798207886</v>
      </c>
      <c r="N132" s="29">
        <f t="shared" si="427"/>
        <v>9.0450550471708357E-2</v>
      </c>
      <c r="O132" s="29">
        <f t="shared" si="427"/>
        <v>7.6430407086522267E-2</v>
      </c>
      <c r="P132" s="29">
        <f t="shared" si="427"/>
        <v>9.1975441154927839E-2</v>
      </c>
      <c r="Q132" s="29">
        <f t="shared" si="427"/>
        <v>0.108505094115394</v>
      </c>
      <c r="R132" s="29">
        <f t="shared" si="427"/>
        <v>0.11251588585371386</v>
      </c>
      <c r="S132" s="29">
        <f t="shared" si="427"/>
        <v>9.5036949958031469E-2</v>
      </c>
      <c r="T132" s="29">
        <f t="shared" si="427"/>
        <v>4.541832386798661E-2</v>
      </c>
      <c r="U132" s="29">
        <f t="shared" si="427"/>
        <v>6.3852822228956718E-2</v>
      </c>
      <c r="V132" s="29">
        <f t="shared" si="427"/>
        <v>0.10663321076343424</v>
      </c>
      <c r="W132" s="29">
        <f t="shared" si="427"/>
        <v>7.3391457387935288E-2</v>
      </c>
      <c r="X132" s="29">
        <f t="shared" si="427"/>
        <v>4.1375763930715959E-2</v>
      </c>
      <c r="Y132" s="29">
        <f t="shared" si="427"/>
        <v>7.3005463315267471E-2</v>
      </c>
      <c r="Z132" s="29">
        <f t="shared" si="339"/>
        <v>0.10014284998218215</v>
      </c>
      <c r="AA132" s="29">
        <f t="shared" si="340"/>
        <v>0.1007606950283606</v>
      </c>
      <c r="AB132" s="29">
        <f t="shared" si="340"/>
        <v>0.10119801241462634</v>
      </c>
      <c r="AC132" s="29">
        <f t="shared" si="340"/>
        <v>0.10115798944188747</v>
      </c>
      <c r="AD132" s="29">
        <f t="shared" si="341"/>
        <v>0.10811952447697748</v>
      </c>
      <c r="AE132" s="29">
        <f t="shared" si="342"/>
        <v>0.11476646412113745</v>
      </c>
      <c r="AF132" s="29"/>
      <c r="AG132" s="29"/>
      <c r="AH132" s="29"/>
      <c r="AI132" s="29"/>
      <c r="AJ132" s="29"/>
      <c r="AK132" s="29"/>
      <c r="AL132" s="29"/>
      <c r="AM132" s="29">
        <f t="shared" ref="AM132:BF132" si="428">AM101/AL101-1</f>
        <v>5.9632466244412985E-2</v>
      </c>
      <c r="AN132" s="29">
        <f t="shared" si="428"/>
        <v>4.3165231236610424E-2</v>
      </c>
      <c r="AO132" s="29">
        <f t="shared" si="428"/>
        <v>0.36315173461061456</v>
      </c>
      <c r="AP132" s="29">
        <f t="shared" si="428"/>
        <v>8.3486008165390979E-2</v>
      </c>
      <c r="AQ132" s="29">
        <f t="shared" si="428"/>
        <v>9.6878452866230091E-2</v>
      </c>
      <c r="AR132" s="29">
        <f t="shared" si="428"/>
        <v>5.7788372751472972E-2</v>
      </c>
      <c r="AS132" s="29">
        <f t="shared" si="428"/>
        <v>0.12429482495995958</v>
      </c>
      <c r="AT132" s="29">
        <f t="shared" si="428"/>
        <v>9.4460974642436302E-2</v>
      </c>
      <c r="AU132" s="29">
        <f t="shared" si="428"/>
        <v>0.12901250988105861</v>
      </c>
      <c r="AV132" s="29">
        <f t="shared" si="428"/>
        <v>6.4943784802043547E-2</v>
      </c>
      <c r="AW132" s="39">
        <f t="shared" si="428"/>
        <v>2.7083589948030173E-2</v>
      </c>
      <c r="AX132" s="29">
        <f t="shared" si="428"/>
        <v>9.9652471489039884E-2</v>
      </c>
      <c r="AY132" s="29">
        <f t="shared" si="428"/>
        <v>0.11298134297373319</v>
      </c>
      <c r="AZ132" s="29">
        <f t="shared" si="428"/>
        <v>3.7820433816220245E-2</v>
      </c>
      <c r="BA132" s="29">
        <f t="shared" si="428"/>
        <v>4.4801530083172336E-2</v>
      </c>
      <c r="BB132" s="29">
        <f t="shared" si="428"/>
        <v>0.10000000000000009</v>
      </c>
      <c r="BC132" s="29">
        <f t="shared" si="428"/>
        <v>0.10027271360234735</v>
      </c>
      <c r="BD132" s="29">
        <f t="shared" si="428"/>
        <v>0.10120420455102797</v>
      </c>
      <c r="BE132" s="29">
        <f t="shared" si="428"/>
        <v>0.10119238935545538</v>
      </c>
      <c r="BF132" s="29">
        <f t="shared" si="428"/>
        <v>0.10112675065573096</v>
      </c>
      <c r="BG132" s="29">
        <f t="shared" si="344"/>
        <v>0.1144700865871815</v>
      </c>
      <c r="BH132" s="29">
        <f t="shared" si="345"/>
        <v>0.11503239995694248</v>
      </c>
      <c r="BI132" s="29"/>
      <c r="BJ132" s="29"/>
      <c r="BK132" s="29"/>
      <c r="BL132" s="29"/>
      <c r="BM132" s="29"/>
      <c r="BN132" s="29"/>
      <c r="BO132" s="623" t="s">
        <v>336</v>
      </c>
      <c r="BP132" s="29"/>
      <c r="BQ132" s="29"/>
      <c r="BR132" s="29"/>
      <c r="BS132" s="29"/>
      <c r="BT132" s="29"/>
      <c r="BU132" s="29">
        <f t="shared" si="357"/>
        <v>1.8761352666132547E-2</v>
      </c>
      <c r="BV132" s="29">
        <f t="shared" si="364"/>
        <v>7.1011570276567015E-2</v>
      </c>
      <c r="BW132" s="29">
        <f t="shared" si="365"/>
        <v>6.297791435770983E-2</v>
      </c>
      <c r="BX132" s="29">
        <f t="shared" si="366"/>
        <v>0.17970677650321298</v>
      </c>
      <c r="BY132" s="29">
        <f t="shared" si="367"/>
        <v>2.8332619103514478E-2</v>
      </c>
      <c r="BZ132" s="29">
        <f t="shared" si="368"/>
        <v>2.9026561378336924E-2</v>
      </c>
      <c r="CA132" s="29">
        <f t="shared" si="369"/>
        <v>0.11377990623227374</v>
      </c>
      <c r="CB132" s="29">
        <f t="shared" si="370"/>
        <v>0.19831779448870757</v>
      </c>
      <c r="CC132" s="29">
        <f t="shared" si="371"/>
        <v>8.9305233525412309E-2</v>
      </c>
      <c r="CD132" s="29">
        <f t="shared" si="372"/>
        <v>3.2071401200370886E-2</v>
      </c>
      <c r="CE132" s="29">
        <f t="shared" si="373"/>
        <v>2.0439670380739683E-2</v>
      </c>
      <c r="CF132" s="29">
        <f t="shared" si="374"/>
        <v>8.5549573945127522E-2</v>
      </c>
      <c r="CG132" s="29">
        <f t="shared" si="375"/>
        <v>3.4864730711672287E-2</v>
      </c>
      <c r="CH132" s="29">
        <f t="shared" si="376"/>
        <v>8.8369884689834421E-2</v>
      </c>
      <c r="CI132" s="29">
        <f t="shared" si="377"/>
        <v>7.3368499530714226E-2</v>
      </c>
      <c r="CJ132" s="29">
        <f t="shared" si="378"/>
        <v>6.8920665255526981E-2</v>
      </c>
      <c r="CK132" s="29">
        <f t="shared" si="379"/>
        <v>2.7831025967673284E-2</v>
      </c>
      <c r="CL132" s="29">
        <f t="shared" si="380"/>
        <v>0.21355825168871334</v>
      </c>
      <c r="CM132" s="29">
        <f t="shared" si="381"/>
        <v>9.5696845592444957E-2</v>
      </c>
      <c r="CN132" s="29">
        <f t="shared" si="382"/>
        <v>5.6890587383354507E-2</v>
      </c>
      <c r="CO132" s="29">
        <f t="shared" si="383"/>
        <v>0.15964063524504502</v>
      </c>
      <c r="CP132" s="29">
        <f t="shared" si="384"/>
        <v>4.8026148192240381E-2</v>
      </c>
      <c r="CQ132" s="29">
        <f t="shared" si="385"/>
        <v>7.6515656738245896E-2</v>
      </c>
      <c r="CR132" s="29">
        <f t="shared" si="386"/>
        <v>0.11462605340262511</v>
      </c>
      <c r="CS132" s="29">
        <f t="shared" si="387"/>
        <v>0.10205159040537293</v>
      </c>
      <c r="CT132" s="29">
        <f t="shared" si="388"/>
        <v>0.12191888336877676</v>
      </c>
      <c r="CU132" s="29">
        <f t="shared" si="389"/>
        <v>0.11978454363905433</v>
      </c>
      <c r="CV132" s="29">
        <f t="shared" si="390"/>
        <v>6.5692590199552869E-2</v>
      </c>
      <c r="CW132" s="29">
        <f t="shared" si="391"/>
        <v>0.11474572090696467</v>
      </c>
      <c r="CX132" s="29">
        <f t="shared" si="392"/>
        <v>4.6804874428618248E-2</v>
      </c>
      <c r="CY132" s="29">
        <f t="shared" si="393"/>
        <v>7.8357365626003039E-2</v>
      </c>
      <c r="CZ132" s="29">
        <f t="shared" si="394"/>
        <v>6.578629177825257E-2</v>
      </c>
      <c r="DA132" s="29">
        <f t="shared" si="395"/>
        <v>9.0169131651664403E-2</v>
      </c>
      <c r="DB132" s="29">
        <f t="shared" si="396"/>
        <v>9.6336104433774494E-2</v>
      </c>
      <c r="DC132" s="29">
        <f t="shared" si="397"/>
        <v>7.4071338379230633E-2</v>
      </c>
      <c r="DD132" s="29">
        <f t="shared" si="398"/>
        <v>7.0918202294329324E-2</v>
      </c>
      <c r="DE132" s="29">
        <f t="shared" si="399"/>
        <v>0.13727109508717383</v>
      </c>
      <c r="DF132" s="29">
        <f t="shared" si="400"/>
        <v>5.307879693148676E-2</v>
      </c>
      <c r="DG132" s="29">
        <f t="shared" si="401"/>
        <v>6.6013524520486699E-2</v>
      </c>
      <c r="DH132" s="29">
        <f t="shared" si="402"/>
        <v>7.2367312201338629E-2</v>
      </c>
      <c r="DI132" s="29">
        <f t="shared" si="403"/>
        <v>0.12080391780474442</v>
      </c>
      <c r="DJ132" s="29">
        <f t="shared" si="404"/>
        <v>6.9921307694583046E-2</v>
      </c>
      <c r="DK132" s="29">
        <f t="shared" si="405"/>
        <v>6.1187769629760247E-2</v>
      </c>
      <c r="DL132" s="29">
        <f t="shared" si="406"/>
        <v>5.9504357062387436E-2</v>
      </c>
      <c r="DM132" s="29">
        <f t="shared" si="407"/>
        <v>0.10009707081189045</v>
      </c>
      <c r="DN132" s="29">
        <f t="shared" si="408"/>
        <v>6.6425879213289019E-2</v>
      </c>
      <c r="DO132" s="29">
        <f t="shared" si="409"/>
        <v>7.9005016161925123E-2</v>
      </c>
      <c r="DP132" s="29">
        <f t="shared" ref="DP132:DP134" si="429">DP101/DL101-1</f>
        <v>8.4774994855371766E-2</v>
      </c>
      <c r="DQ132" s="29">
        <f t="shared" ref="DQ132:DQ134" si="430">DQ101/DM101-1</f>
        <v>8.0000000000000071E-2</v>
      </c>
      <c r="DR132" s="29"/>
      <c r="DS132" s="29"/>
      <c r="DT132" s="29"/>
      <c r="DU132" s="29"/>
      <c r="DV132" s="29"/>
      <c r="DW132" s="29"/>
      <c r="DX132" s="29"/>
      <c r="DY132" s="29"/>
      <c r="DZ132" s="29"/>
      <c r="EA132" s="29"/>
      <c r="EB132" s="29"/>
      <c r="EC132" s="29"/>
      <c r="ED132" s="29"/>
      <c r="EE132" s="29"/>
      <c r="EF132" s="29"/>
      <c r="EG132" s="29"/>
      <c r="EH132" s="29"/>
      <c r="EI132" s="29"/>
      <c r="EJ132" s="29"/>
      <c r="EK132" s="29"/>
      <c r="EL132" s="29"/>
      <c r="EM132" s="29"/>
      <c r="EN132" s="29"/>
      <c r="EO132" s="29"/>
      <c r="EP132" s="29"/>
      <c r="EQ132" s="29"/>
      <c r="ER132" s="29"/>
      <c r="ES132" s="29"/>
      <c r="ET132" s="29"/>
      <c r="EU132" s="29"/>
      <c r="EV132" s="29"/>
      <c r="EW132" s="29"/>
      <c r="EX132" s="29"/>
      <c r="EY132" s="29"/>
      <c r="EZ132" s="29"/>
      <c r="FA132" s="29"/>
      <c r="FB132" s="29"/>
      <c r="FC132" s="29"/>
      <c r="FD132" s="29"/>
      <c r="FE132" s="29"/>
      <c r="FF132" s="29"/>
      <c r="FG132" s="29"/>
      <c r="FH132" s="29"/>
      <c r="FI132" s="29"/>
      <c r="FJ132" s="29"/>
      <c r="FK132" s="29"/>
      <c r="FL132" s="29"/>
      <c r="FM132" s="29"/>
      <c r="FN132" s="29"/>
      <c r="FO132" s="29"/>
      <c r="FP132" s="29"/>
      <c r="FQ132" s="29"/>
      <c r="FR132" s="29"/>
      <c r="FS132" s="29"/>
      <c r="FT132" s="29"/>
      <c r="FU132" s="29"/>
      <c r="FV132" s="29"/>
      <c r="FW132" s="29"/>
      <c r="FX132" s="29"/>
      <c r="FY132" s="29"/>
      <c r="FZ132" s="29"/>
      <c r="GA132" s="29"/>
      <c r="GB132" s="29"/>
      <c r="GC132" s="29"/>
      <c r="GD132" s="29"/>
      <c r="GE132" s="29"/>
      <c r="GF132" s="29"/>
      <c r="GG132" s="29"/>
      <c r="GH132" s="29"/>
    </row>
    <row r="133" spans="5:190" x14ac:dyDescent="0.2">
      <c r="E133" s="191" t="s">
        <v>112</v>
      </c>
      <c r="F133" s="29"/>
      <c r="G133" s="29"/>
      <c r="H133" s="29"/>
      <c r="J133" s="29"/>
      <c r="K133" s="29">
        <f t="shared" ref="K133:Y133" si="431">K102/J102-1</f>
        <v>5.0398210290827805E-2</v>
      </c>
      <c r="L133" s="29">
        <f t="shared" si="431"/>
        <v>0.29957007612481834</v>
      </c>
      <c r="M133" s="29">
        <f t="shared" si="431"/>
        <v>0.25407044688320024</v>
      </c>
      <c r="N133" s="29">
        <f t="shared" si="431"/>
        <v>4.7975450650403317E-2</v>
      </c>
      <c r="O133" s="29">
        <f t="shared" si="431"/>
        <v>3.4199020990869355E-2</v>
      </c>
      <c r="P133" s="29">
        <f t="shared" si="431"/>
        <v>4.6364821357342434E-2</v>
      </c>
      <c r="Q133" s="29">
        <f t="shared" si="431"/>
        <v>4.5190162162790593E-2</v>
      </c>
      <c r="R133" s="29">
        <f t="shared" si="431"/>
        <v>3.9885058271134977E-2</v>
      </c>
      <c r="S133" s="29">
        <f t="shared" si="431"/>
        <v>3.8908239721177296E-2</v>
      </c>
      <c r="T133" s="29">
        <f t="shared" si="431"/>
        <v>2.1425667053564856E-2</v>
      </c>
      <c r="U133" s="29">
        <f t="shared" si="431"/>
        <v>2.362172027660292E-2</v>
      </c>
      <c r="V133" s="29">
        <f t="shared" si="431"/>
        <v>3.9218492529171867E-2</v>
      </c>
      <c r="W133" s="29">
        <f t="shared" si="431"/>
        <v>5.4529175578036382E-2</v>
      </c>
      <c r="X133" s="29">
        <f t="shared" si="431"/>
        <v>4.6805238716443487E-2</v>
      </c>
      <c r="Y133" s="29">
        <f t="shared" si="431"/>
        <v>2.5110695937920813E-2</v>
      </c>
      <c r="Z133" s="29">
        <f t="shared" si="339"/>
        <v>2.219035291567617E-2</v>
      </c>
      <c r="AA133" s="29">
        <f t="shared" si="340"/>
        <v>2.2599008380724372E-2</v>
      </c>
      <c r="AB133" s="29">
        <f t="shared" si="340"/>
        <v>2.4113087740797123E-2</v>
      </c>
      <c r="AC133" s="29">
        <f t="shared" si="340"/>
        <v>2.532517607503415E-2</v>
      </c>
      <c r="AD133" s="29">
        <f t="shared" si="341"/>
        <v>2.7099304661759804E-2</v>
      </c>
      <c r="AE133" s="29">
        <f t="shared" si="342"/>
        <v>2.8136555284178799E-2</v>
      </c>
      <c r="AF133" s="29"/>
      <c r="AG133" s="29"/>
      <c r="AH133" s="29"/>
      <c r="AI133" s="29"/>
      <c r="AJ133" s="29"/>
      <c r="AK133" s="29"/>
      <c r="AL133" s="29"/>
      <c r="AM133" s="29">
        <f t="shared" ref="AM133:BF133" si="432">AM102/AL102-1</f>
        <v>5.9907834101382562E-2</v>
      </c>
      <c r="AN133" s="29">
        <f t="shared" si="432"/>
        <v>4.1426086956521724E-2</v>
      </c>
      <c r="AO133" s="29">
        <f t="shared" si="432"/>
        <v>0.54744555418462015</v>
      </c>
      <c r="AP133" s="29">
        <f t="shared" si="432"/>
        <v>6.4483739610643021E-2</v>
      </c>
      <c r="AQ133" s="29">
        <f t="shared" si="432"/>
        <v>3.24671921905062E-2</v>
      </c>
      <c r="AR133" s="29">
        <f t="shared" si="432"/>
        <v>3.5876390318885232E-2</v>
      </c>
      <c r="AS133" s="29">
        <f t="shared" si="432"/>
        <v>5.6489997620148058E-2</v>
      </c>
      <c r="AT133" s="29">
        <f t="shared" si="432"/>
        <v>3.4494523318304271E-2</v>
      </c>
      <c r="AU133" s="29">
        <f t="shared" si="432"/>
        <v>4.5095849465601301E-2</v>
      </c>
      <c r="AV133" s="29">
        <f t="shared" si="432"/>
        <v>3.2987625121484676E-2</v>
      </c>
      <c r="AW133" s="39">
        <f t="shared" si="432"/>
        <v>1.0232930774115356E-2</v>
      </c>
      <c r="AX133" s="29">
        <f t="shared" si="432"/>
        <v>3.6874891000535204E-2</v>
      </c>
      <c r="AY133" s="29">
        <f t="shared" si="432"/>
        <v>4.147874740560642E-2</v>
      </c>
      <c r="AZ133" s="29">
        <f t="shared" si="432"/>
        <v>6.7059847187936672E-2</v>
      </c>
      <c r="BA133" s="29">
        <f t="shared" si="432"/>
        <v>2.7823540056456819E-2</v>
      </c>
      <c r="BB133" s="29">
        <f t="shared" si="432"/>
        <v>2.2471289451485355E-2</v>
      </c>
      <c r="BC133" s="29">
        <f t="shared" si="432"/>
        <v>2.1915590642438865E-2</v>
      </c>
      <c r="BD133" s="29">
        <f t="shared" si="432"/>
        <v>2.3267769817132411E-2</v>
      </c>
      <c r="BE133" s="29">
        <f t="shared" si="432"/>
        <v>2.4939184241242529E-2</v>
      </c>
      <c r="BF133" s="29">
        <f t="shared" si="432"/>
        <v>2.5701775818439687E-2</v>
      </c>
      <c r="BG133" s="29">
        <f t="shared" si="344"/>
        <v>2.8461814580596156E-2</v>
      </c>
      <c r="BH133" s="29">
        <f t="shared" si="345"/>
        <v>2.7820297264866678E-2</v>
      </c>
      <c r="BI133" s="29"/>
      <c r="BJ133" s="29"/>
      <c r="BK133" s="29"/>
      <c r="BL133" s="29"/>
      <c r="BM133" s="29"/>
      <c r="BN133" s="29"/>
      <c r="BO133" s="623" t="s">
        <v>112</v>
      </c>
      <c r="BP133" s="29"/>
      <c r="BQ133" s="29"/>
      <c r="BR133" s="29"/>
      <c r="BS133" s="29"/>
      <c r="BT133" s="29"/>
      <c r="BU133" s="29">
        <f t="shared" si="357"/>
        <v>5.4411112604208833E-2</v>
      </c>
      <c r="BV133" s="29">
        <f t="shared" si="364"/>
        <v>0.10880438484155297</v>
      </c>
      <c r="BW133" s="29">
        <f t="shared" si="365"/>
        <v>5.5145673930764083E-2</v>
      </c>
      <c r="BX133" s="29">
        <f t="shared" si="366"/>
        <v>4.4992674673749233E-2</v>
      </c>
      <c r="BY133" s="29">
        <f t="shared" si="367"/>
        <v>4.9036103983766122E-2</v>
      </c>
      <c r="BZ133" s="29">
        <f t="shared" si="368"/>
        <v>2.5626438150275099E-2</v>
      </c>
      <c r="CA133" s="29">
        <f t="shared" si="369"/>
        <v>1.5918773885727822E-2</v>
      </c>
      <c r="CB133" s="29">
        <f t="shared" si="370"/>
        <v>4.0340970276494525E-2</v>
      </c>
      <c r="CC133" s="29">
        <f t="shared" si="371"/>
        <v>-8.392246076676102E-3</v>
      </c>
      <c r="CD133" s="29">
        <f t="shared" si="372"/>
        <v>3.9331089143512799E-2</v>
      </c>
      <c r="CE133" s="29">
        <f t="shared" si="373"/>
        <v>4.3725491969025532E-2</v>
      </c>
      <c r="CF133" s="29">
        <f t="shared" si="374"/>
        <v>7.403937533228766E-2</v>
      </c>
      <c r="CG133" s="29">
        <f t="shared" si="375"/>
        <v>3.5736650906721845E-2</v>
      </c>
      <c r="CH133" s="29">
        <f t="shared" si="376"/>
        <v>5.1804055700623408E-2</v>
      </c>
      <c r="CI133" s="29">
        <f t="shared" si="377"/>
        <v>2.5901869173206693E-2</v>
      </c>
      <c r="CJ133" s="29">
        <f t="shared" si="378"/>
        <v>0.11777964699640475</v>
      </c>
      <c r="CK133" s="29">
        <f t="shared" si="379"/>
        <v>1.879072706963747E-3</v>
      </c>
      <c r="CL133" s="29">
        <f t="shared" si="380"/>
        <v>3.277904994109182E-2</v>
      </c>
      <c r="CM133" s="29">
        <f t="shared" si="381"/>
        <v>4.8381100112999897E-2</v>
      </c>
      <c r="CN133" s="29">
        <f t="shared" si="382"/>
        <v>8.7819245180642769E-2</v>
      </c>
      <c r="CO133" s="29">
        <f t="shared" si="383"/>
        <v>3.8467141101277136E-2</v>
      </c>
      <c r="CP133" s="29">
        <f t="shared" si="384"/>
        <v>4.2290884724961897E-2</v>
      </c>
      <c r="CQ133" s="29">
        <f t="shared" si="385"/>
        <v>6.2497734856821641E-2</v>
      </c>
      <c r="CR133" s="29">
        <f t="shared" si="386"/>
        <v>3.2810443459823757E-2</v>
      </c>
      <c r="CS133" s="29">
        <f t="shared" si="387"/>
        <v>4.4599878776010904E-2</v>
      </c>
      <c r="CT133" s="29">
        <f t="shared" si="388"/>
        <v>3.5652992174751486E-2</v>
      </c>
      <c r="CU133" s="29">
        <f t="shared" si="389"/>
        <v>3.5128946363108371E-2</v>
      </c>
      <c r="CV133" s="29">
        <f t="shared" si="390"/>
        <v>6.366216488273313E-2</v>
      </c>
      <c r="CW133" s="29">
        <f t="shared" si="391"/>
        <v>3.002593599869674E-2</v>
      </c>
      <c r="CX133" s="29">
        <f t="shared" si="392"/>
        <v>3.8519814075486103E-2</v>
      </c>
      <c r="CY133" s="29">
        <f t="shared" si="393"/>
        <v>4.8598274812781561E-2</v>
      </c>
      <c r="CZ133" s="29">
        <f t="shared" si="394"/>
        <v>5.6447164834501296E-2</v>
      </c>
      <c r="DA133" s="29">
        <f t="shared" si="395"/>
        <v>3.5098052972458493E-2</v>
      </c>
      <c r="DB133" s="29">
        <f t="shared" si="396"/>
        <v>7.2759491067919679E-2</v>
      </c>
      <c r="DC133" s="29">
        <f t="shared" si="397"/>
        <v>6.9538370155340701E-2</v>
      </c>
      <c r="DD133" s="29">
        <f t="shared" si="398"/>
        <v>6.5267611988146568E-2</v>
      </c>
      <c r="DE133" s="29">
        <f t="shared" si="399"/>
        <v>3.1439575633165129E-2</v>
      </c>
      <c r="DF133" s="29">
        <f t="shared" si="400"/>
        <v>2.6655860866360293E-2</v>
      </c>
      <c r="DG133" s="29">
        <f t="shared" si="401"/>
        <v>5.2889984170255033E-2</v>
      </c>
      <c r="DH133" s="29">
        <f t="shared" si="402"/>
        <v>6.749071471931356E-2</v>
      </c>
      <c r="DI133" s="29">
        <f t="shared" si="403"/>
        <v>3.9375180921392694E-2</v>
      </c>
      <c r="DJ133" s="29">
        <f t="shared" si="404"/>
        <v>2.7340976694202102E-2</v>
      </c>
      <c r="DK133" s="29">
        <f t="shared" si="405"/>
        <v>6.3948467744608717E-2</v>
      </c>
      <c r="DL133" s="29">
        <f t="shared" si="406"/>
        <v>5.5781244491977411E-2</v>
      </c>
      <c r="DM133" s="29">
        <f t="shared" si="407"/>
        <v>4.3614656261329765E-2</v>
      </c>
      <c r="DN133" s="29">
        <f t="shared" si="408"/>
        <v>4.7052691270053071E-2</v>
      </c>
      <c r="DO133" s="29">
        <f t="shared" si="409"/>
        <v>6.0573500420657567E-2</v>
      </c>
      <c r="DP133" s="29">
        <f t="shared" si="429"/>
        <v>9.3436273678059401E-2</v>
      </c>
      <c r="DQ133" s="29">
        <f t="shared" si="430"/>
        <v>3.045834842143802E-2</v>
      </c>
      <c r="DR133" s="29"/>
      <c r="DS133" s="29"/>
      <c r="DT133" s="29"/>
      <c r="DU133" s="29"/>
      <c r="DV133" s="29"/>
      <c r="DW133" s="29"/>
      <c r="DX133" s="29"/>
      <c r="DY133" s="29"/>
      <c r="DZ133" s="29"/>
      <c r="EA133" s="29"/>
      <c r="EB133" s="29"/>
      <c r="EC133" s="29"/>
      <c r="ED133" s="29"/>
      <c r="EE133" s="29"/>
      <c r="EF133" s="29"/>
      <c r="EG133" s="29"/>
      <c r="EH133" s="29"/>
      <c r="EI133" s="29"/>
      <c r="EJ133" s="29"/>
      <c r="EK133" s="29"/>
      <c r="EL133" s="29"/>
      <c r="EM133" s="29"/>
      <c r="EN133" s="29"/>
      <c r="EO133" s="29"/>
      <c r="EP133" s="29"/>
      <c r="EQ133" s="29"/>
      <c r="ER133" s="29"/>
      <c r="ES133" s="29"/>
      <c r="ET133" s="29"/>
      <c r="EU133" s="29"/>
      <c r="EV133" s="29"/>
      <c r="EW133" s="29"/>
      <c r="EX133" s="29"/>
      <c r="EY133" s="29"/>
      <c r="EZ133" s="29"/>
      <c r="FA133" s="29"/>
      <c r="FB133" s="29"/>
      <c r="FC133" s="29"/>
      <c r="FD133" s="29"/>
      <c r="FE133" s="29"/>
      <c r="FF133" s="29"/>
      <c r="FG133" s="29"/>
      <c r="FH133" s="29"/>
      <c r="FI133" s="29"/>
      <c r="FJ133" s="29"/>
      <c r="FK133" s="29"/>
      <c r="FL133" s="29"/>
      <c r="FM133" s="29"/>
      <c r="FN133" s="29"/>
      <c r="FO133" s="29"/>
      <c r="FP133" s="29"/>
      <c r="FQ133" s="29"/>
      <c r="FR133" s="29"/>
      <c r="FS133" s="29"/>
      <c r="FT133" s="29"/>
      <c r="FU133" s="29"/>
      <c r="FV133" s="29"/>
      <c r="FW133" s="29"/>
      <c r="FX133" s="29"/>
      <c r="FY133" s="29"/>
      <c r="FZ133" s="29"/>
      <c r="GA133" s="29"/>
      <c r="GB133" s="29"/>
      <c r="GC133" s="29"/>
      <c r="GD133" s="29"/>
      <c r="GE133" s="29"/>
      <c r="GF133" s="29"/>
      <c r="GG133" s="29"/>
      <c r="GH133" s="29"/>
    </row>
    <row r="134" spans="5:190" x14ac:dyDescent="0.2">
      <c r="E134" s="191" t="s">
        <v>113</v>
      </c>
      <c r="F134" s="29"/>
      <c r="G134" s="29"/>
      <c r="H134" s="29"/>
      <c r="J134" s="29"/>
      <c r="K134" s="29">
        <f t="shared" ref="K134:Y134" si="433">K103/J103-1</f>
        <v>4.0970652690122344E-2</v>
      </c>
      <c r="L134" s="29">
        <f t="shared" si="433"/>
        <v>0.71537805539736188</v>
      </c>
      <c r="M134" s="29">
        <f t="shared" si="433"/>
        <v>0.44638759555148178</v>
      </c>
      <c r="N134" s="29">
        <f t="shared" si="433"/>
        <v>5.4671595574351306E-2</v>
      </c>
      <c r="O134" s="29">
        <f t="shared" si="433"/>
        <v>6.8601882406766013E-2</v>
      </c>
      <c r="P134" s="29">
        <f t="shared" si="433"/>
        <v>7.6118445786063083E-2</v>
      </c>
      <c r="Q134" s="29">
        <f t="shared" si="433"/>
        <v>7.9364255760624003E-2</v>
      </c>
      <c r="R134" s="29">
        <f t="shared" si="433"/>
        <v>5.4135253544795869E-2</v>
      </c>
      <c r="S134" s="29">
        <f t="shared" si="433"/>
        <v>1.9165960378677127E-2</v>
      </c>
      <c r="T134" s="29">
        <f t="shared" si="433"/>
        <v>4.398785757456336E-2</v>
      </c>
      <c r="U134" s="29">
        <f t="shared" si="433"/>
        <v>8.8984869688697454E-2</v>
      </c>
      <c r="V134" s="29">
        <f t="shared" si="433"/>
        <v>7.4184643580746945E-2</v>
      </c>
      <c r="W134" s="29">
        <f t="shared" si="433"/>
        <v>4.2929161044852338E-2</v>
      </c>
      <c r="X134" s="29">
        <f t="shared" si="433"/>
        <v>8.2629120096747277E-2</v>
      </c>
      <c r="Y134" s="29">
        <f t="shared" si="433"/>
        <v>0.12360361344088822</v>
      </c>
      <c r="Z134" s="29">
        <f t="shared" si="339"/>
        <v>0.12531508343615427</v>
      </c>
      <c r="AA134" s="29">
        <f t="shared" si="340"/>
        <v>0.12636646405900231</v>
      </c>
      <c r="AB134" s="29">
        <f t="shared" si="340"/>
        <v>0.12773596622178229</v>
      </c>
      <c r="AC134" s="29">
        <f t="shared" si="340"/>
        <v>0.12853737700808709</v>
      </c>
      <c r="AD134" s="29">
        <f t="shared" si="341"/>
        <v>0.12882308306152535</v>
      </c>
      <c r="AE134" s="29">
        <f t="shared" si="342"/>
        <v>0.12929160181329102</v>
      </c>
      <c r="AF134" s="29"/>
      <c r="AG134" s="29"/>
      <c r="AH134" s="29"/>
      <c r="AI134" s="29"/>
      <c r="AJ134" s="29"/>
      <c r="AK134" s="29"/>
      <c r="AL134" s="29"/>
      <c r="AM134" s="29">
        <f t="shared" ref="AM134:BF134" si="434">AM103/AL103-1</f>
        <v>3.8460013203352572E-2</v>
      </c>
      <c r="AN134" s="29">
        <f t="shared" si="434"/>
        <v>4.3388309080208298E-2</v>
      </c>
      <c r="AO134" s="29">
        <f t="shared" si="434"/>
        <v>1.3594237481361864</v>
      </c>
      <c r="AP134" s="29">
        <f t="shared" si="434"/>
        <v>5.941338063737267E-2</v>
      </c>
      <c r="AQ134" s="29">
        <f t="shared" si="434"/>
        <v>5.0195736434108573E-2</v>
      </c>
      <c r="AR134" s="29">
        <f t="shared" si="434"/>
        <v>8.6128278043406503E-2</v>
      </c>
      <c r="AS134" s="29">
        <f t="shared" si="434"/>
        <v>6.6902377610971397E-2</v>
      </c>
      <c r="AT134" s="29">
        <f t="shared" si="434"/>
        <v>9.1044685396142189E-2</v>
      </c>
      <c r="AU134" s="29">
        <f t="shared" si="434"/>
        <v>2.0305812509624266E-2</v>
      </c>
      <c r="AV134" s="29">
        <f t="shared" si="434"/>
        <v>1.8048793234305416E-2</v>
      </c>
      <c r="AW134" s="39">
        <f t="shared" si="434"/>
        <v>6.9467053181534677E-2</v>
      </c>
      <c r="AX134" s="29">
        <f t="shared" si="434"/>
        <v>0.1072349096961005</v>
      </c>
      <c r="AY134" s="29">
        <f t="shared" si="434"/>
        <v>4.4335272118620095E-2</v>
      </c>
      <c r="AZ134" s="29">
        <f t="shared" si="434"/>
        <v>4.1582743748312057E-2</v>
      </c>
      <c r="BA134" s="29">
        <f t="shared" si="434"/>
        <v>0.12203681631176222</v>
      </c>
      <c r="BB134" s="29">
        <f t="shared" si="434"/>
        <v>0.125</v>
      </c>
      <c r="BC134" s="29">
        <f t="shared" si="434"/>
        <v>0.12559515760162476</v>
      </c>
      <c r="BD134" s="29">
        <f t="shared" si="434"/>
        <v>0.12705170728536919</v>
      </c>
      <c r="BE134" s="29">
        <f t="shared" si="434"/>
        <v>0.12834308915322357</v>
      </c>
      <c r="BF134" s="29">
        <f t="shared" si="434"/>
        <v>0.12870956564178448</v>
      </c>
      <c r="BG134" s="29">
        <f t="shared" si="344"/>
        <v>0.12892365580689469</v>
      </c>
      <c r="BH134" s="29">
        <f t="shared" si="345"/>
        <v>0.12961752819857275</v>
      </c>
      <c r="BI134" s="29"/>
      <c r="BJ134" s="29"/>
      <c r="BK134" s="29"/>
      <c r="BL134" s="29"/>
      <c r="BM134" s="29"/>
      <c r="BN134" s="29"/>
      <c r="BO134" s="614" t="s">
        <v>337</v>
      </c>
      <c r="BP134" s="625"/>
      <c r="BQ134" s="625"/>
      <c r="BR134" s="625"/>
      <c r="BS134" s="625"/>
      <c r="BT134" s="625"/>
      <c r="BU134" s="625">
        <f t="shared" si="357"/>
        <v>5.2263939085391176E-2</v>
      </c>
      <c r="BV134" s="625">
        <f t="shared" si="364"/>
        <v>4.9849672813636836E-2</v>
      </c>
      <c r="BW134" s="625">
        <f t="shared" si="365"/>
        <v>5.4791844766496567E-2</v>
      </c>
      <c r="BX134" s="625">
        <f t="shared" si="366"/>
        <v>0.11773275905360503</v>
      </c>
      <c r="BY134" s="625">
        <f t="shared" si="367"/>
        <v>8.49187606981332E-2</v>
      </c>
      <c r="BZ134" s="625">
        <f t="shared" si="368"/>
        <v>0.11089553251559381</v>
      </c>
      <c r="CA134" s="625">
        <f t="shared" si="369"/>
        <v>8.5019661641674515E-2</v>
      </c>
      <c r="CB134" s="625">
        <f t="shared" si="370"/>
        <v>2.3293780834732214E-3</v>
      </c>
      <c r="CC134" s="625">
        <f t="shared" si="371"/>
        <v>4.4531927080701861E-2</v>
      </c>
      <c r="CD134" s="625">
        <f t="shared" si="372"/>
        <v>2.7560102145454124E-2</v>
      </c>
      <c r="CE134" s="625">
        <f t="shared" si="373"/>
        <v>0.10498825823987157</v>
      </c>
      <c r="CF134" s="625">
        <f t="shared" si="374"/>
        <v>0.25894975591332092</v>
      </c>
      <c r="CG134" s="625">
        <f t="shared" si="375"/>
        <v>7.056673963918203E-2</v>
      </c>
      <c r="CH134" s="625">
        <f t="shared" si="376"/>
        <v>0.15665360646474036</v>
      </c>
      <c r="CI134" s="625">
        <f t="shared" si="377"/>
        <v>0.14185346687831957</v>
      </c>
      <c r="CJ134" s="625">
        <f t="shared" si="378"/>
        <v>1.5492626553964328E-2</v>
      </c>
      <c r="CK134" s="625">
        <f t="shared" si="379"/>
        <v>0.22747829358855287</v>
      </c>
      <c r="CL134" s="625">
        <f t="shared" si="380"/>
        <v>6.0134477616654802E-2</v>
      </c>
      <c r="CM134" s="625">
        <f t="shared" si="381"/>
        <v>5.1064537648688457E-3</v>
      </c>
      <c r="CN134" s="625">
        <f t="shared" si="382"/>
        <v>5.5559504722088038E-2</v>
      </c>
      <c r="CO134" s="625">
        <f t="shared" si="383"/>
        <v>-0.14215743098325462</v>
      </c>
      <c r="CP134" s="625">
        <f t="shared" si="384"/>
        <v>8.0155162336450703E-2</v>
      </c>
      <c r="CQ134" s="625">
        <f t="shared" si="385"/>
        <v>0.26011439188694063</v>
      </c>
      <c r="CR134" s="625">
        <f t="shared" si="386"/>
        <v>0.25216164377112982</v>
      </c>
      <c r="CS134" s="625">
        <f t="shared" si="387"/>
        <v>0.13428610101605054</v>
      </c>
      <c r="CT134" s="625">
        <f t="shared" si="388"/>
        <v>8.9691941829924238E-2</v>
      </c>
      <c r="CU134" s="625">
        <f t="shared" si="389"/>
        <v>8.0977052516244541E-2</v>
      </c>
      <c r="CV134" s="625">
        <f t="shared" si="390"/>
        <v>0.13144136626090486</v>
      </c>
      <c r="CW134" s="625">
        <f t="shared" si="391"/>
        <v>0.10121373310744763</v>
      </c>
      <c r="CX134" s="625">
        <f t="shared" si="392"/>
        <v>0.13652523171535247</v>
      </c>
      <c r="CY134" s="625">
        <f t="shared" si="393"/>
        <v>5.6571219799844696E-2</v>
      </c>
      <c r="CZ134" s="625">
        <f t="shared" si="394"/>
        <v>0.14406714471529147</v>
      </c>
      <c r="DA134" s="625">
        <f t="shared" si="395"/>
        <v>0.11263424286691959</v>
      </c>
      <c r="DB134" s="625">
        <f t="shared" si="396"/>
        <v>6.646252325620372E-2</v>
      </c>
      <c r="DC134" s="625">
        <f t="shared" si="397"/>
        <v>0.12945058338439508</v>
      </c>
      <c r="DD134" s="625">
        <f t="shared" si="398"/>
        <v>0.17158102670229214</v>
      </c>
      <c r="DE134" s="625">
        <f t="shared" si="399"/>
        <v>0.15136407036461619</v>
      </c>
      <c r="DF134" s="625">
        <f t="shared" si="400"/>
        <v>0.16607373096887046</v>
      </c>
      <c r="DG134" s="625">
        <f t="shared" si="401"/>
        <v>0.11678854315348319</v>
      </c>
      <c r="DH134" s="625">
        <f t="shared" si="402"/>
        <v>4.1525381511966053E-2</v>
      </c>
      <c r="DI134" s="625">
        <f t="shared" si="403"/>
        <v>0.16216518285076953</v>
      </c>
      <c r="DJ134" s="625">
        <f t="shared" si="404"/>
        <v>0.13631124204054834</v>
      </c>
      <c r="DK134" s="625">
        <f t="shared" si="405"/>
        <v>0.10584603254655689</v>
      </c>
      <c r="DL134" s="625">
        <f t="shared" si="406"/>
        <v>0.10340843338573258</v>
      </c>
      <c r="DM134" s="625">
        <f t="shared" si="407"/>
        <v>0.19140320092458674</v>
      </c>
      <c r="DN134" s="625">
        <f t="shared" si="408"/>
        <v>0.12196150980265008</v>
      </c>
      <c r="DO134" s="625">
        <f t="shared" si="409"/>
        <v>9.3290423746639206E-2</v>
      </c>
      <c r="DP134" s="625">
        <f t="shared" si="429"/>
        <v>0.13096530256739691</v>
      </c>
      <c r="DQ134" s="625">
        <f t="shared" si="430"/>
        <v>0.16534758791969573</v>
      </c>
      <c r="DR134" s="29"/>
      <c r="DS134" s="29"/>
      <c r="DT134" s="29"/>
      <c r="DU134" s="29"/>
      <c r="DV134" s="29"/>
      <c r="DW134" s="29"/>
      <c r="DX134" s="29"/>
      <c r="DY134" s="29"/>
      <c r="DZ134" s="29"/>
      <c r="EA134" s="29"/>
      <c r="EB134" s="29"/>
      <c r="EC134" s="29"/>
      <c r="ED134" s="29"/>
      <c r="EE134" s="29"/>
      <c r="EF134" s="29"/>
      <c r="EG134" s="29"/>
      <c r="EH134" s="29"/>
      <c r="EI134" s="29"/>
      <c r="EJ134" s="29"/>
      <c r="EK134" s="29"/>
      <c r="EL134" s="29"/>
      <c r="EM134" s="29"/>
      <c r="EN134" s="29"/>
      <c r="EO134" s="29"/>
      <c r="EP134" s="29"/>
      <c r="EQ134" s="29"/>
      <c r="ER134" s="29"/>
      <c r="ES134" s="29"/>
      <c r="ET134" s="29"/>
      <c r="EU134" s="29"/>
      <c r="EV134" s="29"/>
      <c r="EW134" s="29"/>
      <c r="EX134" s="29"/>
      <c r="EY134" s="29"/>
      <c r="EZ134" s="29"/>
      <c r="FA134" s="29"/>
      <c r="FB134" s="29"/>
      <c r="FC134" s="29"/>
      <c r="FD134" s="29"/>
      <c r="FE134" s="29"/>
      <c r="FF134" s="29"/>
      <c r="FG134" s="29"/>
      <c r="FH134" s="29"/>
      <c r="FI134" s="29"/>
      <c r="FJ134" s="29"/>
      <c r="FK134" s="29"/>
      <c r="FL134" s="29"/>
      <c r="FM134" s="29"/>
      <c r="FN134" s="29"/>
      <c r="FO134" s="29"/>
      <c r="FP134" s="29"/>
      <c r="FQ134" s="29"/>
      <c r="FR134" s="29"/>
      <c r="FS134" s="29"/>
      <c r="FT134" s="29"/>
      <c r="FU134" s="29"/>
      <c r="FV134" s="29"/>
      <c r="FW134" s="29"/>
      <c r="FX134" s="29"/>
      <c r="FY134" s="29"/>
      <c r="FZ134" s="29"/>
      <c r="GA134" s="29"/>
      <c r="GB134" s="29"/>
      <c r="GC134" s="29"/>
      <c r="GD134" s="29"/>
      <c r="GE134" s="29"/>
      <c r="GF134" s="29"/>
      <c r="GG134" s="29"/>
      <c r="GH134" s="29"/>
    </row>
    <row r="135" spans="5:190" x14ac:dyDescent="0.2">
      <c r="E135" s="191" t="s">
        <v>114</v>
      </c>
      <c r="F135" s="29"/>
      <c r="G135" s="29"/>
      <c r="H135" s="29"/>
      <c r="J135" s="29"/>
      <c r="K135" s="29">
        <f t="shared" ref="K135:Y135" si="435">K104/J104-1</f>
        <v>6.0701868638593393E-2</v>
      </c>
      <c r="L135" s="29">
        <f t="shared" si="435"/>
        <v>0.90314699972304724</v>
      </c>
      <c r="M135" s="29">
        <f t="shared" si="435"/>
        <v>0.53650236094003168</v>
      </c>
      <c r="N135" s="29">
        <f t="shared" si="435"/>
        <v>0.13169736908634322</v>
      </c>
      <c r="O135" s="29">
        <f t="shared" si="435"/>
        <v>0.16608709249854803</v>
      </c>
      <c r="P135" s="29">
        <f t="shared" si="435"/>
        <v>0.18155027027717385</v>
      </c>
      <c r="Q135" s="29">
        <f t="shared" si="435"/>
        <v>0.11037426516300153</v>
      </c>
      <c r="R135" s="29">
        <f t="shared" si="435"/>
        <v>0.11260932054313977</v>
      </c>
      <c r="S135" s="29">
        <f t="shared" si="435"/>
        <v>0.14550404210665557</v>
      </c>
      <c r="T135" s="29">
        <f t="shared" si="435"/>
        <v>0.19670882027236836</v>
      </c>
      <c r="U135" s="29">
        <f t="shared" si="435"/>
        <v>0.25412812643452054</v>
      </c>
      <c r="V135" s="29">
        <f t="shared" si="435"/>
        <v>0.15648089751765037</v>
      </c>
      <c r="W135" s="29">
        <f t="shared" si="435"/>
        <v>0.15690554533520906</v>
      </c>
      <c r="X135" s="29">
        <f t="shared" si="435"/>
        <v>0.17341892024009753</v>
      </c>
      <c r="Y135" s="29">
        <f t="shared" si="435"/>
        <v>0.10512319125439618</v>
      </c>
      <c r="Z135" s="29">
        <f t="shared" si="339"/>
        <v>8.0262551166072393E-2</v>
      </c>
      <c r="AA135" s="29">
        <f t="shared" si="340"/>
        <v>8.0580153501133678E-2</v>
      </c>
      <c r="AB135" s="29">
        <f t="shared" si="340"/>
        <v>8.0724484500609872E-2</v>
      </c>
      <c r="AC135" s="29">
        <f t="shared" si="340"/>
        <v>8.2325044661838431E-2</v>
      </c>
      <c r="AD135" s="29">
        <f t="shared" si="341"/>
        <v>8.4730866116748738E-2</v>
      </c>
      <c r="AE135" s="29">
        <f t="shared" si="342"/>
        <v>8.5643525247454555E-2</v>
      </c>
      <c r="AF135" s="29"/>
      <c r="AG135" s="29"/>
      <c r="AH135" s="29"/>
      <c r="AI135" s="29"/>
      <c r="AJ135" s="29"/>
      <c r="AK135" s="29"/>
      <c r="AL135" s="29"/>
      <c r="AM135" s="29">
        <f t="shared" ref="AM135:BF135" si="436">AM104/AL104-1</f>
        <v>6.6082163241389713E-2</v>
      </c>
      <c r="AN135" s="29">
        <f t="shared" si="436"/>
        <v>5.565507694813121E-2</v>
      </c>
      <c r="AO135" s="29">
        <f t="shared" si="436"/>
        <v>1.705958392649789</v>
      </c>
      <c r="AP135" s="29">
        <f t="shared" si="436"/>
        <v>0.10432423326210505</v>
      </c>
      <c r="AQ135" s="29">
        <f t="shared" si="436"/>
        <v>0.15648459642389745</v>
      </c>
      <c r="AR135" s="29">
        <f t="shared" si="436"/>
        <v>0.17439026930206403</v>
      </c>
      <c r="AS135" s="29">
        <f t="shared" si="436"/>
        <v>0.18764705186866704</v>
      </c>
      <c r="AT135" s="29">
        <f t="shared" si="436"/>
        <v>4.5310501830214012E-2</v>
      </c>
      <c r="AU135" s="29">
        <f t="shared" si="436"/>
        <v>0.17699097421933785</v>
      </c>
      <c r="AV135" s="29">
        <f t="shared" si="436"/>
        <v>0.11875198299798928</v>
      </c>
      <c r="AW135" s="39">
        <f t="shared" si="436"/>
        <v>0.26639078594403909</v>
      </c>
      <c r="AX135" s="29">
        <f t="shared" si="436"/>
        <v>0.24444497045642533</v>
      </c>
      <c r="AY135" s="29">
        <f t="shared" si="436"/>
        <v>8.5795511641156397E-2</v>
      </c>
      <c r="AZ135" s="412">
        <f t="shared" si="436"/>
        <v>0.22239672938566724</v>
      </c>
      <c r="BA135" s="412">
        <f t="shared" si="436"/>
        <v>0.13335188801711051</v>
      </c>
      <c r="BB135" s="29">
        <f t="shared" si="436"/>
        <v>8.0215925416508016E-2</v>
      </c>
      <c r="BC135" s="29">
        <f t="shared" si="436"/>
        <v>8.0305714526718308E-2</v>
      </c>
      <c r="BD135" s="29">
        <f t="shared" si="436"/>
        <v>8.0834191752274132E-2</v>
      </c>
      <c r="BE135" s="29">
        <f t="shared" si="436"/>
        <v>8.0622982112453112E-2</v>
      </c>
      <c r="BF135" s="29">
        <f t="shared" si="436"/>
        <v>8.3900119944855467E-2</v>
      </c>
      <c r="BG135" s="29">
        <f t="shared" si="344"/>
        <v>8.5497307744170525E-2</v>
      </c>
      <c r="BH135" s="29">
        <f t="shared" si="345"/>
        <v>8.5778226183367279E-2</v>
      </c>
      <c r="BI135" s="29"/>
      <c r="BJ135" s="29"/>
      <c r="BK135" s="29"/>
      <c r="BL135" s="29"/>
      <c r="BM135" s="29"/>
      <c r="BN135" s="29"/>
      <c r="BP135" s="29"/>
      <c r="BQ135" s="29"/>
      <c r="BR135" s="29"/>
      <c r="BS135" s="29"/>
      <c r="BT135" s="29"/>
      <c r="BU135" s="29"/>
      <c r="BV135" s="29"/>
      <c r="BW135" s="29"/>
      <c r="BX135" s="29"/>
      <c r="BY135" s="29"/>
      <c r="BZ135" s="29"/>
      <c r="CA135" s="29"/>
      <c r="CB135" s="29"/>
      <c r="CC135" s="29"/>
      <c r="CD135" s="29"/>
      <c r="CE135" s="29"/>
      <c r="CF135" s="29"/>
      <c r="CG135" s="29"/>
      <c r="CH135" s="29"/>
      <c r="CI135" s="29"/>
      <c r="CJ135" s="29"/>
      <c r="CK135" s="29"/>
      <c r="CL135" s="29"/>
      <c r="CM135" s="29"/>
      <c r="CN135" s="29"/>
      <c r="CO135" s="29"/>
      <c r="CP135" s="29"/>
      <c r="CQ135" s="29"/>
      <c r="CR135" s="29"/>
      <c r="CS135" s="29"/>
      <c r="CT135" s="29"/>
      <c r="CU135" s="29"/>
      <c r="CV135" s="29"/>
      <c r="CW135" s="29"/>
      <c r="CX135" s="29"/>
      <c r="CY135" s="29"/>
      <c r="CZ135" s="29"/>
      <c r="DA135" s="29"/>
      <c r="DB135" s="29"/>
      <c r="DC135" s="29"/>
      <c r="DD135" s="29"/>
      <c r="DE135" s="29"/>
      <c r="DF135" s="29"/>
      <c r="DG135" s="29"/>
      <c r="DH135" s="29"/>
      <c r="DI135" s="29"/>
      <c r="DJ135" s="29"/>
      <c r="DK135" s="29"/>
      <c r="DL135" s="29"/>
      <c r="DM135" s="29"/>
      <c r="DN135" s="29"/>
      <c r="DO135" s="29"/>
      <c r="DP135" s="29"/>
      <c r="DQ135" s="29"/>
      <c r="DR135" s="29"/>
      <c r="DS135" s="29"/>
      <c r="DT135" s="29"/>
      <c r="DU135" s="29"/>
      <c r="DV135" s="29"/>
      <c r="DW135" s="29"/>
      <c r="DX135" s="29"/>
      <c r="DY135" s="29"/>
      <c r="DZ135" s="29"/>
      <c r="EA135" s="29"/>
      <c r="EB135" s="29"/>
      <c r="EC135" s="29"/>
      <c r="ED135" s="29"/>
      <c r="EE135" s="29"/>
      <c r="EF135" s="29"/>
      <c r="EG135" s="29"/>
      <c r="EH135" s="29"/>
      <c r="EI135" s="29"/>
      <c r="EJ135" s="29"/>
      <c r="EK135" s="29"/>
      <c r="EL135" s="29"/>
      <c r="EM135" s="29"/>
      <c r="EN135" s="29"/>
      <c r="EO135" s="29"/>
      <c r="EP135" s="29"/>
      <c r="EQ135" s="29"/>
      <c r="ER135" s="29"/>
      <c r="ES135" s="29"/>
      <c r="ET135" s="29"/>
      <c r="EU135" s="29"/>
      <c r="EV135" s="29"/>
      <c r="EW135" s="29"/>
      <c r="EX135" s="29"/>
      <c r="EY135" s="29"/>
      <c r="EZ135" s="29"/>
      <c r="FA135" s="29"/>
      <c r="FB135" s="29"/>
      <c r="FC135" s="29"/>
      <c r="FD135" s="29"/>
      <c r="FE135" s="29"/>
      <c r="FF135" s="29"/>
      <c r="FG135" s="29"/>
      <c r="FH135" s="29"/>
      <c r="FI135" s="29"/>
      <c r="FJ135" s="29"/>
      <c r="FK135" s="29"/>
      <c r="FL135" s="29"/>
      <c r="FM135" s="29"/>
      <c r="FN135" s="29"/>
      <c r="FO135" s="29"/>
      <c r="FP135" s="29"/>
      <c r="FQ135" s="29"/>
      <c r="FR135" s="29"/>
      <c r="FS135" s="29"/>
      <c r="FT135" s="29"/>
      <c r="FU135" s="29"/>
      <c r="FV135" s="29"/>
      <c r="FW135" s="29"/>
      <c r="FX135" s="29"/>
      <c r="FY135" s="29"/>
      <c r="FZ135" s="29"/>
      <c r="GA135" s="29"/>
      <c r="GB135" s="29"/>
      <c r="GC135" s="29"/>
      <c r="GD135" s="29"/>
      <c r="GE135" s="29"/>
      <c r="GF135" s="29"/>
      <c r="GG135" s="29"/>
      <c r="GH135" s="29"/>
    </row>
    <row r="136" spans="5:190" x14ac:dyDescent="0.2">
      <c r="E136" s="191" t="s">
        <v>115</v>
      </c>
      <c r="F136" s="29"/>
      <c r="G136" s="29"/>
      <c r="H136" s="29"/>
      <c r="J136" s="29"/>
      <c r="K136" s="29">
        <f t="shared" ref="K136:Y136" si="437">K105/J105-1</f>
        <v>3.9417828987265091E-2</v>
      </c>
      <c r="L136" s="29">
        <f t="shared" si="437"/>
        <v>0.88890728509091788</v>
      </c>
      <c r="M136" s="29">
        <f t="shared" si="437"/>
        <v>0.5340920883142215</v>
      </c>
      <c r="N136" s="29">
        <f t="shared" si="437"/>
        <v>0.10418961741945121</v>
      </c>
      <c r="O136" s="29">
        <f t="shared" si="437"/>
        <v>9.4432349707930019E-2</v>
      </c>
      <c r="P136" s="29">
        <f t="shared" si="437"/>
        <v>9.9033785922824524E-2</v>
      </c>
      <c r="Q136" s="29">
        <f t="shared" si="437"/>
        <v>0.15463836253111429</v>
      </c>
      <c r="R136" s="29">
        <f t="shared" si="437"/>
        <v>0.20538584797275306</v>
      </c>
      <c r="S136" s="29">
        <f t="shared" si="437"/>
        <v>0.20109450133645668</v>
      </c>
      <c r="T136" s="29">
        <f t="shared" si="437"/>
        <v>0.18550865841560893</v>
      </c>
      <c r="U136" s="29">
        <f t="shared" si="437"/>
        <v>0.15255897945674257</v>
      </c>
      <c r="V136" s="29">
        <f t="shared" si="437"/>
        <v>0.13787759057150928</v>
      </c>
      <c r="W136" s="29">
        <f t="shared" si="437"/>
        <v>9.6424604330617392E-2</v>
      </c>
      <c r="X136" s="29">
        <f t="shared" si="437"/>
        <v>5.6635929980694E-2</v>
      </c>
      <c r="Y136" s="29">
        <f t="shared" si="437"/>
        <v>8.5440961586098041E-2</v>
      </c>
      <c r="Z136" s="29">
        <f t="shared" si="339"/>
        <v>0.10777000433573192</v>
      </c>
      <c r="AA136" s="29">
        <f t="shared" si="340"/>
        <v>0.10771645837348731</v>
      </c>
      <c r="AB136" s="29">
        <f t="shared" si="340"/>
        <v>0.10833050644619768</v>
      </c>
      <c r="AC136" s="29">
        <f t="shared" si="340"/>
        <v>0.11159042855411272</v>
      </c>
      <c r="AD136" s="29">
        <f t="shared" si="341"/>
        <v>0.11578224564517825</v>
      </c>
      <c r="AE136" s="29">
        <f t="shared" si="342"/>
        <v>0.11699554924854083</v>
      </c>
      <c r="AF136" s="29"/>
      <c r="AG136" s="29"/>
      <c r="AH136" s="29"/>
      <c r="AI136" s="29"/>
      <c r="AJ136" s="29"/>
      <c r="AK136" s="29"/>
      <c r="AL136" s="29"/>
      <c r="AM136" s="29">
        <f t="shared" ref="AM136:BF136" si="438">AM105/AL105-1</f>
        <v>4.0000000000000036E-2</v>
      </c>
      <c r="AN136" s="29">
        <f t="shared" si="438"/>
        <v>3.8858049167327602E-2</v>
      </c>
      <c r="AO136" s="29">
        <f t="shared" si="438"/>
        <v>1.7071607862356868</v>
      </c>
      <c r="AP136" s="29">
        <f t="shared" si="438"/>
        <v>0.10077142857142851</v>
      </c>
      <c r="AQ136" s="29">
        <f t="shared" si="438"/>
        <v>0.10729488410724941</v>
      </c>
      <c r="AR136" s="29">
        <f t="shared" si="438"/>
        <v>8.281617177382028E-2</v>
      </c>
      <c r="AS136" s="29">
        <f t="shared" si="438"/>
        <v>0.11401104113174654</v>
      </c>
      <c r="AT136" s="29">
        <f t="shared" si="438"/>
        <v>0.19110776893672221</v>
      </c>
      <c r="AU136" s="29">
        <f t="shared" si="438"/>
        <v>0.21737307482862112</v>
      </c>
      <c r="AV136" s="29">
        <f t="shared" si="438"/>
        <v>0.18772261573396243</v>
      </c>
      <c r="AW136" s="39">
        <f t="shared" si="438"/>
        <v>0.18364462274850535</v>
      </c>
      <c r="AX136" s="29">
        <f t="shared" si="438"/>
        <v>0.12629633043665112</v>
      </c>
      <c r="AY136" s="29">
        <f t="shared" si="438"/>
        <v>0.14816019544368153</v>
      </c>
      <c r="AZ136" s="29">
        <f t="shared" si="438"/>
        <v>5.1365046162367145E-2</v>
      </c>
      <c r="BA136" s="29">
        <f t="shared" si="438"/>
        <v>6.1649301727801031E-2</v>
      </c>
      <c r="BB136" s="29">
        <f t="shared" si="438"/>
        <v>0.10785105484342594</v>
      </c>
      <c r="BC136" s="29">
        <f t="shared" si="438"/>
        <v>0.10769684422333214</v>
      </c>
      <c r="BD136" s="29">
        <f t="shared" si="438"/>
        <v>0.10773416551985804</v>
      </c>
      <c r="BE136" s="29">
        <f t="shared" si="438"/>
        <v>0.10886884943940078</v>
      </c>
      <c r="BF136" s="29">
        <f t="shared" si="438"/>
        <v>0.11404480277166584</v>
      </c>
      <c r="BG136" s="29">
        <f t="shared" si="344"/>
        <v>0.11734182643509761</v>
      </c>
      <c r="BH136" s="29">
        <f t="shared" si="345"/>
        <v>0.11668563765446649</v>
      </c>
      <c r="BI136" s="29"/>
      <c r="BJ136" s="29"/>
      <c r="BK136" s="29"/>
      <c r="BL136" s="29"/>
      <c r="BM136" s="29"/>
      <c r="BN136" s="29"/>
      <c r="BO136" s="191" t="s">
        <v>115</v>
      </c>
      <c r="BP136" s="29"/>
      <c r="BQ136" s="29"/>
      <c r="BR136" s="29"/>
      <c r="BS136" s="29"/>
      <c r="BT136" s="29"/>
      <c r="BU136" s="29">
        <f t="shared" si="357"/>
        <v>0.27526785149503863</v>
      </c>
      <c r="BV136" s="29">
        <f t="shared" si="364"/>
        <v>0.11029874655608718</v>
      </c>
      <c r="BW136" s="29">
        <f t="shared" si="365"/>
        <v>3.9069475672783183E-2</v>
      </c>
      <c r="BX136" s="29">
        <f t="shared" si="366"/>
        <v>-3.2848027228929322E-2</v>
      </c>
      <c r="BY136" s="29">
        <f t="shared" si="367"/>
        <v>-0.15576360644672138</v>
      </c>
      <c r="BZ136" s="29">
        <f t="shared" si="368"/>
        <v>0.11857809197617053</v>
      </c>
      <c r="CA136" s="29">
        <f t="shared" si="369"/>
        <v>0.21740294141600214</v>
      </c>
      <c r="CB136" s="29">
        <f t="shared" si="370"/>
        <v>0.3433417242432415</v>
      </c>
      <c r="CC136" s="29">
        <f t="shared" si="371"/>
        <v>0.16434974869957197</v>
      </c>
      <c r="CD136" s="29">
        <f t="shared" si="372"/>
        <v>4.8040534037194549E-2</v>
      </c>
      <c r="CE136" s="29">
        <f t="shared" si="373"/>
        <v>3.9227954776128282E-2</v>
      </c>
      <c r="CF136" s="29">
        <f t="shared" si="374"/>
        <v>9.1938129705154248E-2</v>
      </c>
      <c r="CG136" s="29">
        <f t="shared" si="375"/>
        <v>1.391659255559885E-2</v>
      </c>
      <c r="CH136" s="29">
        <f t="shared" si="376"/>
        <v>0.16116358203925962</v>
      </c>
      <c r="CI136" s="29">
        <f t="shared" si="377"/>
        <v>3.5811739545379195E-2</v>
      </c>
      <c r="CJ136" s="29">
        <f t="shared" si="378"/>
        <v>0.2218929008168653</v>
      </c>
      <c r="CK136" s="29">
        <f t="shared" si="379"/>
        <v>0.23105559204283699</v>
      </c>
      <c r="CL136" s="29">
        <f t="shared" si="380"/>
        <v>8.9079675400882685E-3</v>
      </c>
      <c r="CM136" s="29">
        <f t="shared" si="381"/>
        <v>0.19079092322093594</v>
      </c>
      <c r="CN136" s="29">
        <f t="shared" si="382"/>
        <v>4.9555990884866397E-2</v>
      </c>
      <c r="CO136" s="29">
        <f t="shared" si="383"/>
        <v>-0.24074516278813407</v>
      </c>
      <c r="CP136" s="29">
        <f t="shared" si="384"/>
        <v>0.1099686269546809</v>
      </c>
      <c r="CQ136" s="29">
        <f t="shared" si="385"/>
        <v>0.19535675309410494</v>
      </c>
      <c r="CR136" s="29">
        <f t="shared" si="386"/>
        <v>0.32723727399877744</v>
      </c>
      <c r="CS136" s="29">
        <f t="shared" si="387"/>
        <v>0.18746475204151092</v>
      </c>
      <c r="CT136" s="29">
        <f t="shared" si="388"/>
        <v>0.12723578109677947</v>
      </c>
      <c r="CU136" s="29">
        <f t="shared" si="389"/>
        <v>0.11426965701401715</v>
      </c>
      <c r="CV136" s="29">
        <f t="shared" si="390"/>
        <v>7.9002259538789588E-2</v>
      </c>
      <c r="CW136" s="29">
        <f t="shared" si="391"/>
        <v>9.5053181626638672E-2</v>
      </c>
      <c r="CX136" s="29">
        <f t="shared" si="392"/>
        <v>0.18280432450526796</v>
      </c>
      <c r="CY136" s="29">
        <f t="shared" si="393"/>
        <v>0.16842739499571868</v>
      </c>
      <c r="CZ136" s="29">
        <f t="shared" si="394"/>
        <v>-6.0827210514984187E-2</v>
      </c>
      <c r="DA136" s="29">
        <f t="shared" si="395"/>
        <v>9.7985785846599338E-2</v>
      </c>
      <c r="DB136" s="29">
        <f t="shared" si="396"/>
        <v>0.14569240000981187</v>
      </c>
      <c r="DC136" s="29">
        <f t="shared" si="397"/>
        <v>0.10062538851604663</v>
      </c>
      <c r="DD136" s="29">
        <f t="shared" si="398"/>
        <v>5.9943304569988864E-2</v>
      </c>
      <c r="DE136" s="29">
        <f t="shared" si="399"/>
        <v>0.10042729614644208</v>
      </c>
      <c r="DF136" s="29">
        <f t="shared" si="400"/>
        <v>9.9586817891349266E-2</v>
      </c>
      <c r="DG136" s="29">
        <f t="shared" si="401"/>
        <v>0.11049435781318184</v>
      </c>
      <c r="DH136" s="29">
        <f t="shared" si="402"/>
        <v>0.11551876231567393</v>
      </c>
      <c r="DI136" s="29">
        <f t="shared" si="403"/>
        <v>0.13068232904574617</v>
      </c>
      <c r="DJ136" s="29">
        <f t="shared" si="404"/>
        <v>0.11010248849112636</v>
      </c>
      <c r="DK136" s="29">
        <f t="shared" si="405"/>
        <v>0.11286008679394821</v>
      </c>
      <c r="DL136" s="29">
        <f t="shared" si="406"/>
        <v>0.17922714153297625</v>
      </c>
      <c r="DM136" s="29">
        <f t="shared" si="407"/>
        <v>0.1289389918560877</v>
      </c>
      <c r="DN136" s="29">
        <f t="shared" si="408"/>
        <v>0.14006986924081577</v>
      </c>
      <c r="DO136" s="29">
        <f t="shared" si="409"/>
        <v>0.10185762728441983</v>
      </c>
      <c r="DP136" s="29">
        <f t="shared" ref="DP136:DP139" si="439">DP105/DL105-1</f>
        <v>0.12205303410631596</v>
      </c>
      <c r="DQ136" s="29">
        <f t="shared" ref="DQ136:DQ139" si="440">DQ105/DM105-1</f>
        <v>0.1319999999999999</v>
      </c>
      <c r="DR136" s="633"/>
      <c r="DS136" s="29"/>
      <c r="DT136" s="29"/>
      <c r="DU136" s="29"/>
      <c r="DV136" s="29"/>
      <c r="DW136" s="29"/>
      <c r="DX136" s="29"/>
      <c r="DY136" s="29"/>
      <c r="DZ136" s="29"/>
      <c r="EA136" s="29"/>
      <c r="EB136" s="29"/>
      <c r="EC136" s="29"/>
      <c r="ED136" s="29"/>
      <c r="EE136" s="29"/>
      <c r="EF136" s="29"/>
      <c r="EG136" s="29"/>
      <c r="EH136" s="29"/>
      <c r="EI136" s="29"/>
      <c r="EJ136" s="29"/>
      <c r="EK136" s="29"/>
      <c r="EL136" s="29"/>
      <c r="EM136" s="29"/>
      <c r="EN136" s="29"/>
      <c r="EO136" s="29"/>
      <c r="EP136" s="29"/>
      <c r="EQ136" s="29"/>
      <c r="ER136" s="29"/>
      <c r="ES136" s="29"/>
      <c r="ET136" s="29"/>
      <c r="EU136" s="29"/>
      <c r="EV136" s="29"/>
      <c r="EW136" s="29"/>
      <c r="EX136" s="29"/>
      <c r="EY136" s="29"/>
      <c r="EZ136" s="29"/>
      <c r="FA136" s="29"/>
      <c r="FB136" s="29"/>
      <c r="FC136" s="29"/>
      <c r="FD136" s="29"/>
      <c r="FE136" s="29"/>
      <c r="FF136" s="29"/>
      <c r="FG136" s="29"/>
      <c r="FH136" s="29"/>
      <c r="FI136" s="29"/>
      <c r="FJ136" s="29"/>
      <c r="FK136" s="29"/>
      <c r="FL136" s="29"/>
      <c r="FM136" s="29"/>
      <c r="FN136" s="29"/>
      <c r="FO136" s="29"/>
      <c r="FP136" s="29"/>
      <c r="FQ136" s="29"/>
      <c r="FR136" s="29"/>
      <c r="FS136" s="29"/>
      <c r="FT136" s="29"/>
      <c r="FU136" s="29"/>
      <c r="FV136" s="29"/>
      <c r="FW136" s="29"/>
      <c r="FX136" s="29"/>
      <c r="FY136" s="29"/>
      <c r="FZ136" s="29"/>
      <c r="GA136" s="29"/>
      <c r="GB136" s="29"/>
      <c r="GC136" s="29"/>
      <c r="GD136" s="29"/>
      <c r="GE136" s="29"/>
      <c r="GF136" s="29"/>
      <c r="GG136" s="29"/>
      <c r="GH136" s="29"/>
    </row>
    <row r="137" spans="5:190" x14ac:dyDescent="0.2">
      <c r="E137" s="191" t="s">
        <v>116</v>
      </c>
      <c r="F137" s="29"/>
      <c r="G137" s="29"/>
      <c r="H137" s="29"/>
      <c r="J137" s="29"/>
      <c r="K137" s="29">
        <f t="shared" ref="K137:Y137" si="441">K106/J106-1</f>
        <v>4.4789140583854303E-2</v>
      </c>
      <c r="L137" s="29">
        <f t="shared" si="441"/>
        <v>0.61878292231700205</v>
      </c>
      <c r="M137" s="29">
        <f t="shared" si="441"/>
        <v>0.41616241727254599</v>
      </c>
      <c r="N137" s="29">
        <f t="shared" si="441"/>
        <v>6.820246315797851E-2</v>
      </c>
      <c r="O137" s="29">
        <f t="shared" si="441"/>
        <v>6.6483689015526037E-2</v>
      </c>
      <c r="P137" s="29">
        <f t="shared" si="441"/>
        <v>-8.9447747653266019E-2</v>
      </c>
      <c r="Q137" s="29">
        <f t="shared" si="441"/>
        <v>-0.12155494308235049</v>
      </c>
      <c r="R137" s="29">
        <f t="shared" si="441"/>
        <v>3.0679989577123035E-2</v>
      </c>
      <c r="S137" s="29">
        <f t="shared" si="441"/>
        <v>4.872100377231825E-2</v>
      </c>
      <c r="T137" s="29">
        <f t="shared" si="441"/>
        <v>5.5129986811691678E-2</v>
      </c>
      <c r="U137" s="29">
        <f t="shared" si="441"/>
        <v>6.4280358496403123E-2</v>
      </c>
      <c r="V137" s="29">
        <f t="shared" si="441"/>
        <v>5.3277170313456246E-2</v>
      </c>
      <c r="W137" s="29">
        <f t="shared" si="441"/>
        <v>1.256323996636155E-2</v>
      </c>
      <c r="X137" s="29">
        <f t="shared" si="441"/>
        <v>1.3960606892774896E-2</v>
      </c>
      <c r="Y137" s="29">
        <f t="shared" si="441"/>
        <v>2.327796160241391E-2</v>
      </c>
      <c r="Z137" s="29">
        <f t="shared" ref="Z137:AC141" si="442">Z106/Y106-1</f>
        <v>1.755756848142509E-2</v>
      </c>
      <c r="AA137" s="29">
        <f t="shared" si="442"/>
        <v>1.8307640450631268E-2</v>
      </c>
      <c r="AB137" s="29">
        <f t="shared" si="442"/>
        <v>1.7647299547467465E-2</v>
      </c>
      <c r="AC137" s="29">
        <f t="shared" si="442"/>
        <v>1.6641894946802793E-2</v>
      </c>
      <c r="AD137" s="29">
        <f t="shared" si="341"/>
        <v>1.741349075976939E-2</v>
      </c>
      <c r="AE137" s="29">
        <f t="shared" si="342"/>
        <v>1.8243897793471797E-2</v>
      </c>
      <c r="AF137" s="29"/>
      <c r="AG137" s="29"/>
      <c r="AH137" s="29"/>
      <c r="AI137" s="29"/>
      <c r="AJ137" s="29"/>
      <c r="AK137" s="29"/>
      <c r="AL137" s="29"/>
      <c r="AM137" s="29">
        <f t="shared" ref="AM137:BF137" si="443">AM106/AL106-1</f>
        <v>4.0049872647499374E-2</v>
      </c>
      <c r="AN137" s="29">
        <f t="shared" si="443"/>
        <v>4.9345910466716658E-2</v>
      </c>
      <c r="AO137" s="29">
        <f t="shared" si="443"/>
        <v>1.161441931296241</v>
      </c>
      <c r="AP137" s="29">
        <f t="shared" si="443"/>
        <v>7.1355784611013995E-2</v>
      </c>
      <c r="AQ137" s="29">
        <f t="shared" si="443"/>
        <v>6.5259163183936097E-2</v>
      </c>
      <c r="AR137" s="29">
        <f t="shared" si="443"/>
        <v>6.7633198800477912E-2</v>
      </c>
      <c r="AS137" s="29">
        <f t="shared" si="443"/>
        <v>-0.23657781688512369</v>
      </c>
      <c r="AT137" s="29">
        <f t="shared" si="443"/>
        <v>2.9112507178869818E-2</v>
      </c>
      <c r="AU137" s="29">
        <f t="shared" si="443"/>
        <v>3.2203129551925169E-2</v>
      </c>
      <c r="AV137" s="29">
        <f t="shared" si="443"/>
        <v>6.4723546050564407E-2</v>
      </c>
      <c r="AW137" s="39">
        <f t="shared" si="443"/>
        <v>4.6119611043767161E-2</v>
      </c>
      <c r="AX137" s="29">
        <f t="shared" si="443"/>
        <v>8.1640464607516172E-2</v>
      </c>
      <c r="AY137" s="29">
        <f t="shared" si="443"/>
        <v>2.7054691382482288E-2</v>
      </c>
      <c r="AZ137" s="194">
        <f t="shared" si="443"/>
        <v>-1.5464774008939752E-3</v>
      </c>
      <c r="BA137" s="194">
        <f t="shared" si="443"/>
        <v>2.9491709685924405E-2</v>
      </c>
      <c r="BB137" s="29">
        <f t="shared" si="443"/>
        <v>1.7242217919342995E-2</v>
      </c>
      <c r="BC137" s="29">
        <f t="shared" si="443"/>
        <v>1.7867573863158848E-2</v>
      </c>
      <c r="BD137" s="29">
        <f t="shared" si="443"/>
        <v>1.8739982141016576E-2</v>
      </c>
      <c r="BE137" s="29">
        <f t="shared" si="443"/>
        <v>1.6574717129280048E-2</v>
      </c>
      <c r="BF137" s="29">
        <f t="shared" si="443"/>
        <v>1.6707977465274748E-2</v>
      </c>
      <c r="BG137" s="29">
        <f t="shared" si="344"/>
        <v>1.8107410066130258E-2</v>
      </c>
      <c r="BH137" s="29">
        <f t="shared" si="345"/>
        <v>1.8377958037010478E-2</v>
      </c>
      <c r="BI137" s="29"/>
      <c r="BJ137" s="29"/>
      <c r="BK137" s="29"/>
      <c r="BL137" s="29"/>
      <c r="BM137" s="29"/>
      <c r="BN137" s="29"/>
      <c r="BO137" s="191" t="s">
        <v>338</v>
      </c>
      <c r="BP137" s="29"/>
      <c r="BQ137" s="29"/>
      <c r="BR137" s="29"/>
      <c r="BS137" s="29"/>
      <c r="BT137" s="29"/>
      <c r="BU137" s="29">
        <f t="shared" si="357"/>
        <v>3.8628285859638956E-2</v>
      </c>
      <c r="BV137" s="29">
        <f t="shared" si="364"/>
        <v>6.9949602219466112E-2</v>
      </c>
      <c r="BW137" s="29">
        <f t="shared" si="365"/>
        <v>8.1354249778258225E-2</v>
      </c>
      <c r="BX137" s="29">
        <f t="shared" si="366"/>
        <v>9.5488050072556341E-2</v>
      </c>
      <c r="BY137" s="29">
        <f t="shared" si="367"/>
        <v>5.6544651827750148E-2</v>
      </c>
      <c r="BZ137" s="29">
        <f t="shared" si="368"/>
        <v>6.8975043582747197E-2</v>
      </c>
      <c r="CA137" s="29">
        <f t="shared" si="369"/>
        <v>7.242277717073331E-2</v>
      </c>
      <c r="CB137" s="29">
        <f t="shared" si="370"/>
        <v>6.3364609753531198E-2</v>
      </c>
      <c r="CC137" s="29">
        <f t="shared" si="371"/>
        <v>6.3976601894719876E-2</v>
      </c>
      <c r="CD137" s="29">
        <f t="shared" si="372"/>
        <v>9.5989008097872031E-3</v>
      </c>
      <c r="CE137" s="29">
        <f t="shared" si="373"/>
        <v>5.9773867889080012E-2</v>
      </c>
      <c r="CF137" s="29">
        <f t="shared" si="374"/>
        <v>0.13108728196845387</v>
      </c>
      <c r="CG137" s="29">
        <f t="shared" si="375"/>
        <v>7.5910624186817932E-2</v>
      </c>
      <c r="CH137" s="29">
        <f t="shared" si="376"/>
        <v>7.6173115857473439E-2</v>
      </c>
      <c r="CI137" s="29">
        <f t="shared" si="377"/>
        <v>0.14723428686776296</v>
      </c>
      <c r="CJ137" s="29">
        <f t="shared" si="378"/>
        <v>1.0064517865252753E-2</v>
      </c>
      <c r="CK137" s="29">
        <f t="shared" si="379"/>
        <v>0.15434351277474856</v>
      </c>
      <c r="CL137" s="29">
        <f t="shared" si="380"/>
        <v>3.5223775795146128E-2</v>
      </c>
      <c r="CM137" s="29">
        <f t="shared" si="381"/>
        <v>8.1882105332613753E-2</v>
      </c>
      <c r="CN137" s="29">
        <f t="shared" si="382"/>
        <v>1.9818008271583087E-2</v>
      </c>
      <c r="CO137" s="29">
        <f t="shared" si="383"/>
        <v>3.5669531405779775E-2</v>
      </c>
      <c r="CP137" s="29">
        <f t="shared" si="384"/>
        <v>0.15188595709710029</v>
      </c>
      <c r="CQ137" s="29">
        <f t="shared" si="385"/>
        <v>2.7175360932642389E-2</v>
      </c>
      <c r="CR137" s="29">
        <f t="shared" si="386"/>
        <v>8.0083787822126107E-2</v>
      </c>
      <c r="CS137" s="29">
        <f t="shared" si="387"/>
        <v>7.2910770707669492E-2</v>
      </c>
      <c r="CT137" s="29">
        <f t="shared" si="388"/>
        <v>8.0821213667254144E-2</v>
      </c>
      <c r="CU137" s="29">
        <f t="shared" si="389"/>
        <v>7.7326350531491617E-2</v>
      </c>
      <c r="CV137" s="29">
        <f t="shared" si="390"/>
        <v>5.3491261877924856E-2</v>
      </c>
      <c r="CW137" s="29">
        <f t="shared" si="391"/>
        <v>8.7166949822513384E-2</v>
      </c>
      <c r="CX137" s="29">
        <f t="shared" si="392"/>
        <v>6.5054075626014285E-2</v>
      </c>
      <c r="CY137" s="29">
        <f t="shared" si="393"/>
        <v>3.8993867105384439E-2</v>
      </c>
      <c r="CZ137" s="29">
        <f t="shared" si="394"/>
        <v>8.1111076756039235E-2</v>
      </c>
      <c r="DA137" s="29">
        <f t="shared" si="395"/>
        <v>0.13138381095285445</v>
      </c>
      <c r="DB137" s="29">
        <f t="shared" si="396"/>
        <v>5.6071442576408392E-2</v>
      </c>
      <c r="DC137" s="29">
        <f t="shared" si="397"/>
        <v>3.7860470305189242E-2</v>
      </c>
      <c r="DD137" s="29">
        <f t="shared" si="398"/>
        <v>5.1550581093912973E-2</v>
      </c>
      <c r="DE137" s="29">
        <f t="shared" si="399"/>
        <v>8.8180215268963025E-2</v>
      </c>
      <c r="DF137" s="29">
        <f t="shared" si="400"/>
        <v>6.3814811251720061E-2</v>
      </c>
      <c r="DG137" s="29">
        <f t="shared" si="401"/>
        <v>5.8845364159255675E-2</v>
      </c>
      <c r="DH137" s="29">
        <f t="shared" si="402"/>
        <v>4.6339058590297411E-2</v>
      </c>
      <c r="DI137" s="29">
        <f t="shared" si="403"/>
        <v>8.0752395250047737E-2</v>
      </c>
      <c r="DJ137" s="29">
        <f t="shared" si="404"/>
        <v>6.9224012134609714E-2</v>
      </c>
      <c r="DK137" s="29">
        <f t="shared" si="405"/>
        <v>5.0330341633320064E-2</v>
      </c>
      <c r="DL137" s="29">
        <f t="shared" si="406"/>
        <v>6.5484344282796147E-2</v>
      </c>
      <c r="DM137" s="29">
        <f t="shared" si="407"/>
        <v>8.952072240560649E-2</v>
      </c>
      <c r="DN137" s="29">
        <f t="shared" si="408"/>
        <v>4.7390000388461972E-2</v>
      </c>
      <c r="DO137" s="29">
        <f t="shared" si="409"/>
        <v>4.0749877529095535E-2</v>
      </c>
      <c r="DP137" s="29">
        <f t="shared" si="439"/>
        <v>7.2841758336519513E-2</v>
      </c>
      <c r="DQ137" s="29">
        <f t="shared" si="440"/>
        <v>8.0999999999999961E-2</v>
      </c>
      <c r="DR137" s="633"/>
      <c r="DS137" s="29"/>
      <c r="DT137" s="29"/>
      <c r="DU137" s="29"/>
      <c r="DV137" s="29"/>
      <c r="DW137" s="29"/>
      <c r="DX137" s="29"/>
      <c r="DY137" s="29"/>
      <c r="DZ137" s="29"/>
      <c r="EA137" s="29"/>
      <c r="EB137" s="29"/>
      <c r="EC137" s="29"/>
      <c r="ED137" s="29"/>
      <c r="EE137" s="29"/>
      <c r="EF137" s="29"/>
      <c r="EG137" s="29"/>
      <c r="EH137" s="29"/>
      <c r="EI137" s="29"/>
      <c r="EJ137" s="29"/>
      <c r="EK137" s="29"/>
      <c r="EL137" s="29"/>
      <c r="EM137" s="29"/>
      <c r="EN137" s="29"/>
      <c r="EO137" s="29"/>
      <c r="EP137" s="29"/>
      <c r="EQ137" s="29"/>
      <c r="ER137" s="29"/>
      <c r="ES137" s="29"/>
      <c r="ET137" s="29"/>
      <c r="EU137" s="29"/>
      <c r="EV137" s="29"/>
      <c r="EW137" s="29"/>
      <c r="EX137" s="29"/>
      <c r="EY137" s="29"/>
      <c r="EZ137" s="29"/>
      <c r="FA137" s="29"/>
      <c r="FB137" s="29"/>
      <c r="FC137" s="29"/>
      <c r="FD137" s="29"/>
      <c r="FE137" s="29"/>
      <c r="FF137" s="29"/>
      <c r="FG137" s="29"/>
      <c r="FH137" s="29"/>
      <c r="FI137" s="29"/>
      <c r="FJ137" s="29"/>
      <c r="FK137" s="29"/>
      <c r="FL137" s="29"/>
      <c r="FM137" s="29"/>
      <c r="FN137" s="29"/>
      <c r="FO137" s="29"/>
      <c r="FP137" s="29"/>
      <c r="FQ137" s="29"/>
      <c r="FR137" s="29"/>
      <c r="FS137" s="29"/>
      <c r="FT137" s="29"/>
      <c r="FU137" s="29"/>
      <c r="FV137" s="29"/>
      <c r="FW137" s="29"/>
      <c r="FX137" s="29"/>
      <c r="FY137" s="29"/>
      <c r="FZ137" s="29"/>
      <c r="GA137" s="29"/>
      <c r="GB137" s="29"/>
      <c r="GC137" s="29"/>
      <c r="GD137" s="29"/>
      <c r="GE137" s="29"/>
      <c r="GF137" s="29"/>
      <c r="GG137" s="29"/>
      <c r="GH137" s="29"/>
    </row>
    <row r="138" spans="5:190" x14ac:dyDescent="0.2">
      <c r="E138" s="191" t="s">
        <v>117</v>
      </c>
      <c r="F138" s="29"/>
      <c r="G138" s="29"/>
      <c r="H138" s="29"/>
      <c r="J138" s="29"/>
      <c r="K138" s="29">
        <f t="shared" ref="K138:Y138" si="444">K107/J107-1</f>
        <v>6.7670379980406592E-2</v>
      </c>
      <c r="L138" s="29">
        <f t="shared" si="444"/>
        <v>1.0516708155881629</v>
      </c>
      <c r="M138" s="29">
        <f t="shared" si="444"/>
        <v>0.54016372245736166</v>
      </c>
      <c r="N138" s="29">
        <f t="shared" si="444"/>
        <v>4.8301525594203643E-2</v>
      </c>
      <c r="O138" s="29">
        <f t="shared" si="444"/>
        <v>3.3959463484421581E-2</v>
      </c>
      <c r="P138" s="29">
        <f t="shared" si="444"/>
        <v>0.23519779314882472</v>
      </c>
      <c r="Q138" s="29">
        <f t="shared" si="444"/>
        <v>0.18149684439274183</v>
      </c>
      <c r="R138" s="29">
        <f t="shared" si="444"/>
        <v>4.1569208437007621E-2</v>
      </c>
      <c r="S138" s="29">
        <f t="shared" si="444"/>
        <v>7.9771770422314425E-3</v>
      </c>
      <c r="T138" s="29">
        <f t="shared" si="444"/>
        <v>-2.8163027609072855E-2</v>
      </c>
      <c r="U138" s="29">
        <f t="shared" si="444"/>
        <v>-8.1439315316261807E-3</v>
      </c>
      <c r="V138" s="29">
        <f t="shared" si="444"/>
        <v>5.6379476922662652E-2</v>
      </c>
      <c r="W138" s="29">
        <f t="shared" si="444"/>
        <v>0.12958308067151747</v>
      </c>
      <c r="X138" s="29">
        <f t="shared" si="444"/>
        <v>0.11116998740905659</v>
      </c>
      <c r="Y138" s="29">
        <f t="shared" si="444"/>
        <v>6.7791489717133446E-2</v>
      </c>
      <c r="Z138" s="29">
        <f t="shared" si="442"/>
        <v>4.618405171469453E-2</v>
      </c>
      <c r="AA138" s="29">
        <f t="shared" si="442"/>
        <v>4.7225495768902226E-2</v>
      </c>
      <c r="AB138" s="29">
        <f t="shared" si="442"/>
        <v>4.9823971174726145E-2</v>
      </c>
      <c r="AC138" s="29">
        <f t="shared" si="442"/>
        <v>5.0995994743958439E-2</v>
      </c>
      <c r="AD138" s="29">
        <f t="shared" si="341"/>
        <v>5.0742426415899544E-2</v>
      </c>
      <c r="AE138" s="29">
        <f t="shared" si="342"/>
        <v>5.192636734056677E-2</v>
      </c>
      <c r="AF138" s="29"/>
      <c r="AG138" s="29"/>
      <c r="AH138" s="29"/>
      <c r="AI138" s="29"/>
      <c r="AJ138" s="29"/>
      <c r="AK138" s="29"/>
      <c r="AL138" s="29"/>
      <c r="AM138" s="29">
        <f t="shared" ref="AM138:BF138" si="445">AM107/AL107-1</f>
        <v>2.7396588808043409E-2</v>
      </c>
      <c r="AN138" s="29">
        <f t="shared" si="445"/>
        <v>0.10687022900763354</v>
      </c>
      <c r="AO138" s="29">
        <f t="shared" si="445"/>
        <v>1.9052492765678135</v>
      </c>
      <c r="AP138" s="29">
        <f t="shared" si="445"/>
        <v>7.0295072933721281E-2</v>
      </c>
      <c r="AQ138" s="29">
        <f t="shared" si="445"/>
        <v>2.7752475247524666E-2</v>
      </c>
      <c r="AR138" s="29">
        <f t="shared" si="445"/>
        <v>3.9998843964047293E-2</v>
      </c>
      <c r="AS138" s="29">
        <f t="shared" si="445"/>
        <v>0.42288929907469597</v>
      </c>
      <c r="AT138" s="29">
        <f t="shared" si="445"/>
        <v>1.1847346825410332E-2</v>
      </c>
      <c r="AU138" s="29">
        <f t="shared" si="445"/>
        <v>7.0943067749726696E-2</v>
      </c>
      <c r="AV138" s="29">
        <f t="shared" si="445"/>
        <v>-5.0817629706739864E-2</v>
      </c>
      <c r="AW138" s="39">
        <f t="shared" si="445"/>
        <v>-4.2955361693955973E-3</v>
      </c>
      <c r="AX138" s="29">
        <f t="shared" si="445"/>
        <v>-1.200892913083873E-2</v>
      </c>
      <c r="AY138" s="29">
        <f t="shared" si="445"/>
        <v>0.12559913696811043</v>
      </c>
      <c r="AZ138" s="29">
        <f t="shared" si="445"/>
        <v>0.13312247899953888</v>
      </c>
      <c r="BA138" s="29">
        <f t="shared" si="445"/>
        <v>9.1796537497565334E-2</v>
      </c>
      <c r="BB138" s="29">
        <f t="shared" si="445"/>
        <v>4.5804748638569093E-2</v>
      </c>
      <c r="BC138" s="29">
        <f t="shared" si="445"/>
        <v>4.6546741859885721E-2</v>
      </c>
      <c r="BD138" s="29">
        <f t="shared" si="445"/>
        <v>4.7874061075990682E-2</v>
      </c>
      <c r="BE138" s="29">
        <f t="shared" si="445"/>
        <v>5.168479603065701E-2</v>
      </c>
      <c r="BF138" s="29">
        <f t="shared" si="445"/>
        <v>5.0341044430614934E-2</v>
      </c>
      <c r="BG138" s="29">
        <f t="shared" si="344"/>
        <v>5.1124570851188711E-2</v>
      </c>
      <c r="BH138" s="29">
        <f t="shared" si="345"/>
        <v>5.2689166072146687E-2</v>
      </c>
      <c r="BI138" s="29"/>
      <c r="BJ138" s="29"/>
      <c r="BK138" s="29"/>
      <c r="BL138" s="29"/>
      <c r="BM138" s="29"/>
      <c r="BN138" s="29"/>
      <c r="BO138" s="191" t="s">
        <v>117</v>
      </c>
      <c r="BP138" s="29"/>
      <c r="BQ138" s="29"/>
      <c r="BR138" s="29"/>
      <c r="BS138" s="29"/>
      <c r="BT138" s="29"/>
      <c r="BU138" s="29">
        <f t="shared" si="357"/>
        <v>7.7500589729819547E-2</v>
      </c>
      <c r="BV138" s="29">
        <f t="shared" si="364"/>
        <v>9.2712839175512318E-2</v>
      </c>
      <c r="BW138" s="29">
        <f t="shared" si="365"/>
        <v>9.9488810656779503E-2</v>
      </c>
      <c r="BX138" s="29">
        <f t="shared" si="366"/>
        <v>9.7664444613080548E-2</v>
      </c>
      <c r="BY138" s="29">
        <f t="shared" si="367"/>
        <v>9.0505410315868895E-2</v>
      </c>
      <c r="BZ138" s="29">
        <f t="shared" si="368"/>
        <v>9.1220690458497122E-2</v>
      </c>
      <c r="CA138" s="29">
        <f t="shared" si="369"/>
        <v>9.6229042617794747E-2</v>
      </c>
      <c r="CB138" s="29">
        <f t="shared" si="370"/>
        <v>0.10570477207266737</v>
      </c>
      <c r="CC138" s="29">
        <f t="shared" si="371"/>
        <v>0.1223136607082429</v>
      </c>
      <c r="CD138" s="29">
        <f t="shared" si="372"/>
        <v>0.13620215672134051</v>
      </c>
      <c r="CE138" s="29">
        <f t="shared" si="373"/>
        <v>0.14287571187314385</v>
      </c>
      <c r="CF138" s="29">
        <f t="shared" si="374"/>
        <v>0.14242734270393242</v>
      </c>
      <c r="CG138" s="29">
        <f t="shared" si="375"/>
        <v>0.13432038123644996</v>
      </c>
      <c r="CH138" s="29">
        <f t="shared" si="376"/>
        <v>0.11986923570049712</v>
      </c>
      <c r="CI138" s="29">
        <f t="shared" si="377"/>
        <v>0.10787780074084408</v>
      </c>
      <c r="CJ138" s="29">
        <f t="shared" si="378"/>
        <v>9.7343812916567352E-2</v>
      </c>
      <c r="CK138" s="29">
        <f t="shared" si="379"/>
        <v>7.9879402742657701E-2</v>
      </c>
      <c r="CL138" s="29">
        <f t="shared" si="380"/>
        <v>6.7107605876133736E-2</v>
      </c>
      <c r="CM138" s="29">
        <f t="shared" si="381"/>
        <v>5.8277064402860512E-2</v>
      </c>
      <c r="CN138" s="29">
        <f t="shared" si="382"/>
        <v>5.4027869324928757E-2</v>
      </c>
      <c r="CO138" s="29">
        <f t="shared" si="383"/>
        <v>6.2367363348011962E-2</v>
      </c>
      <c r="CP138" s="29">
        <f t="shared" si="384"/>
        <v>6.7705515531233385E-2</v>
      </c>
      <c r="CQ138" s="29">
        <f t="shared" si="385"/>
        <v>6.9962908568528714E-2</v>
      </c>
      <c r="CR138" s="29">
        <f t="shared" si="386"/>
        <v>6.8684434009580464E-2</v>
      </c>
      <c r="CS138" s="29">
        <f t="shared" si="387"/>
        <v>6.9464792513508344E-2</v>
      </c>
      <c r="CT138" s="29">
        <f t="shared" si="388"/>
        <v>7.7811153911984787E-2</v>
      </c>
      <c r="CU138" s="29">
        <f t="shared" si="389"/>
        <v>7.3792585106818409E-2</v>
      </c>
      <c r="CV138" s="29">
        <f t="shared" si="390"/>
        <v>5.9230994497081912E-2</v>
      </c>
      <c r="CW138" s="29">
        <f t="shared" si="391"/>
        <v>4.7406889205429792E-2</v>
      </c>
      <c r="CX138" s="29">
        <f t="shared" si="392"/>
        <v>3.9105265288072788E-2</v>
      </c>
      <c r="CY138" s="29">
        <f t="shared" si="393"/>
        <v>4.0331503814757141E-2</v>
      </c>
      <c r="CZ138" s="29">
        <f t="shared" si="394"/>
        <v>4.9951657745862743E-2</v>
      </c>
      <c r="DA138" s="29">
        <f t="shared" si="395"/>
        <v>6.5151857933140267E-2</v>
      </c>
      <c r="DB138" s="29">
        <f t="shared" si="396"/>
        <v>6.9927531822393751E-2</v>
      </c>
      <c r="DC138" s="29">
        <f t="shared" si="397"/>
        <v>6.7372139947348364E-2</v>
      </c>
      <c r="DD138" s="29">
        <f t="shared" si="398"/>
        <v>5.771446711421091E-2</v>
      </c>
      <c r="DE138" s="29">
        <f t="shared" si="399"/>
        <v>5.9937940230516906E-2</v>
      </c>
      <c r="DF138" s="29">
        <f t="shared" si="400"/>
        <v>6.2745496855332483E-2</v>
      </c>
      <c r="DG138" s="29">
        <f t="shared" si="401"/>
        <v>6.9310255243304919E-2</v>
      </c>
      <c r="DH138" s="29">
        <f t="shared" si="402"/>
        <v>7.9674063813948592E-2</v>
      </c>
      <c r="DI138" s="29">
        <f t="shared" si="403"/>
        <v>6.8240113448472695E-2</v>
      </c>
      <c r="DJ138" s="29">
        <f t="shared" si="404"/>
        <v>6.2793190903616347E-2</v>
      </c>
      <c r="DK138" s="29">
        <f t="shared" si="405"/>
        <v>5.5410260263055289E-2</v>
      </c>
      <c r="DL138" s="29">
        <f t="shared" si="406"/>
        <v>4.6178976439572805E-2</v>
      </c>
      <c r="DM138" s="29">
        <f t="shared" si="407"/>
        <v>4.9995541096397034E-2</v>
      </c>
      <c r="DN138" s="29">
        <f t="shared" si="408"/>
        <v>4.6353207675892794E-2</v>
      </c>
      <c r="DO138" s="29">
        <f t="shared" si="409"/>
        <v>4.9542635159961046E-2</v>
      </c>
      <c r="DP138" s="29">
        <f t="shared" si="439"/>
        <v>5.9371143351797828E-2</v>
      </c>
      <c r="DQ138" s="29">
        <f t="shared" si="440"/>
        <v>5.0999999999999934E-2</v>
      </c>
      <c r="DR138" s="633"/>
      <c r="DS138" s="29"/>
      <c r="DT138" s="29"/>
      <c r="DU138" s="29"/>
      <c r="DV138" s="29"/>
      <c r="DW138" s="29"/>
      <c r="DX138" s="29"/>
      <c r="DY138" s="29"/>
      <c r="DZ138" s="29"/>
      <c r="EA138" s="29"/>
      <c r="EB138" s="29"/>
      <c r="EC138" s="29"/>
      <c r="ED138" s="29"/>
      <c r="EE138" s="29"/>
      <c r="EF138" s="29"/>
      <c r="EG138" s="29"/>
      <c r="EH138" s="29"/>
      <c r="EI138" s="29"/>
      <c r="EJ138" s="29"/>
      <c r="EK138" s="29"/>
      <c r="EL138" s="29"/>
      <c r="EM138" s="29"/>
      <c r="EN138" s="29"/>
      <c r="EO138" s="29"/>
      <c r="EP138" s="29"/>
      <c r="EQ138" s="29"/>
      <c r="ER138" s="29"/>
      <c r="ES138" s="29"/>
      <c r="ET138" s="29"/>
      <c r="EU138" s="29"/>
      <c r="EV138" s="29"/>
      <c r="EW138" s="29"/>
      <c r="EX138" s="29"/>
      <c r="EY138" s="29"/>
      <c r="EZ138" s="29"/>
      <c r="FA138" s="29"/>
      <c r="FB138" s="29"/>
      <c r="FC138" s="29"/>
      <c r="FD138" s="29"/>
      <c r="FE138" s="29"/>
      <c r="FF138" s="29"/>
      <c r="FG138" s="29"/>
      <c r="FH138" s="29"/>
      <c r="FI138" s="29"/>
      <c r="FJ138" s="29"/>
      <c r="FK138" s="29"/>
      <c r="FL138" s="29"/>
      <c r="FM138" s="29"/>
      <c r="FN138" s="29"/>
      <c r="FO138" s="29"/>
      <c r="FP138" s="29"/>
      <c r="FQ138" s="29"/>
      <c r="FR138" s="29"/>
      <c r="FS138" s="29"/>
      <c r="FT138" s="29"/>
      <c r="FU138" s="29"/>
      <c r="FV138" s="29"/>
      <c r="FW138" s="29"/>
      <c r="FX138" s="29"/>
      <c r="FY138" s="29"/>
      <c r="FZ138" s="29"/>
      <c r="GA138" s="29"/>
      <c r="GB138" s="29"/>
      <c r="GC138" s="29"/>
      <c r="GD138" s="29"/>
      <c r="GE138" s="29"/>
      <c r="GF138" s="29"/>
      <c r="GG138" s="29"/>
      <c r="GH138" s="29"/>
    </row>
    <row r="139" spans="5:190" x14ac:dyDescent="0.2">
      <c r="E139" s="191" t="s">
        <v>118</v>
      </c>
      <c r="F139" s="29"/>
      <c r="G139" s="29"/>
      <c r="H139" s="29"/>
      <c r="J139" s="29"/>
      <c r="K139" s="29">
        <f t="shared" ref="K139:Y139" si="446">K108/J108-1</f>
        <v>3.7753990328934783E-2</v>
      </c>
      <c r="L139" s="29">
        <f t="shared" si="446"/>
        <v>1.0367304521936096</v>
      </c>
      <c r="M139" s="29">
        <f t="shared" si="446"/>
        <v>0.56406267674618338</v>
      </c>
      <c r="N139" s="29">
        <f t="shared" si="446"/>
        <v>8.6482326823824396E-2</v>
      </c>
      <c r="O139" s="29">
        <f t="shared" si="446"/>
        <v>8.2105270964823118E-2</v>
      </c>
      <c r="P139" s="29">
        <f t="shared" si="446"/>
        <v>7.9281854102197791E-2</v>
      </c>
      <c r="Q139" s="29">
        <f t="shared" si="446"/>
        <v>7.8770972584003562E-2</v>
      </c>
      <c r="R139" s="29">
        <f t="shared" si="446"/>
        <v>0.10575769322194706</v>
      </c>
      <c r="S139" s="29">
        <f t="shared" si="446"/>
        <v>0.1127584483722941</v>
      </c>
      <c r="T139" s="29">
        <f t="shared" si="446"/>
        <v>9.3410172710582717E-2</v>
      </c>
      <c r="U139" s="29">
        <f t="shared" si="446"/>
        <v>7.6970525449125748E-2</v>
      </c>
      <c r="V139" s="29">
        <f t="shared" si="446"/>
        <v>5.9783791539337106E-2</v>
      </c>
      <c r="W139" s="29">
        <f t="shared" si="446"/>
        <v>6.5392502677115161E-2</v>
      </c>
      <c r="X139" s="29">
        <f t="shared" si="446"/>
        <v>5.7891174351271557E-2</v>
      </c>
      <c r="Y139" s="29">
        <f t="shared" si="446"/>
        <v>4.520430707511891E-2</v>
      </c>
      <c r="Z139" s="29">
        <f t="shared" si="442"/>
        <v>4.8249494308074903E-2</v>
      </c>
      <c r="AA139" s="29">
        <f t="shared" si="442"/>
        <v>4.5809672639279819E-2</v>
      </c>
      <c r="AB139" s="29">
        <f t="shared" si="442"/>
        <v>4.3202704058574071E-2</v>
      </c>
      <c r="AC139" s="29">
        <f t="shared" si="442"/>
        <v>4.4492334799173472E-2</v>
      </c>
      <c r="AD139" s="29">
        <f t="shared" si="341"/>
        <v>4.5076882293089815E-2</v>
      </c>
      <c r="AE139" s="29">
        <f t="shared" si="342"/>
        <v>4.5105703182005907E-2</v>
      </c>
      <c r="AF139" s="29"/>
      <c r="AG139" s="29"/>
      <c r="AH139" s="29"/>
      <c r="AI139" s="29"/>
      <c r="AJ139" s="29"/>
      <c r="AK139" s="29"/>
      <c r="AL139" s="29"/>
      <c r="AM139" s="29">
        <f t="shared" ref="AM139:BF139" si="447">AM108/AL108-1</f>
        <v>3.5591734024706501E-2</v>
      </c>
      <c r="AN139" s="29">
        <f t="shared" si="447"/>
        <v>3.9841933128386353E-2</v>
      </c>
      <c r="AO139" s="29">
        <f t="shared" si="447"/>
        <v>1.9954228142779722</v>
      </c>
      <c r="AP139" s="29">
        <f t="shared" si="447"/>
        <v>8.6213562855125492E-2</v>
      </c>
      <c r="AQ139" s="29">
        <f t="shared" si="447"/>
        <v>8.6729758800269341E-2</v>
      </c>
      <c r="AR139" s="29">
        <f t="shared" si="447"/>
        <v>7.78498543831041E-2</v>
      </c>
      <c r="AS139" s="29">
        <f t="shared" si="447"/>
        <v>8.0610424786945911E-2</v>
      </c>
      <c r="AT139" s="29">
        <f t="shared" si="447"/>
        <v>7.7068738216511612E-2</v>
      </c>
      <c r="AU139" s="29">
        <f t="shared" si="447"/>
        <v>0.13239383443326935</v>
      </c>
      <c r="AV139" s="29">
        <f t="shared" si="447"/>
        <v>9.5418733633559016E-2</v>
      </c>
      <c r="AW139" s="39">
        <f t="shared" si="447"/>
        <v>9.1576571676288188E-2</v>
      </c>
      <c r="AX139" s="29">
        <f t="shared" si="447"/>
        <v>6.3589836813849887E-2</v>
      </c>
      <c r="AY139" s="29">
        <f t="shared" si="447"/>
        <v>5.6205301840794419E-2</v>
      </c>
      <c r="AZ139" s="29">
        <f t="shared" si="447"/>
        <v>7.4090812390490424E-2</v>
      </c>
      <c r="BA139" s="29">
        <f t="shared" si="447"/>
        <v>4.2808987768588658E-2</v>
      </c>
      <c r="BB139" s="29">
        <f t="shared" si="447"/>
        <v>4.7501294667885663E-2</v>
      </c>
      <c r="BC139" s="29">
        <f t="shared" si="447"/>
        <v>4.8963765158142492E-2</v>
      </c>
      <c r="BD139" s="29">
        <f t="shared" si="447"/>
        <v>4.2802807556207023E-2</v>
      </c>
      <c r="BE139" s="29">
        <f t="shared" si="447"/>
        <v>4.3586186438434593E-2</v>
      </c>
      <c r="BF139" s="29">
        <f t="shared" si="447"/>
        <v>4.5360637170855256E-2</v>
      </c>
      <c r="BG139" s="29">
        <f t="shared" si="344"/>
        <v>4.4805440201551416E-2</v>
      </c>
      <c r="BH139" s="29">
        <f t="shared" si="345"/>
        <v>4.5393089683742227E-2</v>
      </c>
      <c r="BI139" s="29"/>
      <c r="BJ139" s="29"/>
      <c r="BK139" s="29"/>
      <c r="BL139" s="29"/>
      <c r="BM139" s="29"/>
      <c r="BN139" s="29"/>
      <c r="BO139" s="191" t="s">
        <v>118</v>
      </c>
      <c r="BP139" s="29"/>
      <c r="BQ139" s="29"/>
      <c r="BR139" s="29"/>
      <c r="BS139" s="29"/>
      <c r="BT139" s="29"/>
      <c r="BU139" s="29">
        <f t="shared" si="357"/>
        <v>8.8648440597158151E-2</v>
      </c>
      <c r="BV139" s="29">
        <f t="shared" si="364"/>
        <v>6.6168003518812357E-2</v>
      </c>
      <c r="BW139" s="29">
        <f t="shared" si="365"/>
        <v>5.6784793134762701E-2</v>
      </c>
      <c r="BX139" s="29">
        <f t="shared" si="366"/>
        <v>6.9428219102744215E-2</v>
      </c>
      <c r="BY139" s="29">
        <f t="shared" si="367"/>
        <v>1.3406242736317964E-2</v>
      </c>
      <c r="BZ139" s="29">
        <f t="shared" si="368"/>
        <v>3.0481588182319719E-2</v>
      </c>
      <c r="CA139" s="29">
        <f t="shared" si="369"/>
        <v>4.0384099104390891E-2</v>
      </c>
      <c r="CB139" s="29">
        <f t="shared" si="370"/>
        <v>2.7241777651087151E-2</v>
      </c>
      <c r="CC139" s="29">
        <f t="shared" si="371"/>
        <v>4.9997436018212493E-2</v>
      </c>
      <c r="CD139" s="29">
        <f t="shared" si="372"/>
        <v>2.9917914333364104E-2</v>
      </c>
      <c r="CE139" s="29">
        <f t="shared" si="373"/>
        <v>3.9238459446405693E-2</v>
      </c>
      <c r="CF139" s="29">
        <f t="shared" si="374"/>
        <v>4.0735709051039182E-2</v>
      </c>
      <c r="CG139" s="29">
        <f t="shared" si="375"/>
        <v>3.3659054727793958E-2</v>
      </c>
      <c r="CH139" s="29">
        <f t="shared" si="376"/>
        <v>4.1069477928707521E-2</v>
      </c>
      <c r="CI139" s="29">
        <f t="shared" si="377"/>
        <v>4.3658348051035523E-2</v>
      </c>
      <c r="CJ139" s="29">
        <f t="shared" si="378"/>
        <v>4.181194369511787E-2</v>
      </c>
      <c r="CK139" s="29">
        <f t="shared" si="379"/>
        <v>6.603293363052587E-2</v>
      </c>
      <c r="CL139" s="29">
        <f t="shared" si="380"/>
        <v>5.5823629471531744E-2</v>
      </c>
      <c r="CM139" s="29">
        <f t="shared" si="381"/>
        <v>5.2861619269462867E-2</v>
      </c>
      <c r="CN139" s="29">
        <f t="shared" si="382"/>
        <v>2.4501787617178028E-2</v>
      </c>
      <c r="CO139" s="29">
        <f t="shared" si="383"/>
        <v>6.7517890858530771E-2</v>
      </c>
      <c r="CP139" s="29">
        <f t="shared" si="384"/>
        <v>4.8847218594206154E-2</v>
      </c>
      <c r="CQ139" s="29">
        <f t="shared" si="385"/>
        <v>3.2611382204258632E-2</v>
      </c>
      <c r="CR139" s="29">
        <f t="shared" si="386"/>
        <v>7.15458255108532E-2</v>
      </c>
      <c r="CS139" s="29">
        <f t="shared" si="387"/>
        <v>2.7953682876237673E-2</v>
      </c>
      <c r="CT139" s="29">
        <f t="shared" si="388"/>
        <v>8.0515430607731142E-2</v>
      </c>
      <c r="CU139" s="29">
        <f t="shared" si="389"/>
        <v>8.1292984614310004E-2</v>
      </c>
      <c r="CV139" s="29">
        <f t="shared" si="390"/>
        <v>8.8907117683148629E-2</v>
      </c>
      <c r="CW139" s="29">
        <f t="shared" si="391"/>
        <v>7.8090349124488867E-2</v>
      </c>
      <c r="CX139" s="29">
        <f t="shared" si="392"/>
        <v>6.8265034959764437E-2</v>
      </c>
      <c r="CY139" s="29">
        <f t="shared" si="393"/>
        <v>6.4678347437894912E-2</v>
      </c>
      <c r="CZ139" s="29">
        <f t="shared" si="394"/>
        <v>7.1728302732783522E-2</v>
      </c>
      <c r="DA139" s="29">
        <f t="shared" si="395"/>
        <v>5.9181523753125242E-2</v>
      </c>
      <c r="DB139" s="29">
        <f t="shared" si="396"/>
        <v>7.0931451612902707E-2</v>
      </c>
      <c r="DC139" s="29">
        <f t="shared" si="397"/>
        <v>7.848528179158043E-2</v>
      </c>
      <c r="DD139" s="29">
        <f t="shared" si="398"/>
        <v>8.2511087021692076E-2</v>
      </c>
      <c r="DE139" s="29">
        <f t="shared" si="399"/>
        <v>5.7275186096382713E-2</v>
      </c>
      <c r="DF139" s="29">
        <f t="shared" si="400"/>
        <v>5.1930941459376934E-2</v>
      </c>
      <c r="DG139" s="29">
        <f t="shared" si="401"/>
        <v>9.434354789738042E-2</v>
      </c>
      <c r="DH139" s="29">
        <f t="shared" si="402"/>
        <v>9.2455896871338039E-2</v>
      </c>
      <c r="DI139" s="29">
        <f t="shared" si="403"/>
        <v>6.0000047313474969E-2</v>
      </c>
      <c r="DJ139" s="29">
        <f t="shared" si="404"/>
        <v>6.508365434550023E-2</v>
      </c>
      <c r="DK139" s="29">
        <f t="shared" si="405"/>
        <v>6.6508696693900804E-2</v>
      </c>
      <c r="DL139" s="29">
        <f t="shared" si="406"/>
        <v>6.8248483232865365E-2</v>
      </c>
      <c r="DM139" s="29">
        <f t="shared" si="407"/>
        <v>5.6206388661790507E-2</v>
      </c>
      <c r="DN139" s="29">
        <f t="shared" si="408"/>
        <v>7.1447318407712457E-2</v>
      </c>
      <c r="DO139" s="29">
        <f t="shared" si="409"/>
        <v>5.1100236134379085E-2</v>
      </c>
      <c r="DP139" s="29">
        <f t="shared" si="439"/>
        <v>5.6064641230952894E-2</v>
      </c>
      <c r="DQ139" s="29">
        <f t="shared" si="440"/>
        <v>5.2213534231301484E-2</v>
      </c>
      <c r="DR139" s="633"/>
      <c r="DS139" s="29"/>
      <c r="DT139" s="29"/>
      <c r="DU139" s="29"/>
      <c r="DV139" s="29"/>
      <c r="DW139" s="29"/>
      <c r="DX139" s="29"/>
      <c r="DY139" s="29"/>
      <c r="DZ139" s="29"/>
      <c r="EA139" s="29"/>
      <c r="EB139" s="29"/>
      <c r="EC139" s="29"/>
      <c r="ED139" s="29"/>
      <c r="EE139" s="29"/>
      <c r="EF139" s="29"/>
      <c r="EG139" s="29"/>
      <c r="EH139" s="29"/>
      <c r="EI139" s="29"/>
      <c r="EJ139" s="29"/>
      <c r="EK139" s="29"/>
      <c r="EL139" s="29"/>
      <c r="EM139" s="29"/>
      <c r="EN139" s="29"/>
      <c r="EO139" s="29"/>
      <c r="EP139" s="29"/>
      <c r="EQ139" s="29"/>
      <c r="ER139" s="29"/>
      <c r="ES139" s="29"/>
      <c r="ET139" s="29"/>
      <c r="EU139" s="29"/>
      <c r="EV139" s="29"/>
      <c r="EW139" s="29"/>
      <c r="EX139" s="29"/>
      <c r="EY139" s="29"/>
      <c r="EZ139" s="29"/>
      <c r="FA139" s="29"/>
      <c r="FB139" s="29"/>
      <c r="FC139" s="29"/>
      <c r="FD139" s="29"/>
      <c r="FE139" s="29"/>
      <c r="FF139" s="29"/>
      <c r="FG139" s="29"/>
      <c r="FH139" s="29"/>
      <c r="FI139" s="29"/>
      <c r="FJ139" s="29"/>
      <c r="FK139" s="29"/>
      <c r="FL139" s="29"/>
      <c r="FM139" s="29"/>
      <c r="FN139" s="29"/>
      <c r="FO139" s="29"/>
      <c r="FP139" s="29"/>
      <c r="FQ139" s="29"/>
      <c r="FR139" s="29"/>
      <c r="FS139" s="29"/>
      <c r="FT139" s="29"/>
      <c r="FU139" s="29"/>
      <c r="FV139" s="29"/>
      <c r="FW139" s="29"/>
      <c r="FX139" s="29"/>
      <c r="FY139" s="29"/>
      <c r="FZ139" s="29"/>
      <c r="GA139" s="29"/>
      <c r="GB139" s="29"/>
      <c r="GC139" s="29"/>
      <c r="GD139" s="29"/>
      <c r="GE139" s="29"/>
      <c r="GF139" s="29"/>
      <c r="GG139" s="29"/>
      <c r="GH139" s="29"/>
    </row>
    <row r="140" spans="5:190" x14ac:dyDescent="0.2">
      <c r="E140" s="191" t="s">
        <v>119</v>
      </c>
      <c r="F140" s="29"/>
      <c r="G140" s="29"/>
      <c r="H140" s="29"/>
      <c r="J140" s="29"/>
      <c r="K140" s="29">
        <f t="shared" ref="K140:Y140" si="448">K109/J109-1</f>
        <v>4.1669233868101063E-2</v>
      </c>
      <c r="L140" s="29">
        <f t="shared" si="448"/>
        <v>1.0526862956930372</v>
      </c>
      <c r="M140" s="29">
        <f t="shared" si="448"/>
        <v>0.5166987960915248</v>
      </c>
      <c r="N140" s="29">
        <f t="shared" si="448"/>
        <v>2.0547945205479534E-2</v>
      </c>
      <c r="O140" s="29">
        <f t="shared" si="448"/>
        <v>2.4818542274745781E-2</v>
      </c>
      <c r="P140" s="29">
        <f t="shared" si="448"/>
        <v>2.8016891343186412E-2</v>
      </c>
      <c r="Q140" s="29">
        <f t="shared" si="448"/>
        <v>6.3180442686903593E-2</v>
      </c>
      <c r="R140" s="29">
        <f t="shared" si="448"/>
        <v>8.4096893983900189E-2</v>
      </c>
      <c r="S140" s="29">
        <f t="shared" si="448"/>
        <v>6.25808782180024E-2</v>
      </c>
      <c r="T140" s="29">
        <f t="shared" si="448"/>
        <v>6.507162551197232E-2</v>
      </c>
      <c r="U140" s="29">
        <f t="shared" si="448"/>
        <v>5.3222632120197177E-2</v>
      </c>
      <c r="V140" s="29">
        <f t="shared" si="448"/>
        <v>4.3577975289277315E-2</v>
      </c>
      <c r="W140" s="29">
        <f t="shared" si="448"/>
        <v>8.4316110540519906E-2</v>
      </c>
      <c r="X140" s="29">
        <f t="shared" si="448"/>
        <v>0.10034600937676386</v>
      </c>
      <c r="Y140" s="29">
        <f t="shared" si="448"/>
        <v>8.4766675015144122E-2</v>
      </c>
      <c r="Z140" s="29">
        <f t="shared" si="442"/>
        <v>8.1077139024546829E-2</v>
      </c>
      <c r="AA140" s="29">
        <f t="shared" si="442"/>
        <v>8.0702831986469548E-2</v>
      </c>
      <c r="AB140" s="29">
        <f t="shared" si="442"/>
        <v>8.0753505896585365E-2</v>
      </c>
      <c r="AC140" s="29">
        <f t="shared" si="442"/>
        <v>8.1196165344748161E-2</v>
      </c>
      <c r="AD140" s="29">
        <f t="shared" si="341"/>
        <v>8.1923809365713751E-2</v>
      </c>
      <c r="AE140" s="29">
        <f t="shared" si="342"/>
        <v>8.2063034031473858E-2</v>
      </c>
      <c r="AF140" s="29"/>
      <c r="AG140" s="29"/>
      <c r="AH140" s="29"/>
      <c r="AI140" s="29"/>
      <c r="AJ140" s="29"/>
      <c r="AK140" s="29"/>
      <c r="AL140" s="29"/>
      <c r="AM140" s="29">
        <f t="shared" ref="AM140:BF140" si="449">AM109/AL109-1</f>
        <v>3.1982819226287429E-2</v>
      </c>
      <c r="AN140" s="29">
        <f t="shared" si="449"/>
        <v>5.1055450829616156E-2</v>
      </c>
      <c r="AO140" s="29">
        <f t="shared" si="449"/>
        <v>2.0056625102902941</v>
      </c>
      <c r="AP140" s="29">
        <f t="shared" si="449"/>
        <v>2.1312601167410739E-2</v>
      </c>
      <c r="AQ140" s="29">
        <f t="shared" si="449"/>
        <v>1.979924597171201E-2</v>
      </c>
      <c r="AR140" s="29">
        <f t="shared" si="449"/>
        <v>2.9740389709778103E-2</v>
      </c>
      <c r="AS140" s="29">
        <f t="shared" si="449"/>
        <v>2.6343170098672486E-2</v>
      </c>
      <c r="AT140" s="29">
        <f t="shared" si="449"/>
        <v>9.907221228350882E-2</v>
      </c>
      <c r="AU140" s="29">
        <f t="shared" si="449"/>
        <v>7.0471475988393983E-2</v>
      </c>
      <c r="AV140" s="29">
        <f t="shared" si="449"/>
        <v>5.5209735737903998E-2</v>
      </c>
      <c r="AW140" s="39">
        <f t="shared" si="449"/>
        <v>7.4417530349717209E-2</v>
      </c>
      <c r="AX140" s="29">
        <f t="shared" si="449"/>
        <v>3.3495759064969377E-2</v>
      </c>
      <c r="AY140" s="29">
        <f t="shared" si="449"/>
        <v>5.3333425310116978E-2</v>
      </c>
      <c r="AZ140" s="29">
        <f t="shared" si="449"/>
        <v>0.11373004964653588</v>
      </c>
      <c r="BA140" s="29">
        <f t="shared" si="449"/>
        <v>8.8328698472726064E-2</v>
      </c>
      <c r="BB140" s="29">
        <f t="shared" si="449"/>
        <v>8.1493745189273881E-2</v>
      </c>
      <c r="BC140" s="29">
        <f t="shared" si="449"/>
        <v>8.0691925363737038E-2</v>
      </c>
      <c r="BD140" s="29">
        <f t="shared" si="449"/>
        <v>8.0712924245397888E-2</v>
      </c>
      <c r="BE140" s="29">
        <f t="shared" si="449"/>
        <v>8.0791056711678966E-2</v>
      </c>
      <c r="BF140" s="29">
        <f t="shared" si="449"/>
        <v>8.1570991385871761E-2</v>
      </c>
      <c r="BG140" s="29">
        <f t="shared" si="344"/>
        <v>8.2250018169992334E-2</v>
      </c>
      <c r="BH140" s="29">
        <f t="shared" si="345"/>
        <v>8.1890260517609947E-2</v>
      </c>
      <c r="BI140" s="29"/>
      <c r="BJ140" s="29"/>
      <c r="BK140" s="29"/>
      <c r="BL140" s="29"/>
      <c r="BM140" s="29"/>
      <c r="BN140" s="29"/>
      <c r="BP140" s="29"/>
      <c r="BQ140" s="29"/>
      <c r="BR140" s="29"/>
      <c r="BS140" s="29"/>
      <c r="BT140" s="29"/>
      <c r="BU140" s="29"/>
      <c r="BV140" s="29"/>
      <c r="BW140" s="29"/>
      <c r="BX140" s="29"/>
      <c r="BY140" s="29"/>
      <c r="BZ140" s="29"/>
      <c r="CA140" s="29"/>
      <c r="CB140" s="29"/>
      <c r="CC140" s="29"/>
      <c r="CD140" s="29"/>
      <c r="CE140" s="29"/>
      <c r="CF140" s="29"/>
      <c r="CG140" s="29"/>
      <c r="CH140" s="29"/>
      <c r="CI140" s="29"/>
      <c r="CJ140" s="29"/>
      <c r="CK140" s="29"/>
      <c r="CL140" s="29"/>
      <c r="CM140" s="29"/>
      <c r="CN140" s="29"/>
      <c r="CO140" s="29"/>
      <c r="CP140" s="29"/>
      <c r="CQ140" s="29"/>
      <c r="CR140" s="29"/>
      <c r="CS140" s="29"/>
      <c r="CT140" s="29"/>
      <c r="CU140" s="29"/>
      <c r="CV140" s="29"/>
      <c r="CW140" s="29"/>
      <c r="CX140" s="29"/>
      <c r="CY140" s="29"/>
      <c r="CZ140" s="29"/>
      <c r="DA140" s="29"/>
      <c r="DB140" s="29"/>
      <c r="DC140" s="29"/>
      <c r="DD140" s="29"/>
      <c r="DE140" s="29"/>
      <c r="DF140" s="29"/>
      <c r="DG140" s="29"/>
      <c r="DH140" s="29"/>
      <c r="DI140" s="29"/>
      <c r="DJ140" s="29"/>
      <c r="DK140" s="29"/>
      <c r="DL140" s="29"/>
      <c r="DM140" s="29"/>
      <c r="DN140" s="29"/>
      <c r="DO140" s="29"/>
      <c r="DP140" s="29"/>
      <c r="DQ140" s="29"/>
      <c r="DR140" s="633"/>
      <c r="DS140" s="29"/>
      <c r="DT140" s="29"/>
      <c r="DU140" s="29"/>
      <c r="DV140" s="29"/>
      <c r="DW140" s="29"/>
      <c r="DX140" s="29"/>
      <c r="DY140" s="29"/>
      <c r="DZ140" s="29"/>
      <c r="EA140" s="29"/>
      <c r="EB140" s="29"/>
      <c r="EC140" s="29"/>
      <c r="ED140" s="29"/>
      <c r="EE140" s="29"/>
      <c r="EF140" s="29"/>
      <c r="EG140" s="29"/>
      <c r="EH140" s="29"/>
      <c r="EI140" s="29"/>
      <c r="EJ140" s="29"/>
      <c r="EK140" s="29"/>
      <c r="EL140" s="29"/>
      <c r="EM140" s="29"/>
      <c r="EN140" s="29"/>
      <c r="EO140" s="29"/>
      <c r="EP140" s="29"/>
      <c r="EQ140" s="29"/>
      <c r="ER140" s="29"/>
      <c r="ES140" s="29"/>
      <c r="ET140" s="29"/>
      <c r="EU140" s="29"/>
      <c r="EV140" s="29"/>
      <c r="EW140" s="29"/>
      <c r="EX140" s="29"/>
      <c r="EY140" s="29"/>
      <c r="EZ140" s="29"/>
      <c r="FA140" s="29"/>
      <c r="FB140" s="29"/>
      <c r="FC140" s="29"/>
      <c r="FD140" s="29"/>
      <c r="FE140" s="29"/>
      <c r="FF140" s="29"/>
      <c r="FG140" s="29"/>
      <c r="FH140" s="29"/>
      <c r="FI140" s="29"/>
      <c r="FJ140" s="29"/>
      <c r="FK140" s="29"/>
      <c r="FL140" s="29"/>
      <c r="FM140" s="29"/>
      <c r="FN140" s="29"/>
      <c r="FO140" s="29"/>
      <c r="FP140" s="29"/>
      <c r="FQ140" s="29"/>
      <c r="FR140" s="29"/>
      <c r="FS140" s="29"/>
      <c r="FT140" s="29"/>
      <c r="FU140" s="29"/>
      <c r="FV140" s="29"/>
      <c r="FW140" s="29"/>
      <c r="FX140" s="29"/>
      <c r="FY140" s="29"/>
      <c r="FZ140" s="29"/>
      <c r="GA140" s="29"/>
      <c r="GB140" s="29"/>
      <c r="GC140" s="29"/>
      <c r="GD140" s="29"/>
      <c r="GE140" s="29"/>
      <c r="GF140" s="29"/>
      <c r="GG140" s="29"/>
      <c r="GH140" s="29"/>
    </row>
    <row r="141" spans="5:190" x14ac:dyDescent="0.2">
      <c r="E141" s="191" t="s">
        <v>120</v>
      </c>
      <c r="F141" s="29"/>
      <c r="G141" s="29"/>
      <c r="H141" s="29"/>
      <c r="J141" s="29"/>
      <c r="K141" s="29">
        <f t="shared" ref="K141:Y141" si="450">K110/J110-1</f>
        <v>6.1489841371465959E-2</v>
      </c>
      <c r="L141" s="29">
        <f t="shared" si="450"/>
        <v>1.4281073556044861</v>
      </c>
      <c r="M141" s="29">
        <f t="shared" si="450"/>
        <v>0.63867110017633655</v>
      </c>
      <c r="N141" s="29">
        <f t="shared" si="450"/>
        <v>7.0486451164055053E-2</v>
      </c>
      <c r="O141" s="29">
        <f t="shared" si="450"/>
        <v>7.4041480380199642E-2</v>
      </c>
      <c r="P141" s="29">
        <f t="shared" si="450"/>
        <v>7.6217897711682969E-2</v>
      </c>
      <c r="Q141" s="29">
        <f t="shared" si="450"/>
        <v>6.1144203194183566E-2</v>
      </c>
      <c r="R141" s="29">
        <f t="shared" si="450"/>
        <v>5.1532310764148548E-2</v>
      </c>
      <c r="S141" s="29">
        <f t="shared" si="450"/>
        <v>5.3100327584514995E-2</v>
      </c>
      <c r="T141" s="29">
        <f t="shared" si="450"/>
        <v>4.9206760815329931E-2</v>
      </c>
      <c r="U141" s="29">
        <f t="shared" si="450"/>
        <v>5.1261733459179393E-2</v>
      </c>
      <c r="V141" s="29">
        <f t="shared" si="450"/>
        <v>5.7201850871395177E-2</v>
      </c>
      <c r="W141" s="29">
        <f t="shared" si="450"/>
        <v>6.2488868890427707E-2</v>
      </c>
      <c r="X141" s="29">
        <f t="shared" si="450"/>
        <v>6.1302174353973893E-2</v>
      </c>
      <c r="Y141" s="29">
        <f t="shared" si="450"/>
        <v>5.7035216181699377E-2</v>
      </c>
      <c r="Z141" s="29">
        <f t="shared" si="442"/>
        <v>5.8161376829680256E-2</v>
      </c>
      <c r="AA141" s="29">
        <f t="shared" si="442"/>
        <v>5.9012162872732254E-2</v>
      </c>
      <c r="AB141" s="29">
        <f t="shared" si="442"/>
        <v>5.9917002951840104E-2</v>
      </c>
      <c r="AC141" s="29">
        <f t="shared" si="442"/>
        <v>6.0189087845716305E-2</v>
      </c>
      <c r="AD141" s="29">
        <f t="shared" si="341"/>
        <v>5.6490749854133382E-2</v>
      </c>
      <c r="AE141" s="29">
        <f t="shared" si="342"/>
        <v>5.29831468794979E-2</v>
      </c>
      <c r="AF141" s="29"/>
      <c r="AG141" s="29"/>
      <c r="AH141" s="29"/>
      <c r="AI141" s="29"/>
      <c r="AJ141" s="29"/>
      <c r="AK141" s="29"/>
      <c r="AL141" s="29"/>
      <c r="AM141" s="29">
        <f t="shared" ref="AM141:BF141" si="451">AM110/AL110-1</f>
        <v>9.5048515981735138E-2</v>
      </c>
      <c r="AN141" s="29">
        <f t="shared" si="451"/>
        <v>3.0844007766382964E-2</v>
      </c>
      <c r="AO141" s="29">
        <f t="shared" si="451"/>
        <v>2.7835630184507703</v>
      </c>
      <c r="AP141" s="29">
        <f t="shared" si="451"/>
        <v>7.1773731792424078E-2</v>
      </c>
      <c r="AQ141" s="29">
        <f t="shared" si="451"/>
        <v>6.9285376170160395E-2</v>
      </c>
      <c r="AR141" s="29">
        <f t="shared" si="451"/>
        <v>7.8489408235599356E-2</v>
      </c>
      <c r="AS141" s="29">
        <f t="shared" si="451"/>
        <v>7.4111701297911559E-2</v>
      </c>
      <c r="AT141" s="29">
        <f t="shared" si="451"/>
        <v>4.9071438240540166E-2</v>
      </c>
      <c r="AU141" s="29">
        <f t="shared" si="451"/>
        <v>5.3878073344183708E-2</v>
      </c>
      <c r="AV141" s="29">
        <f t="shared" si="451"/>
        <v>5.2362343011782553E-2</v>
      </c>
      <c r="AW141" s="39">
        <f t="shared" si="451"/>
        <v>4.6208190772029534E-2</v>
      </c>
      <c r="AX141" s="29">
        <f t="shared" si="451"/>
        <v>5.6092074811621817E-2</v>
      </c>
      <c r="AY141" s="29">
        <f t="shared" si="451"/>
        <v>5.8252683546160977E-2</v>
      </c>
      <c r="AZ141" s="29">
        <f t="shared" si="451"/>
        <v>6.6491868750604421E-2</v>
      </c>
      <c r="BA141" s="29">
        <f t="shared" si="451"/>
        <v>5.6436038428614888E-2</v>
      </c>
      <c r="BB141" s="29">
        <f t="shared" si="451"/>
        <v>5.7602385164287284E-2</v>
      </c>
      <c r="BC141" s="29">
        <f t="shared" si="451"/>
        <v>5.8689922976355335E-2</v>
      </c>
      <c r="BD141" s="29">
        <f t="shared" si="451"/>
        <v>5.9316538959992116E-2</v>
      </c>
      <c r="BE141" s="29">
        <f t="shared" si="451"/>
        <v>6.0483843900474232E-2</v>
      </c>
      <c r="BF141" s="29">
        <f t="shared" si="451"/>
        <v>5.9911142965694886E-2</v>
      </c>
      <c r="BG141" s="29">
        <f t="shared" si="344"/>
        <v>5.326369338410597E-2</v>
      </c>
      <c r="BH141" s="29">
        <f t="shared" si="345"/>
        <v>5.2716787651158281E-2</v>
      </c>
      <c r="BI141" s="29"/>
      <c r="BJ141" s="29"/>
      <c r="BK141" s="29"/>
      <c r="BL141" s="29"/>
      <c r="BM141" s="29"/>
      <c r="BN141" s="29"/>
      <c r="BO141" s="191" t="s">
        <v>339</v>
      </c>
      <c r="BP141" s="29"/>
      <c r="BQ141" s="29"/>
      <c r="BR141" s="29"/>
      <c r="BS141" s="29"/>
      <c r="BT141" s="29"/>
      <c r="BU141" s="29">
        <f t="shared" si="357"/>
        <v>9.2892531149315394E-2</v>
      </c>
      <c r="BV141" s="29">
        <f t="shared" si="364"/>
        <v>6.0050423172517853E-2</v>
      </c>
      <c r="BW141" s="29">
        <f t="shared" si="365"/>
        <v>4.4522358777775883E-2</v>
      </c>
      <c r="BX141" s="29">
        <f t="shared" si="366"/>
        <v>4.4173745479133109E-2</v>
      </c>
      <c r="BY141" s="29">
        <f t="shared" si="367"/>
        <v>5.3329280895197506E-2</v>
      </c>
      <c r="BZ141" s="29">
        <f t="shared" si="368"/>
        <v>6.4250233342008523E-2</v>
      </c>
      <c r="CA141" s="29">
        <f t="shared" si="369"/>
        <v>6.5432097169530801E-2</v>
      </c>
      <c r="CB141" s="29">
        <f t="shared" si="370"/>
        <v>5.8902668703789685E-2</v>
      </c>
      <c r="CC141" s="29">
        <f t="shared" si="371"/>
        <v>5.5751508847819098E-2</v>
      </c>
      <c r="CD141" s="29">
        <f t="shared" si="372"/>
        <v>5.4560968228207773E-2</v>
      </c>
      <c r="CE141" s="29">
        <f t="shared" si="373"/>
        <v>5.9383025585354909E-2</v>
      </c>
      <c r="CF141" s="29">
        <f t="shared" si="374"/>
        <v>6.8912084872131407E-2</v>
      </c>
      <c r="CG141" s="29">
        <f t="shared" si="375"/>
        <v>6.7496458727490216E-2</v>
      </c>
      <c r="CH141" s="29">
        <f t="shared" si="376"/>
        <v>6.0228811078135269E-2</v>
      </c>
      <c r="CI141" s="29">
        <f t="shared" si="377"/>
        <v>5.7262338708245153E-2</v>
      </c>
      <c r="CJ141" s="29">
        <f t="shared" si="378"/>
        <v>5.8235675432850575E-2</v>
      </c>
      <c r="CK141" s="29">
        <f t="shared" si="379"/>
        <v>6.4068748187961599E-2</v>
      </c>
      <c r="CL141" s="29">
        <f t="shared" si="380"/>
        <v>7.0501809342996324E-2</v>
      </c>
      <c r="CM141" s="29">
        <f t="shared" si="381"/>
        <v>7.111170000950584E-2</v>
      </c>
      <c r="CN141" s="29">
        <f t="shared" si="382"/>
        <v>6.6546640970372994E-2</v>
      </c>
      <c r="CO141" s="29">
        <f t="shared" si="383"/>
        <v>6.4260751595573096E-2</v>
      </c>
      <c r="CP141" s="29">
        <f t="shared" si="384"/>
        <v>6.4971181946772871E-2</v>
      </c>
      <c r="CQ141" s="29">
        <f t="shared" si="385"/>
        <v>6.894276701935409E-2</v>
      </c>
      <c r="CR141" s="29">
        <f t="shared" si="386"/>
        <v>7.5886935408289613E-2</v>
      </c>
      <c r="CS141" s="29">
        <f t="shared" si="387"/>
        <v>7.7829521548742786E-2</v>
      </c>
      <c r="CT141" s="29">
        <f t="shared" si="388"/>
        <v>7.1788324834584749E-2</v>
      </c>
      <c r="CU141" s="29">
        <f t="shared" si="389"/>
        <v>6.761737178842897E-2</v>
      </c>
      <c r="CV141" s="29">
        <f t="shared" si="390"/>
        <v>6.4824297043639678E-2</v>
      </c>
      <c r="CW141" s="29">
        <f t="shared" si="391"/>
        <v>5.9028113899428858E-2</v>
      </c>
      <c r="CX141" s="29">
        <f t="shared" si="392"/>
        <v>5.7390588139159426E-2</v>
      </c>
      <c r="CY141" s="29">
        <f t="shared" si="393"/>
        <v>5.4945446029666556E-2</v>
      </c>
      <c r="CZ141" s="29">
        <f t="shared" si="394"/>
        <v>5.2348188628690062E-2</v>
      </c>
      <c r="DA141" s="29">
        <f t="shared" si="395"/>
        <v>5.6105684404521128E-2</v>
      </c>
      <c r="DB141" s="29">
        <f t="shared" si="396"/>
        <v>6.337801236432572E-2</v>
      </c>
      <c r="DC141" s="29">
        <f t="shared" si="397"/>
        <v>6.1691516100038868E-2</v>
      </c>
      <c r="DD141" s="29">
        <f t="shared" si="398"/>
        <v>5.124903642419909E-2</v>
      </c>
      <c r="DE141" s="29">
        <f t="shared" si="399"/>
        <v>5.2196112573423603E-2</v>
      </c>
      <c r="DF141" s="29">
        <f t="shared" si="400"/>
        <v>4.0286017258928331E-2</v>
      </c>
      <c r="DG141" s="29">
        <f t="shared" si="401"/>
        <v>4.0709542761898865E-2</v>
      </c>
      <c r="DH141" s="29">
        <f t="shared" si="402"/>
        <v>5.3511273943703586E-2</v>
      </c>
      <c r="DI141" s="29">
        <f t="shared" si="403"/>
        <v>4.8930831110219897E-2</v>
      </c>
      <c r="DJ141" s="29">
        <f t="shared" si="404"/>
        <v>5.5103278105579578E-2</v>
      </c>
      <c r="DK141" s="29">
        <f t="shared" si="405"/>
        <v>5.3771555441340491E-2</v>
      </c>
      <c r="DL141" s="29">
        <f t="shared" si="406"/>
        <v>4.4658341000411994E-2</v>
      </c>
      <c r="DM141" s="29">
        <f t="shared" si="407"/>
        <v>4.1779252321033411E-2</v>
      </c>
      <c r="DN141" s="29">
        <f t="shared" si="408"/>
        <v>4.341361929102816E-2</v>
      </c>
      <c r="DO141" s="29">
        <f t="shared" si="409"/>
        <v>7.1961745852471726E-2</v>
      </c>
      <c r="DP141" s="29">
        <f t="shared" ref="DP141" si="452">DP110/DL110-1</f>
        <v>5.0349115045797088E-2</v>
      </c>
      <c r="DQ141" s="29">
        <f t="shared" ref="DQ141" si="453">DQ110/DM110-1</f>
        <v>4.4999999999999929E-2</v>
      </c>
      <c r="DR141" s="633"/>
      <c r="DS141" s="29"/>
      <c r="DT141" s="29"/>
      <c r="DU141" s="29"/>
      <c r="DV141" s="29"/>
      <c r="DW141" s="29"/>
      <c r="DX141" s="29"/>
      <c r="DY141" s="29"/>
      <c r="DZ141" s="29"/>
      <c r="EA141" s="29"/>
      <c r="EB141" s="29"/>
      <c r="EC141" s="29"/>
      <c r="ED141" s="29"/>
      <c r="EE141" s="29"/>
      <c r="EF141" s="29"/>
      <c r="EG141" s="29"/>
      <c r="EH141" s="29"/>
      <c r="EI141" s="29"/>
      <c r="EJ141" s="29"/>
      <c r="EK141" s="29"/>
      <c r="EL141" s="29"/>
      <c r="EM141" s="29"/>
      <c r="EN141" s="29"/>
      <c r="EO141" s="29"/>
      <c r="EP141" s="29"/>
      <c r="EQ141" s="29"/>
      <c r="ER141" s="29"/>
      <c r="ES141" s="29"/>
      <c r="ET141" s="29"/>
      <c r="EU141" s="29"/>
      <c r="EV141" s="29"/>
      <c r="EW141" s="29"/>
      <c r="EX141" s="29"/>
      <c r="EY141" s="29"/>
      <c r="EZ141" s="29"/>
      <c r="FA141" s="29"/>
      <c r="FB141" s="29"/>
      <c r="FC141" s="29"/>
      <c r="FD141" s="29"/>
      <c r="FE141" s="29"/>
      <c r="FF141" s="29"/>
      <c r="FG141" s="29"/>
      <c r="FH141" s="29"/>
      <c r="FI141" s="29"/>
      <c r="FJ141" s="29"/>
      <c r="FK141" s="29"/>
      <c r="FL141" s="29"/>
      <c r="FM141" s="29"/>
      <c r="FN141" s="29"/>
      <c r="FO141" s="29"/>
      <c r="FP141" s="29"/>
      <c r="FQ141" s="29"/>
      <c r="FR141" s="29"/>
      <c r="FS141" s="29"/>
      <c r="FT141" s="29"/>
      <c r="FU141" s="29"/>
      <c r="FV141" s="29"/>
      <c r="FW141" s="29"/>
      <c r="FX141" s="29"/>
      <c r="FY141" s="29"/>
      <c r="FZ141" s="29"/>
      <c r="GA141" s="29"/>
      <c r="GB141" s="29"/>
      <c r="GC141" s="29"/>
      <c r="GD141" s="29"/>
      <c r="GE141" s="29"/>
      <c r="GF141" s="29"/>
      <c r="GG141" s="29"/>
      <c r="GH141" s="29"/>
    </row>
    <row r="142" spans="5:190" x14ac:dyDescent="0.2">
      <c r="E142" s="177" t="s">
        <v>121</v>
      </c>
      <c r="F142" s="29"/>
      <c r="G142" s="29"/>
      <c r="H142" s="29"/>
      <c r="J142" s="29"/>
      <c r="K142" s="29">
        <f t="shared" ref="K142:Y142" si="454">K111/J111-1</f>
        <v>4.864744563247525E-2</v>
      </c>
      <c r="L142" s="29">
        <f t="shared" si="454"/>
        <v>0.59952436522477681</v>
      </c>
      <c r="M142" s="29">
        <f t="shared" si="454"/>
        <v>0.46646789495189345</v>
      </c>
      <c r="N142" s="29">
        <f t="shared" si="454"/>
        <v>6.3126156878348993E-2</v>
      </c>
      <c r="O142" s="29">
        <f t="shared" si="454"/>
        <v>2.6562632259930163E-2</v>
      </c>
      <c r="P142" s="29">
        <f t="shared" si="454"/>
        <v>7.3296942779328189E-2</v>
      </c>
      <c r="Q142" s="29">
        <f t="shared" si="454"/>
        <v>6.1559997474980754E-2</v>
      </c>
      <c r="R142" s="29">
        <f t="shared" si="454"/>
        <v>6.0798189650763002E-2</v>
      </c>
      <c r="S142" s="29">
        <f t="shared" si="454"/>
        <v>6.3777997201249326E-2</v>
      </c>
      <c r="T142" s="29">
        <f t="shared" si="454"/>
        <v>5.3335599358195873E-2</v>
      </c>
      <c r="U142" s="29">
        <f t="shared" si="454"/>
        <v>5.8338947738848734E-2</v>
      </c>
      <c r="V142" s="29">
        <f t="shared" si="454"/>
        <v>7.2170984403329363E-2</v>
      </c>
      <c r="W142" s="29">
        <f t="shared" si="454"/>
        <v>6.5824704649537935E-2</v>
      </c>
      <c r="X142" s="29">
        <f t="shared" si="454"/>
        <v>6.0502695333710887E-2</v>
      </c>
      <c r="Y142" s="29">
        <f t="shared" si="454"/>
        <v>6.7950227554960607E-2</v>
      </c>
      <c r="Z142" s="29">
        <f t="shared" ref="Z142:AC145" si="455">Z111/Y111-1</f>
        <v>6.9090604002351341E-2</v>
      </c>
      <c r="AA142" s="29">
        <f t="shared" si="455"/>
        <v>6.8635246419540552E-2</v>
      </c>
      <c r="AB142" s="29">
        <f t="shared" si="455"/>
        <v>7.000962814330669E-2</v>
      </c>
      <c r="AC142" s="29">
        <f t="shared" si="455"/>
        <v>7.2889969998740867E-2</v>
      </c>
      <c r="AD142" s="29">
        <f t="shared" si="341"/>
        <v>7.6436264816508004E-2</v>
      </c>
      <c r="AE142" s="29">
        <f t="shared" si="342"/>
        <v>7.978648252124021E-2</v>
      </c>
      <c r="AF142" s="29"/>
      <c r="AG142" s="29"/>
      <c r="AH142" s="29"/>
      <c r="AI142" s="29"/>
      <c r="AJ142" s="29"/>
      <c r="AK142" s="29"/>
      <c r="AL142" s="29"/>
      <c r="AM142" s="29">
        <f t="shared" ref="AM142:BF142" si="456">AM111/AL111-1</f>
        <v>4.8269762879983302E-2</v>
      </c>
      <c r="AN142" s="29">
        <f t="shared" si="456"/>
        <v>4.9007737196599566E-2</v>
      </c>
      <c r="AO142" s="29">
        <f t="shared" si="456"/>
        <v>1.1243218557555852</v>
      </c>
      <c r="AP142" s="29">
        <f t="shared" si="456"/>
        <v>0.15679073420465639</v>
      </c>
      <c r="AQ142" s="29">
        <f t="shared" si="456"/>
        <v>-1.7843178850905583E-2</v>
      </c>
      <c r="AR142" s="29">
        <f t="shared" si="456"/>
        <v>7.1775178927256267E-2</v>
      </c>
      <c r="AS142" s="29">
        <f t="shared" si="456"/>
        <v>7.4716796384815876E-2</v>
      </c>
      <c r="AT142" s="29">
        <f t="shared" si="456"/>
        <v>4.9317889643324175E-2</v>
      </c>
      <c r="AU142" s="29">
        <f t="shared" si="456"/>
        <v>7.1738916117688456E-2</v>
      </c>
      <c r="AV142" s="29">
        <f t="shared" si="456"/>
        <v>5.6349957781651305E-2</v>
      </c>
      <c r="AW142" s="39">
        <f t="shared" si="456"/>
        <v>5.0482038943628904E-2</v>
      </c>
      <c r="AX142" s="29">
        <f t="shared" si="456"/>
        <v>6.5818284370934954E-2</v>
      </c>
      <c r="AY142" s="29">
        <f t="shared" si="456"/>
        <v>7.8131381335479588E-2</v>
      </c>
      <c r="AZ142" s="29">
        <f t="shared" si="456"/>
        <v>5.4409883692654315E-2</v>
      </c>
      <c r="BA142" s="29">
        <f t="shared" si="456"/>
        <v>6.6281104409049663E-2</v>
      </c>
      <c r="BB142" s="29">
        <f t="shared" si="456"/>
        <v>6.9515596329675855E-2</v>
      </c>
      <c r="BC142" s="29">
        <f t="shared" si="456"/>
        <v>6.8693235017005971E-2</v>
      </c>
      <c r="BD142" s="29">
        <f t="shared" si="456"/>
        <v>6.8580985200731082E-2</v>
      </c>
      <c r="BE142" s="29">
        <f t="shared" si="456"/>
        <v>7.1346581507030882E-2</v>
      </c>
      <c r="BF142" s="29">
        <f t="shared" si="456"/>
        <v>7.4330576165177575E-2</v>
      </c>
      <c r="BG142" s="29">
        <f t="shared" si="344"/>
        <v>7.8396265488597683E-2</v>
      </c>
      <c r="BH142" s="29">
        <f t="shared" si="345"/>
        <v>8.1075634827431298E-2</v>
      </c>
      <c r="BI142" s="29"/>
      <c r="BJ142" s="29"/>
      <c r="BK142" s="29"/>
      <c r="BL142" s="29"/>
      <c r="BM142" s="29"/>
      <c r="BN142" s="29"/>
      <c r="BP142" s="29"/>
      <c r="BQ142" s="29"/>
      <c r="BR142" s="29"/>
      <c r="BS142" s="29"/>
      <c r="BT142" s="29"/>
      <c r="BU142" s="29"/>
      <c r="BV142" s="29"/>
      <c r="BW142" s="29"/>
      <c r="BX142" s="29"/>
      <c r="BY142" s="29"/>
      <c r="BZ142" s="29"/>
      <c r="CA142" s="29"/>
      <c r="CB142" s="29"/>
      <c r="CC142" s="29"/>
      <c r="CD142" s="29"/>
      <c r="CE142" s="29"/>
      <c r="CF142" s="29"/>
      <c r="CG142" s="29"/>
      <c r="CH142" s="29"/>
      <c r="CI142" s="29"/>
      <c r="CJ142" s="29"/>
      <c r="CK142" s="29"/>
      <c r="CL142" s="29"/>
      <c r="CM142" s="29"/>
      <c r="CN142" s="29"/>
      <c r="CO142" s="29"/>
      <c r="CP142" s="29"/>
      <c r="CQ142" s="29"/>
      <c r="CR142" s="29"/>
      <c r="CS142" s="29"/>
      <c r="CT142" s="29"/>
      <c r="CU142" s="29"/>
      <c r="CV142" s="29"/>
      <c r="CW142" s="29"/>
      <c r="CX142" s="29"/>
      <c r="CY142" s="29"/>
      <c r="CZ142" s="29"/>
      <c r="DA142" s="29"/>
      <c r="DB142" s="29"/>
      <c r="DC142" s="29"/>
      <c r="DD142" s="29"/>
      <c r="DE142" s="29"/>
      <c r="DF142" s="29"/>
      <c r="DG142" s="29"/>
      <c r="DH142" s="29"/>
      <c r="DI142" s="29"/>
      <c r="DJ142" s="29"/>
      <c r="DK142" s="29"/>
      <c r="DL142" s="29"/>
      <c r="DM142" s="29"/>
      <c r="DN142" s="29"/>
      <c r="DO142" s="29"/>
      <c r="DP142" s="29"/>
      <c r="DQ142" s="29"/>
      <c r="DR142" s="633"/>
      <c r="DS142" s="29"/>
      <c r="DT142" s="29"/>
      <c r="DU142" s="29"/>
      <c r="DV142" s="29"/>
      <c r="DW142" s="29"/>
      <c r="DX142" s="29"/>
      <c r="DY142" s="29"/>
      <c r="DZ142" s="29"/>
      <c r="EA142" s="29"/>
      <c r="EB142" s="29"/>
      <c r="EC142" s="29"/>
      <c r="ED142" s="29"/>
      <c r="EE142" s="29"/>
      <c r="EF142" s="29"/>
      <c r="EG142" s="29"/>
      <c r="EH142" s="29"/>
      <c r="EI142" s="29"/>
      <c r="EJ142" s="29"/>
      <c r="EK142" s="29"/>
      <c r="EL142" s="29"/>
      <c r="EM142" s="29"/>
      <c r="EN142" s="29"/>
      <c r="EO142" s="29"/>
      <c r="EP142" s="29"/>
      <c r="EQ142" s="29"/>
      <c r="ER142" s="29"/>
      <c r="ES142" s="29"/>
      <c r="ET142" s="29"/>
      <c r="EU142" s="29"/>
      <c r="EV142" s="29"/>
      <c r="EW142" s="29"/>
      <c r="EX142" s="29"/>
      <c r="EY142" s="29"/>
      <c r="EZ142" s="29"/>
      <c r="FA142" s="29"/>
      <c r="FB142" s="29"/>
      <c r="FC142" s="29"/>
      <c r="FD142" s="29"/>
      <c r="FE142" s="29"/>
      <c r="FF142" s="29"/>
      <c r="FG142" s="29"/>
      <c r="FH142" s="29"/>
      <c r="FI142" s="29"/>
      <c r="FJ142" s="29"/>
      <c r="FK142" s="29"/>
      <c r="FL142" s="29"/>
      <c r="FM142" s="29"/>
      <c r="FN142" s="29"/>
      <c r="FO142" s="29"/>
      <c r="FP142" s="29"/>
      <c r="FQ142" s="29"/>
      <c r="FR142" s="29"/>
      <c r="FS142" s="29"/>
      <c r="FT142" s="29"/>
      <c r="FU142" s="29"/>
      <c r="FV142" s="29"/>
      <c r="FW142" s="29"/>
      <c r="FX142" s="29"/>
      <c r="FY142" s="29"/>
      <c r="FZ142" s="29"/>
      <c r="GA142" s="29"/>
      <c r="GB142" s="29"/>
      <c r="GC142" s="29"/>
      <c r="GD142" s="29"/>
      <c r="GE142" s="29"/>
      <c r="GF142" s="29"/>
      <c r="GG142" s="29"/>
      <c r="GH142" s="29"/>
    </row>
    <row r="143" spans="5:190" x14ac:dyDescent="0.2">
      <c r="E143" s="177" t="s">
        <v>122</v>
      </c>
      <c r="F143" s="29"/>
      <c r="G143" s="29"/>
      <c r="H143" s="29"/>
      <c r="J143" s="29"/>
      <c r="K143" s="29">
        <f t="shared" ref="K143:Y143" si="457">K112/J112-1</f>
        <v>2.3854968133936616E-2</v>
      </c>
      <c r="L143" s="29">
        <f t="shared" si="457"/>
        <v>0.67198468957284585</v>
      </c>
      <c r="M143" s="29">
        <f t="shared" si="457"/>
        <v>0.44783472967541593</v>
      </c>
      <c r="N143" s="29">
        <f t="shared" si="457"/>
        <v>7.0180343227923325E-2</v>
      </c>
      <c r="O143" s="29">
        <f t="shared" si="457"/>
        <v>7.370691984579314E-2</v>
      </c>
      <c r="P143" s="29">
        <f t="shared" si="457"/>
        <v>7.5881949006900262E-2</v>
      </c>
      <c r="Q143" s="29">
        <f t="shared" si="457"/>
        <v>0.15669846870109527</v>
      </c>
      <c r="R143" s="29">
        <f t="shared" si="457"/>
        <v>0.16917902013761288</v>
      </c>
      <c r="S143" s="29">
        <f t="shared" si="457"/>
        <v>9.1119924825453058E-2</v>
      </c>
      <c r="T143" s="29">
        <f t="shared" si="457"/>
        <v>0.13609983499519562</v>
      </c>
      <c r="U143" s="29">
        <f t="shared" si="457"/>
        <v>0.13405405926944436</v>
      </c>
      <c r="V143" s="29">
        <f t="shared" si="457"/>
        <v>0.15543316053919476</v>
      </c>
      <c r="W143" s="29">
        <f t="shared" si="457"/>
        <v>0.10824429512699751</v>
      </c>
      <c r="X143" s="29">
        <f t="shared" si="457"/>
        <v>6.4669448276288843E-3</v>
      </c>
      <c r="Y143" s="29">
        <f t="shared" si="457"/>
        <v>4.8713072603131735E-2</v>
      </c>
      <c r="Z143" s="29">
        <f t="shared" si="455"/>
        <v>9.6730557136772699E-2</v>
      </c>
      <c r="AA143" s="29">
        <f t="shared" si="455"/>
        <v>7.137952964831884E-2</v>
      </c>
      <c r="AB143" s="29">
        <f t="shared" si="455"/>
        <v>8.1056530496710799E-2</v>
      </c>
      <c r="AC143" s="29">
        <f t="shared" si="455"/>
        <v>0.13328496642486232</v>
      </c>
      <c r="AD143" s="29">
        <f t="shared" si="341"/>
        <v>0.15978669454132932</v>
      </c>
      <c r="AE143" s="29">
        <f t="shared" si="342"/>
        <v>0.14071921534301191</v>
      </c>
      <c r="AF143" s="29"/>
      <c r="AG143" s="29"/>
      <c r="AH143" s="29"/>
      <c r="AI143" s="29"/>
      <c r="AJ143" s="29"/>
      <c r="AK143" s="29"/>
      <c r="AL143" s="29"/>
      <c r="AM143" s="29">
        <f t="shared" ref="AM143:BF143" si="458">AM112/AL112-1</f>
        <v>3.413624944584015E-2</v>
      </c>
      <c r="AN143" s="29">
        <f t="shared" si="458"/>
        <v>1.3913066070825542E-2</v>
      </c>
      <c r="AO143" s="29">
        <f t="shared" si="458"/>
        <v>1.3210261562660581</v>
      </c>
      <c r="AP143" s="29">
        <f t="shared" si="458"/>
        <v>7.1625515387462757E-2</v>
      </c>
      <c r="AQ143" s="29">
        <f t="shared" si="458"/>
        <v>6.8831763767292609E-2</v>
      </c>
      <c r="AR143" s="29">
        <f t="shared" si="458"/>
        <v>7.8268120442336997E-2</v>
      </c>
      <c r="AS143" s="29">
        <f t="shared" si="458"/>
        <v>7.3668982315037379E-2</v>
      </c>
      <c r="AT143" s="29">
        <f t="shared" si="458"/>
        <v>0.23403094989751638</v>
      </c>
      <c r="AU143" s="29">
        <f t="shared" si="458"/>
        <v>0.116626100159966</v>
      </c>
      <c r="AV143" s="29">
        <f t="shared" si="458"/>
        <v>6.8277743963964355E-2</v>
      </c>
      <c r="AW143" s="39">
        <f t="shared" si="458"/>
        <v>0.19958715504322888</v>
      </c>
      <c r="AX143" s="29">
        <f t="shared" si="458"/>
        <v>7.9424351458491138E-2</v>
      </c>
      <c r="AY143" s="29">
        <f t="shared" si="458"/>
        <v>0.22584921978225547</v>
      </c>
      <c r="AZ143" s="29">
        <f t="shared" si="458"/>
        <v>1.2306782782577574E-2</v>
      </c>
      <c r="BA143" s="29">
        <f t="shared" si="458"/>
        <v>6.9810275892634444E-4</v>
      </c>
      <c r="BB143" s="29">
        <f t="shared" si="458"/>
        <v>9.6694546448068186E-2</v>
      </c>
      <c r="BC143" s="29">
        <f t="shared" si="458"/>
        <v>9.6763392796274328E-2</v>
      </c>
      <c r="BD143" s="29">
        <f t="shared" si="458"/>
        <v>4.8235191211531747E-2</v>
      </c>
      <c r="BE143" s="29">
        <f t="shared" si="458"/>
        <v>0.11236757553732324</v>
      </c>
      <c r="BF143" s="29">
        <f t="shared" si="458"/>
        <v>0.15208935388413813</v>
      </c>
      <c r="BG143" s="29">
        <f t="shared" si="344"/>
        <v>0.16646789564022035</v>
      </c>
      <c r="BH143" s="29">
        <f t="shared" si="345"/>
        <v>0.11864515707407364</v>
      </c>
      <c r="BI143" s="29"/>
      <c r="BJ143" s="29"/>
      <c r="BK143" s="29"/>
      <c r="BL143" s="29"/>
      <c r="BM143" s="29"/>
      <c r="BN143" s="29"/>
      <c r="BO143" s="9" t="s">
        <v>340</v>
      </c>
      <c r="BP143" s="29"/>
      <c r="BQ143" s="29"/>
      <c r="BR143" s="29"/>
      <c r="BS143" s="29"/>
      <c r="BT143" s="29"/>
      <c r="BU143" s="29">
        <f t="shared" si="357"/>
        <v>0.25247662311056085</v>
      </c>
      <c r="BV143" s="29">
        <f t="shared" si="364"/>
        <v>4.8018599296595799E-2</v>
      </c>
      <c r="BW143" s="29">
        <f t="shared" si="365"/>
        <v>-3.0186723603674359E-2</v>
      </c>
      <c r="BX143" s="29">
        <f t="shared" si="366"/>
        <v>7.8033411538584785E-2</v>
      </c>
      <c r="BY143" s="29">
        <f t="shared" si="367"/>
        <v>-0.20273319393543165</v>
      </c>
      <c r="BZ143" s="29">
        <f t="shared" si="368"/>
        <v>0.10022132039134157</v>
      </c>
      <c r="CA143" s="29">
        <f t="shared" si="369"/>
        <v>0.24541389908586142</v>
      </c>
      <c r="CB143" s="29">
        <f t="shared" si="370"/>
        <v>0.48088088286685426</v>
      </c>
      <c r="CC143" s="29">
        <f t="shared" si="371"/>
        <v>0.2116705348244301</v>
      </c>
      <c r="CD143" s="29">
        <f t="shared" si="372"/>
        <v>6.3930396836776815E-2</v>
      </c>
      <c r="CE143" s="29">
        <f t="shared" si="373"/>
        <v>5.0893116934687566E-2</v>
      </c>
      <c r="CF143" s="29">
        <f t="shared" si="374"/>
        <v>9.3408657754842084E-2</v>
      </c>
      <c r="CG143" s="29">
        <f t="shared" si="375"/>
        <v>3.0218149172156261E-2</v>
      </c>
      <c r="CH143" s="29">
        <f t="shared" si="376"/>
        <v>0.21492336283018654</v>
      </c>
      <c r="CI143" s="29">
        <f t="shared" si="377"/>
        <v>7.5415304883965417E-2</v>
      </c>
      <c r="CJ143" s="29">
        <f t="shared" si="378"/>
        <v>0.15067657294217351</v>
      </c>
      <c r="CK143" s="29">
        <f t="shared" si="379"/>
        <v>0.25718884691548149</v>
      </c>
      <c r="CL143" s="29">
        <f t="shared" si="380"/>
        <v>3.4643186989428143E-2</v>
      </c>
      <c r="CM143" s="29">
        <f t="shared" si="381"/>
        <v>0.17329857688256034</v>
      </c>
      <c r="CN143" s="29">
        <f t="shared" si="382"/>
        <v>0.14742228013551184</v>
      </c>
      <c r="CO143" s="29">
        <f t="shared" si="383"/>
        <v>-0.26246612515472012</v>
      </c>
      <c r="CP143" s="29">
        <f t="shared" si="384"/>
        <v>0.15773674433247775</v>
      </c>
      <c r="CQ143" s="29">
        <f t="shared" si="385"/>
        <v>0.30166674332240961</v>
      </c>
      <c r="CR143" s="29">
        <f t="shared" si="386"/>
        <v>0.38904850471661478</v>
      </c>
      <c r="CS143" s="29">
        <f t="shared" si="387"/>
        <v>0.25311787685069365</v>
      </c>
      <c r="CT143" s="29">
        <f t="shared" si="388"/>
        <v>0.11178255961476347</v>
      </c>
      <c r="CU143" s="29">
        <f t="shared" si="389"/>
        <v>9.631773052531245E-2</v>
      </c>
      <c r="CV143" s="29">
        <f t="shared" si="390"/>
        <v>5.1056849990771758E-2</v>
      </c>
      <c r="CW143" s="29">
        <f t="shared" si="391"/>
        <v>9.900512643412207E-2</v>
      </c>
      <c r="CX143" s="29">
        <f t="shared" si="392"/>
        <v>0.20335579037059137</v>
      </c>
      <c r="CY143" s="29">
        <f t="shared" si="393"/>
        <v>0.15751241676536964</v>
      </c>
      <c r="CZ143" s="29">
        <f t="shared" si="394"/>
        <v>-7.6435673808781801E-2</v>
      </c>
      <c r="DA143" s="29">
        <f t="shared" si="395"/>
        <v>0.10518922993847224</v>
      </c>
      <c r="DB143" s="29">
        <f t="shared" si="396"/>
        <v>0.12877873198395773</v>
      </c>
      <c r="DC143" s="29">
        <f t="shared" si="397"/>
        <v>7.199272947468871E-2</v>
      </c>
      <c r="DD143" s="29">
        <f t="shared" si="398"/>
        <v>6.4939972576049554E-2</v>
      </c>
      <c r="DE143" s="29">
        <f t="shared" si="399"/>
        <v>0.13538163088972199</v>
      </c>
      <c r="DF143" s="29">
        <f t="shared" si="400"/>
        <v>0.15311744953699646</v>
      </c>
      <c r="DG143" s="29">
        <f t="shared" si="401"/>
        <v>8.8414415851688188E-2</v>
      </c>
      <c r="DH143" s="29">
        <f t="shared" si="402"/>
        <v>7.8580220468770445E-2</v>
      </c>
      <c r="DI143" s="29">
        <f t="shared" si="403"/>
        <v>0.16012771930747705</v>
      </c>
      <c r="DJ143" s="29">
        <f t="shared" si="404"/>
        <v>0.15831632488628644</v>
      </c>
      <c r="DK143" s="29">
        <f t="shared" si="405"/>
        <v>9.3053303764428996E-2</v>
      </c>
      <c r="DL143" s="29">
        <f t="shared" si="406"/>
        <v>0.10608741467426253</v>
      </c>
      <c r="DM143" s="29">
        <f t="shared" si="407"/>
        <v>0.15801519209929515</v>
      </c>
      <c r="DN143" s="29">
        <f t="shared" si="408"/>
        <v>0.1458971429335385</v>
      </c>
      <c r="DO143" s="29">
        <f t="shared" si="409"/>
        <v>6.3388209772667459E-2</v>
      </c>
      <c r="DP143" s="29">
        <f t="shared" ref="DP143:DP145" si="459">DP112/DL112-1</f>
        <v>7.900898887134522E-2</v>
      </c>
      <c r="DQ143" s="29">
        <f t="shared" ref="DQ143:DQ145" si="460">DQ112/DM112-1</f>
        <v>0.16086366488982007</v>
      </c>
      <c r="DR143" s="633"/>
      <c r="DS143" s="29"/>
      <c r="DT143" s="29"/>
      <c r="DU143" s="29"/>
      <c r="DV143" s="29"/>
      <c r="DW143" s="29"/>
      <c r="DX143" s="29"/>
      <c r="DY143" s="29"/>
      <c r="DZ143" s="29"/>
      <c r="EA143" s="29"/>
      <c r="EB143" s="29"/>
      <c r="EC143" s="29"/>
      <c r="ED143" s="29"/>
      <c r="EE143" s="29"/>
      <c r="EF143" s="29"/>
      <c r="EG143" s="29"/>
      <c r="EH143" s="29"/>
      <c r="EI143" s="29"/>
      <c r="EJ143" s="29"/>
      <c r="EK143" s="29"/>
      <c r="EL143" s="29"/>
      <c r="EM143" s="29"/>
      <c r="EN143" s="29"/>
      <c r="EO143" s="29"/>
      <c r="EP143" s="29"/>
      <c r="EQ143" s="29"/>
      <c r="ER143" s="29"/>
      <c r="ES143" s="29"/>
      <c r="ET143" s="29"/>
      <c r="EU143" s="29"/>
      <c r="EV143" s="29"/>
      <c r="EW143" s="29"/>
      <c r="EX143" s="29"/>
      <c r="EY143" s="29"/>
      <c r="EZ143" s="29"/>
      <c r="FA143" s="29"/>
      <c r="FB143" s="29"/>
      <c r="FC143" s="29"/>
      <c r="FD143" s="29"/>
      <c r="FE143" s="29"/>
      <c r="FF143" s="29"/>
      <c r="FG143" s="29"/>
      <c r="FH143" s="29"/>
      <c r="FI143" s="29"/>
      <c r="FJ143" s="29"/>
      <c r="FK143" s="29"/>
      <c r="FL143" s="29"/>
      <c r="FM143" s="29"/>
      <c r="FN143" s="29"/>
      <c r="FO143" s="29"/>
      <c r="FP143" s="29"/>
      <c r="FQ143" s="29"/>
      <c r="FR143" s="29"/>
      <c r="FS143" s="29"/>
      <c r="FT143" s="29"/>
      <c r="FU143" s="29"/>
      <c r="FV143" s="29"/>
      <c r="FW143" s="29"/>
      <c r="FX143" s="29"/>
      <c r="FY143" s="29"/>
      <c r="FZ143" s="29"/>
      <c r="GA143" s="29"/>
      <c r="GB143" s="29"/>
      <c r="GC143" s="29"/>
      <c r="GD143" s="29"/>
      <c r="GE143" s="29"/>
      <c r="GF143" s="29"/>
      <c r="GG143" s="29"/>
      <c r="GH143" s="29"/>
    </row>
    <row r="144" spans="5:190" x14ac:dyDescent="0.2">
      <c r="E144" s="177" t="s">
        <v>123</v>
      </c>
      <c r="F144" s="29"/>
      <c r="G144" s="29"/>
      <c r="H144" s="29"/>
      <c r="J144" s="29"/>
      <c r="K144" s="29">
        <f t="shared" ref="K144:Y144" si="461">K113/J113-1</f>
        <v>4.8899222714038126E-2</v>
      </c>
      <c r="L144" s="29">
        <f t="shared" si="461"/>
        <v>0.59880607291044119</v>
      </c>
      <c r="M144" s="29">
        <f t="shared" si="461"/>
        <v>0.46666105801741131</v>
      </c>
      <c r="N144" s="29">
        <f t="shared" si="461"/>
        <v>6.3053967448782222E-2</v>
      </c>
      <c r="O144" s="29">
        <f t="shared" si="461"/>
        <v>2.6076944211964159E-2</v>
      </c>
      <c r="P144" s="29">
        <f t="shared" si="461"/>
        <v>7.3269075423979535E-2</v>
      </c>
      <c r="Q144" s="29">
        <f t="shared" si="461"/>
        <v>6.0531871490868472E-2</v>
      </c>
      <c r="R144" s="29">
        <f t="shared" si="461"/>
        <v>5.9520753867367882E-2</v>
      </c>
      <c r="S144" s="29">
        <f t="shared" si="461"/>
        <v>6.3422376300312999E-2</v>
      </c>
      <c r="T144" s="29">
        <f t="shared" si="461"/>
        <v>5.2231094707009262E-2</v>
      </c>
      <c r="U144" s="29">
        <f t="shared" si="461"/>
        <v>5.724797782969393E-2</v>
      </c>
      <c r="V144" s="29">
        <f t="shared" si="461"/>
        <v>7.0884113867368814E-2</v>
      </c>
      <c r="W144" s="29">
        <f t="shared" si="461"/>
        <v>6.5117319524842676E-2</v>
      </c>
      <c r="X144" s="29">
        <f t="shared" si="461"/>
        <v>6.1440276116042414E-2</v>
      </c>
      <c r="Y144" s="29">
        <f t="shared" si="461"/>
        <v>6.8266726528291688E-2</v>
      </c>
      <c r="Z144" s="29">
        <f t="shared" si="455"/>
        <v>6.8644181841943874E-2</v>
      </c>
      <c r="AA144" s="29">
        <f t="shared" si="455"/>
        <v>6.8589757649690997E-2</v>
      </c>
      <c r="AB144" s="29">
        <f t="shared" si="455"/>
        <v>6.9826038527449841E-2</v>
      </c>
      <c r="AC144" s="29">
        <f t="shared" si="455"/>
        <v>7.1875722843003587E-2</v>
      </c>
      <c r="AD144" s="29">
        <f t="shared" si="341"/>
        <v>7.4956320501043283E-2</v>
      </c>
      <c r="AE144" s="29">
        <f t="shared" si="342"/>
        <v>7.8619201316407983E-2</v>
      </c>
      <c r="AF144" s="29"/>
      <c r="AG144" s="29"/>
      <c r="AH144" s="29"/>
      <c r="AI144" s="29"/>
      <c r="AJ144" s="29"/>
      <c r="AK144" s="29"/>
      <c r="AL144" s="29"/>
      <c r="AM144" s="29">
        <f t="shared" ref="AM144:AX144" si="462">AM113/AL113-1</f>
        <v>4.8414301586392261E-2</v>
      </c>
      <c r="AN144" s="29">
        <f t="shared" si="462"/>
        <v>4.9361750864323595E-2</v>
      </c>
      <c r="AO144" s="29">
        <f t="shared" si="462"/>
        <v>1.1224046523265088</v>
      </c>
      <c r="AP144" s="29">
        <f t="shared" si="462"/>
        <v>0.15769848879655468</v>
      </c>
      <c r="AQ144" s="29">
        <f t="shared" si="462"/>
        <v>-1.8698338755018029E-2</v>
      </c>
      <c r="AR144" s="29">
        <f t="shared" si="462"/>
        <v>7.1705403568872006E-2</v>
      </c>
      <c r="AS144" s="29">
        <f t="shared" si="462"/>
        <v>7.472812550425334E-2</v>
      </c>
      <c r="AT144" s="29">
        <f t="shared" si="462"/>
        <v>4.7322713121886961E-2</v>
      </c>
      <c r="AU144" s="29">
        <f t="shared" si="462"/>
        <v>7.1167632706766071E-2</v>
      </c>
      <c r="AV144" s="29">
        <f t="shared" si="462"/>
        <v>5.6191709344030061E-2</v>
      </c>
      <c r="AW144" s="39">
        <f t="shared" si="462"/>
        <v>4.8481193432475811E-2</v>
      </c>
      <c r="AX144" s="29">
        <f t="shared" si="462"/>
        <v>6.5609390940517542E-2</v>
      </c>
      <c r="AY144" s="29">
        <f t="shared" ref="AY144:BF144" si="463">AY113/AX113-1</f>
        <v>7.5834072990941692E-2</v>
      </c>
      <c r="AZ144" s="29">
        <f t="shared" si="463"/>
        <v>5.5155975359282516E-2</v>
      </c>
      <c r="BA144" s="29">
        <f t="shared" si="463"/>
        <v>6.7396078768460876E-2</v>
      </c>
      <c r="BB144" s="29">
        <f t="shared" si="463"/>
        <v>6.9082401025461815E-2</v>
      </c>
      <c r="BC144" s="29">
        <f t="shared" si="463"/>
        <v>6.823427968370277E-2</v>
      </c>
      <c r="BD144" s="29">
        <f t="shared" si="463"/>
        <v>6.8922529189370252E-2</v>
      </c>
      <c r="BE144" s="29">
        <f t="shared" si="463"/>
        <v>7.0671290932004194E-2</v>
      </c>
      <c r="BF144" s="29">
        <f t="shared" si="463"/>
        <v>7.3000654389408393E-2</v>
      </c>
      <c r="BG144" s="29">
        <f t="shared" si="344"/>
        <v>7.6778934591384296E-2</v>
      </c>
      <c r="BH144" s="29">
        <f t="shared" si="345"/>
        <v>8.0328249168204691E-2</v>
      </c>
      <c r="BI144" s="29"/>
      <c r="BJ144" s="29"/>
      <c r="BK144" s="29"/>
      <c r="BL144" s="29"/>
      <c r="BM144" s="29"/>
      <c r="BN144" s="29"/>
      <c r="BO144" s="9" t="s">
        <v>341</v>
      </c>
      <c r="BP144" s="29"/>
      <c r="BQ144" s="29"/>
      <c r="BR144" s="29"/>
      <c r="BS144" s="29"/>
      <c r="BT144" s="29"/>
      <c r="BU144" s="29">
        <f t="shared" si="357"/>
        <v>4.6856578232521651E-2</v>
      </c>
      <c r="BV144" s="29">
        <f t="shared" si="364"/>
        <v>5.8430028359177877E-2</v>
      </c>
      <c r="BW144" s="29">
        <f t="shared" si="365"/>
        <v>8.8015881080681702E-2</v>
      </c>
      <c r="BX144" s="29">
        <f t="shared" si="366"/>
        <v>9.154050015800097E-2</v>
      </c>
      <c r="BY144" s="29">
        <f t="shared" si="367"/>
        <v>5.3895207222938391E-2</v>
      </c>
      <c r="BZ144" s="29">
        <f t="shared" si="368"/>
        <v>6.3378540768763481E-2</v>
      </c>
      <c r="CA144" s="29">
        <f t="shared" si="369"/>
        <v>7.3023244620644245E-2</v>
      </c>
      <c r="CB144" s="29">
        <f t="shared" si="370"/>
        <v>8.456383874661566E-2</v>
      </c>
      <c r="CC144" s="29">
        <f t="shared" si="371"/>
        <v>8.0206729436794522E-2</v>
      </c>
      <c r="CD144" s="29">
        <f t="shared" si="372"/>
        <v>6.3759241129533351E-2</v>
      </c>
      <c r="CE144" s="29">
        <f t="shared" si="373"/>
        <v>6.8519359345649011E-2</v>
      </c>
      <c r="CF144" s="29">
        <f t="shared" si="374"/>
        <v>0.10535834917431619</v>
      </c>
      <c r="CG144" s="29">
        <f t="shared" si="375"/>
        <v>5.6769807216548562E-2</v>
      </c>
      <c r="CH144" s="29">
        <f t="shared" si="376"/>
        <v>7.3506688653142804E-2</v>
      </c>
      <c r="CI144" s="29">
        <f t="shared" si="377"/>
        <v>8.7155183779884737E-2</v>
      </c>
      <c r="CJ144" s="29">
        <f t="shared" si="378"/>
        <v>7.3002593367007096E-2</v>
      </c>
      <c r="CK144" s="29">
        <f t="shared" si="379"/>
        <v>9.7467469177938471E-2</v>
      </c>
      <c r="CL144" s="29">
        <f t="shared" si="380"/>
        <v>8.8333220393427725E-2</v>
      </c>
      <c r="CM144" s="29">
        <f t="shared" si="381"/>
        <v>5.7392963742161074E-2</v>
      </c>
      <c r="CN144" s="29">
        <f t="shared" si="382"/>
        <v>2.89076569544644E-2</v>
      </c>
      <c r="CO144" s="29">
        <f t="shared" si="383"/>
        <v>4.8522826607168668E-2</v>
      </c>
      <c r="CP144" s="29">
        <f t="shared" si="384"/>
        <v>5.9243295441205213E-2</v>
      </c>
      <c r="CQ144" s="29">
        <f t="shared" si="385"/>
        <v>6.9597033134211506E-2</v>
      </c>
      <c r="CR144" s="29">
        <f t="shared" si="386"/>
        <v>0.11173090954110876</v>
      </c>
      <c r="CS144" s="29">
        <f t="shared" si="387"/>
        <v>7.8112226385161021E-2</v>
      </c>
      <c r="CT144" s="29">
        <f t="shared" si="388"/>
        <v>5.8825804134418513E-2</v>
      </c>
      <c r="CU144" s="29">
        <f t="shared" si="389"/>
        <v>7.8238151249642396E-2</v>
      </c>
      <c r="CV144" s="29">
        <f t="shared" si="390"/>
        <v>8.1946603544398311E-2</v>
      </c>
      <c r="CW144" s="29">
        <f t="shared" si="391"/>
        <v>5.4134275230708795E-2</v>
      </c>
      <c r="CX144" s="29">
        <f t="shared" si="392"/>
        <v>4.5925021242428254E-2</v>
      </c>
      <c r="CY144" s="29">
        <f t="shared" si="393"/>
        <v>6.0044816153828062E-2</v>
      </c>
      <c r="CZ144" s="29">
        <f t="shared" si="394"/>
        <v>8.210640741102071E-2</v>
      </c>
      <c r="DA144" s="29">
        <f t="shared" si="395"/>
        <v>7.5268161037626014E-2</v>
      </c>
      <c r="DB144" s="29">
        <f t="shared" si="396"/>
        <v>7.3977449771525761E-2</v>
      </c>
      <c r="DC144" s="29">
        <f t="shared" si="397"/>
        <v>6.8003927196293779E-2</v>
      </c>
      <c r="DD144" s="29">
        <f t="shared" si="398"/>
        <v>6.6353534923431656E-2</v>
      </c>
      <c r="DE144" s="29">
        <f t="shared" si="399"/>
        <v>6.1571619150316836E-2</v>
      </c>
      <c r="DF144" s="29">
        <f t="shared" si="400"/>
        <v>6.806580457035194E-2</v>
      </c>
      <c r="DG144" s="29">
        <f t="shared" si="401"/>
        <v>5.6748676785426611E-2</v>
      </c>
      <c r="DH144" s="29">
        <f t="shared" si="402"/>
        <v>7.283252179142341E-2</v>
      </c>
      <c r="DI144" s="29">
        <f t="shared" si="403"/>
        <v>7.2884875960460782E-2</v>
      </c>
      <c r="DJ144" s="29">
        <f t="shared" si="404"/>
        <v>6.2283433858945525E-2</v>
      </c>
      <c r="DK144" s="29">
        <f t="shared" si="405"/>
        <v>6.7227710813412278E-2</v>
      </c>
      <c r="DL144" s="29">
        <f t="shared" si="406"/>
        <v>7.4820212684511889E-2</v>
      </c>
      <c r="DM144" s="29">
        <f t="shared" si="407"/>
        <v>7.5247682319369735E-2</v>
      </c>
      <c r="DN144" s="29">
        <f t="shared" si="408"/>
        <v>6.6139606390061223E-2</v>
      </c>
      <c r="DO144" s="29">
        <f t="shared" si="409"/>
        <v>6.4922657295173769E-2</v>
      </c>
      <c r="DP144" s="29">
        <f t="shared" si="459"/>
        <v>7.621595366973466E-2</v>
      </c>
      <c r="DQ144" s="29">
        <f t="shared" si="460"/>
        <v>7.451630385368202E-2</v>
      </c>
      <c r="DR144" s="633"/>
      <c r="DS144" s="29"/>
      <c r="DT144" s="29"/>
      <c r="DU144" s="29"/>
      <c r="DV144" s="29"/>
      <c r="DW144" s="29"/>
      <c r="DX144" s="29"/>
      <c r="DY144" s="29"/>
      <c r="DZ144" s="29"/>
      <c r="EA144" s="29"/>
      <c r="EB144" s="29"/>
      <c r="EC144" s="29"/>
      <c r="ED144" s="29"/>
      <c r="EE144" s="29"/>
      <c r="EF144" s="29"/>
      <c r="EG144" s="29"/>
      <c r="EH144" s="29"/>
      <c r="EI144" s="29"/>
      <c r="EJ144" s="29"/>
      <c r="EK144" s="29"/>
      <c r="EL144" s="29"/>
      <c r="EM144" s="29"/>
      <c r="EN144" s="29"/>
      <c r="EO144" s="29"/>
      <c r="EP144" s="29"/>
      <c r="EQ144" s="29"/>
      <c r="ER144" s="29"/>
      <c r="ES144" s="29"/>
      <c r="ET144" s="29"/>
      <c r="EU144" s="29"/>
      <c r="EV144" s="29"/>
      <c r="EW144" s="29"/>
      <c r="EX144" s="29"/>
      <c r="EY144" s="29"/>
      <c r="EZ144" s="29"/>
      <c r="FA144" s="29"/>
      <c r="FB144" s="29"/>
      <c r="FC144" s="29"/>
      <c r="FD144" s="29"/>
      <c r="FE144" s="29"/>
      <c r="FF144" s="29"/>
      <c r="FG144" s="29"/>
      <c r="FH144" s="29"/>
      <c r="FI144" s="29"/>
      <c r="FJ144" s="29"/>
      <c r="FK144" s="29"/>
      <c r="FL144" s="29"/>
      <c r="FM144" s="29"/>
      <c r="FN144" s="29"/>
      <c r="FO144" s="29"/>
      <c r="FP144" s="29"/>
      <c r="FQ144" s="29"/>
      <c r="FR144" s="29"/>
      <c r="FS144" s="29"/>
      <c r="FT144" s="29"/>
      <c r="FU144" s="29"/>
      <c r="FV144" s="29"/>
      <c r="FW144" s="29"/>
      <c r="FX144" s="29"/>
      <c r="FY144" s="29"/>
      <c r="FZ144" s="29"/>
      <c r="GA144" s="29"/>
      <c r="GB144" s="29"/>
      <c r="GC144" s="29"/>
      <c r="GD144" s="29"/>
      <c r="GE144" s="29"/>
      <c r="GF144" s="29"/>
      <c r="GG144" s="29"/>
      <c r="GH144" s="29"/>
    </row>
    <row r="145" spans="5:190" x14ac:dyDescent="0.2">
      <c r="E145" s="177" t="s">
        <v>124</v>
      </c>
      <c r="F145" s="29"/>
      <c r="G145" s="29"/>
      <c r="H145" s="29"/>
      <c r="J145" s="29"/>
      <c r="K145" s="29">
        <f t="shared" ref="K145:Y145" si="464">K114/J114-1</f>
        <v>4.8647060846706003E-2</v>
      </c>
      <c r="L145" s="29">
        <f t="shared" si="464"/>
        <v>0.38055797754304543</v>
      </c>
      <c r="M145" s="29">
        <f t="shared" si="464"/>
        <v>0.30340086065281757</v>
      </c>
      <c r="N145" s="29">
        <f t="shared" si="464"/>
        <v>7.020095158979589E-2</v>
      </c>
      <c r="O145" s="29">
        <f t="shared" si="464"/>
        <v>7.3729409294083448E-2</v>
      </c>
      <c r="P145" s="29">
        <f t="shared" si="464"/>
        <v>9.4733988191424423E-2</v>
      </c>
      <c r="Q145" s="29">
        <f t="shared" si="464"/>
        <v>7.0401790846642109E-2</v>
      </c>
      <c r="R145" s="29">
        <f t="shared" si="464"/>
        <v>0.17494808885383062</v>
      </c>
      <c r="S145" s="29">
        <f t="shared" si="464"/>
        <v>0.1618576219625536</v>
      </c>
      <c r="T145" s="29">
        <f t="shared" si="464"/>
        <v>8.8934520396658501E-2</v>
      </c>
      <c r="U145" s="29">
        <f t="shared" si="464"/>
        <v>7.9905739674723808E-2</v>
      </c>
      <c r="V145" s="29">
        <f t="shared" si="464"/>
        <v>8.0282115539785259E-2</v>
      </c>
      <c r="W145" s="29">
        <f t="shared" si="464"/>
        <v>5.9351019267851912E-2</v>
      </c>
      <c r="X145" s="29">
        <f t="shared" si="464"/>
        <v>7.3252996268562409E-2</v>
      </c>
      <c r="Y145" s="29">
        <f t="shared" si="464"/>
        <v>0.1072685539619227</v>
      </c>
      <c r="Z145" s="29">
        <f t="shared" si="455"/>
        <v>8.7263980067091573E-2</v>
      </c>
      <c r="AA145" s="29">
        <f t="shared" si="455"/>
        <v>0.10150175094956349</v>
      </c>
      <c r="AB145" s="29">
        <f t="shared" si="455"/>
        <v>0.10755864887025224</v>
      </c>
      <c r="AC145" s="29">
        <f t="shared" si="455"/>
        <v>0.10877008575600766</v>
      </c>
      <c r="AD145" s="29">
        <f t="shared" si="341"/>
        <v>0.10653771276370283</v>
      </c>
      <c r="AE145" s="29">
        <f t="shared" si="342"/>
        <v>9.8959486324985413E-2</v>
      </c>
      <c r="AF145" s="29"/>
      <c r="AG145" s="29"/>
      <c r="AH145" s="29"/>
      <c r="AI145" s="29"/>
      <c r="AJ145" s="29"/>
      <c r="AK145" s="29"/>
      <c r="AL145" s="29"/>
      <c r="AM145" s="29">
        <f t="shared" ref="AM145:BF145" si="465">AM114/AL114-1</f>
        <v>4.8268403625985057E-2</v>
      </c>
      <c r="AN145" s="29">
        <f t="shared" si="465"/>
        <v>4.9008282476024512E-2</v>
      </c>
      <c r="AO145" s="29">
        <f t="shared" si="465"/>
        <v>0.69661810843586203</v>
      </c>
      <c r="AP145" s="29">
        <f t="shared" si="465"/>
        <v>7.1635535369594328E-2</v>
      </c>
      <c r="AQ145" s="29">
        <f t="shared" si="465"/>
        <v>6.8862265317784832E-2</v>
      </c>
      <c r="AR145" s="29">
        <f t="shared" si="465"/>
        <v>7.8282983813669826E-2</v>
      </c>
      <c r="AS145" s="29">
        <f t="shared" si="465"/>
        <v>0.10999065515613071</v>
      </c>
      <c r="AT145" s="29">
        <f t="shared" si="465"/>
        <v>3.4735847060908265E-2</v>
      </c>
      <c r="AU145" s="29">
        <f t="shared" si="465"/>
        <v>0.31045343757755095</v>
      </c>
      <c r="AV145" s="29">
        <f t="shared" si="465"/>
        <v>4.8464950880942492E-2</v>
      </c>
      <c r="AW145" s="39">
        <f t="shared" si="465"/>
        <v>0.12753339724200519</v>
      </c>
      <c r="AX145" s="29">
        <f t="shared" si="465"/>
        <v>3.7665165973066461E-2</v>
      </c>
      <c r="AY145" s="29">
        <f t="shared" si="465"/>
        <v>0.12135215524450493</v>
      </c>
      <c r="AZ145" s="29">
        <f t="shared" si="465"/>
        <v>4.0596144342528451E-3</v>
      </c>
      <c r="BA145" s="29">
        <f t="shared" si="465"/>
        <v>0.14216661538001052</v>
      </c>
      <c r="BB145" s="29">
        <f t="shared" si="465"/>
        <v>7.6714288981522216E-2</v>
      </c>
      <c r="BC145" s="29">
        <f t="shared" si="465"/>
        <v>9.7062021379934915E-2</v>
      </c>
      <c r="BD145" s="29">
        <f t="shared" si="465"/>
        <v>0.10554867763475162</v>
      </c>
      <c r="BE145" s="29">
        <f t="shared" si="465"/>
        <v>0.10937672461504966</v>
      </c>
      <c r="BF145" s="29">
        <f t="shared" si="465"/>
        <v>0.10822325721203185</v>
      </c>
      <c r="BG145" s="29">
        <f t="shared" si="344"/>
        <v>0.10501676972505081</v>
      </c>
      <c r="BH145" s="29">
        <f t="shared" si="345"/>
        <v>9.3477865080836553E-2</v>
      </c>
      <c r="BI145" s="29"/>
      <c r="BJ145" s="29"/>
      <c r="BK145" s="29"/>
      <c r="BL145" s="29"/>
      <c r="BM145" s="29"/>
      <c r="BN145" s="29"/>
      <c r="BO145" s="9" t="s">
        <v>294</v>
      </c>
      <c r="BP145" s="29"/>
      <c r="BQ145" s="29"/>
      <c r="BR145" s="29"/>
      <c r="BS145" s="29"/>
      <c r="BT145" s="29"/>
      <c r="BU145" s="29">
        <f t="shared" si="357"/>
        <v>6.8913888891179997E-3</v>
      </c>
      <c r="BV145" s="29">
        <f t="shared" si="364"/>
        <v>7.5042708267259117E-2</v>
      </c>
      <c r="BW145" s="29">
        <f t="shared" si="365"/>
        <v>7.0606311478174089E-2</v>
      </c>
      <c r="BX145" s="29">
        <f t="shared" si="366"/>
        <v>0.12827918399152249</v>
      </c>
      <c r="BY145" s="29">
        <f t="shared" si="367"/>
        <v>0.11470453118942348</v>
      </c>
      <c r="BZ145" s="29">
        <f t="shared" si="368"/>
        <v>5.5475635418606783E-2</v>
      </c>
      <c r="CA145" s="29">
        <f t="shared" si="369"/>
        <v>4.3558606169394221E-2</v>
      </c>
      <c r="CB145" s="29">
        <f t="shared" si="370"/>
        <v>6.9080095492429328E-2</v>
      </c>
      <c r="CC145" s="29">
        <f t="shared" si="371"/>
        <v>4.4817095901931836E-2</v>
      </c>
      <c r="CD145" s="29">
        <f t="shared" si="372"/>
        <v>4.0552190711848013E-2</v>
      </c>
      <c r="CE145" s="29">
        <f t="shared" si="373"/>
        <v>0.15012159367406186</v>
      </c>
      <c r="CF145" s="29">
        <f t="shared" si="374"/>
        <v>6.9625206939176065E-2</v>
      </c>
      <c r="CG145" s="29">
        <f t="shared" si="375"/>
        <v>5.5952245321407856E-2</v>
      </c>
      <c r="CH145" s="29">
        <f t="shared" si="376"/>
        <v>0.12767841159096949</v>
      </c>
      <c r="CI145" s="29">
        <f t="shared" si="377"/>
        <v>3.0310511077685787E-2</v>
      </c>
      <c r="CJ145" s="29">
        <f t="shared" si="378"/>
        <v>9.1289808831302777E-2</v>
      </c>
      <c r="CK145" s="29">
        <f t="shared" si="379"/>
        <v>0.10860214952258529</v>
      </c>
      <c r="CL145" s="29">
        <f t="shared" si="380"/>
        <v>9.443290810065208E-2</v>
      </c>
      <c r="CM145" s="29">
        <f t="shared" si="381"/>
        <v>4.9410918994175601E-2</v>
      </c>
      <c r="CN145" s="29">
        <f t="shared" si="382"/>
        <v>3.2989336088320664E-2</v>
      </c>
      <c r="CO145" s="29">
        <f t="shared" si="383"/>
        <v>-5.0533138485774343E-3</v>
      </c>
      <c r="CP145" s="29">
        <f t="shared" si="384"/>
        <v>4.8935005771711948E-2</v>
      </c>
      <c r="CQ145" s="29">
        <f t="shared" si="385"/>
        <v>0.10141492649063233</v>
      </c>
      <c r="CR145" s="29">
        <f t="shared" si="386"/>
        <v>0.11732535659741106</v>
      </c>
      <c r="CS145" s="29">
        <f t="shared" si="387"/>
        <v>9.1912029936004558E-2</v>
      </c>
      <c r="CT145" s="29">
        <f t="shared" si="388"/>
        <v>0.10357346556966163</v>
      </c>
      <c r="CU145" s="29">
        <f t="shared" si="389"/>
        <v>6.3452921017350228E-2</v>
      </c>
      <c r="CV145" s="29">
        <f t="shared" si="390"/>
        <v>5.9149890025428364E-2</v>
      </c>
      <c r="CW145" s="29">
        <f t="shared" si="391"/>
        <v>7.2819110108991003E-2</v>
      </c>
      <c r="CX145" s="29">
        <f t="shared" si="392"/>
        <v>3.7687805889659032E-3</v>
      </c>
      <c r="CY145" s="29">
        <f t="shared" si="393"/>
        <v>2.9318193597702491E-2</v>
      </c>
      <c r="CZ145" s="29">
        <f t="shared" si="394"/>
        <v>0.11959893299852054</v>
      </c>
      <c r="DA145" s="29">
        <f t="shared" si="395"/>
        <v>9.0294623849493272E-2</v>
      </c>
      <c r="DB145" s="29">
        <f t="shared" si="396"/>
        <v>4.3088796059133294E-2</v>
      </c>
      <c r="DC145" s="29">
        <f t="shared" si="397"/>
        <v>2.5659333082947766E-2</v>
      </c>
      <c r="DD145" s="29">
        <f t="shared" si="398"/>
        <v>0.10421854947379972</v>
      </c>
      <c r="DE145" s="29">
        <f t="shared" si="399"/>
        <v>5.8272855500630216E-2</v>
      </c>
      <c r="DF145" s="29">
        <f t="shared" si="400"/>
        <v>0.10437341972900316</v>
      </c>
      <c r="DG145" s="29">
        <f t="shared" si="401"/>
        <v>8.2455355937798291E-2</v>
      </c>
      <c r="DH145" s="29">
        <f t="shared" si="402"/>
        <v>2.7619153083933812E-2</v>
      </c>
      <c r="DI145" s="29">
        <f t="shared" si="403"/>
        <v>6.5952240149176111E-2</v>
      </c>
      <c r="DJ145" s="29">
        <f t="shared" si="404"/>
        <v>5.2167710779286391E-2</v>
      </c>
      <c r="DK145" s="29">
        <f t="shared" si="405"/>
        <v>0.15999152886713652</v>
      </c>
      <c r="DL145" s="29">
        <f t="shared" si="406"/>
        <v>1.8987724078478374E-2</v>
      </c>
      <c r="DM145" s="29">
        <f t="shared" si="407"/>
        <v>1.4439597095808887E-2</v>
      </c>
      <c r="DN145" s="29">
        <f t="shared" si="408"/>
        <v>0.22249402491939363</v>
      </c>
      <c r="DO145" s="29">
        <f t="shared" si="409"/>
        <v>0.16909880992886928</v>
      </c>
      <c r="DP145" s="29">
        <f t="shared" si="459"/>
        <v>-0.13600153389301373</v>
      </c>
      <c r="DQ145" s="29">
        <f t="shared" si="460"/>
        <v>7.2000000000000064E-2</v>
      </c>
      <c r="DR145" s="29"/>
      <c r="DS145" s="29"/>
      <c r="DT145" s="29"/>
      <c r="DU145" s="29"/>
      <c r="DV145" s="29"/>
      <c r="DW145" s="29"/>
      <c r="DX145" s="29"/>
      <c r="DY145" s="29"/>
      <c r="DZ145" s="29"/>
      <c r="EA145" s="29"/>
      <c r="EB145" s="29"/>
      <c r="EC145" s="29"/>
      <c r="ED145" s="29"/>
      <c r="EE145" s="29"/>
      <c r="EF145" s="29"/>
      <c r="EG145" s="29"/>
      <c r="EH145" s="29"/>
      <c r="EI145" s="29"/>
      <c r="EJ145" s="29"/>
      <c r="EK145" s="29"/>
      <c r="EL145" s="29"/>
      <c r="EM145" s="29"/>
      <c r="EN145" s="29"/>
      <c r="EO145" s="29"/>
      <c r="EP145" s="29"/>
      <c r="EQ145" s="29"/>
      <c r="ER145" s="29"/>
      <c r="ES145" s="29"/>
      <c r="ET145" s="29"/>
      <c r="EU145" s="29"/>
      <c r="EV145" s="29"/>
      <c r="EW145" s="29"/>
      <c r="EX145" s="29"/>
      <c r="EY145" s="29"/>
      <c r="EZ145" s="29"/>
      <c r="FA145" s="29"/>
      <c r="FB145" s="29"/>
      <c r="FC145" s="29"/>
      <c r="FD145" s="29"/>
      <c r="FE145" s="29"/>
      <c r="FF145" s="29"/>
      <c r="FG145" s="29"/>
      <c r="FH145" s="29"/>
      <c r="FI145" s="29"/>
      <c r="FJ145" s="29"/>
      <c r="FK145" s="29"/>
      <c r="FL145" s="29"/>
      <c r="FM145" s="29"/>
      <c r="FN145" s="29"/>
      <c r="FO145" s="29"/>
      <c r="FP145" s="29"/>
      <c r="FQ145" s="29"/>
      <c r="FR145" s="29"/>
      <c r="FS145" s="29"/>
      <c r="FT145" s="29"/>
      <c r="FU145" s="29"/>
      <c r="FV145" s="29"/>
      <c r="FW145" s="29"/>
      <c r="FX145" s="29"/>
      <c r="FY145" s="29"/>
      <c r="FZ145" s="29"/>
      <c r="GA145" s="29"/>
      <c r="GB145" s="29"/>
      <c r="GC145" s="29"/>
      <c r="GD145" s="29"/>
      <c r="GE145" s="29"/>
      <c r="GF145" s="29"/>
      <c r="GG145" s="29"/>
      <c r="GH145" s="29"/>
    </row>
    <row r="146" spans="5:190" x14ac:dyDescent="0.2">
      <c r="E146" s="177"/>
      <c r="F146" s="29"/>
      <c r="G146" s="29"/>
      <c r="H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39"/>
      <c r="AX146" s="29"/>
      <c r="AY146" s="29"/>
      <c r="AZ146" s="29"/>
      <c r="BA146" s="29"/>
      <c r="BB146" s="29"/>
      <c r="BC146" s="29"/>
      <c r="BD146" s="29"/>
      <c r="BE146" s="29"/>
      <c r="BF146" s="29"/>
      <c r="BG146" s="29"/>
      <c r="BH146" s="29"/>
      <c r="BI146" s="29"/>
      <c r="BJ146" s="29"/>
      <c r="BK146" s="29"/>
      <c r="BL146" s="29"/>
      <c r="BM146" s="29"/>
      <c r="BN146" s="29"/>
      <c r="BP146" s="29"/>
      <c r="BQ146" s="29"/>
      <c r="BR146" s="29"/>
      <c r="BS146" s="29"/>
      <c r="BT146" s="29"/>
      <c r="BU146" s="29"/>
      <c r="BV146" s="29"/>
      <c r="BW146" s="29"/>
      <c r="BX146" s="29"/>
      <c r="BY146" s="29"/>
      <c r="BZ146" s="29"/>
      <c r="CA146" s="29"/>
      <c r="CB146" s="29"/>
      <c r="CC146" s="29"/>
      <c r="CD146" s="29"/>
      <c r="CE146" s="29"/>
      <c r="CF146" s="29"/>
      <c r="CG146" s="29"/>
      <c r="CH146" s="29"/>
      <c r="CI146" s="29"/>
      <c r="CJ146" s="29"/>
      <c r="CK146" s="29"/>
      <c r="CL146" s="29"/>
      <c r="CM146" s="29"/>
      <c r="CN146" s="29"/>
      <c r="CO146" s="29"/>
      <c r="CP146" s="29"/>
      <c r="CQ146" s="29"/>
      <c r="CR146" s="29"/>
      <c r="CS146" s="29"/>
      <c r="CT146" s="29"/>
      <c r="CU146" s="29"/>
      <c r="CV146" s="29"/>
      <c r="CW146" s="29"/>
      <c r="CX146" s="29"/>
      <c r="CY146" s="29"/>
      <c r="CZ146" s="29"/>
      <c r="DA146" s="29"/>
      <c r="DB146" s="29"/>
      <c r="DC146" s="29"/>
      <c r="DD146" s="29"/>
      <c r="DE146" s="29"/>
      <c r="DF146" s="29"/>
      <c r="DG146" s="29"/>
      <c r="DH146" s="29"/>
      <c r="DI146" s="29"/>
      <c r="DJ146" s="29"/>
      <c r="DK146" s="29"/>
      <c r="DL146" s="29"/>
      <c r="DM146" s="29"/>
      <c r="DN146" s="29"/>
      <c r="DO146" s="29"/>
      <c r="DP146" s="29"/>
      <c r="DQ146" s="29"/>
      <c r="DR146" s="29"/>
      <c r="DS146" s="29"/>
      <c r="DT146" s="29"/>
      <c r="DU146" s="29"/>
      <c r="DV146" s="29"/>
      <c r="DW146" s="29"/>
      <c r="DX146" s="29"/>
      <c r="DY146" s="29"/>
      <c r="DZ146" s="29"/>
      <c r="EA146" s="29"/>
      <c r="EB146" s="29"/>
      <c r="EC146" s="29"/>
      <c r="ED146" s="29"/>
      <c r="EE146" s="29"/>
      <c r="EF146" s="29"/>
      <c r="EG146" s="29"/>
      <c r="EH146" s="29"/>
      <c r="EI146" s="29"/>
      <c r="EJ146" s="29"/>
      <c r="EK146" s="29"/>
      <c r="EL146" s="29"/>
      <c r="EM146" s="29"/>
      <c r="EN146" s="29"/>
      <c r="EO146" s="29"/>
      <c r="EP146" s="29"/>
      <c r="EQ146" s="29"/>
      <c r="ER146" s="29"/>
      <c r="ES146" s="29"/>
      <c r="ET146" s="29"/>
      <c r="EU146" s="29"/>
      <c r="EV146" s="29"/>
      <c r="EW146" s="29"/>
      <c r="EX146" s="29"/>
      <c r="EY146" s="29"/>
      <c r="EZ146" s="29"/>
      <c r="FA146" s="29"/>
      <c r="FB146" s="29"/>
      <c r="FC146" s="29"/>
      <c r="FD146" s="29"/>
      <c r="FE146" s="29"/>
      <c r="FF146" s="29"/>
      <c r="FG146" s="29"/>
      <c r="FH146" s="29"/>
      <c r="FI146" s="29"/>
      <c r="FJ146" s="29"/>
      <c r="FK146" s="29"/>
      <c r="FL146" s="29"/>
      <c r="FM146" s="29"/>
      <c r="FN146" s="29"/>
      <c r="FO146" s="29"/>
      <c r="FP146" s="29"/>
      <c r="FQ146" s="29"/>
      <c r="FR146" s="29"/>
      <c r="FS146" s="29"/>
      <c r="FT146" s="29"/>
      <c r="FU146" s="29"/>
      <c r="FV146" s="29"/>
      <c r="FW146" s="29"/>
      <c r="FX146" s="29"/>
      <c r="FY146" s="29"/>
      <c r="FZ146" s="29"/>
      <c r="GA146" s="29"/>
      <c r="GB146" s="29"/>
      <c r="GC146" s="29"/>
      <c r="GD146" s="29"/>
      <c r="GE146" s="29"/>
      <c r="GF146" s="29"/>
      <c r="GG146" s="29"/>
      <c r="GH146" s="29"/>
    </row>
    <row r="147" spans="5:190" x14ac:dyDescent="0.2">
      <c r="E147" s="15" t="s">
        <v>543</v>
      </c>
      <c r="F147" s="29"/>
      <c r="G147" s="29"/>
      <c r="H147" s="29"/>
      <c r="J147" s="29"/>
      <c r="K147" s="29">
        <f t="shared" ref="K147:Y147" si="466">K116/J116-1</f>
        <v>4.8882253193296421E-2</v>
      </c>
      <c r="L147" s="29">
        <f t="shared" si="466"/>
        <v>0.58412211151457449</v>
      </c>
      <c r="M147" s="29">
        <f t="shared" si="466"/>
        <v>0.45708825587271829</v>
      </c>
      <c r="N147" s="29">
        <f t="shared" si="466"/>
        <v>6.3428831444153566E-2</v>
      </c>
      <c r="O147" s="29">
        <f t="shared" si="466"/>
        <v>2.8592263871353829E-2</v>
      </c>
      <c r="P147" s="29">
        <f t="shared" si="466"/>
        <v>7.4451813385236543E-2</v>
      </c>
      <c r="Q147" s="29">
        <f t="shared" si="466"/>
        <v>6.1085979810824753E-2</v>
      </c>
      <c r="R147" s="29">
        <f t="shared" si="466"/>
        <v>6.6057866780771191E-2</v>
      </c>
      <c r="S147" s="29">
        <f t="shared" si="466"/>
        <v>6.9566583418742001E-2</v>
      </c>
      <c r="T147" s="29">
        <f t="shared" si="466"/>
        <v>5.4719762365745828E-2</v>
      </c>
      <c r="U147" s="29">
        <f t="shared" si="466"/>
        <v>5.8834119566436582E-2</v>
      </c>
      <c r="V147" s="29">
        <f t="shared" si="466"/>
        <v>7.1555107540807628E-2</v>
      </c>
      <c r="W147" s="29">
        <f t="shared" si="466"/>
        <v>6.4702267214404641E-2</v>
      </c>
      <c r="X147" s="29">
        <f t="shared" si="466"/>
        <v>6.2286269970833974E-2</v>
      </c>
      <c r="Y147" s="29">
        <f t="shared" si="466"/>
        <v>7.1088764094209944E-2</v>
      </c>
      <c r="Z147" s="29">
        <f>Z116/Y116-1</f>
        <v>7.0036954740422042E-2</v>
      </c>
      <c r="AA147" s="29">
        <f>AA116/Z116-1</f>
        <v>7.1091230229954006E-2</v>
      </c>
      <c r="AB147" s="29">
        <f>AB116/AA116-1</f>
        <v>7.2775326229793658E-2</v>
      </c>
      <c r="AC147" s="29">
        <f>AC116/AB116-1</f>
        <v>7.4852993116405475E-2</v>
      </c>
      <c r="AD147" s="29">
        <f t="shared" ref="AD147:AE147" si="467">AD116/AC116-1</f>
        <v>7.7585268210125458E-2</v>
      </c>
      <c r="AE147" s="29">
        <f t="shared" si="467"/>
        <v>8.0357891829672567E-2</v>
      </c>
      <c r="AF147" s="29"/>
      <c r="AG147" s="29"/>
      <c r="AH147" s="29"/>
      <c r="AI147" s="29"/>
      <c r="AJ147" s="29"/>
      <c r="AK147" s="29"/>
      <c r="AL147" s="29"/>
      <c r="AM147" s="56">
        <f t="shared" ref="AM147:BF147" si="468">AM116/AL116-1</f>
        <v>4.8404482564288864E-2</v>
      </c>
      <c r="AN147" s="56">
        <f t="shared" si="468"/>
        <v>4.9337965312953758E-2</v>
      </c>
      <c r="AO147" s="56">
        <f t="shared" si="468"/>
        <v>1.0937616784410671</v>
      </c>
      <c r="AP147" s="56">
        <f t="shared" si="468"/>
        <v>0.15300712327581723</v>
      </c>
      <c r="AQ147" s="56">
        <f t="shared" si="468"/>
        <v>-1.426218192717954E-2</v>
      </c>
      <c r="AR147" s="56">
        <f t="shared" si="468"/>
        <v>7.2066750710376271E-2</v>
      </c>
      <c r="AS147" s="56">
        <f t="shared" si="468"/>
        <v>7.6676546754945063E-2</v>
      </c>
      <c r="AT147" s="56">
        <f t="shared" si="468"/>
        <v>4.6605709955305441E-2</v>
      </c>
      <c r="AU147" s="56">
        <f t="shared" si="468"/>
        <v>8.46438124147737E-2</v>
      </c>
      <c r="AV147" s="56">
        <f t="shared" si="468"/>
        <v>5.5665956481623535E-2</v>
      </c>
      <c r="AW147" s="330">
        <f t="shared" si="468"/>
        <v>5.3823461684580076E-2</v>
      </c>
      <c r="AX147" s="56">
        <f t="shared" si="468"/>
        <v>6.3588860814886905E-2</v>
      </c>
      <c r="AY147" s="56">
        <f t="shared" si="468"/>
        <v>7.9045075722513625E-2</v>
      </c>
      <c r="AZ147" s="56">
        <f>AZ116/AY116-1</f>
        <v>5.1410136208195567E-2</v>
      </c>
      <c r="BA147" s="56">
        <f t="shared" si="468"/>
        <v>7.2630600302156401E-2</v>
      </c>
      <c r="BB147" s="56">
        <f t="shared" si="468"/>
        <v>6.965132961535736E-2</v>
      </c>
      <c r="BC147" s="56">
        <f t="shared" si="468"/>
        <v>7.0397469530978585E-2</v>
      </c>
      <c r="BD147" s="56">
        <f t="shared" si="468"/>
        <v>7.1739363954783641E-2</v>
      </c>
      <c r="BE147" s="56">
        <f t="shared" si="468"/>
        <v>7.3741943963407053E-2</v>
      </c>
      <c r="BF147" s="56">
        <f t="shared" si="468"/>
        <v>7.5887738158493701E-2</v>
      </c>
      <c r="BG147" s="56">
        <f t="shared" ref="BG147" si="469">BG116/BF116-1</f>
        <v>7.9163062985012633E-2</v>
      </c>
      <c r="BH147" s="56">
        <f t="shared" ref="BH147" si="470">BH116/BG116-1</f>
        <v>8.1465072834696395E-2</v>
      </c>
      <c r="BI147" s="29"/>
      <c r="BJ147" s="29"/>
      <c r="BK147" s="29"/>
      <c r="BL147" s="29"/>
      <c r="BM147" s="29"/>
      <c r="BN147" s="29"/>
      <c r="BO147" s="9" t="s">
        <v>165</v>
      </c>
      <c r="BP147" s="29"/>
      <c r="BQ147" s="29"/>
      <c r="BR147" s="29"/>
      <c r="BS147" s="29"/>
      <c r="BT147" s="29"/>
      <c r="BU147" s="29">
        <f t="shared" si="357"/>
        <v>4.408687763501562E-2</v>
      </c>
      <c r="BV147" s="29">
        <f t="shared" si="364"/>
        <v>5.9414288041040875E-2</v>
      </c>
      <c r="BW147" s="29">
        <f t="shared" si="365"/>
        <v>8.6920716542780774E-2</v>
      </c>
      <c r="BX147" s="29">
        <f t="shared" si="366"/>
        <v>9.4479771058596951E-2</v>
      </c>
      <c r="BY147" s="29">
        <f t="shared" si="367"/>
        <v>5.7959332759175641E-2</v>
      </c>
      <c r="BZ147" s="29">
        <f t="shared" si="368"/>
        <v>6.2903406154151575E-2</v>
      </c>
      <c r="CA147" s="29">
        <f t="shared" si="369"/>
        <v>7.1197565758559511E-2</v>
      </c>
      <c r="CB147" s="29">
        <f t="shared" si="370"/>
        <v>8.3286809570712439E-2</v>
      </c>
      <c r="CC147" s="29">
        <f t="shared" si="371"/>
        <v>7.7714639009146103E-2</v>
      </c>
      <c r="CD147" s="29">
        <f t="shared" si="372"/>
        <v>6.2373748404318308E-2</v>
      </c>
      <c r="CE147" s="29">
        <f t="shared" si="373"/>
        <v>7.3445111863628787E-2</v>
      </c>
      <c r="CF147" s="29">
        <f t="shared" si="374"/>
        <v>0.10244989078416711</v>
      </c>
      <c r="CG147" s="29">
        <f t="shared" si="375"/>
        <v>5.6713992996362483E-2</v>
      </c>
      <c r="CH147" s="29">
        <f t="shared" si="376"/>
        <v>7.6674384607210433E-2</v>
      </c>
      <c r="CI147" s="29">
        <f t="shared" si="377"/>
        <v>8.3478771374915439E-2</v>
      </c>
      <c r="CJ147" s="29">
        <f t="shared" si="378"/>
        <v>7.4446742350872119E-2</v>
      </c>
      <c r="CK147" s="29">
        <f t="shared" si="379"/>
        <v>9.8227075888967619E-2</v>
      </c>
      <c r="CL147" s="29">
        <f t="shared" si="380"/>
        <v>8.8706796702833657E-2</v>
      </c>
      <c r="CM147" s="29">
        <f t="shared" si="381"/>
        <v>5.6902060009232702E-2</v>
      </c>
      <c r="CN147" s="29">
        <f t="shared" si="382"/>
        <v>2.9235041733763234E-2</v>
      </c>
      <c r="CO147" s="29">
        <f t="shared" si="383"/>
        <v>4.4833339191500343E-2</v>
      </c>
      <c r="CP147" s="29">
        <f t="shared" si="384"/>
        <v>5.8608642130559607E-2</v>
      </c>
      <c r="CQ147" s="29">
        <f t="shared" si="385"/>
        <v>7.153999569676972E-2</v>
      </c>
      <c r="CR147" s="29">
        <f t="shared" si="386"/>
        <v>0.1121812677316909</v>
      </c>
      <c r="CS147" s="29">
        <f t="shared" si="387"/>
        <v>7.9017167459497717E-2</v>
      </c>
      <c r="CT147" s="29">
        <f t="shared" si="388"/>
        <v>6.1555620439756487E-2</v>
      </c>
      <c r="CU147" s="29">
        <f t="shared" si="389"/>
        <v>7.7310117705521098E-2</v>
      </c>
      <c r="CV147" s="29">
        <f t="shared" si="390"/>
        <v>8.010295889354957E-2</v>
      </c>
      <c r="CW147" s="29">
        <f t="shared" si="391"/>
        <v>5.5374201774838649E-2</v>
      </c>
      <c r="CX147" s="29">
        <f t="shared" si="392"/>
        <v>4.3251501159896177E-2</v>
      </c>
      <c r="CY147" s="29">
        <f t="shared" si="393"/>
        <v>5.814098715310978E-2</v>
      </c>
      <c r="CZ147" s="29">
        <f t="shared" si="394"/>
        <v>8.5079729397299353E-2</v>
      </c>
      <c r="DA147" s="29">
        <f t="shared" si="395"/>
        <v>7.6281800433104063E-2</v>
      </c>
      <c r="DB147" s="29">
        <f t="shared" si="396"/>
        <v>7.2092649996345237E-2</v>
      </c>
      <c r="DC147" s="29">
        <f t="shared" si="397"/>
        <v>6.5451712536723994E-2</v>
      </c>
      <c r="DD147" s="29">
        <f t="shared" si="398"/>
        <v>6.9451925757902488E-2</v>
      </c>
      <c r="DE147" s="29">
        <f t="shared" si="399"/>
        <v>6.13461974119065E-2</v>
      </c>
      <c r="DF147" s="29">
        <f t="shared" si="400"/>
        <v>7.0221328888915746E-2</v>
      </c>
      <c r="DG147" s="29">
        <f t="shared" si="401"/>
        <v>5.8240215622470615E-2</v>
      </c>
      <c r="DH147" s="29">
        <f t="shared" si="402"/>
        <v>6.9012562726326276E-2</v>
      </c>
      <c r="DI147" s="29">
        <f t="shared" si="403"/>
        <v>7.2412504588816651E-2</v>
      </c>
      <c r="DJ147" s="29">
        <f t="shared" si="404"/>
        <v>6.1663715333603042E-2</v>
      </c>
      <c r="DK147" s="29">
        <f t="shared" si="405"/>
        <v>7.2733162252896388E-2</v>
      </c>
      <c r="DL147" s="29">
        <f t="shared" si="406"/>
        <v>7.0285725173900859E-2</v>
      </c>
      <c r="DM147" s="29">
        <f t="shared" si="407"/>
        <v>7.1129340514916706E-2</v>
      </c>
      <c r="DN147" s="29">
        <f t="shared" si="408"/>
        <v>7.563265491657023E-2</v>
      </c>
      <c r="DO147" s="29">
        <f t="shared" si="409"/>
        <v>7.1608339765925066E-2</v>
      </c>
      <c r="DP147" s="29">
        <f t="shared" ref="DP147" si="471">DP116/DL116-1</f>
        <v>5.9806594854326933E-2</v>
      </c>
      <c r="DQ147" s="29">
        <f t="shared" ref="DQ147" si="472">DQ116/DM116-1</f>
        <v>7.4354902036501302E-2</v>
      </c>
      <c r="DR147" s="29"/>
      <c r="DS147" s="29"/>
      <c r="DT147" s="29"/>
      <c r="DU147" s="29"/>
      <c r="DV147" s="29"/>
      <c r="DW147" s="29"/>
      <c r="DX147" s="29"/>
      <c r="DY147" s="29"/>
      <c r="DZ147" s="29"/>
      <c r="EA147" s="29"/>
      <c r="EB147" s="29"/>
      <c r="EC147" s="29"/>
      <c r="ED147" s="29"/>
      <c r="EE147" s="29"/>
      <c r="EF147" s="29"/>
      <c r="EG147" s="29"/>
      <c r="EH147" s="29"/>
      <c r="EI147" s="29"/>
      <c r="EJ147" s="29"/>
      <c r="EK147" s="29"/>
      <c r="EL147" s="29"/>
      <c r="EM147" s="29"/>
      <c r="EN147" s="29"/>
      <c r="EO147" s="29"/>
      <c r="EP147" s="29"/>
      <c r="EQ147" s="29"/>
      <c r="ER147" s="29"/>
      <c r="ES147" s="29"/>
      <c r="ET147" s="29"/>
      <c r="EU147" s="29"/>
      <c r="EV147" s="29"/>
      <c r="EW147" s="29"/>
      <c r="EX147" s="29"/>
      <c r="EY147" s="29"/>
      <c r="EZ147" s="29"/>
      <c r="FA147" s="29"/>
      <c r="FB147" s="29"/>
      <c r="FC147" s="29"/>
      <c r="FD147" s="29"/>
      <c r="FE147" s="29"/>
      <c r="FF147" s="29"/>
      <c r="FG147" s="29"/>
      <c r="FH147" s="29"/>
      <c r="FI147" s="29"/>
      <c r="FJ147" s="29"/>
      <c r="FK147" s="29"/>
      <c r="FL147" s="29"/>
      <c r="FM147" s="29"/>
      <c r="FN147" s="29"/>
      <c r="FO147" s="29"/>
      <c r="FP147" s="29"/>
      <c r="FQ147" s="29"/>
      <c r="FR147" s="29"/>
      <c r="FS147" s="29"/>
      <c r="FT147" s="29"/>
      <c r="FU147" s="29"/>
      <c r="FV147" s="29"/>
      <c r="FW147" s="29"/>
      <c r="FX147" s="29"/>
      <c r="FY147" s="29"/>
      <c r="FZ147" s="29"/>
      <c r="GA147" s="29"/>
      <c r="GB147" s="29"/>
      <c r="GC147" s="29"/>
      <c r="GD147" s="29"/>
      <c r="GE147" s="29"/>
      <c r="GF147" s="29"/>
      <c r="GG147" s="29"/>
      <c r="GH147" s="29"/>
    </row>
    <row r="148" spans="5:190" x14ac:dyDescent="0.2">
      <c r="F148" s="29"/>
      <c r="G148" s="29"/>
      <c r="H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638"/>
      <c r="BB148" s="638"/>
      <c r="BC148" s="638"/>
      <c r="BD148" s="638"/>
      <c r="BE148" s="638"/>
      <c r="BF148" s="638"/>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29"/>
      <c r="CD148" s="29"/>
      <c r="CE148" s="29"/>
      <c r="CF148" s="29"/>
      <c r="CG148" s="29"/>
      <c r="CH148" s="29"/>
      <c r="CI148" s="29"/>
      <c r="CJ148" s="29"/>
      <c r="CK148" s="29"/>
      <c r="CL148" s="29"/>
      <c r="CM148" s="29"/>
      <c r="CN148" s="29"/>
      <c r="CO148" s="29"/>
      <c r="CP148" s="29"/>
      <c r="CQ148" s="29"/>
      <c r="CR148" s="29"/>
      <c r="CS148" s="29"/>
      <c r="CT148" s="29"/>
      <c r="CU148" s="29"/>
      <c r="CV148" s="29"/>
      <c r="CW148" s="29"/>
      <c r="CX148" s="29"/>
      <c r="CY148" s="29"/>
      <c r="CZ148" s="29"/>
      <c r="DA148" s="29"/>
      <c r="DB148" s="29"/>
      <c r="DC148" s="29"/>
      <c r="DD148" s="29"/>
      <c r="DE148" s="29"/>
      <c r="DF148" s="29"/>
      <c r="DG148" s="29"/>
      <c r="DH148" s="29"/>
      <c r="DI148" s="29"/>
      <c r="DJ148" s="29"/>
      <c r="DK148" s="29"/>
      <c r="DL148" s="29"/>
      <c r="DM148" s="29"/>
      <c r="DN148" s="29"/>
      <c r="DO148" s="29"/>
      <c r="DP148" s="29"/>
      <c r="DQ148" s="29"/>
      <c r="DR148" s="29"/>
      <c r="DS148" s="29"/>
      <c r="DT148" s="29"/>
      <c r="DU148" s="29"/>
      <c r="DV148" s="29"/>
      <c r="DW148" s="29"/>
      <c r="DX148" s="29"/>
      <c r="DY148" s="29"/>
      <c r="DZ148" s="29"/>
      <c r="EA148" s="29"/>
      <c r="EB148" s="29"/>
      <c r="EC148" s="29"/>
      <c r="ED148" s="29"/>
      <c r="EE148" s="29"/>
      <c r="EF148" s="29"/>
      <c r="EG148" s="29"/>
      <c r="EH148" s="29"/>
      <c r="EI148" s="29"/>
      <c r="EJ148" s="29"/>
      <c r="EK148" s="29"/>
      <c r="EL148" s="29"/>
      <c r="EM148" s="29"/>
      <c r="EN148" s="29"/>
      <c r="EO148" s="29"/>
      <c r="EP148" s="29"/>
      <c r="EQ148" s="29"/>
      <c r="ER148" s="29"/>
      <c r="ES148" s="29"/>
      <c r="ET148" s="29"/>
      <c r="EU148" s="29"/>
      <c r="EV148" s="29"/>
      <c r="EW148" s="29"/>
      <c r="EX148" s="29"/>
      <c r="EY148" s="29"/>
      <c r="EZ148" s="29"/>
      <c r="FA148" s="29"/>
      <c r="FB148" s="29"/>
      <c r="FC148" s="29"/>
      <c r="FD148" s="29"/>
      <c r="FE148" s="29"/>
      <c r="FF148" s="29"/>
      <c r="FG148" s="29"/>
      <c r="FH148" s="29"/>
      <c r="FI148" s="29"/>
      <c r="FJ148" s="29"/>
      <c r="FK148" s="29"/>
      <c r="FL148" s="29"/>
      <c r="FM148" s="29"/>
      <c r="FN148" s="29"/>
      <c r="FO148" s="29"/>
      <c r="FP148" s="29"/>
      <c r="FQ148" s="29"/>
      <c r="FR148" s="29"/>
      <c r="FS148" s="29"/>
      <c r="FT148" s="29"/>
      <c r="FU148" s="29"/>
      <c r="FV148" s="29"/>
      <c r="FW148" s="29"/>
      <c r="FX148" s="29"/>
      <c r="FY148" s="29"/>
      <c r="FZ148" s="29"/>
      <c r="GA148" s="29"/>
      <c r="GB148" s="29"/>
      <c r="GC148" s="29"/>
      <c r="GD148" s="29"/>
      <c r="GE148" s="29"/>
      <c r="GF148" s="29"/>
      <c r="GG148" s="29"/>
      <c r="GH148" s="29"/>
    </row>
    <row r="149" spans="5:190" x14ac:dyDescent="0.2">
      <c r="F149" s="29"/>
      <c r="G149" s="29"/>
      <c r="H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39"/>
      <c r="AX149" s="29"/>
      <c r="AY149" s="29"/>
      <c r="AZ149" s="29"/>
      <c r="BA149" s="29"/>
      <c r="BB149" s="29"/>
      <c r="BC149" s="29"/>
      <c r="BD149" s="755"/>
      <c r="BE149" s="29"/>
      <c r="BF149" s="29"/>
      <c r="BG149" s="29"/>
      <c r="BH149" s="29"/>
      <c r="BI149" s="29"/>
      <c r="BJ149" s="29"/>
      <c r="BK149" s="29"/>
      <c r="BL149" s="29"/>
      <c r="BM149" s="29"/>
      <c r="BN149" s="29"/>
      <c r="BO149" s="29"/>
      <c r="BP149" s="29"/>
      <c r="BQ149" s="29"/>
      <c r="BR149" s="29"/>
      <c r="BS149" s="29"/>
      <c r="BT149" s="29"/>
      <c r="BU149" s="29"/>
      <c r="BV149" s="29"/>
      <c r="BW149" s="29"/>
      <c r="BX149" s="29"/>
      <c r="BY149" s="29"/>
      <c r="BZ149" s="29"/>
      <c r="CA149" s="29"/>
      <c r="CB149" s="29"/>
      <c r="CC149" s="29"/>
      <c r="CD149" s="29"/>
      <c r="CE149" s="29"/>
      <c r="CF149" s="29"/>
      <c r="CG149" s="29"/>
      <c r="CH149" s="29"/>
      <c r="CI149" s="29"/>
      <c r="CJ149" s="29"/>
      <c r="CK149" s="29"/>
      <c r="CL149" s="29"/>
      <c r="CM149" s="29"/>
      <c r="CN149" s="29"/>
      <c r="CO149" s="29"/>
      <c r="CP149" s="29"/>
      <c r="CQ149" s="29"/>
      <c r="CR149" s="29"/>
      <c r="CS149" s="29"/>
      <c r="CT149" s="29"/>
      <c r="CU149" s="29"/>
      <c r="CV149" s="29"/>
      <c r="CW149" s="29"/>
      <c r="CX149" s="29"/>
      <c r="CY149" s="29"/>
      <c r="CZ149" s="29"/>
      <c r="DA149" s="29"/>
      <c r="DB149" s="29"/>
      <c r="DC149" s="29"/>
      <c r="DD149" s="29"/>
      <c r="DE149" s="29"/>
      <c r="DF149" s="29"/>
      <c r="DG149" s="29"/>
      <c r="DH149" s="29"/>
      <c r="DI149" s="29"/>
      <c r="DJ149" s="29"/>
      <c r="DK149" s="29"/>
      <c r="DL149" s="29"/>
      <c r="DM149" s="29"/>
      <c r="DN149" s="29"/>
      <c r="DO149" s="29"/>
      <c r="DP149" s="29"/>
      <c r="DQ149" s="29"/>
      <c r="DR149" s="29"/>
      <c r="DS149" s="29"/>
      <c r="DT149" s="29"/>
      <c r="DU149" s="29"/>
      <c r="DV149" s="29"/>
      <c r="DW149" s="29"/>
      <c r="DX149" s="29"/>
      <c r="DY149" s="29"/>
      <c r="DZ149" s="29"/>
      <c r="EA149" s="29"/>
      <c r="EB149" s="29"/>
      <c r="EC149" s="29"/>
      <c r="ED149" s="29"/>
      <c r="EE149" s="29"/>
      <c r="EF149" s="29"/>
      <c r="EG149" s="29"/>
      <c r="EH149" s="29"/>
      <c r="EI149" s="29"/>
      <c r="EJ149" s="29"/>
      <c r="EK149" s="29"/>
      <c r="EL149" s="29"/>
      <c r="EM149" s="29"/>
      <c r="EN149" s="29"/>
      <c r="EO149" s="29"/>
      <c r="EP149" s="29"/>
      <c r="EQ149" s="29"/>
      <c r="ER149" s="29"/>
      <c r="ES149" s="29"/>
      <c r="ET149" s="29"/>
      <c r="EU149" s="29"/>
      <c r="EV149" s="29"/>
      <c r="EW149" s="29"/>
      <c r="EX149" s="29"/>
      <c r="EY149" s="29"/>
      <c r="EZ149" s="29"/>
      <c r="FA149" s="29"/>
      <c r="FB149" s="29"/>
      <c r="FC149" s="29"/>
      <c r="FD149" s="29"/>
      <c r="FE149" s="29"/>
      <c r="FF149" s="29"/>
      <c r="FG149" s="29"/>
      <c r="FH149" s="29"/>
      <c r="FI149" s="29"/>
      <c r="FJ149" s="29"/>
      <c r="FK149" s="29"/>
      <c r="FL149" s="29"/>
      <c r="FM149" s="29"/>
      <c r="FN149" s="29"/>
      <c r="FO149" s="29"/>
      <c r="FP149" s="29"/>
      <c r="FQ149" s="29"/>
      <c r="FR149" s="29"/>
      <c r="FS149" s="29"/>
      <c r="FT149" s="29"/>
      <c r="FU149" s="29"/>
      <c r="FV149" s="29"/>
      <c r="FW149" s="29"/>
      <c r="FX149" s="29"/>
      <c r="FY149" s="29"/>
      <c r="FZ149" s="29"/>
      <c r="GA149" s="29"/>
      <c r="GB149" s="29"/>
      <c r="GC149" s="29"/>
      <c r="GD149" s="29"/>
      <c r="GE149" s="29"/>
      <c r="GF149" s="29"/>
      <c r="GG149" s="29"/>
      <c r="GH149" s="29"/>
    </row>
    <row r="150" spans="5:190" x14ac:dyDescent="0.2">
      <c r="F150" s="29"/>
      <c r="G150" s="29"/>
      <c r="H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39"/>
      <c r="AX150" s="29"/>
      <c r="AY150" s="29"/>
      <c r="AZ150" s="29"/>
      <c r="BA150" s="29"/>
      <c r="BB150" s="29"/>
      <c r="BC150" s="29"/>
      <c r="BD150" s="29"/>
      <c r="BE150" s="29"/>
      <c r="BF150" s="29"/>
      <c r="BG150" s="29"/>
      <c r="BH150" s="29"/>
      <c r="BI150" s="29"/>
      <c r="BJ150" s="29"/>
      <c r="BK150" s="29"/>
      <c r="BL150" s="29"/>
      <c r="BM150" s="29"/>
      <c r="BN150" s="29"/>
      <c r="BO150" s="29"/>
      <c r="BP150" s="29"/>
      <c r="BQ150" s="29"/>
      <c r="BR150" s="29"/>
      <c r="BS150" s="29"/>
      <c r="BT150" s="29"/>
      <c r="BU150" s="29"/>
      <c r="BV150" s="29"/>
      <c r="BW150" s="29"/>
      <c r="BX150" s="29"/>
      <c r="BY150" s="29"/>
      <c r="BZ150" s="29"/>
      <c r="CA150" s="29"/>
      <c r="CB150" s="29"/>
      <c r="CC150" s="29"/>
      <c r="CD150" s="29"/>
      <c r="CE150" s="29"/>
      <c r="CF150" s="29"/>
      <c r="CG150" s="29"/>
      <c r="CH150" s="29"/>
      <c r="CI150" s="29"/>
      <c r="CJ150" s="29"/>
      <c r="CK150" s="29"/>
      <c r="CL150" s="29"/>
      <c r="CM150" s="29"/>
      <c r="CN150" s="29"/>
      <c r="CO150" s="29"/>
      <c r="CP150" s="29"/>
      <c r="CQ150" s="29"/>
      <c r="CR150" s="29"/>
      <c r="CS150" s="29"/>
      <c r="CT150" s="29"/>
      <c r="CU150" s="29"/>
      <c r="CV150" s="29"/>
      <c r="CW150" s="29"/>
      <c r="CX150" s="29"/>
      <c r="CY150" s="29"/>
      <c r="CZ150" s="29"/>
      <c r="DA150" s="29"/>
      <c r="DB150" s="29"/>
      <c r="DC150" s="29"/>
      <c r="DD150" s="29"/>
      <c r="DE150" s="29"/>
      <c r="DF150" s="29"/>
      <c r="DG150" s="29"/>
      <c r="DH150" s="29"/>
      <c r="DI150" s="29"/>
      <c r="DJ150" s="29"/>
      <c r="DK150" s="29"/>
      <c r="DL150" s="29"/>
      <c r="DM150" s="29"/>
      <c r="DN150" s="29"/>
      <c r="DO150" s="29"/>
      <c r="DP150" s="29"/>
      <c r="DQ150" s="29"/>
      <c r="DR150" s="29"/>
      <c r="DS150" s="29"/>
      <c r="DT150" s="29"/>
      <c r="DU150" s="29"/>
      <c r="DV150" s="29"/>
      <c r="DW150" s="29"/>
      <c r="DX150" s="29"/>
      <c r="DY150" s="29"/>
      <c r="DZ150" s="29"/>
      <c r="EA150" s="29"/>
      <c r="EB150" s="29"/>
      <c r="EC150" s="29"/>
      <c r="ED150" s="29"/>
      <c r="EE150" s="29"/>
      <c r="EF150" s="29"/>
      <c r="EG150" s="29"/>
      <c r="EH150" s="29"/>
      <c r="EI150" s="29"/>
      <c r="EJ150" s="29"/>
      <c r="EK150" s="29"/>
      <c r="EL150" s="29"/>
      <c r="EM150" s="29"/>
      <c r="EN150" s="29"/>
      <c r="EO150" s="29"/>
      <c r="EP150" s="29"/>
      <c r="EQ150" s="29"/>
      <c r="ER150" s="29"/>
      <c r="ES150" s="29"/>
      <c r="ET150" s="29"/>
      <c r="EU150" s="29"/>
      <c r="EV150" s="29"/>
      <c r="EW150" s="29"/>
      <c r="EX150" s="29"/>
      <c r="EY150" s="29"/>
      <c r="EZ150" s="29"/>
      <c r="FA150" s="29"/>
      <c r="FB150" s="29"/>
      <c r="FC150" s="29"/>
      <c r="FD150" s="29"/>
      <c r="FE150" s="29"/>
      <c r="FF150" s="29"/>
      <c r="FG150" s="29"/>
      <c r="FH150" s="29"/>
      <c r="FI150" s="29"/>
      <c r="FJ150" s="29"/>
      <c r="FK150" s="29"/>
      <c r="FL150" s="29"/>
      <c r="FM150" s="29"/>
      <c r="FN150" s="29"/>
      <c r="FO150" s="29"/>
      <c r="FP150" s="29"/>
      <c r="FQ150" s="29"/>
      <c r="FR150" s="29"/>
      <c r="FS150" s="29"/>
      <c r="FT150" s="29"/>
      <c r="FU150" s="29"/>
      <c r="FV150" s="29"/>
      <c r="FW150" s="29"/>
      <c r="FX150" s="29"/>
      <c r="FY150" s="29"/>
      <c r="FZ150" s="29"/>
      <c r="GA150" s="29"/>
      <c r="GB150" s="29"/>
      <c r="GC150" s="29"/>
      <c r="GD150" s="29"/>
      <c r="GE150" s="29"/>
      <c r="GF150" s="29"/>
      <c r="GG150" s="29"/>
      <c r="GH150" s="29"/>
    </row>
    <row r="151" spans="5:190" x14ac:dyDescent="0.2">
      <c r="F151" s="29"/>
      <c r="G151" s="29"/>
      <c r="H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39"/>
      <c r="AX151" s="29"/>
      <c r="AY151" s="29"/>
      <c r="AZ151" s="29"/>
      <c r="BA151" s="29"/>
      <c r="BB151" s="29"/>
      <c r="BC151" s="29"/>
      <c r="BD151" s="29"/>
      <c r="BE151" s="29"/>
      <c r="BF151" s="29"/>
      <c r="BG151" s="29"/>
      <c r="BH151" s="29"/>
      <c r="BI151" s="29"/>
      <c r="BJ151" s="29"/>
      <c r="BK151" s="29"/>
      <c r="BL151" s="29"/>
      <c r="BM151" s="29"/>
      <c r="BN151" s="29"/>
      <c r="BO151" s="29"/>
      <c r="BP151" s="29"/>
      <c r="BQ151" s="29"/>
      <c r="BR151" s="29"/>
      <c r="BS151" s="29"/>
      <c r="BT151" s="29"/>
      <c r="BU151" s="29"/>
      <c r="BV151" s="29"/>
      <c r="BW151" s="29"/>
      <c r="BX151" s="29"/>
      <c r="BY151" s="29"/>
      <c r="BZ151" s="29"/>
      <c r="CA151" s="29"/>
      <c r="CB151" s="29"/>
      <c r="CC151" s="29"/>
      <c r="CD151" s="29"/>
      <c r="CE151" s="29"/>
      <c r="CF151" s="29"/>
      <c r="CG151" s="29"/>
      <c r="CH151" s="29"/>
      <c r="CI151" s="29"/>
      <c r="CJ151" s="29"/>
      <c r="CK151" s="29"/>
      <c r="CL151" s="29"/>
      <c r="CM151" s="29"/>
      <c r="CN151" s="29"/>
      <c r="CO151" s="29"/>
      <c r="CP151" s="29"/>
      <c r="CQ151" s="29"/>
      <c r="CR151" s="29"/>
      <c r="CS151" s="29"/>
      <c r="CT151" s="29"/>
      <c r="CU151" s="29"/>
      <c r="CV151" s="29"/>
      <c r="CW151" s="29"/>
      <c r="CX151" s="29"/>
      <c r="CY151" s="29"/>
      <c r="CZ151" s="29"/>
      <c r="DA151" s="29"/>
      <c r="DB151" s="29"/>
      <c r="DC151" s="29"/>
      <c r="DD151" s="29"/>
      <c r="DE151" s="29"/>
      <c r="DF151" s="29"/>
      <c r="DG151" s="29"/>
      <c r="DH151" s="29"/>
      <c r="DI151" s="29"/>
      <c r="DJ151" s="29"/>
      <c r="DK151" s="29"/>
      <c r="DL151" s="29"/>
      <c r="DM151" s="29"/>
      <c r="DN151" s="29"/>
      <c r="DO151" s="29"/>
      <c r="DP151" s="29"/>
      <c r="DQ151" s="29"/>
      <c r="DR151" s="29"/>
      <c r="DS151" s="29"/>
      <c r="DT151" s="29"/>
      <c r="DU151" s="29"/>
      <c r="DV151" s="29"/>
      <c r="DW151" s="29"/>
      <c r="DX151" s="29"/>
      <c r="DY151" s="29"/>
      <c r="DZ151" s="29"/>
      <c r="EA151" s="29"/>
      <c r="EB151" s="29"/>
      <c r="EC151" s="29"/>
      <c r="ED151" s="29"/>
      <c r="EE151" s="29"/>
      <c r="EF151" s="29"/>
      <c r="EG151" s="29"/>
      <c r="EH151" s="29"/>
      <c r="EI151" s="29"/>
      <c r="EJ151" s="29"/>
      <c r="EK151" s="29"/>
      <c r="EL151" s="29"/>
      <c r="EM151" s="29"/>
      <c r="EN151" s="29"/>
      <c r="EO151" s="29"/>
      <c r="EP151" s="29"/>
      <c r="EQ151" s="29"/>
      <c r="ER151" s="29"/>
      <c r="ES151" s="29"/>
      <c r="ET151" s="29"/>
      <c r="EU151" s="29"/>
      <c r="EV151" s="29"/>
      <c r="EW151" s="29"/>
      <c r="EX151" s="29"/>
      <c r="EY151" s="29"/>
      <c r="EZ151" s="29"/>
      <c r="FA151" s="29"/>
      <c r="FB151" s="29"/>
      <c r="FC151" s="29"/>
      <c r="FD151" s="29"/>
      <c r="FE151" s="29"/>
      <c r="FF151" s="29"/>
      <c r="FG151" s="29"/>
      <c r="FH151" s="29"/>
      <c r="FI151" s="29"/>
      <c r="FJ151" s="29"/>
      <c r="FK151" s="29"/>
      <c r="FL151" s="29"/>
      <c r="FM151" s="29"/>
      <c r="FN151" s="29"/>
      <c r="FO151" s="29"/>
      <c r="FP151" s="29"/>
      <c r="FQ151" s="29"/>
      <c r="FR151" s="29"/>
      <c r="FS151" s="29"/>
      <c r="FT151" s="29"/>
      <c r="FU151" s="29"/>
      <c r="FV151" s="29"/>
      <c r="FW151" s="29"/>
      <c r="FX151" s="29"/>
      <c r="FY151" s="29"/>
      <c r="FZ151" s="29"/>
      <c r="GA151" s="29"/>
      <c r="GB151" s="29"/>
      <c r="GC151" s="29"/>
      <c r="GD151" s="29"/>
      <c r="GE151" s="29"/>
      <c r="GF151" s="29"/>
      <c r="GG151" s="29"/>
      <c r="GH151" s="29"/>
    </row>
    <row r="153" spans="5:190" x14ac:dyDescent="0.2">
      <c r="E153" s="15" t="s">
        <v>385</v>
      </c>
      <c r="F153" s="29"/>
      <c r="G153" s="29"/>
      <c r="H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39"/>
      <c r="AX153" s="29"/>
      <c r="AY153" s="29"/>
      <c r="AZ153" s="29"/>
      <c r="BA153" s="29"/>
      <c r="BB153" s="29"/>
      <c r="BC153" s="29"/>
      <c r="BD153" s="29"/>
      <c r="BE153" s="29"/>
      <c r="BF153" s="29"/>
      <c r="BG153" s="29"/>
      <c r="BH153" s="29"/>
      <c r="BI153" s="29"/>
      <c r="BJ153" s="29"/>
      <c r="BK153" s="29"/>
      <c r="BL153" s="29"/>
      <c r="BM153" s="29"/>
      <c r="BN153" s="29"/>
      <c r="BO153" s="29"/>
      <c r="BP153" s="29"/>
      <c r="BQ153" s="29"/>
      <c r="BR153" s="29"/>
      <c r="BS153" s="29"/>
      <c r="BT153" s="29"/>
      <c r="BU153" s="29"/>
      <c r="BV153" s="29"/>
      <c r="BW153" s="29"/>
      <c r="BX153" s="29"/>
      <c r="BY153" s="29"/>
      <c r="BZ153" s="29"/>
      <c r="CA153" s="29"/>
      <c r="CB153" s="29"/>
      <c r="CC153" s="29"/>
      <c r="CD153" s="29"/>
      <c r="CE153" s="29"/>
      <c r="CF153" s="29"/>
      <c r="CG153" s="29"/>
      <c r="CH153" s="29"/>
      <c r="CI153" s="29"/>
      <c r="CJ153" s="29"/>
      <c r="CK153" s="29"/>
      <c r="CL153" s="29"/>
      <c r="CM153" s="29"/>
      <c r="CN153" s="29"/>
      <c r="CO153" s="29"/>
      <c r="CP153" s="29"/>
      <c r="CQ153" s="29"/>
      <c r="CR153" s="29"/>
      <c r="CS153" s="29"/>
      <c r="CT153" s="29"/>
      <c r="CU153" s="29"/>
      <c r="CV153" s="29"/>
      <c r="CW153" s="29"/>
      <c r="CX153" s="29"/>
      <c r="CY153" s="29"/>
      <c r="CZ153" s="29"/>
      <c r="DA153" s="29"/>
      <c r="DB153" s="29"/>
      <c r="DC153" s="29"/>
      <c r="DD153" s="29"/>
      <c r="DE153" s="29"/>
      <c r="DF153" s="29"/>
      <c r="DG153" s="29"/>
      <c r="DH153" s="29"/>
      <c r="DI153" s="29"/>
      <c r="DJ153" s="29"/>
      <c r="DK153" s="29"/>
      <c r="DL153" s="29"/>
      <c r="DM153" s="29"/>
      <c r="DN153" s="29"/>
      <c r="DO153" s="29"/>
      <c r="DP153" s="29"/>
      <c r="DQ153" s="29"/>
      <c r="DR153" s="29"/>
      <c r="DS153" s="29"/>
      <c r="DT153" s="29"/>
      <c r="DU153" s="29"/>
      <c r="DV153" s="29"/>
      <c r="DW153" s="29"/>
      <c r="DX153" s="29"/>
      <c r="DY153" s="29"/>
      <c r="DZ153" s="29"/>
      <c r="EA153" s="29"/>
      <c r="EB153" s="29"/>
      <c r="EC153" s="29"/>
      <c r="ED153" s="29"/>
      <c r="EE153" s="29"/>
      <c r="EF153" s="29"/>
      <c r="EG153" s="29"/>
      <c r="EH153" s="29"/>
      <c r="EI153" s="29"/>
      <c r="EJ153" s="29"/>
      <c r="EK153" s="29"/>
      <c r="EL153" s="29"/>
      <c r="EM153" s="29"/>
      <c r="EN153" s="29"/>
      <c r="EO153" s="29"/>
      <c r="EP153" s="29"/>
      <c r="EQ153" s="29"/>
      <c r="ER153" s="29"/>
      <c r="ES153" s="29"/>
      <c r="ET153" s="29"/>
      <c r="EU153" s="29"/>
      <c r="EV153" s="29"/>
      <c r="EW153" s="29"/>
      <c r="EX153" s="29"/>
      <c r="EY153" s="29"/>
      <c r="EZ153" s="29"/>
      <c r="FA153" s="29"/>
      <c r="FB153" s="29"/>
      <c r="FC153" s="29"/>
      <c r="FD153" s="29"/>
      <c r="FE153" s="29"/>
      <c r="FF153" s="29"/>
      <c r="FG153" s="29"/>
      <c r="FH153" s="29"/>
      <c r="FI153" s="29"/>
      <c r="FJ153" s="29"/>
      <c r="FK153" s="29"/>
      <c r="FL153" s="29"/>
      <c r="FM153" s="29"/>
      <c r="FN153" s="29"/>
      <c r="FO153" s="29"/>
      <c r="FP153" s="29"/>
      <c r="FQ153" s="29"/>
      <c r="FR153" s="29"/>
      <c r="FS153" s="29"/>
      <c r="FT153" s="29"/>
      <c r="FU153" s="29"/>
      <c r="FV153" s="29"/>
      <c r="FW153" s="29"/>
      <c r="FX153" s="29"/>
      <c r="FY153" s="29"/>
      <c r="FZ153" s="29"/>
      <c r="GA153" s="29"/>
      <c r="GB153" s="29"/>
      <c r="GC153" s="29"/>
      <c r="GD153" s="29"/>
      <c r="GE153" s="29"/>
      <c r="GF153" s="29"/>
      <c r="GG153" s="29"/>
      <c r="GH153" s="29"/>
    </row>
    <row r="154" spans="5:190" x14ac:dyDescent="0.2">
      <c r="E154" s="15" t="s">
        <v>100</v>
      </c>
      <c r="F154" s="29"/>
      <c r="G154" s="29"/>
      <c r="H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39"/>
      <c r="AX154" s="29"/>
      <c r="AY154" s="29"/>
      <c r="AZ154" s="29"/>
      <c r="BA154" s="29"/>
      <c r="BB154" s="29"/>
      <c r="BC154" s="29"/>
      <c r="BD154" s="29"/>
      <c r="BE154" s="29"/>
      <c r="BF154" s="29"/>
      <c r="BG154" s="29"/>
      <c r="BH154" s="29"/>
      <c r="BI154" s="29"/>
      <c r="BJ154" s="29"/>
      <c r="BK154" s="29"/>
      <c r="BL154" s="29"/>
      <c r="BM154" s="29"/>
      <c r="BN154" s="29"/>
      <c r="BO154" s="29"/>
      <c r="BP154" s="29"/>
      <c r="BQ154" s="29"/>
      <c r="BR154" s="29"/>
      <c r="BS154" s="29"/>
      <c r="BT154" s="29"/>
      <c r="BU154" s="29"/>
      <c r="BV154" s="29"/>
      <c r="BW154" s="29"/>
      <c r="BX154" s="29"/>
      <c r="BY154" s="29"/>
      <c r="BZ154" s="29"/>
      <c r="CA154" s="29"/>
      <c r="CB154" s="29"/>
      <c r="CC154" s="29"/>
      <c r="CD154" s="29"/>
      <c r="CE154" s="29"/>
      <c r="CF154" s="29"/>
      <c r="CG154" s="29"/>
      <c r="CH154" s="29"/>
      <c r="CI154" s="29"/>
      <c r="CJ154" s="29"/>
      <c r="CK154" s="29"/>
      <c r="CL154" s="29"/>
      <c r="CM154" s="29"/>
      <c r="CN154" s="29"/>
      <c r="CO154" s="29"/>
      <c r="CP154" s="29"/>
      <c r="CQ154" s="29"/>
      <c r="CR154" s="29"/>
      <c r="CS154" s="29"/>
      <c r="CT154" s="29"/>
      <c r="CU154" s="29"/>
      <c r="CV154" s="29"/>
      <c r="CW154" s="29"/>
      <c r="CX154" s="29"/>
      <c r="CY154" s="29"/>
      <c r="CZ154" s="29"/>
      <c r="DA154" s="29"/>
      <c r="DB154" s="29"/>
      <c r="DC154" s="29"/>
      <c r="DD154" s="29"/>
      <c r="DE154" s="29"/>
      <c r="DF154" s="29"/>
      <c r="DG154" s="29"/>
      <c r="DH154" s="29"/>
      <c r="DI154" s="29"/>
      <c r="DJ154" s="29"/>
      <c r="DK154" s="29"/>
      <c r="DL154" s="29"/>
      <c r="DM154" s="29"/>
      <c r="DN154" s="29"/>
      <c r="DO154" s="29"/>
      <c r="DP154" s="29"/>
      <c r="DQ154" s="29"/>
      <c r="DR154" s="29"/>
      <c r="DS154" s="29"/>
      <c r="DT154" s="29"/>
      <c r="DU154" s="29"/>
      <c r="DV154" s="29"/>
      <c r="DW154" s="29"/>
      <c r="DX154" s="29"/>
      <c r="DY154" s="29"/>
      <c r="DZ154" s="29"/>
      <c r="EA154" s="29"/>
      <c r="EB154" s="29"/>
      <c r="EC154" s="29"/>
      <c r="ED154" s="29"/>
      <c r="EE154" s="29"/>
      <c r="EF154" s="29"/>
      <c r="EG154" s="29"/>
      <c r="EH154" s="29"/>
      <c r="EI154" s="29"/>
      <c r="EJ154" s="29"/>
      <c r="EK154" s="29"/>
      <c r="EL154" s="29"/>
      <c r="EM154" s="29"/>
      <c r="EN154" s="29"/>
      <c r="EO154" s="29"/>
      <c r="EP154" s="29"/>
      <c r="EQ154" s="29"/>
      <c r="ER154" s="29"/>
      <c r="ES154" s="29"/>
      <c r="ET154" s="29"/>
      <c r="EU154" s="29"/>
      <c r="EV154" s="29"/>
      <c r="EW154" s="29"/>
      <c r="EX154" s="29"/>
      <c r="EY154" s="29"/>
      <c r="EZ154" s="29"/>
      <c r="FA154" s="29"/>
      <c r="FB154" s="29"/>
      <c r="FC154" s="29"/>
      <c r="FD154" s="29"/>
      <c r="FE154" s="29"/>
      <c r="FF154" s="29"/>
      <c r="FG154" s="29"/>
      <c r="FH154" s="29"/>
      <c r="FI154" s="29"/>
      <c r="FJ154" s="29"/>
      <c r="FK154" s="29"/>
      <c r="FL154" s="29"/>
      <c r="FM154" s="29"/>
      <c r="FN154" s="29"/>
      <c r="FO154" s="29"/>
      <c r="FP154" s="29"/>
      <c r="FQ154" s="29"/>
      <c r="FR154" s="29"/>
      <c r="FS154" s="29"/>
      <c r="FT154" s="29"/>
      <c r="FU154" s="29"/>
      <c r="FV154" s="29"/>
      <c r="FW154" s="29"/>
      <c r="FX154" s="29"/>
      <c r="FY154" s="29"/>
      <c r="FZ154" s="29"/>
      <c r="GA154" s="29"/>
      <c r="GB154" s="29"/>
      <c r="GC154" s="29"/>
      <c r="GD154" s="29"/>
      <c r="GE154" s="29"/>
      <c r="GF154" s="29"/>
      <c r="GG154" s="29"/>
      <c r="GH154" s="29"/>
    </row>
    <row r="155" spans="5:190" x14ac:dyDescent="0.2">
      <c r="E155" s="620" t="s">
        <v>613</v>
      </c>
      <c r="F155" s="29"/>
      <c r="G155" s="29"/>
      <c r="H155" s="29"/>
      <c r="I155" s="29"/>
      <c r="J155" s="29">
        <f t="shared" ref="J155:AC155" si="473">J55/J$82</f>
        <v>0.30240508814549877</v>
      </c>
      <c r="K155" s="29">
        <f t="shared" si="473"/>
        <v>0.30784172769021373</v>
      </c>
      <c r="L155" s="29">
        <f t="shared" si="473"/>
        <v>0.30472884356693514</v>
      </c>
      <c r="M155" s="29">
        <f t="shared" si="473"/>
        <v>0.29606841950092172</v>
      </c>
      <c r="N155" s="29">
        <f t="shared" si="473"/>
        <v>0.29373449570933452</v>
      </c>
      <c r="O155" s="29">
        <f t="shared" si="473"/>
        <v>0.29731790637889255</v>
      </c>
      <c r="P155" s="29">
        <f t="shared" si="473"/>
        <v>0.29287599375660212</v>
      </c>
      <c r="Q155" s="29">
        <f t="shared" si="473"/>
        <v>0.28847927865001194</v>
      </c>
      <c r="R155" s="29">
        <f t="shared" si="473"/>
        <v>0.27855604296857228</v>
      </c>
      <c r="S155" s="29">
        <f t="shared" si="473"/>
        <v>0.27906236498771242</v>
      </c>
      <c r="T155" s="29">
        <f t="shared" si="473"/>
        <v>0.29425370185827771</v>
      </c>
      <c r="U155" s="29">
        <f t="shared" si="473"/>
        <v>0.29862720180646807</v>
      </c>
      <c r="V155" s="29">
        <f t="shared" si="473"/>
        <v>0.2941712951254129</v>
      </c>
      <c r="W155" s="29">
        <f t="shared" si="473"/>
        <v>0.30284373546570947</v>
      </c>
      <c r="X155" s="29">
        <f t="shared" si="473"/>
        <v>0.31139483638487103</v>
      </c>
      <c r="Y155" s="29">
        <f t="shared" si="473"/>
        <v>0.29986516066551788</v>
      </c>
      <c r="Z155" s="29">
        <f t="shared" si="473"/>
        <v>0.25428680962379613</v>
      </c>
      <c r="AA155" s="29">
        <f t="shared" si="473"/>
        <v>0.21797897083257431</v>
      </c>
      <c r="AB155" s="29">
        <f t="shared" si="473"/>
        <v>0.20956052466078742</v>
      </c>
      <c r="AC155" s="29">
        <f t="shared" si="473"/>
        <v>0.20198535551897151</v>
      </c>
      <c r="AD155" s="29">
        <f t="shared" ref="AD155:AE155" si="474">AD55/AD$82</f>
        <v>0.19443513163898585</v>
      </c>
      <c r="AE155" s="29">
        <f t="shared" si="474"/>
        <v>0.19644756879254835</v>
      </c>
      <c r="AF155" s="29"/>
      <c r="AG155" s="29"/>
      <c r="AH155" s="29"/>
      <c r="AI155" s="29"/>
      <c r="AJ155" s="29"/>
      <c r="AK155" s="29"/>
      <c r="AL155" s="29">
        <f t="shared" ref="AL155:BF155" si="475">AL55/AL$82</f>
        <v>0.30297191012308777</v>
      </c>
      <c r="AM155" s="29">
        <f t="shared" si="475"/>
        <v>0.30191192596530869</v>
      </c>
      <c r="AN155" s="29">
        <f t="shared" si="475"/>
        <v>0.31309494211122108</v>
      </c>
      <c r="AO155" s="29">
        <f t="shared" si="475"/>
        <v>0.29853699462248146</v>
      </c>
      <c r="AP155" s="29">
        <f t="shared" si="475"/>
        <v>0.29391090907281769</v>
      </c>
      <c r="AQ155" s="29">
        <f t="shared" si="475"/>
        <v>0.293581446461813</v>
      </c>
      <c r="AR155" s="29">
        <f t="shared" si="475"/>
        <v>0.30056470659967077</v>
      </c>
      <c r="AS155" s="29">
        <f t="shared" si="475"/>
        <v>0.28615031738370161</v>
      </c>
      <c r="AT155" s="29">
        <f t="shared" si="475"/>
        <v>0.29038983784689631</v>
      </c>
      <c r="AU155" s="29">
        <f t="shared" si="475"/>
        <v>0.26825703448845739</v>
      </c>
      <c r="AV155" s="29">
        <f t="shared" si="475"/>
        <v>0.28789080683650714</v>
      </c>
      <c r="AW155" s="39">
        <f t="shared" si="475"/>
        <v>0.30237683034012808</v>
      </c>
      <c r="AX155" s="29">
        <f t="shared" si="475"/>
        <v>0.29907193932857135</v>
      </c>
      <c r="AY155" s="29">
        <f t="shared" si="475"/>
        <v>0.2935457697762664</v>
      </c>
      <c r="AZ155" s="29">
        <f t="shared" si="475"/>
        <v>0.3108292639841328</v>
      </c>
      <c r="BA155" s="29">
        <f t="shared" si="475"/>
        <v>0.31188453216260781</v>
      </c>
      <c r="BB155" s="29">
        <f t="shared" si="475"/>
        <v>0.28913018624291847</v>
      </c>
      <c r="BC155" s="29">
        <f t="shared" si="475"/>
        <v>0.22322613429111701</v>
      </c>
      <c r="BD155" s="29">
        <f t="shared" si="475"/>
        <v>0.21332573495880652</v>
      </c>
      <c r="BE155" s="29">
        <f t="shared" si="475"/>
        <v>0.20622051482029607</v>
      </c>
      <c r="BF155" s="29">
        <f t="shared" si="475"/>
        <v>0.19809904131742415</v>
      </c>
      <c r="BG155" s="29"/>
      <c r="BH155" s="29"/>
      <c r="BI155" s="29"/>
      <c r="BJ155" s="29"/>
      <c r="BK155" s="29"/>
      <c r="BL155" s="29"/>
      <c r="BM155" s="29"/>
      <c r="BN155" s="29"/>
      <c r="BO155" s="29"/>
      <c r="BP155" s="29"/>
      <c r="BQ155" s="29"/>
      <c r="BR155" s="29"/>
      <c r="BS155" s="29"/>
      <c r="BT155" s="29"/>
      <c r="BU155" s="29"/>
      <c r="BV155" s="29"/>
      <c r="BW155" s="29"/>
      <c r="BX155" s="29"/>
      <c r="BY155" s="29"/>
      <c r="BZ155" s="29"/>
      <c r="CA155" s="29"/>
      <c r="CB155" s="29"/>
      <c r="CC155" s="29"/>
      <c r="CD155" s="29"/>
      <c r="CE155" s="29"/>
      <c r="CF155" s="29"/>
      <c r="CG155" s="29"/>
      <c r="CH155" s="29"/>
      <c r="CI155" s="29"/>
      <c r="CJ155" s="29"/>
      <c r="CK155" s="29"/>
      <c r="CL155" s="29"/>
      <c r="CM155" s="29"/>
      <c r="CN155" s="29"/>
      <c r="CO155" s="29"/>
      <c r="CP155" s="29"/>
      <c r="CQ155" s="29"/>
      <c r="CR155" s="29"/>
      <c r="CS155" s="29"/>
      <c r="CT155" s="29"/>
      <c r="CU155" s="29"/>
      <c r="CV155" s="29"/>
      <c r="CW155" s="29"/>
      <c r="CX155" s="29"/>
      <c r="CY155" s="29"/>
      <c r="CZ155" s="29"/>
      <c r="DA155" s="29"/>
      <c r="DB155" s="29"/>
      <c r="DC155" s="29"/>
      <c r="DD155" s="29"/>
      <c r="DE155" s="29"/>
      <c r="DF155" s="29"/>
      <c r="DG155" s="29"/>
      <c r="DH155" s="29"/>
      <c r="DI155" s="29"/>
      <c r="DJ155" s="29"/>
      <c r="DK155" s="29"/>
      <c r="DL155" s="29"/>
      <c r="DM155" s="29"/>
      <c r="DN155" s="29"/>
      <c r="DO155" s="29"/>
      <c r="DP155" s="29"/>
      <c r="DQ155" s="29"/>
      <c r="DR155" s="29"/>
      <c r="DS155" s="29"/>
      <c r="DT155" s="29"/>
      <c r="DU155" s="29"/>
      <c r="DV155" s="29"/>
      <c r="DW155" s="29"/>
      <c r="DX155" s="29"/>
      <c r="DY155" s="29"/>
      <c r="DZ155" s="29"/>
      <c r="EA155" s="29"/>
      <c r="EB155" s="29"/>
      <c r="EC155" s="29"/>
      <c r="ED155" s="29"/>
      <c r="EE155" s="29"/>
      <c r="EF155" s="29"/>
      <c r="EG155" s="29"/>
      <c r="EH155" s="29"/>
      <c r="EI155" s="29"/>
      <c r="EJ155" s="29"/>
      <c r="EK155" s="29"/>
      <c r="EL155" s="29"/>
      <c r="EM155" s="29"/>
      <c r="EN155" s="29"/>
      <c r="EO155" s="29"/>
      <c r="EP155" s="29"/>
      <c r="EQ155" s="29"/>
      <c r="ER155" s="29"/>
      <c r="ES155" s="29"/>
      <c r="ET155" s="29"/>
      <c r="EU155" s="29"/>
      <c r="EV155" s="29"/>
      <c r="EW155" s="29"/>
      <c r="EX155" s="29"/>
      <c r="EY155" s="29"/>
      <c r="EZ155" s="29"/>
      <c r="FA155" s="29"/>
      <c r="FB155" s="29"/>
      <c r="FC155" s="29"/>
      <c r="FD155" s="29"/>
      <c r="FE155" s="29"/>
      <c r="FF155" s="29"/>
      <c r="FG155" s="29"/>
      <c r="FH155" s="29"/>
      <c r="FI155" s="29"/>
      <c r="FJ155" s="29"/>
      <c r="FK155" s="29"/>
      <c r="FL155" s="29"/>
      <c r="FM155" s="29"/>
      <c r="FN155" s="29"/>
      <c r="FO155" s="29"/>
      <c r="FP155" s="29"/>
      <c r="FQ155" s="29"/>
      <c r="FR155" s="29"/>
      <c r="FS155" s="29"/>
      <c r="FT155" s="29"/>
      <c r="FU155" s="29"/>
      <c r="FV155" s="29"/>
      <c r="FW155" s="29"/>
      <c r="FX155" s="29"/>
      <c r="FY155" s="29"/>
      <c r="FZ155" s="29"/>
      <c r="GA155" s="29"/>
      <c r="GB155" s="29"/>
      <c r="GC155" s="29"/>
      <c r="GD155" s="29"/>
      <c r="GE155" s="29"/>
      <c r="GF155" s="29"/>
      <c r="GG155" s="29"/>
      <c r="GH155" s="29"/>
    </row>
    <row r="156" spans="5:190" x14ac:dyDescent="0.2">
      <c r="E156" s="177" t="s">
        <v>131</v>
      </c>
      <c r="F156" s="29"/>
      <c r="G156" s="29"/>
      <c r="H156" s="29"/>
      <c r="J156" s="29">
        <f t="shared" ref="J156:AC156" si="476">J56/J$82</f>
        <v>0.22748829973526882</v>
      </c>
      <c r="K156" s="29">
        <f t="shared" si="476"/>
        <v>0.22145773731705212</v>
      </c>
      <c r="L156" s="29">
        <f t="shared" si="476"/>
        <v>0.18933227135920019</v>
      </c>
      <c r="M156" s="29">
        <f t="shared" si="476"/>
        <v>0.16890231581781884</v>
      </c>
      <c r="N156" s="29">
        <f t="shared" si="476"/>
        <v>0.1714950157241335</v>
      </c>
      <c r="O156" s="29">
        <f t="shared" si="476"/>
        <v>0.17597875770171936</v>
      </c>
      <c r="P156" s="29">
        <f t="shared" si="476"/>
        <v>0.17024751114416964</v>
      </c>
      <c r="Q156" s="29">
        <f t="shared" si="476"/>
        <v>0.16552909741249544</v>
      </c>
      <c r="R156" s="29">
        <f t="shared" si="476"/>
        <v>0.14984409326570891</v>
      </c>
      <c r="S156" s="29">
        <f t="shared" si="476"/>
        <v>0.14473917297250882</v>
      </c>
      <c r="T156" s="29">
        <f t="shared" si="476"/>
        <v>0.15601351846885883</v>
      </c>
      <c r="U156" s="29">
        <f t="shared" si="476"/>
        <v>0.16225067068110607</v>
      </c>
      <c r="V156" s="29">
        <f t="shared" si="476"/>
        <v>0.16428955170234524</v>
      </c>
      <c r="W156" s="29">
        <f t="shared" si="476"/>
        <v>0.17269930088960811</v>
      </c>
      <c r="X156" s="29">
        <f t="shared" si="476"/>
        <v>0.17712424700995588</v>
      </c>
      <c r="Y156" s="29">
        <f t="shared" si="476"/>
        <v>0.16799444146038858</v>
      </c>
      <c r="Z156" s="29">
        <f t="shared" si="476"/>
        <v>0.13827732697946635</v>
      </c>
      <c r="AA156" s="29">
        <f t="shared" si="476"/>
        <v>0.11456325222166594</v>
      </c>
      <c r="AB156" s="29">
        <f t="shared" si="476"/>
        <v>0.10996012517707156</v>
      </c>
      <c r="AC156" s="29">
        <f t="shared" si="476"/>
        <v>0.10568748054568995</v>
      </c>
      <c r="AD156" s="29">
        <f t="shared" ref="AD156:AE156" si="477">AD56/AD$82</f>
        <v>0.10151262787652066</v>
      </c>
      <c r="AE156" s="29">
        <f t="shared" si="477"/>
        <v>0.10246029408026543</v>
      </c>
      <c r="AF156" s="29"/>
      <c r="AG156" s="29"/>
      <c r="AH156" s="29"/>
      <c r="AI156" s="29"/>
      <c r="AJ156" s="29"/>
      <c r="AK156" s="29"/>
      <c r="AL156" s="29">
        <f t="shared" ref="AL156:BF156" si="478">AL56/AL$82</f>
        <v>0.22924020030643039</v>
      </c>
      <c r="AM156" s="29">
        <f t="shared" si="478"/>
        <v>0.2259640626038413</v>
      </c>
      <c r="AN156" s="29">
        <f t="shared" si="478"/>
        <v>0.21746558141023889</v>
      </c>
      <c r="AO156" s="29">
        <f t="shared" si="478"/>
        <v>0.16851047429078211</v>
      </c>
      <c r="AP156" s="29">
        <f t="shared" si="478"/>
        <v>0.1692447814666713</v>
      </c>
      <c r="AQ156" s="29">
        <f t="shared" si="478"/>
        <v>0.17344722984812033</v>
      </c>
      <c r="AR156" s="29">
        <f t="shared" si="478"/>
        <v>0.17817853111729925</v>
      </c>
      <c r="AS156" s="29">
        <f t="shared" si="478"/>
        <v>0.16330987740299441</v>
      </c>
      <c r="AT156" s="29">
        <f t="shared" si="478"/>
        <v>0.16734963056622162</v>
      </c>
      <c r="AU156" s="29">
        <f t="shared" si="478"/>
        <v>0.13460894013345498</v>
      </c>
      <c r="AV156" s="29">
        <f t="shared" si="478"/>
        <v>0.15301602961659794</v>
      </c>
      <c r="AW156" s="39">
        <f t="shared" si="478"/>
        <v>0.15999375248960193</v>
      </c>
      <c r="AX156" s="29">
        <f t="shared" si="478"/>
        <v>0.16618802317294742</v>
      </c>
      <c r="AY156" s="29">
        <f t="shared" si="478"/>
        <v>0.16463680725089697</v>
      </c>
      <c r="AZ156" s="29">
        <f t="shared" si="478"/>
        <v>0.17962374813236728</v>
      </c>
      <c r="BA156" s="29">
        <f t="shared" si="478"/>
        <v>0.17496007643781436</v>
      </c>
      <c r="BB156" s="29">
        <f t="shared" si="478"/>
        <v>0.16177315831443259</v>
      </c>
      <c r="BC156" s="29">
        <f t="shared" si="478"/>
        <v>0.11733227344047445</v>
      </c>
      <c r="BD156" s="29">
        <f t="shared" si="478"/>
        <v>0.11210765712302151</v>
      </c>
      <c r="BE156" s="29">
        <f t="shared" si="478"/>
        <v>0.1080551113094488</v>
      </c>
      <c r="BF156" s="29">
        <f t="shared" si="478"/>
        <v>0.1035148687484575</v>
      </c>
      <c r="BG156" s="29"/>
      <c r="BH156" s="29"/>
      <c r="BI156" s="29"/>
      <c r="BJ156" s="29"/>
      <c r="BK156" s="29"/>
      <c r="BL156" s="29"/>
      <c r="BM156" s="29"/>
      <c r="BN156" s="29"/>
      <c r="BO156" s="29"/>
      <c r="BP156" s="29"/>
      <c r="BQ156" s="29"/>
      <c r="BR156" s="29"/>
      <c r="BS156" s="29"/>
      <c r="BT156" s="29"/>
      <c r="BU156" s="29"/>
      <c r="BV156" s="29"/>
      <c r="BW156" s="29"/>
      <c r="BX156" s="29"/>
      <c r="BY156" s="29"/>
      <c r="BZ156" s="29"/>
      <c r="CA156" s="29"/>
      <c r="CB156" s="29"/>
      <c r="CC156" s="29"/>
      <c r="CD156" s="29"/>
      <c r="CE156" s="29"/>
      <c r="CF156" s="29"/>
      <c r="CG156" s="29"/>
      <c r="CH156" s="29"/>
      <c r="CI156" s="29"/>
      <c r="CJ156" s="29"/>
      <c r="CK156" s="29"/>
      <c r="CL156" s="29"/>
      <c r="CM156" s="29"/>
      <c r="CN156" s="29"/>
      <c r="CO156" s="29"/>
      <c r="CP156" s="29"/>
      <c r="CQ156" s="29"/>
      <c r="CR156" s="29"/>
      <c r="CS156" s="29"/>
      <c r="CT156" s="29"/>
      <c r="CU156" s="29"/>
      <c r="CV156" s="29"/>
      <c r="CW156" s="29"/>
      <c r="CX156" s="29"/>
      <c r="CY156" s="29"/>
      <c r="CZ156" s="29"/>
      <c r="DA156" s="29"/>
      <c r="DB156" s="29"/>
      <c r="DC156" s="29"/>
      <c r="DD156" s="29"/>
      <c r="DE156" s="29"/>
      <c r="DF156" s="29"/>
      <c r="DG156" s="29"/>
      <c r="DH156" s="29"/>
      <c r="DI156" s="29"/>
      <c r="DJ156" s="29"/>
      <c r="DK156" s="29"/>
      <c r="DL156" s="29"/>
      <c r="DM156" s="29"/>
      <c r="DN156" s="29"/>
      <c r="DO156" s="29"/>
      <c r="DP156" s="29"/>
      <c r="DQ156" s="29"/>
      <c r="DR156" s="29"/>
      <c r="DS156" s="29"/>
      <c r="DT156" s="29"/>
      <c r="DU156" s="29"/>
      <c r="DV156" s="29"/>
      <c r="DW156" s="29"/>
      <c r="DX156" s="29"/>
      <c r="DY156" s="29"/>
      <c r="DZ156" s="29"/>
      <c r="EA156" s="29"/>
      <c r="EB156" s="29"/>
      <c r="EC156" s="29"/>
      <c r="ED156" s="29"/>
      <c r="EE156" s="29"/>
      <c r="EF156" s="29"/>
      <c r="EG156" s="29"/>
      <c r="EH156" s="29"/>
      <c r="EI156" s="29"/>
      <c r="EJ156" s="29"/>
      <c r="EK156" s="29"/>
      <c r="EL156" s="29"/>
      <c r="EM156" s="29"/>
      <c r="EN156" s="29"/>
      <c r="EO156" s="29"/>
      <c r="EP156" s="29"/>
      <c r="EQ156" s="29"/>
      <c r="ER156" s="29"/>
      <c r="ES156" s="29"/>
      <c r="ET156" s="29"/>
      <c r="EU156" s="29"/>
      <c r="EV156" s="29"/>
      <c r="EW156" s="29"/>
      <c r="EX156" s="29"/>
      <c r="EY156" s="29"/>
      <c r="EZ156" s="29"/>
      <c r="FA156" s="29"/>
      <c r="FB156" s="29"/>
      <c r="FC156" s="29"/>
      <c r="FD156" s="29"/>
      <c r="FE156" s="29"/>
      <c r="FF156" s="29"/>
      <c r="FG156" s="29"/>
      <c r="FH156" s="29"/>
      <c r="FI156" s="29"/>
      <c r="FJ156" s="29"/>
      <c r="FK156" s="29"/>
      <c r="FL156" s="29"/>
      <c r="FM156" s="29"/>
      <c r="FN156" s="29"/>
      <c r="FO156" s="29"/>
      <c r="FP156" s="29"/>
      <c r="FQ156" s="29"/>
      <c r="FR156" s="29"/>
      <c r="FS156" s="29"/>
      <c r="FT156" s="29"/>
      <c r="FU156" s="29"/>
      <c r="FV156" s="29"/>
      <c r="FW156" s="29"/>
      <c r="FX156" s="29"/>
      <c r="FY156" s="29"/>
      <c r="FZ156" s="29"/>
      <c r="GA156" s="29"/>
      <c r="GB156" s="29"/>
      <c r="GC156" s="29"/>
      <c r="GD156" s="29"/>
      <c r="GE156" s="29"/>
      <c r="GF156" s="29"/>
      <c r="GG156" s="29"/>
      <c r="GH156" s="29"/>
    </row>
    <row r="157" spans="5:190" x14ac:dyDescent="0.2">
      <c r="E157" s="177" t="s">
        <v>132</v>
      </c>
      <c r="F157" s="29"/>
      <c r="G157" s="29"/>
      <c r="H157" s="29"/>
      <c r="J157" s="29">
        <f t="shared" ref="J157:AC157" si="479">J57/J$82</f>
        <v>4.6131012757382871E-2</v>
      </c>
      <c r="K157" s="29">
        <f t="shared" si="479"/>
        <v>4.9422422866628915E-2</v>
      </c>
      <c r="L157" s="29">
        <f t="shared" si="479"/>
        <v>6.9888736482174668E-2</v>
      </c>
      <c r="M157" s="29">
        <f t="shared" si="479"/>
        <v>8.1959095673944674E-2</v>
      </c>
      <c r="N157" s="29">
        <f t="shared" si="479"/>
        <v>7.90375820136347E-2</v>
      </c>
      <c r="O157" s="29">
        <f t="shared" si="479"/>
        <v>7.9330568421781877E-2</v>
      </c>
      <c r="P157" s="29">
        <f t="shared" si="479"/>
        <v>8.2019283824968772E-2</v>
      </c>
      <c r="Q157" s="29">
        <f t="shared" si="479"/>
        <v>8.4258036158753852E-2</v>
      </c>
      <c r="R157" s="29">
        <f t="shared" si="479"/>
        <v>8.9752439188399202E-2</v>
      </c>
      <c r="S157" s="29">
        <f t="shared" si="479"/>
        <v>9.3659483263045545E-2</v>
      </c>
      <c r="T157" s="29">
        <f t="shared" si="479"/>
        <v>9.4691298334186047E-2</v>
      </c>
      <c r="U157" s="29">
        <f t="shared" si="479"/>
        <v>9.2721956798107727E-2</v>
      </c>
      <c r="V157" s="29">
        <f t="shared" si="479"/>
        <v>8.7864281513145792E-2</v>
      </c>
      <c r="W157" s="29">
        <f t="shared" si="479"/>
        <v>8.552767560079276E-2</v>
      </c>
      <c r="X157" s="29">
        <f t="shared" si="479"/>
        <v>8.3340815399609344E-2</v>
      </c>
      <c r="Y157" s="29">
        <f t="shared" si="479"/>
        <v>7.7681429226188564E-2</v>
      </c>
      <c r="Z157" s="29">
        <f t="shared" si="479"/>
        <v>7.3451225609512921E-2</v>
      </c>
      <c r="AA157" s="29">
        <f t="shared" si="479"/>
        <v>7.1391494964877053E-2</v>
      </c>
      <c r="AB157" s="29">
        <f t="shared" si="479"/>
        <v>6.8467892975212871E-2</v>
      </c>
      <c r="AC157" s="29">
        <f t="shared" si="479"/>
        <v>6.6076246493188551E-2</v>
      </c>
      <c r="AD157" s="29">
        <f t="shared" ref="AD157:AE157" si="480">AD57/AD$82</f>
        <v>6.3726055966658604E-2</v>
      </c>
      <c r="AE157" s="29">
        <f t="shared" si="480"/>
        <v>6.4530350845559303E-2</v>
      </c>
      <c r="AF157" s="29"/>
      <c r="AG157" s="29"/>
      <c r="AH157" s="29"/>
      <c r="AI157" s="29"/>
      <c r="AJ157" s="29"/>
      <c r="AK157" s="29"/>
      <c r="AL157" s="29">
        <f t="shared" ref="AL157:BF157" si="481">AL57/AL$82</f>
        <v>4.4324194951855293E-2</v>
      </c>
      <c r="AM157" s="29">
        <f t="shared" si="481"/>
        <v>4.7703030504419486E-2</v>
      </c>
      <c r="AN157" s="29">
        <f t="shared" si="481"/>
        <v>5.0945633451325675E-2</v>
      </c>
      <c r="AO157" s="29">
        <f t="shared" si="481"/>
        <v>8.3908752130490094E-2</v>
      </c>
      <c r="AP157" s="29">
        <f t="shared" si="481"/>
        <v>8.0255115066071026E-2</v>
      </c>
      <c r="AQ157" s="29">
        <f t="shared" si="481"/>
        <v>7.7981298556254769E-2</v>
      </c>
      <c r="AR157" s="29">
        <f t="shared" si="481"/>
        <v>8.0503017690475479E-2</v>
      </c>
      <c r="AS157" s="29">
        <f t="shared" si="481"/>
        <v>8.3345632659154179E-2</v>
      </c>
      <c r="AT157" s="29">
        <f t="shared" si="481"/>
        <v>8.5006524732886016E-2</v>
      </c>
      <c r="AU157" s="29">
        <f t="shared" si="481"/>
        <v>9.3882831317534429E-2</v>
      </c>
      <c r="AV157" s="29">
        <f t="shared" si="481"/>
        <v>9.3476997839648954E-2</v>
      </c>
      <c r="AW157" s="39">
        <f t="shared" si="481"/>
        <v>9.6581640015097114E-2</v>
      </c>
      <c r="AX157" s="29">
        <f t="shared" si="481"/>
        <v>9.0540249191989802E-2</v>
      </c>
      <c r="AY157" s="29">
        <f t="shared" si="481"/>
        <v>8.6670312048623729E-2</v>
      </c>
      <c r="AZ157" s="29">
        <f t="shared" si="481"/>
        <v>8.4546325889994806E-2</v>
      </c>
      <c r="BA157" s="29">
        <f t="shared" si="481"/>
        <v>8.2297034981066025E-2</v>
      </c>
      <c r="BB157" s="29">
        <f t="shared" si="481"/>
        <v>7.3559049804318807E-2</v>
      </c>
      <c r="BC157" s="29">
        <f t="shared" si="481"/>
        <v>7.3355107132119554E-2</v>
      </c>
      <c r="BD157" s="29">
        <f t="shared" si="481"/>
        <v>6.9650144490288016E-2</v>
      </c>
      <c r="BE157" s="29">
        <f t="shared" si="481"/>
        <v>6.7419151634957805E-2</v>
      </c>
      <c r="BF157" s="29">
        <f t="shared" si="481"/>
        <v>6.4843954871440901E-2</v>
      </c>
      <c r="BG157" s="29"/>
      <c r="BH157" s="29"/>
      <c r="BI157" s="29"/>
      <c r="BJ157" s="29"/>
      <c r="BK157" s="29"/>
      <c r="BL157" s="29"/>
      <c r="BM157" s="29"/>
      <c r="BN157" s="29"/>
      <c r="BO157" s="29"/>
      <c r="BP157" s="29"/>
      <c r="BQ157" s="29"/>
      <c r="BR157" s="29"/>
      <c r="BS157" s="29"/>
      <c r="BT157" s="29"/>
      <c r="BU157" s="29"/>
      <c r="BV157" s="29"/>
      <c r="BW157" s="29"/>
      <c r="BX157" s="29"/>
      <c r="BY157" s="29"/>
      <c r="BZ157" s="29"/>
      <c r="CA157" s="29"/>
      <c r="CB157" s="29"/>
      <c r="CC157" s="29"/>
      <c r="CD157" s="29"/>
      <c r="CE157" s="29"/>
      <c r="CF157" s="29"/>
      <c r="CG157" s="29"/>
      <c r="CH157" s="29"/>
      <c r="CI157" s="29"/>
      <c r="CJ157" s="29"/>
      <c r="CK157" s="29"/>
      <c r="CL157" s="29"/>
      <c r="CM157" s="29"/>
      <c r="CN157" s="29"/>
      <c r="CO157" s="29"/>
      <c r="CP157" s="29"/>
      <c r="CQ157" s="29"/>
      <c r="CR157" s="29"/>
      <c r="CS157" s="29"/>
      <c r="CT157" s="29"/>
      <c r="CU157" s="29"/>
      <c r="CV157" s="29"/>
      <c r="CW157" s="29"/>
      <c r="CX157" s="29"/>
      <c r="CY157" s="29"/>
      <c r="CZ157" s="29"/>
      <c r="DA157" s="29"/>
      <c r="DB157" s="29"/>
      <c r="DC157" s="29"/>
      <c r="DD157" s="29"/>
      <c r="DE157" s="29"/>
      <c r="DF157" s="29"/>
      <c r="DG157" s="29"/>
      <c r="DH157" s="29"/>
      <c r="DI157" s="29"/>
      <c r="DJ157" s="29"/>
      <c r="DK157" s="29"/>
      <c r="DL157" s="29"/>
      <c r="DM157" s="29"/>
      <c r="DN157" s="29"/>
      <c r="DO157" s="29"/>
      <c r="DP157" s="29"/>
      <c r="DQ157" s="29"/>
      <c r="DR157" s="29"/>
      <c r="DS157" s="29"/>
      <c r="DT157" s="29"/>
      <c r="DU157" s="29"/>
      <c r="DV157" s="29"/>
      <c r="DW157" s="29"/>
      <c r="DX157" s="29"/>
      <c r="DY157" s="29"/>
      <c r="DZ157" s="29"/>
      <c r="EA157" s="29"/>
      <c r="EB157" s="29"/>
      <c r="EC157" s="29"/>
      <c r="ED157" s="29"/>
      <c r="EE157" s="29"/>
      <c r="EF157" s="29"/>
      <c r="EG157" s="29"/>
      <c r="EH157" s="29"/>
      <c r="EI157" s="29"/>
      <c r="EJ157" s="29"/>
      <c r="EK157" s="29"/>
      <c r="EL157" s="29"/>
      <c r="EM157" s="29"/>
      <c r="EN157" s="29"/>
      <c r="EO157" s="29"/>
      <c r="EP157" s="29"/>
      <c r="EQ157" s="29"/>
      <c r="ER157" s="29"/>
      <c r="ES157" s="29"/>
      <c r="ET157" s="29"/>
      <c r="EU157" s="29"/>
      <c r="EV157" s="29"/>
      <c r="EW157" s="29"/>
      <c r="EX157" s="29"/>
      <c r="EY157" s="29"/>
      <c r="EZ157" s="29"/>
      <c r="FA157" s="29"/>
      <c r="FB157" s="29"/>
      <c r="FC157" s="29"/>
      <c r="FD157" s="29"/>
      <c r="FE157" s="29"/>
      <c r="FF157" s="29"/>
      <c r="FG157" s="29"/>
      <c r="FH157" s="29"/>
      <c r="FI157" s="29"/>
      <c r="FJ157" s="29"/>
      <c r="FK157" s="29"/>
      <c r="FL157" s="29"/>
      <c r="FM157" s="29"/>
      <c r="FN157" s="29"/>
      <c r="FO157" s="29"/>
      <c r="FP157" s="29"/>
      <c r="FQ157" s="29"/>
      <c r="FR157" s="29"/>
      <c r="FS157" s="29"/>
      <c r="FT157" s="29"/>
      <c r="FU157" s="29"/>
      <c r="FV157" s="29"/>
      <c r="FW157" s="29"/>
      <c r="FX157" s="29"/>
      <c r="FY157" s="29"/>
      <c r="FZ157" s="29"/>
      <c r="GA157" s="29"/>
      <c r="GB157" s="29"/>
      <c r="GC157" s="29"/>
      <c r="GD157" s="29"/>
      <c r="GE157" s="29"/>
      <c r="GF157" s="29"/>
      <c r="GG157" s="29"/>
      <c r="GH157" s="29"/>
    </row>
    <row r="158" spans="5:190" x14ac:dyDescent="0.2">
      <c r="E158" s="177" t="s">
        <v>133</v>
      </c>
      <c r="F158" s="29"/>
      <c r="G158" s="29"/>
      <c r="H158" s="29"/>
      <c r="J158" s="29">
        <f t="shared" ref="J158:AC158" si="482">J58/J$82</f>
        <v>2.8785775652847082E-2</v>
      </c>
      <c r="K158" s="29">
        <f t="shared" si="482"/>
        <v>2.7511570631665011E-2</v>
      </c>
      <c r="L158" s="29">
        <f t="shared" si="482"/>
        <v>2.5437049983965607E-2</v>
      </c>
      <c r="M158" s="29">
        <f t="shared" si="482"/>
        <v>2.3658073394902168E-2</v>
      </c>
      <c r="N158" s="29">
        <f t="shared" si="482"/>
        <v>2.2488024722597977E-2</v>
      </c>
      <c r="O158" s="29">
        <f t="shared" si="482"/>
        <v>2.2325376927051426E-2</v>
      </c>
      <c r="P158" s="29">
        <f t="shared" si="482"/>
        <v>2.1793675830830736E-2</v>
      </c>
      <c r="Q158" s="29">
        <f t="shared" si="482"/>
        <v>2.1282958980198274E-2</v>
      </c>
      <c r="R158" s="29">
        <f t="shared" si="482"/>
        <v>2.2751748160355734E-2</v>
      </c>
      <c r="S158" s="29">
        <f t="shared" si="482"/>
        <v>2.338172283082509E-2</v>
      </c>
      <c r="T158" s="29">
        <f t="shared" si="482"/>
        <v>2.3063898457099649E-2</v>
      </c>
      <c r="U158" s="29">
        <f t="shared" si="482"/>
        <v>2.2378561439782285E-2</v>
      </c>
      <c r="V158" s="29">
        <f t="shared" si="482"/>
        <v>2.1631219025316478E-2</v>
      </c>
      <c r="W158" s="29">
        <f t="shared" si="482"/>
        <v>2.3245871293845487E-2</v>
      </c>
      <c r="X158" s="29">
        <f t="shared" si="482"/>
        <v>2.7765273149450521E-2</v>
      </c>
      <c r="Y158" s="29">
        <f t="shared" si="482"/>
        <v>3.0985080818313589E-2</v>
      </c>
      <c r="Z158" s="29">
        <f t="shared" si="482"/>
        <v>2.5515496766143016E-2</v>
      </c>
      <c r="AA158" s="29">
        <f t="shared" si="482"/>
        <v>2.0033918776028118E-2</v>
      </c>
      <c r="AB158" s="29">
        <f t="shared" si="482"/>
        <v>1.9565856059991543E-2</v>
      </c>
      <c r="AC158" s="29">
        <f t="shared" si="482"/>
        <v>1.9049492176654456E-2</v>
      </c>
      <c r="AD158" s="29">
        <f t="shared" ref="AD158:AE158" si="483">AD58/AD$82</f>
        <v>1.8464203040967023E-2</v>
      </c>
      <c r="AE158" s="29">
        <f t="shared" si="483"/>
        <v>1.870087833481885E-2</v>
      </c>
      <c r="AF158" s="29"/>
      <c r="AG158" s="29"/>
      <c r="AH158" s="29"/>
      <c r="AI158" s="29"/>
      <c r="AJ158" s="29"/>
      <c r="AK158" s="29"/>
      <c r="AL158" s="29">
        <f t="shared" ref="AL158:BF158" si="484">AL58/AL$82</f>
        <v>2.9407514864802069E-2</v>
      </c>
      <c r="AM158" s="29">
        <f t="shared" si="484"/>
        <v>2.8244832857047916E-2</v>
      </c>
      <c r="AN158" s="29">
        <f t="shared" si="484"/>
        <v>2.6861973246210591E-2</v>
      </c>
      <c r="AO158" s="29">
        <f t="shared" si="484"/>
        <v>2.4382447345644414E-2</v>
      </c>
      <c r="AP158" s="29">
        <f t="shared" si="484"/>
        <v>2.302497767141215E-2</v>
      </c>
      <c r="AQ158" s="29">
        <f t="shared" si="484"/>
        <v>2.2022185609574425E-2</v>
      </c>
      <c r="AR158" s="29">
        <f t="shared" si="484"/>
        <v>2.2588835296301586E-2</v>
      </c>
      <c r="AS158" s="29">
        <f t="shared" si="484"/>
        <v>2.1098112693181924E-2</v>
      </c>
      <c r="AT158" s="29">
        <f t="shared" si="484"/>
        <v>2.1434597300155615E-2</v>
      </c>
      <c r="AU158" s="29">
        <f t="shared" si="484"/>
        <v>2.3898070875788244E-2</v>
      </c>
      <c r="AV158" s="29">
        <f t="shared" si="484"/>
        <v>2.295984321418492E-2</v>
      </c>
      <c r="AW158" s="39">
        <f t="shared" si="484"/>
        <v>2.3357830731144055E-2</v>
      </c>
      <c r="AX158" s="29">
        <f t="shared" si="484"/>
        <v>2.1810925542423323E-2</v>
      </c>
      <c r="AY158" s="29">
        <f t="shared" si="484"/>
        <v>2.1735310452044285E-2</v>
      </c>
      <c r="AZ158" s="29">
        <f t="shared" si="484"/>
        <v>2.454321171043929E-2</v>
      </c>
      <c r="BA158" s="29">
        <f t="shared" si="484"/>
        <v>3.0555066074693469E-2</v>
      </c>
      <c r="BB158" s="29">
        <f t="shared" si="484"/>
        <v>3.1369143934693679E-2</v>
      </c>
      <c r="BC158" s="29">
        <f t="shared" si="484"/>
        <v>2.0297339059962921E-2</v>
      </c>
      <c r="BD158" s="29">
        <f t="shared" si="484"/>
        <v>1.9800315091910391E-2</v>
      </c>
      <c r="BE158" s="29">
        <f t="shared" si="484"/>
        <v>1.9357874191299373E-2</v>
      </c>
      <c r="BF158" s="29">
        <f t="shared" si="484"/>
        <v>1.8766511226530214E-2</v>
      </c>
      <c r="BG158" s="29"/>
      <c r="BH158" s="29"/>
      <c r="BI158" s="29"/>
      <c r="BJ158" s="29"/>
      <c r="BK158" s="29"/>
      <c r="BL158" s="29"/>
      <c r="BM158" s="29"/>
      <c r="BN158" s="29"/>
      <c r="BO158" s="29"/>
      <c r="BP158" s="29"/>
      <c r="BQ158" s="29"/>
      <c r="BR158" s="29"/>
      <c r="BS158" s="29"/>
      <c r="BT158" s="29"/>
      <c r="BU158" s="29"/>
      <c r="BV158" s="29"/>
      <c r="BW158" s="29"/>
      <c r="BX158" s="29"/>
      <c r="BY158" s="29"/>
      <c r="BZ158" s="29"/>
      <c r="CA158" s="29"/>
      <c r="CB158" s="29"/>
      <c r="CC158" s="29"/>
      <c r="CD158" s="29"/>
      <c r="CE158" s="29"/>
      <c r="CF158" s="29"/>
      <c r="CG158" s="29"/>
      <c r="CH158" s="29"/>
      <c r="CI158" s="29"/>
      <c r="CJ158" s="29"/>
      <c r="CK158" s="29"/>
      <c r="CL158" s="29"/>
      <c r="CM158" s="29"/>
      <c r="CN158" s="29"/>
      <c r="CO158" s="29"/>
      <c r="CP158" s="29"/>
      <c r="CQ158" s="29"/>
      <c r="CR158" s="29"/>
      <c r="CS158" s="29"/>
      <c r="CT158" s="29"/>
      <c r="CU158" s="29"/>
      <c r="CV158" s="29"/>
      <c r="CW158" s="29"/>
      <c r="CX158" s="29"/>
      <c r="CY158" s="29"/>
      <c r="CZ158" s="29"/>
      <c r="DA158" s="29"/>
      <c r="DB158" s="29"/>
      <c r="DC158" s="29"/>
      <c r="DD158" s="29"/>
      <c r="DE158" s="29"/>
      <c r="DF158" s="29"/>
      <c r="DG158" s="29"/>
      <c r="DH158" s="29"/>
      <c r="DI158" s="29"/>
      <c r="DJ158" s="29"/>
      <c r="DK158" s="29"/>
      <c r="DL158" s="29"/>
      <c r="DM158" s="29"/>
      <c r="DN158" s="29"/>
      <c r="DO158" s="29"/>
      <c r="DP158" s="29"/>
      <c r="DQ158" s="29"/>
      <c r="DR158" s="29"/>
      <c r="DS158" s="29"/>
      <c r="DT158" s="29"/>
      <c r="DU158" s="29"/>
      <c r="DV158" s="29"/>
      <c r="DW158" s="29"/>
      <c r="DX158" s="29"/>
      <c r="DY158" s="29"/>
      <c r="DZ158" s="29"/>
      <c r="EA158" s="29"/>
      <c r="EB158" s="29"/>
      <c r="EC158" s="29"/>
      <c r="ED158" s="29"/>
      <c r="EE158" s="29"/>
      <c r="EF158" s="29"/>
      <c r="EG158" s="29"/>
      <c r="EH158" s="29"/>
      <c r="EI158" s="29"/>
      <c r="EJ158" s="29"/>
      <c r="EK158" s="29"/>
      <c r="EL158" s="29"/>
      <c r="EM158" s="29"/>
      <c r="EN158" s="29"/>
      <c r="EO158" s="29"/>
      <c r="EP158" s="29"/>
      <c r="EQ158" s="29"/>
      <c r="ER158" s="29"/>
      <c r="ES158" s="29"/>
      <c r="ET158" s="29"/>
      <c r="EU158" s="29"/>
      <c r="EV158" s="29"/>
      <c r="EW158" s="29"/>
      <c r="EX158" s="29"/>
      <c r="EY158" s="29"/>
      <c r="EZ158" s="29"/>
      <c r="FA158" s="29"/>
      <c r="FB158" s="29"/>
      <c r="FC158" s="29"/>
      <c r="FD158" s="29"/>
      <c r="FE158" s="29"/>
      <c r="FF158" s="29"/>
      <c r="FG158" s="29"/>
      <c r="FH158" s="29"/>
      <c r="FI158" s="29"/>
      <c r="FJ158" s="29"/>
      <c r="FK158" s="29"/>
      <c r="FL158" s="29"/>
      <c r="FM158" s="29"/>
      <c r="FN158" s="29"/>
      <c r="FO158" s="29"/>
      <c r="FP158" s="29"/>
      <c r="FQ158" s="29"/>
      <c r="FR158" s="29"/>
      <c r="FS158" s="29"/>
      <c r="FT158" s="29"/>
      <c r="FU158" s="29"/>
      <c r="FV158" s="29"/>
      <c r="FW158" s="29"/>
      <c r="FX158" s="29"/>
      <c r="FY158" s="29"/>
      <c r="FZ158" s="29"/>
      <c r="GA158" s="29"/>
      <c r="GB158" s="29"/>
      <c r="GC158" s="29"/>
      <c r="GD158" s="29"/>
      <c r="GE158" s="29"/>
      <c r="GF158" s="29"/>
      <c r="GG158" s="29"/>
      <c r="GH158" s="29"/>
    </row>
    <row r="159" spans="5:190" x14ac:dyDescent="0.2">
      <c r="E159" s="620" t="s">
        <v>612</v>
      </c>
      <c r="F159" s="29"/>
      <c r="G159" s="29"/>
      <c r="H159" s="29"/>
      <c r="J159" s="29">
        <f t="shared" ref="J159:AC159" si="485">J59/J$82</f>
        <v>1.9394615879190898E-2</v>
      </c>
      <c r="K159" s="29">
        <f t="shared" si="485"/>
        <v>1.8428264620204717E-2</v>
      </c>
      <c r="L159" s="29">
        <f t="shared" si="485"/>
        <v>2.0070785741594637E-2</v>
      </c>
      <c r="M159" s="29">
        <f t="shared" si="485"/>
        <v>2.1548934614256041E-2</v>
      </c>
      <c r="N159" s="29">
        <f t="shared" si="485"/>
        <v>2.0713873248968378E-2</v>
      </c>
      <c r="O159" s="29">
        <f t="shared" si="485"/>
        <v>1.9683203328339879E-2</v>
      </c>
      <c r="P159" s="29">
        <f t="shared" si="485"/>
        <v>1.8815522956633003E-2</v>
      </c>
      <c r="Q159" s="29">
        <f t="shared" si="485"/>
        <v>1.7409186098564344E-2</v>
      </c>
      <c r="R159" s="29">
        <f t="shared" si="485"/>
        <v>1.6207762354108451E-2</v>
      </c>
      <c r="S159" s="29">
        <f t="shared" si="485"/>
        <v>1.7281985921332954E-2</v>
      </c>
      <c r="T159" s="29">
        <f t="shared" si="485"/>
        <v>2.0484986598133175E-2</v>
      </c>
      <c r="U159" s="29">
        <f t="shared" si="485"/>
        <v>2.1276012887471999E-2</v>
      </c>
      <c r="V159" s="29">
        <f t="shared" si="485"/>
        <v>2.0386242884605381E-2</v>
      </c>
      <c r="W159" s="29">
        <f t="shared" si="485"/>
        <v>2.1370887681463183E-2</v>
      </c>
      <c r="X159" s="29">
        <f t="shared" si="485"/>
        <v>2.3164500825855246E-2</v>
      </c>
      <c r="Y159" s="29">
        <f t="shared" si="485"/>
        <v>2.3204209160627137E-2</v>
      </c>
      <c r="Z159" s="29">
        <f t="shared" si="485"/>
        <v>1.7042760268673886E-2</v>
      </c>
      <c r="AA159" s="29">
        <f t="shared" si="485"/>
        <v>1.1990304870003141E-2</v>
      </c>
      <c r="AB159" s="29">
        <f t="shared" si="485"/>
        <v>1.1566650448511451E-2</v>
      </c>
      <c r="AC159" s="29">
        <f t="shared" si="485"/>
        <v>1.1172136303438579E-2</v>
      </c>
      <c r="AD159" s="29">
        <f t="shared" ref="AD159:AE159" si="486">AD59/AD$82</f>
        <v>1.0732244754839557E-2</v>
      </c>
      <c r="AE159" s="29">
        <f t="shared" si="486"/>
        <v>1.0756045531904771E-2</v>
      </c>
      <c r="AF159" s="29"/>
      <c r="AG159" s="29"/>
      <c r="AH159" s="29"/>
      <c r="AI159" s="29"/>
      <c r="AJ159" s="29"/>
      <c r="AK159" s="29"/>
      <c r="AL159" s="29">
        <f t="shared" ref="AL159:BF159" si="487">AL59/AL$82</f>
        <v>1.9718420132998682E-2</v>
      </c>
      <c r="AM159" s="29">
        <f t="shared" si="487"/>
        <v>1.9112890720187854E-2</v>
      </c>
      <c r="AN159" s="29">
        <f t="shared" si="487"/>
        <v>1.7821754003445937E-2</v>
      </c>
      <c r="AO159" s="29">
        <f t="shared" si="487"/>
        <v>2.1735320855564802E-2</v>
      </c>
      <c r="AP159" s="29">
        <f t="shared" si="487"/>
        <v>2.1386034868663247E-2</v>
      </c>
      <c r="AQ159" s="29">
        <f t="shared" si="487"/>
        <v>2.0130732447863481E-2</v>
      </c>
      <c r="AR159" s="29">
        <f t="shared" si="487"/>
        <v>1.9294322495594419E-2</v>
      </c>
      <c r="AS159" s="29">
        <f t="shared" si="487"/>
        <v>1.8396694628371069E-2</v>
      </c>
      <c r="AT159" s="29">
        <f t="shared" si="487"/>
        <v>1.6599085247633059E-2</v>
      </c>
      <c r="AU159" s="29">
        <f t="shared" si="487"/>
        <v>1.5867192161679717E-2</v>
      </c>
      <c r="AV159" s="29">
        <f t="shared" si="487"/>
        <v>1.843793616607534E-2</v>
      </c>
      <c r="AW159" s="39">
        <f t="shared" si="487"/>
        <v>2.2443607104284957E-2</v>
      </c>
      <c r="AX159" s="29">
        <f t="shared" si="487"/>
        <v>2.0532741421210806E-2</v>
      </c>
      <c r="AY159" s="29">
        <f t="shared" si="487"/>
        <v>2.0503340024701458E-2</v>
      </c>
      <c r="AZ159" s="29">
        <f t="shared" si="487"/>
        <v>2.211597825133137E-2</v>
      </c>
      <c r="BA159" s="29">
        <f t="shared" si="487"/>
        <v>2.4072354669033943E-2</v>
      </c>
      <c r="BB159" s="29">
        <f t="shared" si="487"/>
        <v>2.2428834189473446E-2</v>
      </c>
      <c r="BC159" s="29">
        <f t="shared" si="487"/>
        <v>1.2241414658560081E-2</v>
      </c>
      <c r="BD159" s="29">
        <f t="shared" si="487"/>
        <v>1.1767618253586598E-2</v>
      </c>
      <c r="BE159" s="29">
        <f t="shared" si="487"/>
        <v>1.1388377684590122E-2</v>
      </c>
      <c r="BF159" s="29">
        <f t="shared" si="487"/>
        <v>1.0973706470995525E-2</v>
      </c>
      <c r="BG159" s="29"/>
      <c r="BH159" s="29"/>
      <c r="BI159" s="29"/>
      <c r="BJ159" s="29"/>
      <c r="BK159" s="29"/>
      <c r="BL159" s="29"/>
      <c r="BM159" s="29"/>
      <c r="BN159" s="29"/>
      <c r="BO159" s="29"/>
      <c r="BP159" s="29"/>
      <c r="BQ159" s="29"/>
      <c r="BR159" s="29"/>
      <c r="BS159" s="29"/>
      <c r="BT159" s="29"/>
      <c r="BU159" s="29"/>
      <c r="BV159" s="29"/>
      <c r="BW159" s="29"/>
      <c r="BX159" s="29"/>
      <c r="BY159" s="29"/>
      <c r="BZ159" s="29"/>
      <c r="CA159" s="29"/>
      <c r="CB159" s="29"/>
      <c r="CC159" s="29"/>
      <c r="CD159" s="29"/>
      <c r="CE159" s="29"/>
      <c r="CF159" s="29"/>
      <c r="CG159" s="29"/>
      <c r="CH159" s="29"/>
      <c r="CI159" s="29"/>
      <c r="CJ159" s="29"/>
      <c r="CK159" s="29"/>
      <c r="CL159" s="29"/>
      <c r="CM159" s="29"/>
      <c r="CN159" s="29"/>
      <c r="CO159" s="29"/>
      <c r="CP159" s="29"/>
      <c r="CQ159" s="29"/>
      <c r="CR159" s="29"/>
      <c r="CS159" s="29"/>
      <c r="CT159" s="29"/>
      <c r="CU159" s="29"/>
      <c r="CV159" s="29"/>
      <c r="CW159" s="29"/>
      <c r="CX159" s="29"/>
      <c r="CY159" s="29"/>
      <c r="CZ159" s="29"/>
      <c r="DA159" s="29"/>
      <c r="DB159" s="29"/>
      <c r="DC159" s="29"/>
      <c r="DD159" s="29"/>
      <c r="DE159" s="29"/>
      <c r="DF159" s="29"/>
      <c r="DG159" s="29"/>
      <c r="DH159" s="29"/>
      <c r="DI159" s="29"/>
      <c r="DJ159" s="29"/>
      <c r="DK159" s="29"/>
      <c r="DL159" s="29"/>
      <c r="DM159" s="29"/>
      <c r="DN159" s="29"/>
      <c r="DO159" s="29"/>
      <c r="DP159" s="29"/>
      <c r="DQ159" s="29"/>
      <c r="DR159" s="29"/>
      <c r="DS159" s="29"/>
      <c r="DT159" s="29"/>
      <c r="DU159" s="29"/>
      <c r="DV159" s="29"/>
      <c r="DW159" s="29"/>
      <c r="DX159" s="29"/>
      <c r="DY159" s="29"/>
      <c r="DZ159" s="29"/>
      <c r="EA159" s="29"/>
      <c r="EB159" s="29"/>
      <c r="EC159" s="29"/>
      <c r="ED159" s="29"/>
      <c r="EE159" s="29"/>
      <c r="EF159" s="29"/>
      <c r="EG159" s="29"/>
      <c r="EH159" s="29"/>
      <c r="EI159" s="29"/>
      <c r="EJ159" s="29"/>
      <c r="EK159" s="29"/>
      <c r="EL159" s="29"/>
      <c r="EM159" s="29"/>
      <c r="EN159" s="29"/>
      <c r="EO159" s="29"/>
      <c r="EP159" s="29"/>
      <c r="EQ159" s="29"/>
      <c r="ER159" s="29"/>
      <c r="ES159" s="29"/>
      <c r="ET159" s="29"/>
      <c r="EU159" s="29"/>
      <c r="EV159" s="29"/>
      <c r="EW159" s="29"/>
      <c r="EX159" s="29"/>
      <c r="EY159" s="29"/>
      <c r="EZ159" s="29"/>
      <c r="FA159" s="29"/>
      <c r="FB159" s="29"/>
      <c r="FC159" s="29"/>
      <c r="FD159" s="29"/>
      <c r="FE159" s="29"/>
      <c r="FF159" s="29"/>
      <c r="FG159" s="29"/>
      <c r="FH159" s="29"/>
      <c r="FI159" s="29"/>
      <c r="FJ159" s="29"/>
      <c r="FK159" s="29"/>
      <c r="FL159" s="29"/>
      <c r="FM159" s="29"/>
      <c r="FN159" s="29"/>
      <c r="FO159" s="29"/>
      <c r="FP159" s="29"/>
      <c r="FQ159" s="29"/>
      <c r="FR159" s="29"/>
      <c r="FS159" s="29"/>
      <c r="FT159" s="29"/>
      <c r="FU159" s="29"/>
      <c r="FV159" s="29"/>
      <c r="FW159" s="29"/>
      <c r="FX159" s="29"/>
      <c r="FY159" s="29"/>
      <c r="FZ159" s="29"/>
      <c r="GA159" s="29"/>
      <c r="GB159" s="29"/>
      <c r="GC159" s="29"/>
      <c r="GD159" s="29"/>
      <c r="GE159" s="29"/>
      <c r="GF159" s="29"/>
      <c r="GG159" s="29"/>
      <c r="GH159" s="29"/>
    </row>
    <row r="160" spans="5:190" x14ac:dyDescent="0.2">
      <c r="E160" s="177" t="s">
        <v>106</v>
      </c>
      <c r="F160" s="29"/>
      <c r="G160" s="29"/>
      <c r="H160" s="29"/>
      <c r="J160" s="29">
        <f t="shared" ref="J160:AC160" si="488">J60/J$82</f>
        <v>0.18411047336207401</v>
      </c>
      <c r="K160" s="29">
        <f t="shared" si="488"/>
        <v>0.18117318832892834</v>
      </c>
      <c r="L160" s="29">
        <f t="shared" si="488"/>
        <v>0.17489936389585062</v>
      </c>
      <c r="M160" s="29">
        <f t="shared" si="488"/>
        <v>0.18057300669798979</v>
      </c>
      <c r="N160" s="29">
        <f t="shared" si="488"/>
        <v>0.19599275388497736</v>
      </c>
      <c r="O160" s="29">
        <f t="shared" si="488"/>
        <v>0.20211157271649641</v>
      </c>
      <c r="P160" s="29">
        <f t="shared" si="488"/>
        <v>0.19944968039082839</v>
      </c>
      <c r="Q160" s="29">
        <f t="shared" si="488"/>
        <v>0.20275865977699103</v>
      </c>
      <c r="R160" s="29">
        <f t="shared" si="488"/>
        <v>0.2043415079161503</v>
      </c>
      <c r="S160" s="29">
        <f t="shared" si="488"/>
        <v>0.20334878003137805</v>
      </c>
      <c r="T160" s="29">
        <f t="shared" si="488"/>
        <v>0.19370241265631138</v>
      </c>
      <c r="U160" s="29">
        <f t="shared" si="488"/>
        <v>0.19388900738798184</v>
      </c>
      <c r="V160" s="29">
        <f t="shared" si="488"/>
        <v>0.21525886323626112</v>
      </c>
      <c r="W160" s="29">
        <f t="shared" si="488"/>
        <v>0.22260039380559929</v>
      </c>
      <c r="X160" s="29">
        <f t="shared" si="488"/>
        <v>0.22284775925668845</v>
      </c>
      <c r="Y160" s="29">
        <f t="shared" si="488"/>
        <v>0.22839009513233127</v>
      </c>
      <c r="Z160" s="29">
        <f t="shared" si="488"/>
        <v>0.22830519065915292</v>
      </c>
      <c r="AA160" s="29">
        <f t="shared" si="488"/>
        <v>0.22926686464833076</v>
      </c>
      <c r="AB160" s="29">
        <f t="shared" si="488"/>
        <v>0.23384377762835531</v>
      </c>
      <c r="AC160" s="29">
        <f t="shared" si="488"/>
        <v>0.2383011801603255</v>
      </c>
      <c r="AD160" s="29">
        <f t="shared" ref="AD160:AE160" si="489">AD60/AD$82</f>
        <v>0.24309505229093842</v>
      </c>
      <c r="AE160" s="29">
        <f t="shared" si="489"/>
        <v>0.25998112378019161</v>
      </c>
      <c r="AF160" s="29"/>
      <c r="AG160" s="29"/>
      <c r="AH160" s="29"/>
      <c r="AI160" s="29"/>
      <c r="AJ160" s="29"/>
      <c r="AK160" s="29"/>
      <c r="AL160" s="29">
        <f t="shared" ref="AL160:BF160" si="490">AL60/AL$82</f>
        <v>0.18513274724966947</v>
      </c>
      <c r="AM160" s="29">
        <f t="shared" si="490"/>
        <v>0.18322104627722027</v>
      </c>
      <c r="AN160" s="29">
        <f t="shared" si="490"/>
        <v>0.17935898991130519</v>
      </c>
      <c r="AO160" s="29">
        <f t="shared" si="490"/>
        <v>0.17159874168942077</v>
      </c>
      <c r="AP160" s="29">
        <f t="shared" si="490"/>
        <v>0.18841642623643315</v>
      </c>
      <c r="AQ160" s="29">
        <f t="shared" si="490"/>
        <v>0.20256567570162443</v>
      </c>
      <c r="AR160" s="29">
        <f t="shared" si="490"/>
        <v>0.20171697951729464</v>
      </c>
      <c r="AS160" s="29">
        <f t="shared" si="490"/>
        <v>0.19746636790713751</v>
      </c>
      <c r="AT160" s="29">
        <f t="shared" si="490"/>
        <v>0.20710018191856094</v>
      </c>
      <c r="AU160" s="29">
        <f t="shared" si="490"/>
        <v>0.20194062069131416</v>
      </c>
      <c r="AV160" s="29">
        <f t="shared" si="490"/>
        <v>0.20449930965640414</v>
      </c>
      <c r="AW160" s="39">
        <f t="shared" si="490"/>
        <v>0.18603516064678247</v>
      </c>
      <c r="AX160" s="29">
        <f t="shared" si="490"/>
        <v>0.20303228632387829</v>
      </c>
      <c r="AY160" s="29">
        <f t="shared" si="490"/>
        <v>0.22793851048198766</v>
      </c>
      <c r="AZ160" s="29">
        <f t="shared" si="490"/>
        <v>0.21801576912771189</v>
      </c>
      <c r="BA160" s="29">
        <f t="shared" si="490"/>
        <v>0.22703149446218451</v>
      </c>
      <c r="BB160" s="29">
        <f t="shared" si="490"/>
        <v>0.22960351493952175</v>
      </c>
      <c r="BC160" s="29">
        <f t="shared" si="490"/>
        <v>0.227147816349829</v>
      </c>
      <c r="BD160" s="29">
        <f t="shared" si="490"/>
        <v>0.23114605740432956</v>
      </c>
      <c r="BE160" s="29">
        <f t="shared" si="490"/>
        <v>0.23623684770464806</v>
      </c>
      <c r="BF160" s="29">
        <f t="shared" si="490"/>
        <v>0.24019547597505567</v>
      </c>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c r="CL160" s="29"/>
      <c r="CM160" s="29"/>
      <c r="CN160" s="29"/>
      <c r="CO160" s="29"/>
      <c r="CP160" s="29"/>
      <c r="CQ160" s="29"/>
      <c r="CR160" s="29"/>
      <c r="CS160" s="29"/>
      <c r="CT160" s="29"/>
      <c r="CU160" s="29"/>
      <c r="CV160" s="29"/>
      <c r="CW160" s="29"/>
      <c r="CX160" s="29"/>
      <c r="CY160" s="29"/>
      <c r="CZ160" s="29"/>
      <c r="DA160" s="29"/>
      <c r="DB160" s="29"/>
      <c r="DC160" s="29"/>
      <c r="DD160" s="29"/>
      <c r="DE160" s="29"/>
      <c r="DF160" s="29"/>
      <c r="DG160" s="29"/>
      <c r="DH160" s="29"/>
      <c r="DI160" s="29"/>
      <c r="DJ160" s="29"/>
      <c r="DK160" s="29"/>
      <c r="DL160" s="29"/>
      <c r="DM160" s="29"/>
      <c r="DN160" s="29"/>
      <c r="DO160" s="29"/>
      <c r="DP160" s="29"/>
      <c r="DQ160" s="29"/>
      <c r="DR160" s="29"/>
      <c r="DS160" s="29"/>
      <c r="DT160" s="29"/>
      <c r="DU160" s="29"/>
      <c r="DV160" s="29"/>
      <c r="DW160" s="29"/>
      <c r="DX160" s="29"/>
      <c r="DY160" s="29"/>
      <c r="DZ160" s="29"/>
      <c r="EA160" s="29"/>
      <c r="EB160" s="29"/>
      <c r="EC160" s="29"/>
      <c r="ED160" s="29"/>
      <c r="EE160" s="29"/>
      <c r="EF160" s="29"/>
      <c r="EG160" s="29"/>
      <c r="EH160" s="29"/>
      <c r="EI160" s="29"/>
      <c r="EJ160" s="29"/>
      <c r="EK160" s="29"/>
      <c r="EL160" s="29"/>
      <c r="EM160" s="29"/>
      <c r="EN160" s="29"/>
      <c r="EO160" s="29"/>
      <c r="EP160" s="29"/>
      <c r="EQ160" s="29"/>
      <c r="ER160" s="29"/>
      <c r="ES160" s="29"/>
      <c r="ET160" s="29"/>
      <c r="EU160" s="29"/>
      <c r="EV160" s="29"/>
      <c r="EW160" s="29"/>
      <c r="EX160" s="29"/>
      <c r="EY160" s="29"/>
      <c r="EZ160" s="29"/>
      <c r="FA160" s="29"/>
      <c r="FB160" s="29"/>
      <c r="FC160" s="29"/>
      <c r="FD160" s="29"/>
      <c r="FE160" s="29"/>
      <c r="FF160" s="29"/>
      <c r="FG160" s="29"/>
      <c r="FH160" s="29"/>
      <c r="FI160" s="29"/>
      <c r="FJ160" s="29"/>
      <c r="FK160" s="29"/>
      <c r="FL160" s="29"/>
      <c r="FM160" s="29"/>
      <c r="FN160" s="29"/>
      <c r="FO160" s="29"/>
      <c r="FP160" s="29"/>
      <c r="FQ160" s="29"/>
      <c r="FR160" s="29"/>
      <c r="FS160" s="29"/>
      <c r="FT160" s="29"/>
      <c r="FU160" s="29"/>
      <c r="FV160" s="29"/>
      <c r="FW160" s="29"/>
      <c r="FX160" s="29"/>
      <c r="FY160" s="29"/>
      <c r="FZ160" s="29"/>
      <c r="GA160" s="29"/>
      <c r="GB160" s="29"/>
      <c r="GC160" s="29"/>
      <c r="GD160" s="29"/>
      <c r="GE160" s="29"/>
      <c r="GF160" s="29"/>
      <c r="GG160" s="29"/>
      <c r="GH160" s="29"/>
    </row>
    <row r="161" spans="5:190" x14ac:dyDescent="0.2">
      <c r="E161" s="191" t="s">
        <v>136</v>
      </c>
      <c r="F161" s="29"/>
      <c r="G161" s="29"/>
      <c r="H161" s="29"/>
      <c r="J161" s="29">
        <f t="shared" ref="J161:AC161" si="491">J61/J$82</f>
        <v>1.3965168853114922E-2</v>
      </c>
      <c r="K161" s="29">
        <f t="shared" si="491"/>
        <v>1.4159418430111733E-2</v>
      </c>
      <c r="L161" s="29">
        <f t="shared" si="491"/>
        <v>1.7323875104727413E-2</v>
      </c>
      <c r="M161" s="29">
        <f t="shared" si="491"/>
        <v>2.1408916167589127E-2</v>
      </c>
      <c r="N161" s="29">
        <f t="shared" si="491"/>
        <v>2.4926547027647218E-2</v>
      </c>
      <c r="O161" s="29">
        <f t="shared" si="491"/>
        <v>2.749422343415156E-2</v>
      </c>
      <c r="P161" s="29">
        <f t="shared" si="491"/>
        <v>3.0261298839905516E-2</v>
      </c>
      <c r="Q161" s="29">
        <f t="shared" si="491"/>
        <v>3.6369427120072677E-2</v>
      </c>
      <c r="R161" s="29">
        <f t="shared" si="491"/>
        <v>3.7331531857721298E-2</v>
      </c>
      <c r="S161" s="29">
        <f t="shared" si="491"/>
        <v>3.2357715475300287E-2</v>
      </c>
      <c r="T161" s="29">
        <f t="shared" si="491"/>
        <v>2.9142862197715391E-2</v>
      </c>
      <c r="U161" s="29">
        <f t="shared" si="491"/>
        <v>3.4746239744136348E-2</v>
      </c>
      <c r="V161" s="29">
        <f t="shared" si="491"/>
        <v>4.5962223132974753E-2</v>
      </c>
      <c r="W161" s="29">
        <f t="shared" si="491"/>
        <v>4.9824189898793447E-2</v>
      </c>
      <c r="X161" s="29">
        <f t="shared" si="491"/>
        <v>4.5228193609805012E-2</v>
      </c>
      <c r="Y161" s="29">
        <f t="shared" si="491"/>
        <v>3.9295570557828105E-2</v>
      </c>
      <c r="Z161" s="29">
        <f t="shared" si="491"/>
        <v>3.5315781284059287E-2</v>
      </c>
      <c r="AA161" s="29">
        <f t="shared" si="491"/>
        <v>3.4128139529814673E-2</v>
      </c>
      <c r="AB161" s="29">
        <f t="shared" si="491"/>
        <v>3.4484902027746192E-2</v>
      </c>
      <c r="AC161" s="29">
        <f t="shared" si="491"/>
        <v>3.4807268923886595E-2</v>
      </c>
      <c r="AD161" s="29">
        <f t="shared" ref="AD161:AE161" si="492">AD61/AD$82</f>
        <v>3.5089819411997659E-2</v>
      </c>
      <c r="AE161" s="29">
        <f t="shared" si="492"/>
        <v>3.6870786513235436E-2</v>
      </c>
      <c r="AF161" s="29"/>
      <c r="AG161" s="29"/>
      <c r="AH161" s="29"/>
      <c r="AI161" s="29"/>
      <c r="AJ161" s="29"/>
      <c r="AK161" s="29"/>
      <c r="AL161" s="29">
        <f t="shared" ref="AL161:BF161" si="493">AL61/AL$82</f>
        <v>1.4336473809876937E-2</v>
      </c>
      <c r="AM161" s="29">
        <f t="shared" si="493"/>
        <v>1.364211581489112E-2</v>
      </c>
      <c r="AN161" s="29">
        <f t="shared" si="493"/>
        <v>1.4617697085009805E-2</v>
      </c>
      <c r="AO161" s="29">
        <f t="shared" si="493"/>
        <v>1.9326749613818212E-2</v>
      </c>
      <c r="AP161" s="29">
        <f t="shared" si="493"/>
        <v>2.3228709299900927E-2</v>
      </c>
      <c r="AQ161" s="29">
        <f t="shared" si="493"/>
        <v>2.6399523799444359E-2</v>
      </c>
      <c r="AR161" s="29">
        <f t="shared" si="493"/>
        <v>2.8445463670774041E-2</v>
      </c>
      <c r="AS161" s="29">
        <f t="shared" si="493"/>
        <v>3.1849694705816813E-2</v>
      </c>
      <c r="AT161" s="29">
        <f t="shared" si="493"/>
        <v>4.0077181498140699E-2</v>
      </c>
      <c r="AU161" s="29">
        <f t="shared" si="493"/>
        <v>3.494197979763787E-2</v>
      </c>
      <c r="AV161" s="29">
        <f t="shared" si="493"/>
        <v>3.0246255090701668E-2</v>
      </c>
      <c r="AW161" s="39">
        <f t="shared" si="493"/>
        <v>2.8441804667251269E-2</v>
      </c>
      <c r="AX161" s="29">
        <f t="shared" si="493"/>
        <v>4.0599284793036455E-2</v>
      </c>
      <c r="AY161" s="29">
        <f t="shared" si="493"/>
        <v>5.095625549707232E-2</v>
      </c>
      <c r="AZ161" s="29">
        <f t="shared" si="493"/>
        <v>4.8851918928806311E-2</v>
      </c>
      <c r="BA161" s="29">
        <f t="shared" si="493"/>
        <v>4.2090623625703198E-2</v>
      </c>
      <c r="BB161" s="29">
        <f t="shared" si="493"/>
        <v>3.6799198497050101E-2</v>
      </c>
      <c r="BC161" s="29">
        <f t="shared" si="493"/>
        <v>3.3993408285044949E-2</v>
      </c>
      <c r="BD161" s="29">
        <f t="shared" si="493"/>
        <v>3.4247620515385865E-2</v>
      </c>
      <c r="BE161" s="29">
        <f t="shared" si="493"/>
        <v>3.4695387637717866E-2</v>
      </c>
      <c r="BF161" s="29">
        <f t="shared" si="493"/>
        <v>3.4909934679856855E-2</v>
      </c>
      <c r="BG161" s="29"/>
      <c r="BH161" s="29"/>
      <c r="BI161" s="29"/>
      <c r="BJ161" s="29"/>
      <c r="BK161" s="29"/>
      <c r="BL161" s="29"/>
      <c r="BM161" s="29"/>
      <c r="BN161" s="29"/>
      <c r="BO161" s="29"/>
      <c r="BP161" s="29"/>
      <c r="BQ161" s="29"/>
      <c r="BR161" s="29"/>
      <c r="BS161" s="29"/>
      <c r="BT161" s="29"/>
      <c r="BU161" s="29"/>
      <c r="BV161" s="29"/>
      <c r="BW161" s="29"/>
      <c r="BX161" s="29"/>
      <c r="BY161" s="29"/>
      <c r="BZ161" s="29"/>
      <c r="CA161" s="29"/>
      <c r="CB161" s="29"/>
      <c r="CC161" s="29"/>
      <c r="CD161" s="29"/>
      <c r="CE161" s="29"/>
      <c r="CF161" s="29"/>
      <c r="CG161" s="29"/>
      <c r="CH161" s="29"/>
      <c r="CI161" s="29"/>
      <c r="CJ161" s="29"/>
      <c r="CK161" s="29"/>
      <c r="CL161" s="29"/>
      <c r="CM161" s="29"/>
      <c r="CN161" s="29"/>
      <c r="CO161" s="29"/>
      <c r="CP161" s="29"/>
      <c r="CQ161" s="29"/>
      <c r="CR161" s="29"/>
      <c r="CS161" s="29"/>
      <c r="CT161" s="29"/>
      <c r="CU161" s="29"/>
      <c r="CV161" s="29"/>
      <c r="CW161" s="29"/>
      <c r="CX161" s="29"/>
      <c r="CY161" s="29"/>
      <c r="CZ161" s="29"/>
      <c r="DA161" s="29"/>
      <c r="DB161" s="29"/>
      <c r="DC161" s="29"/>
      <c r="DD161" s="29"/>
      <c r="DE161" s="29"/>
      <c r="DF161" s="29"/>
      <c r="DG161" s="29"/>
      <c r="DH161" s="29"/>
      <c r="DI161" s="29"/>
      <c r="DJ161" s="29"/>
      <c r="DK161" s="29"/>
      <c r="DL161" s="29"/>
      <c r="DM161" s="29"/>
      <c r="DN161" s="29"/>
      <c r="DO161" s="29"/>
      <c r="DP161" s="29"/>
      <c r="DQ161" s="29"/>
      <c r="DR161" s="29"/>
      <c r="DS161" s="29"/>
      <c r="DT161" s="29"/>
      <c r="DU161" s="29"/>
      <c r="DV161" s="29"/>
      <c r="DW161" s="29"/>
      <c r="DX161" s="29"/>
      <c r="DY161" s="29"/>
      <c r="DZ161" s="29"/>
      <c r="EA161" s="29"/>
      <c r="EB161" s="29"/>
      <c r="EC161" s="29"/>
      <c r="ED161" s="29"/>
      <c r="EE161" s="29"/>
      <c r="EF161" s="29"/>
      <c r="EG161" s="29"/>
      <c r="EH161" s="29"/>
      <c r="EI161" s="29"/>
      <c r="EJ161" s="29"/>
      <c r="EK161" s="29"/>
      <c r="EL161" s="29"/>
      <c r="EM161" s="29"/>
      <c r="EN161" s="29"/>
      <c r="EO161" s="29"/>
      <c r="EP161" s="29"/>
      <c r="EQ161" s="29"/>
      <c r="ER161" s="29"/>
      <c r="ES161" s="29"/>
      <c r="ET161" s="29"/>
      <c r="EU161" s="29"/>
      <c r="EV161" s="29"/>
      <c r="EW161" s="29"/>
      <c r="EX161" s="29"/>
      <c r="EY161" s="29"/>
      <c r="EZ161" s="29"/>
      <c r="FA161" s="29"/>
      <c r="FB161" s="29"/>
      <c r="FC161" s="29"/>
      <c r="FD161" s="29"/>
      <c r="FE161" s="29"/>
      <c r="FF161" s="29"/>
      <c r="FG161" s="29"/>
      <c r="FH161" s="29"/>
      <c r="FI161" s="29"/>
      <c r="FJ161" s="29"/>
      <c r="FK161" s="29"/>
      <c r="FL161" s="29"/>
      <c r="FM161" s="29"/>
      <c r="FN161" s="29"/>
      <c r="FO161" s="29"/>
      <c r="FP161" s="29"/>
      <c r="FQ161" s="29"/>
      <c r="FR161" s="29"/>
      <c r="FS161" s="29"/>
      <c r="FT161" s="29"/>
      <c r="FU161" s="29"/>
      <c r="FV161" s="29"/>
      <c r="FW161" s="29"/>
      <c r="FX161" s="29"/>
      <c r="FY161" s="29"/>
      <c r="FZ161" s="29"/>
      <c r="GA161" s="29"/>
      <c r="GB161" s="29"/>
      <c r="GC161" s="29"/>
      <c r="GD161" s="29"/>
      <c r="GE161" s="29"/>
      <c r="GF161" s="29"/>
      <c r="GG161" s="29"/>
      <c r="GH161" s="29"/>
    </row>
    <row r="162" spans="5:190" x14ac:dyDescent="0.2">
      <c r="E162" s="191" t="s">
        <v>135</v>
      </c>
      <c r="F162" s="29"/>
      <c r="G162" s="29"/>
      <c r="H162" s="29"/>
      <c r="J162" s="29">
        <f t="shared" ref="J162:AC162" si="494">J62/J$82</f>
        <v>9.3956835107635334E-2</v>
      </c>
      <c r="K162" s="29">
        <f t="shared" si="494"/>
        <v>8.933572824916039E-2</v>
      </c>
      <c r="L162" s="29">
        <f t="shared" si="494"/>
        <v>8.1026564694413397E-2</v>
      </c>
      <c r="M162" s="29">
        <f t="shared" si="494"/>
        <v>7.5745145766950586E-2</v>
      </c>
      <c r="N162" s="29">
        <f t="shared" si="494"/>
        <v>7.5674117474168301E-2</v>
      </c>
      <c r="O162" s="29">
        <f t="shared" si="494"/>
        <v>7.4965752412812697E-2</v>
      </c>
      <c r="P162" s="29">
        <f t="shared" si="494"/>
        <v>7.3537926104721291E-2</v>
      </c>
      <c r="Q162" s="29">
        <f t="shared" si="494"/>
        <v>7.4053082609552248E-2</v>
      </c>
      <c r="R162" s="29">
        <f t="shared" si="494"/>
        <v>7.2431302174168544E-2</v>
      </c>
      <c r="S162" s="29">
        <f t="shared" si="494"/>
        <v>6.9935329930435178E-2</v>
      </c>
      <c r="T162" s="29">
        <f t="shared" si="494"/>
        <v>6.8915325152631532E-2</v>
      </c>
      <c r="U162" s="29">
        <f t="shared" si="494"/>
        <v>6.8437594125250842E-2</v>
      </c>
      <c r="V162" s="29">
        <f t="shared" si="494"/>
        <v>7.2550072364207852E-2</v>
      </c>
      <c r="W162" s="29">
        <f t="shared" si="494"/>
        <v>7.558408502630104E-2</v>
      </c>
      <c r="X162" s="29">
        <f t="shared" si="494"/>
        <v>6.9306069394401593E-2</v>
      </c>
      <c r="Y162" s="29">
        <f t="shared" si="494"/>
        <v>5.998110797363506E-2</v>
      </c>
      <c r="Z162" s="29">
        <f t="shared" si="494"/>
        <v>6.5221313116188201E-2</v>
      </c>
      <c r="AA162" s="29">
        <f t="shared" si="494"/>
        <v>7.3285723511713696E-2</v>
      </c>
      <c r="AB162" s="29">
        <f t="shared" si="494"/>
        <v>7.3155469071758752E-2</v>
      </c>
      <c r="AC162" s="29">
        <f t="shared" si="494"/>
        <v>7.2953881701637732E-2</v>
      </c>
      <c r="AD162" s="29">
        <f t="shared" ref="AD162:AE162" si="495">AD62/AD$82</f>
        <v>7.2663592217628054E-2</v>
      </c>
      <c r="AE162" s="29">
        <f t="shared" si="495"/>
        <v>7.5898555165584539E-2</v>
      </c>
      <c r="AF162" s="29"/>
      <c r="AG162" s="29"/>
      <c r="AH162" s="29"/>
      <c r="AI162" s="29"/>
      <c r="AJ162" s="29"/>
      <c r="AK162" s="29"/>
      <c r="AL162" s="29">
        <f t="shared" ref="AL162:BF162" si="496">AL62/AL$82</f>
        <v>9.7249319379526203E-2</v>
      </c>
      <c r="AM162" s="29">
        <f t="shared" si="496"/>
        <v>9.1092216610176996E-2</v>
      </c>
      <c r="AN162" s="29">
        <f t="shared" si="496"/>
        <v>8.7779654299896634E-2</v>
      </c>
      <c r="AO162" s="29">
        <f t="shared" si="496"/>
        <v>7.6028522832466749E-2</v>
      </c>
      <c r="AP162" s="29">
        <f t="shared" si="496"/>
        <v>7.5497476992929094E-2</v>
      </c>
      <c r="AQ162" s="29">
        <f t="shared" si="496"/>
        <v>7.5827363760060301E-2</v>
      </c>
      <c r="AR162" s="29">
        <f t="shared" si="496"/>
        <v>7.4217054454169804E-2</v>
      </c>
      <c r="AS162" s="29">
        <f t="shared" si="496"/>
        <v>7.2943860805719948E-2</v>
      </c>
      <c r="AT162" s="29">
        <f t="shared" si="496"/>
        <v>7.4963030726488467E-2</v>
      </c>
      <c r="AU162" s="29">
        <f t="shared" si="496"/>
        <v>7.0227926663794238E-2</v>
      </c>
      <c r="AV162" s="29">
        <f t="shared" si="496"/>
        <v>6.9696265216423331E-2</v>
      </c>
      <c r="AW162" s="39">
        <f t="shared" si="496"/>
        <v>6.8845343720289637E-2</v>
      </c>
      <c r="AX162" s="29">
        <f t="shared" si="496"/>
        <v>6.8928151606256038E-2</v>
      </c>
      <c r="AY162" s="29">
        <f t="shared" si="496"/>
        <v>7.6409096746138175E-2</v>
      </c>
      <c r="AZ162" s="29">
        <f t="shared" si="496"/>
        <v>7.4875526311756285E-2</v>
      </c>
      <c r="BA162" s="29">
        <f t="shared" si="496"/>
        <v>6.4483805201249009E-2</v>
      </c>
      <c r="BB162" s="29">
        <f t="shared" si="496"/>
        <v>5.5959571607707148E-2</v>
      </c>
      <c r="BC162" s="29">
        <f t="shared" si="496"/>
        <v>7.3477572236960345E-2</v>
      </c>
      <c r="BD162" s="29">
        <f t="shared" si="496"/>
        <v>7.3115590185830567E-2</v>
      </c>
      <c r="BE162" s="29">
        <f t="shared" si="496"/>
        <v>7.3190844485317472E-2</v>
      </c>
      <c r="BF162" s="29">
        <f t="shared" si="496"/>
        <v>7.2736437264266818E-2</v>
      </c>
      <c r="BG162" s="29"/>
      <c r="BH162" s="29"/>
      <c r="BI162" s="29"/>
      <c r="BJ162" s="29"/>
      <c r="BK162" s="29"/>
      <c r="BL162" s="29"/>
      <c r="BM162" s="29"/>
      <c r="BN162" s="29"/>
      <c r="BO162" s="29"/>
      <c r="BP162" s="29"/>
      <c r="BQ162" s="29"/>
      <c r="BR162" s="29"/>
      <c r="BS162" s="29"/>
      <c r="BT162" s="29"/>
      <c r="BU162" s="29"/>
      <c r="BV162" s="29"/>
      <c r="BW162" s="29"/>
      <c r="BX162" s="29"/>
      <c r="BY162" s="29"/>
      <c r="BZ162" s="29"/>
      <c r="CA162" s="29"/>
      <c r="CB162" s="29"/>
      <c r="CC162" s="29"/>
      <c r="CD162" s="29"/>
      <c r="CE162" s="29"/>
      <c r="CF162" s="29"/>
      <c r="CG162" s="29"/>
      <c r="CH162" s="29"/>
      <c r="CI162" s="29"/>
      <c r="CJ162" s="29"/>
      <c r="CK162" s="29"/>
      <c r="CL162" s="29"/>
      <c r="CM162" s="29"/>
      <c r="CN162" s="29"/>
      <c r="CO162" s="29"/>
      <c r="CP162" s="29"/>
      <c r="CQ162" s="29"/>
      <c r="CR162" s="29"/>
      <c r="CS162" s="29"/>
      <c r="CT162" s="29"/>
      <c r="CU162" s="29"/>
      <c r="CV162" s="29"/>
      <c r="CW162" s="29"/>
      <c r="CX162" s="29"/>
      <c r="CY162" s="29"/>
      <c r="CZ162" s="29"/>
      <c r="DA162" s="29"/>
      <c r="DB162" s="29"/>
      <c r="DC162" s="29"/>
      <c r="DD162" s="29"/>
      <c r="DE162" s="29"/>
      <c r="DF162" s="29"/>
      <c r="DG162" s="29"/>
      <c r="DH162" s="29"/>
      <c r="DI162" s="29"/>
      <c r="DJ162" s="29"/>
      <c r="DK162" s="29"/>
      <c r="DL162" s="29"/>
      <c r="DM162" s="29"/>
      <c r="DN162" s="29"/>
      <c r="DO162" s="29"/>
      <c r="DP162" s="29"/>
      <c r="DQ162" s="29"/>
      <c r="DR162" s="29"/>
      <c r="DS162" s="29"/>
      <c r="DT162" s="29"/>
      <c r="DU162" s="29"/>
      <c r="DV162" s="29"/>
      <c r="DW162" s="29"/>
      <c r="DX162" s="29"/>
      <c r="DY162" s="29"/>
      <c r="DZ162" s="29"/>
      <c r="EA162" s="29"/>
      <c r="EB162" s="29"/>
      <c r="EC162" s="29"/>
      <c r="ED162" s="29"/>
      <c r="EE162" s="29"/>
      <c r="EF162" s="29"/>
      <c r="EG162" s="29"/>
      <c r="EH162" s="29"/>
      <c r="EI162" s="29"/>
      <c r="EJ162" s="29"/>
      <c r="EK162" s="29"/>
      <c r="EL162" s="29"/>
      <c r="EM162" s="29"/>
      <c r="EN162" s="29"/>
      <c r="EO162" s="29"/>
      <c r="EP162" s="29"/>
      <c r="EQ162" s="29"/>
      <c r="ER162" s="29"/>
      <c r="ES162" s="29"/>
      <c r="ET162" s="29"/>
      <c r="EU162" s="29"/>
      <c r="EV162" s="29"/>
      <c r="EW162" s="29"/>
      <c r="EX162" s="29"/>
      <c r="EY162" s="29"/>
      <c r="EZ162" s="29"/>
      <c r="FA162" s="29"/>
      <c r="FB162" s="29"/>
      <c r="FC162" s="29"/>
      <c r="FD162" s="29"/>
      <c r="FE162" s="29"/>
      <c r="FF162" s="29"/>
      <c r="FG162" s="29"/>
      <c r="FH162" s="29"/>
      <c r="FI162" s="29"/>
      <c r="FJ162" s="29"/>
      <c r="FK162" s="29"/>
      <c r="FL162" s="29"/>
      <c r="FM162" s="29"/>
      <c r="FN162" s="29"/>
      <c r="FO162" s="29"/>
      <c r="FP162" s="29"/>
      <c r="FQ162" s="29"/>
      <c r="FR162" s="29"/>
      <c r="FS162" s="29"/>
      <c r="FT162" s="29"/>
      <c r="FU162" s="29"/>
      <c r="FV162" s="29"/>
      <c r="FW162" s="29"/>
      <c r="FX162" s="29"/>
      <c r="FY162" s="29"/>
      <c r="FZ162" s="29"/>
      <c r="GA162" s="29"/>
      <c r="GB162" s="29"/>
      <c r="GC162" s="29"/>
      <c r="GD162" s="29"/>
      <c r="GE162" s="29"/>
      <c r="GF162" s="29"/>
      <c r="GG162" s="29"/>
      <c r="GH162" s="29"/>
    </row>
    <row r="163" spans="5:190" x14ac:dyDescent="0.2">
      <c r="E163" s="191" t="s">
        <v>107</v>
      </c>
      <c r="F163" s="29"/>
      <c r="G163" s="29"/>
      <c r="H163" s="29"/>
      <c r="J163" s="29">
        <f t="shared" ref="J163:AC163" si="497">J63/J$82</f>
        <v>1.8390953355013707E-2</v>
      </c>
      <c r="K163" s="29">
        <f t="shared" si="497"/>
        <v>1.9905499380859584E-2</v>
      </c>
      <c r="L163" s="29">
        <f t="shared" si="497"/>
        <v>1.6586154503040185E-2</v>
      </c>
      <c r="M163" s="29">
        <f t="shared" si="497"/>
        <v>1.2913495179909413E-2</v>
      </c>
      <c r="N163" s="29">
        <f t="shared" si="497"/>
        <v>1.2077573952389724E-2</v>
      </c>
      <c r="O163" s="29">
        <f t="shared" si="497"/>
        <v>1.1335560355474542E-2</v>
      </c>
      <c r="P163" s="29">
        <f t="shared" si="497"/>
        <v>1.0824141433434379E-2</v>
      </c>
      <c r="Q163" s="29">
        <f t="shared" si="497"/>
        <v>9.6636036694025158E-3</v>
      </c>
      <c r="R163" s="29">
        <f t="shared" si="497"/>
        <v>8.7566227414399237E-3</v>
      </c>
      <c r="S163" s="29">
        <f t="shared" si="497"/>
        <v>9.0576441512011767E-3</v>
      </c>
      <c r="T163" s="29">
        <f t="shared" si="497"/>
        <v>9.3398101499990987E-3</v>
      </c>
      <c r="U163" s="29">
        <f t="shared" si="497"/>
        <v>9.2706039713777201E-3</v>
      </c>
      <c r="V163" s="29">
        <f t="shared" si="497"/>
        <v>7.3003524021939938E-3</v>
      </c>
      <c r="W163" s="29">
        <f t="shared" si="497"/>
        <v>7.3270619411406907E-3</v>
      </c>
      <c r="X163" s="29">
        <f t="shared" si="497"/>
        <v>8.1575166438456522E-3</v>
      </c>
      <c r="Y163" s="29">
        <f t="shared" si="497"/>
        <v>7.6136431189801354E-3</v>
      </c>
      <c r="Z163" s="29">
        <f t="shared" si="497"/>
        <v>8.3191037122253113E-3</v>
      </c>
      <c r="AA163" s="29">
        <f t="shared" si="497"/>
        <v>9.0832523665464321E-3</v>
      </c>
      <c r="AB163" s="29">
        <f t="shared" si="497"/>
        <v>9.2228674865055104E-3</v>
      </c>
      <c r="AC163" s="29">
        <f t="shared" si="497"/>
        <v>9.3434729881168854E-3</v>
      </c>
      <c r="AD163" s="29">
        <f t="shared" ref="AD163:AE163" si="498">AD63/AD$82</f>
        <v>9.4699666168131524E-3</v>
      </c>
      <c r="AE163" s="29">
        <f t="shared" si="498"/>
        <v>1.006274419191508E-2</v>
      </c>
      <c r="AF163" s="29"/>
      <c r="AG163" s="29"/>
      <c r="AH163" s="29"/>
      <c r="AI163" s="29"/>
      <c r="AJ163" s="29"/>
      <c r="AK163" s="29"/>
      <c r="AL163" s="29">
        <f t="shared" ref="AL163:BF163" si="499">AL63/AL$82</f>
        <v>1.7912874213952577E-2</v>
      </c>
      <c r="AM163" s="29">
        <f t="shared" si="499"/>
        <v>1.8806905030903171E-2</v>
      </c>
      <c r="AN163" s="29">
        <f t="shared" si="499"/>
        <v>2.0878744684794368E-2</v>
      </c>
      <c r="AO163" s="29">
        <f t="shared" si="499"/>
        <v>1.3409157501968508E-2</v>
      </c>
      <c r="AP163" s="29">
        <f t="shared" si="499"/>
        <v>1.2480291175169597E-2</v>
      </c>
      <c r="AQ163" s="29">
        <f t="shared" si="499"/>
        <v>1.1728192439031077E-2</v>
      </c>
      <c r="AR163" s="29">
        <f t="shared" si="499"/>
        <v>1.0994382351731264E-2</v>
      </c>
      <c r="AS163" s="29">
        <f t="shared" si="499"/>
        <v>1.0675223747826904E-2</v>
      </c>
      <c r="AT163" s="29">
        <f t="shared" si="499"/>
        <v>8.8337229528165362E-3</v>
      </c>
      <c r="AU163" s="29">
        <f t="shared" si="499"/>
        <v>8.6895220574285045E-3</v>
      </c>
      <c r="AV163" s="29">
        <f t="shared" si="499"/>
        <v>9.3584164874432451E-3</v>
      </c>
      <c r="AW163" s="39">
        <f t="shared" si="499"/>
        <v>9.4060843321786287E-3</v>
      </c>
      <c r="AX163" s="29">
        <f t="shared" si="499"/>
        <v>9.2679924158901306E-3</v>
      </c>
      <c r="AY163" s="29">
        <f t="shared" si="499"/>
        <v>5.7511232956292879E-3</v>
      </c>
      <c r="AZ163" s="29">
        <f t="shared" si="499"/>
        <v>8.6805518783325767E-3</v>
      </c>
      <c r="BA163" s="29">
        <f t="shared" si="499"/>
        <v>7.7046512890272803E-3</v>
      </c>
      <c r="BB163" s="29">
        <f t="shared" si="499"/>
        <v>7.532360135261709E-3</v>
      </c>
      <c r="BC163" s="29">
        <f t="shared" si="499"/>
        <v>9.0204360509724708E-3</v>
      </c>
      <c r="BD163" s="29">
        <f t="shared" si="499"/>
        <v>9.1389584895586254E-3</v>
      </c>
      <c r="BE163" s="29">
        <f t="shared" si="499"/>
        <v>9.2973007460915198E-3</v>
      </c>
      <c r="BF163" s="29">
        <f t="shared" si="499"/>
        <v>9.3858420767706091E-3</v>
      </c>
      <c r="BG163" s="29"/>
      <c r="BH163" s="29"/>
      <c r="BI163" s="29"/>
      <c r="BJ163" s="29"/>
      <c r="BK163" s="29"/>
      <c r="BL163" s="29"/>
      <c r="BM163" s="29"/>
      <c r="BN163" s="29"/>
      <c r="BO163" s="29"/>
      <c r="BP163" s="29"/>
      <c r="BQ163" s="29"/>
      <c r="BR163" s="29"/>
      <c r="BS163" s="29"/>
      <c r="BT163" s="29"/>
      <c r="BU163" s="29"/>
      <c r="BV163" s="29"/>
      <c r="BW163" s="29"/>
      <c r="BX163" s="29"/>
      <c r="BY163" s="29"/>
      <c r="BZ163" s="29"/>
      <c r="CA163" s="29"/>
      <c r="CB163" s="29"/>
      <c r="CC163" s="29"/>
      <c r="CD163" s="29"/>
      <c r="CE163" s="29"/>
      <c r="CF163" s="29"/>
      <c r="CG163" s="29"/>
      <c r="CH163" s="29"/>
      <c r="CI163" s="29"/>
      <c r="CJ163" s="29"/>
      <c r="CK163" s="29"/>
      <c r="CL163" s="29"/>
      <c r="CM163" s="29"/>
      <c r="CN163" s="29"/>
      <c r="CO163" s="29"/>
      <c r="CP163" s="29"/>
      <c r="CQ163" s="29"/>
      <c r="CR163" s="29"/>
      <c r="CS163" s="29"/>
      <c r="CT163" s="29"/>
      <c r="CU163" s="29"/>
      <c r="CV163" s="29"/>
      <c r="CW163" s="29"/>
      <c r="CX163" s="29"/>
      <c r="CY163" s="29"/>
      <c r="CZ163" s="29"/>
      <c r="DA163" s="29"/>
      <c r="DB163" s="29"/>
      <c r="DC163" s="29"/>
      <c r="DD163" s="29"/>
      <c r="DE163" s="29"/>
      <c r="DF163" s="29"/>
      <c r="DG163" s="29"/>
      <c r="DH163" s="29"/>
      <c r="DI163" s="29"/>
      <c r="DJ163" s="29"/>
      <c r="DK163" s="29"/>
      <c r="DL163" s="29"/>
      <c r="DM163" s="29"/>
      <c r="DN163" s="29"/>
      <c r="DO163" s="29"/>
      <c r="DP163" s="29"/>
      <c r="DQ163" s="29"/>
      <c r="DR163" s="29"/>
      <c r="DS163" s="29"/>
      <c r="DT163" s="29"/>
      <c r="DU163" s="29"/>
      <c r="DV163" s="29"/>
      <c r="DW163" s="29"/>
      <c r="DX163" s="29"/>
      <c r="DY163" s="29"/>
      <c r="DZ163" s="29"/>
      <c r="EA163" s="29"/>
      <c r="EB163" s="29"/>
      <c r="EC163" s="29"/>
      <c r="ED163" s="29"/>
      <c r="EE163" s="29"/>
      <c r="EF163" s="29"/>
      <c r="EG163" s="29"/>
      <c r="EH163" s="29"/>
      <c r="EI163" s="29"/>
      <c r="EJ163" s="29"/>
      <c r="EK163" s="29"/>
      <c r="EL163" s="29"/>
      <c r="EM163" s="29"/>
      <c r="EN163" s="29"/>
      <c r="EO163" s="29"/>
      <c r="EP163" s="29"/>
      <c r="EQ163" s="29"/>
      <c r="ER163" s="29"/>
      <c r="ES163" s="29"/>
      <c r="ET163" s="29"/>
      <c r="EU163" s="29"/>
      <c r="EV163" s="29"/>
      <c r="EW163" s="29"/>
      <c r="EX163" s="29"/>
      <c r="EY163" s="29"/>
      <c r="EZ163" s="29"/>
      <c r="FA163" s="29"/>
      <c r="FB163" s="29"/>
      <c r="FC163" s="29"/>
      <c r="FD163" s="29"/>
      <c r="FE163" s="29"/>
      <c r="FF163" s="29"/>
      <c r="FG163" s="29"/>
      <c r="FH163" s="29"/>
      <c r="FI163" s="29"/>
      <c r="FJ163" s="29"/>
      <c r="FK163" s="29"/>
      <c r="FL163" s="29"/>
      <c r="FM163" s="29"/>
      <c r="FN163" s="29"/>
      <c r="FO163" s="29"/>
      <c r="FP163" s="29"/>
      <c r="FQ163" s="29"/>
      <c r="FR163" s="29"/>
      <c r="FS163" s="29"/>
      <c r="FT163" s="29"/>
      <c r="FU163" s="29"/>
      <c r="FV163" s="29"/>
      <c r="FW163" s="29"/>
      <c r="FX163" s="29"/>
      <c r="FY163" s="29"/>
      <c r="FZ163" s="29"/>
      <c r="GA163" s="29"/>
      <c r="GB163" s="29"/>
      <c r="GC163" s="29"/>
      <c r="GD163" s="29"/>
      <c r="GE163" s="29"/>
      <c r="GF163" s="29"/>
      <c r="GG163" s="29"/>
      <c r="GH163" s="29"/>
    </row>
    <row r="164" spans="5:190" x14ac:dyDescent="0.2">
      <c r="E164" s="191" t="s">
        <v>134</v>
      </c>
      <c r="F164" s="29"/>
      <c r="G164" s="29"/>
      <c r="H164" s="29"/>
      <c r="J164" s="29">
        <f t="shared" ref="J164:AC164" si="500">J64/J$82</f>
        <v>3.933059944625312E-3</v>
      </c>
      <c r="K164" s="29">
        <f t="shared" si="500"/>
        <v>4.3754453963939293E-3</v>
      </c>
      <c r="L164" s="29">
        <f t="shared" si="500"/>
        <v>9.7284253844911565E-3</v>
      </c>
      <c r="M164" s="29">
        <f t="shared" si="500"/>
        <v>1.3333177460685713E-2</v>
      </c>
      <c r="N164" s="29">
        <f t="shared" si="500"/>
        <v>1.287257394087811E-2</v>
      </c>
      <c r="O164" s="29">
        <f t="shared" si="500"/>
        <v>1.2572747087001969E-2</v>
      </c>
      <c r="P164" s="29">
        <f t="shared" si="500"/>
        <v>1.2358704199750853E-2</v>
      </c>
      <c r="Q164" s="29">
        <f t="shared" si="500"/>
        <v>1.0462887894583875E-2</v>
      </c>
      <c r="R164" s="29">
        <f t="shared" si="500"/>
        <v>9.0093349580492102E-3</v>
      </c>
      <c r="S164" s="29">
        <f t="shared" si="500"/>
        <v>8.2059435409089516E-3</v>
      </c>
      <c r="T164" s="29">
        <f t="shared" si="500"/>
        <v>7.2314540588927084E-3</v>
      </c>
      <c r="U164" s="29">
        <f t="shared" si="500"/>
        <v>6.4044146889925277E-3</v>
      </c>
      <c r="V164" s="29">
        <f t="shared" si="500"/>
        <v>5.2369527557607903E-3</v>
      </c>
      <c r="W164" s="29">
        <f t="shared" si="500"/>
        <v>4.5787465437113024E-3</v>
      </c>
      <c r="X164" s="29">
        <f t="shared" si="500"/>
        <v>4.5398730512978044E-3</v>
      </c>
      <c r="Y164" s="29">
        <f t="shared" si="500"/>
        <v>4.6511808844589926E-3</v>
      </c>
      <c r="Z164" s="29">
        <f t="shared" si="500"/>
        <v>5.7638844141411488E-3</v>
      </c>
      <c r="AA164" s="29">
        <f t="shared" si="500"/>
        <v>6.5789958004943425E-3</v>
      </c>
      <c r="AB164" s="29">
        <f t="shared" si="500"/>
        <v>6.3551488234223092E-3</v>
      </c>
      <c r="AC164" s="29">
        <f t="shared" si="500"/>
        <v>6.1252231560750096E-3</v>
      </c>
      <c r="AD164" s="29">
        <f t="shared" ref="AD164:AE164" si="501">AD64/AD$82</f>
        <v>5.87797053466274E-3</v>
      </c>
      <c r="AE164" s="29">
        <f t="shared" si="501"/>
        <v>5.9019955697574749E-3</v>
      </c>
      <c r="AF164" s="29"/>
      <c r="AG164" s="29"/>
      <c r="AH164" s="29"/>
      <c r="AI164" s="29"/>
      <c r="AJ164" s="29"/>
      <c r="AK164" s="29"/>
      <c r="AL164" s="29">
        <f t="shared" ref="AL164:BF164" si="502">AL64/AL$82</f>
        <v>3.6728362252409783E-3</v>
      </c>
      <c r="AM164" s="29">
        <f t="shared" si="502"/>
        <v>4.1594670033893799E-3</v>
      </c>
      <c r="AN164" s="29">
        <f t="shared" si="502"/>
        <v>4.5667807666799672E-3</v>
      </c>
      <c r="AO164" s="29">
        <f t="shared" si="502"/>
        <v>1.3548619900400559E-2</v>
      </c>
      <c r="AP164" s="29">
        <f t="shared" si="502"/>
        <v>1.3144882882861702E-2</v>
      </c>
      <c r="AQ164" s="29">
        <f t="shared" si="502"/>
        <v>1.263632948727717E-2</v>
      </c>
      <c r="AR164" s="29">
        <f t="shared" si="502"/>
        <v>1.2517497102837149E-2</v>
      </c>
      <c r="AS164" s="29">
        <f t="shared" si="502"/>
        <v>1.2219800627947596E-2</v>
      </c>
      <c r="AT164" s="29">
        <f t="shared" si="502"/>
        <v>9.0216076855020068E-3</v>
      </c>
      <c r="AU164" s="29">
        <f t="shared" si="502"/>
        <v>8.9986539444428335E-3</v>
      </c>
      <c r="AV164" s="29">
        <f t="shared" si="502"/>
        <v>7.5582634258938679E-3</v>
      </c>
      <c r="AW164" s="39">
        <f t="shared" si="502"/>
        <v>7.0114520995343318E-3</v>
      </c>
      <c r="AX164" s="29">
        <f t="shared" si="502"/>
        <v>5.9607229882701522E-3</v>
      </c>
      <c r="AY164" s="29">
        <f t="shared" si="502"/>
        <v>4.696979796045748E-3</v>
      </c>
      <c r="AZ164" s="29">
        <f t="shared" si="502"/>
        <v>4.4772022877011238E-3</v>
      </c>
      <c r="BA164" s="29">
        <f t="shared" si="502"/>
        <v>4.594135968442937E-3</v>
      </c>
      <c r="BB164" s="29">
        <f t="shared" si="502"/>
        <v>4.7021299473546619E-3</v>
      </c>
      <c r="BC164" s="29">
        <f t="shared" si="502"/>
        <v>6.7103716371325591E-3</v>
      </c>
      <c r="BD164" s="29">
        <f t="shared" si="502"/>
        <v>6.462490423670998E-3</v>
      </c>
      <c r="BE164" s="29">
        <f t="shared" si="502"/>
        <v>6.2599291749173306E-3</v>
      </c>
      <c r="BF164" s="29">
        <f t="shared" si="502"/>
        <v>6.0016127138663548E-3</v>
      </c>
      <c r="BG164" s="29"/>
      <c r="BH164" s="29"/>
      <c r="BI164" s="29"/>
      <c r="BJ164" s="29"/>
      <c r="BK164" s="29"/>
      <c r="BL164" s="29"/>
      <c r="BM164" s="29"/>
      <c r="BN164" s="29"/>
      <c r="BO164" s="29"/>
      <c r="BP164" s="29"/>
      <c r="BQ164" s="29"/>
      <c r="BR164" s="29"/>
      <c r="BS164" s="29"/>
      <c r="BT164" s="29"/>
      <c r="BU164" s="29"/>
      <c r="BV164" s="29"/>
      <c r="BW164" s="29"/>
      <c r="BX164" s="29"/>
      <c r="BY164" s="29"/>
      <c r="BZ164" s="29"/>
      <c r="CA164" s="29"/>
      <c r="CB164" s="29"/>
      <c r="CC164" s="29"/>
      <c r="CD164" s="29"/>
      <c r="CE164" s="29"/>
      <c r="CF164" s="29"/>
      <c r="CG164" s="29"/>
      <c r="CH164" s="29"/>
      <c r="CI164" s="29"/>
      <c r="CJ164" s="29"/>
      <c r="CK164" s="29"/>
      <c r="CL164" s="29"/>
      <c r="CM164" s="29"/>
      <c r="CN164" s="29"/>
      <c r="CO164" s="29"/>
      <c r="CP164" s="29"/>
      <c r="CQ164" s="29"/>
      <c r="CR164" s="29"/>
      <c r="CS164" s="29"/>
      <c r="CT164" s="29"/>
      <c r="CU164" s="29"/>
      <c r="CV164" s="29"/>
      <c r="CW164" s="29"/>
      <c r="CX164" s="29"/>
      <c r="CY164" s="29"/>
      <c r="CZ164" s="29"/>
      <c r="DA164" s="29"/>
      <c r="DB164" s="29"/>
      <c r="DC164" s="29"/>
      <c r="DD164" s="29"/>
      <c r="DE164" s="29"/>
      <c r="DF164" s="29"/>
      <c r="DG164" s="29"/>
      <c r="DH164" s="29"/>
      <c r="DI164" s="29"/>
      <c r="DJ164" s="29"/>
      <c r="DK164" s="29"/>
      <c r="DL164" s="29"/>
      <c r="DM164" s="29"/>
      <c r="DN164" s="29"/>
      <c r="DO164" s="29"/>
      <c r="DP164" s="29"/>
      <c r="DQ164" s="29"/>
      <c r="DR164" s="29"/>
      <c r="DS164" s="29"/>
      <c r="DT164" s="29"/>
      <c r="DU164" s="29"/>
      <c r="DV164" s="29"/>
      <c r="DW164" s="29"/>
      <c r="DX164" s="29"/>
      <c r="DY164" s="29"/>
      <c r="DZ164" s="29"/>
      <c r="EA164" s="29"/>
      <c r="EB164" s="29"/>
      <c r="EC164" s="29"/>
      <c r="ED164" s="29"/>
      <c r="EE164" s="29"/>
      <c r="EF164" s="29"/>
      <c r="EG164" s="29"/>
      <c r="EH164" s="29"/>
      <c r="EI164" s="29"/>
      <c r="EJ164" s="29"/>
      <c r="EK164" s="29"/>
      <c r="EL164" s="29"/>
      <c r="EM164" s="29"/>
      <c r="EN164" s="29"/>
      <c r="EO164" s="29"/>
      <c r="EP164" s="29"/>
      <c r="EQ164" s="29"/>
      <c r="ER164" s="29"/>
      <c r="ES164" s="29"/>
      <c r="ET164" s="29"/>
      <c r="EU164" s="29"/>
      <c r="EV164" s="29"/>
      <c r="EW164" s="29"/>
      <c r="EX164" s="29"/>
      <c r="EY164" s="29"/>
      <c r="EZ164" s="29"/>
      <c r="FA164" s="29"/>
      <c r="FB164" s="29"/>
      <c r="FC164" s="29"/>
      <c r="FD164" s="29"/>
      <c r="FE164" s="29"/>
      <c r="FF164" s="29"/>
      <c r="FG164" s="29"/>
      <c r="FH164" s="29"/>
      <c r="FI164" s="29"/>
      <c r="FJ164" s="29"/>
      <c r="FK164" s="29"/>
      <c r="FL164" s="29"/>
      <c r="FM164" s="29"/>
      <c r="FN164" s="29"/>
      <c r="FO164" s="29"/>
      <c r="FP164" s="29"/>
      <c r="FQ164" s="29"/>
      <c r="FR164" s="29"/>
      <c r="FS164" s="29"/>
      <c r="FT164" s="29"/>
      <c r="FU164" s="29"/>
      <c r="FV164" s="29"/>
      <c r="FW164" s="29"/>
      <c r="FX164" s="29"/>
      <c r="FY164" s="29"/>
      <c r="FZ164" s="29"/>
      <c r="GA164" s="29"/>
      <c r="GB164" s="29"/>
      <c r="GC164" s="29"/>
      <c r="GD164" s="29"/>
      <c r="GE164" s="29"/>
      <c r="GF164" s="29"/>
      <c r="GG164" s="29"/>
      <c r="GH164" s="29"/>
    </row>
    <row r="165" spans="5:190" x14ac:dyDescent="0.2">
      <c r="E165" s="191" t="s">
        <v>109</v>
      </c>
      <c r="F165" s="29"/>
      <c r="G165" s="29"/>
      <c r="H165" s="29"/>
      <c r="J165" s="29">
        <f t="shared" ref="J165:AC165" si="503">J65/J$82</f>
        <v>5.3864530139935252E-2</v>
      </c>
      <c r="K165" s="29">
        <f t="shared" si="503"/>
        <v>5.3397161911576771E-2</v>
      </c>
      <c r="L165" s="29">
        <f t="shared" si="503"/>
        <v>5.0234344209178453E-2</v>
      </c>
      <c r="M165" s="29">
        <f t="shared" si="503"/>
        <v>5.7172272122854965E-2</v>
      </c>
      <c r="N165" s="29">
        <f t="shared" si="503"/>
        <v>7.0441941489894008E-2</v>
      </c>
      <c r="O165" s="29">
        <f t="shared" si="503"/>
        <v>7.5743289427055632E-2</v>
      </c>
      <c r="P165" s="29">
        <f t="shared" si="503"/>
        <v>7.2467609813016365E-2</v>
      </c>
      <c r="Q165" s="29">
        <f t="shared" si="503"/>
        <v>7.2209658483379707E-2</v>
      </c>
      <c r="R165" s="29">
        <f t="shared" si="503"/>
        <v>7.6812716184771354E-2</v>
      </c>
      <c r="S165" s="29">
        <f t="shared" si="503"/>
        <v>8.3792146933532444E-2</v>
      </c>
      <c r="T165" s="29">
        <f t="shared" si="503"/>
        <v>7.9072961097072625E-2</v>
      </c>
      <c r="U165" s="29">
        <f t="shared" si="503"/>
        <v>7.5030154858224382E-2</v>
      </c>
      <c r="V165" s="29">
        <f t="shared" si="503"/>
        <v>8.4209262581123684E-2</v>
      </c>
      <c r="W165" s="29">
        <f t="shared" si="503"/>
        <v>8.5286310395652751E-2</v>
      </c>
      <c r="X165" s="29">
        <f t="shared" si="503"/>
        <v>9.561610655733839E-2</v>
      </c>
      <c r="Y165" s="29">
        <f t="shared" si="503"/>
        <v>0.11684859259742894</v>
      </c>
      <c r="Z165" s="29">
        <f t="shared" si="503"/>
        <v>0.11368510813253896</v>
      </c>
      <c r="AA165" s="29">
        <f t="shared" si="503"/>
        <v>0.1061907534397616</v>
      </c>
      <c r="AB165" s="29">
        <f t="shared" si="503"/>
        <v>0.11062539021892254</v>
      </c>
      <c r="AC165" s="29">
        <f t="shared" si="503"/>
        <v>0.11507133339060928</v>
      </c>
      <c r="AD165" s="29">
        <f t="shared" ref="AD165:AE165" si="504">AD65/AD$82</f>
        <v>0.1199937035098368</v>
      </c>
      <c r="AE165" s="29">
        <f t="shared" si="504"/>
        <v>0.13124704233969905</v>
      </c>
      <c r="AF165" s="29"/>
      <c r="AG165" s="29"/>
      <c r="AH165" s="29"/>
      <c r="AI165" s="29"/>
      <c r="AJ165" s="29"/>
      <c r="AK165" s="29"/>
      <c r="AL165" s="29">
        <f t="shared" ref="AL165:BF165" si="505">AL65/AL$82</f>
        <v>5.1961243621072788E-2</v>
      </c>
      <c r="AM165" s="29">
        <f t="shared" si="505"/>
        <v>5.5520480272922619E-2</v>
      </c>
      <c r="AN165" s="29">
        <f t="shared" si="505"/>
        <v>5.1516113074924423E-2</v>
      </c>
      <c r="AO165" s="29">
        <f t="shared" si="505"/>
        <v>4.9285691840766727E-2</v>
      </c>
      <c r="AP165" s="29">
        <f t="shared" si="505"/>
        <v>6.4065065885571842E-2</v>
      </c>
      <c r="AQ165" s="29">
        <f t="shared" si="505"/>
        <v>7.5974266215811506E-2</v>
      </c>
      <c r="AR165" s="29">
        <f t="shared" si="505"/>
        <v>7.5542581937782377E-2</v>
      </c>
      <c r="AS165" s="29">
        <f t="shared" si="505"/>
        <v>6.9777788019826245E-2</v>
      </c>
      <c r="AT165" s="29">
        <f t="shared" si="505"/>
        <v>7.4204639055613267E-2</v>
      </c>
      <c r="AU165" s="29">
        <f t="shared" si="505"/>
        <v>7.9082538228010729E-2</v>
      </c>
      <c r="AV165" s="29">
        <f t="shared" si="505"/>
        <v>8.7640109435941999E-2</v>
      </c>
      <c r="AW165" s="39">
        <f t="shared" si="505"/>
        <v>7.2330475827528565E-2</v>
      </c>
      <c r="AX165" s="29">
        <f t="shared" si="505"/>
        <v>7.8276134520425505E-2</v>
      </c>
      <c r="AY165" s="29">
        <f t="shared" si="505"/>
        <v>9.0125055147102104E-2</v>
      </c>
      <c r="AZ165" s="29">
        <f t="shared" si="505"/>
        <v>8.1130569721115584E-2</v>
      </c>
      <c r="BA165" s="29">
        <f t="shared" si="505"/>
        <v>0.10815827837776208</v>
      </c>
      <c r="BB165" s="29">
        <f t="shared" si="505"/>
        <v>0.12461025475214811</v>
      </c>
      <c r="BC165" s="29">
        <f t="shared" si="505"/>
        <v>0.10394602813971868</v>
      </c>
      <c r="BD165" s="29">
        <f t="shared" si="505"/>
        <v>0.10818139778988348</v>
      </c>
      <c r="BE165" s="29">
        <f t="shared" si="505"/>
        <v>0.11279338566060389</v>
      </c>
      <c r="BF165" s="29">
        <f t="shared" si="505"/>
        <v>0.11716164924029503</v>
      </c>
      <c r="BG165" s="29"/>
      <c r="BH165" s="29"/>
      <c r="BI165" s="29"/>
      <c r="BJ165" s="29"/>
      <c r="BK165" s="29"/>
      <c r="BL165" s="29"/>
      <c r="BM165" s="29"/>
      <c r="BN165" s="29"/>
      <c r="BO165" s="29"/>
      <c r="BP165" s="29"/>
      <c r="BQ165" s="29"/>
      <c r="BR165" s="29"/>
      <c r="BS165" s="29"/>
      <c r="BT165" s="29"/>
      <c r="BU165" s="29"/>
      <c r="BV165" s="29"/>
      <c r="BW165" s="29"/>
      <c r="BX165" s="29"/>
      <c r="BY165" s="29"/>
      <c r="BZ165" s="29"/>
      <c r="CA165" s="29"/>
      <c r="CB165" s="29"/>
      <c r="CC165" s="29"/>
      <c r="CD165" s="29"/>
      <c r="CE165" s="29"/>
      <c r="CF165" s="29"/>
      <c r="CG165" s="29"/>
      <c r="CH165" s="29"/>
      <c r="CI165" s="29"/>
      <c r="CJ165" s="29"/>
      <c r="CK165" s="29"/>
      <c r="CL165" s="29"/>
      <c r="CM165" s="29"/>
      <c r="CN165" s="29"/>
      <c r="CO165" s="29"/>
      <c r="CP165" s="29"/>
      <c r="CQ165" s="29"/>
      <c r="CR165" s="29"/>
      <c r="CS165" s="29"/>
      <c r="CT165" s="29"/>
      <c r="CU165" s="29"/>
      <c r="CV165" s="29"/>
      <c r="CW165" s="29"/>
      <c r="CX165" s="29"/>
      <c r="CY165" s="29"/>
      <c r="CZ165" s="29"/>
      <c r="DA165" s="29"/>
      <c r="DB165" s="29"/>
      <c r="DC165" s="29"/>
      <c r="DD165" s="29"/>
      <c r="DE165" s="29"/>
      <c r="DF165" s="29"/>
      <c r="DG165" s="29"/>
      <c r="DH165" s="29"/>
      <c r="DI165" s="29"/>
      <c r="DJ165" s="29"/>
      <c r="DK165" s="29"/>
      <c r="DL165" s="29"/>
      <c r="DM165" s="29"/>
      <c r="DN165" s="29"/>
      <c r="DO165" s="29"/>
      <c r="DP165" s="29"/>
      <c r="DQ165" s="29"/>
      <c r="DR165" s="29"/>
      <c r="DS165" s="29"/>
      <c r="DT165" s="29"/>
      <c r="DU165" s="29"/>
      <c r="DV165" s="29"/>
      <c r="DW165" s="29"/>
      <c r="DX165" s="29"/>
      <c r="DY165" s="29"/>
      <c r="DZ165" s="29"/>
      <c r="EA165" s="29"/>
      <c r="EB165" s="29"/>
      <c r="EC165" s="29"/>
      <c r="ED165" s="29"/>
      <c r="EE165" s="29"/>
      <c r="EF165" s="29"/>
      <c r="EG165" s="29"/>
      <c r="EH165" s="29"/>
      <c r="EI165" s="29"/>
      <c r="EJ165" s="29"/>
      <c r="EK165" s="29"/>
      <c r="EL165" s="29"/>
      <c r="EM165" s="29"/>
      <c r="EN165" s="29"/>
      <c r="EO165" s="29"/>
      <c r="EP165" s="29"/>
      <c r="EQ165" s="29"/>
      <c r="ER165" s="29"/>
      <c r="ES165" s="29"/>
      <c r="ET165" s="29"/>
      <c r="EU165" s="29"/>
      <c r="EV165" s="29"/>
      <c r="EW165" s="29"/>
      <c r="EX165" s="29"/>
      <c r="EY165" s="29"/>
      <c r="EZ165" s="29"/>
      <c r="FA165" s="29"/>
      <c r="FB165" s="29"/>
      <c r="FC165" s="29"/>
      <c r="FD165" s="29"/>
      <c r="FE165" s="29"/>
      <c r="FF165" s="29"/>
      <c r="FG165" s="29"/>
      <c r="FH165" s="29"/>
      <c r="FI165" s="29"/>
      <c r="FJ165" s="29"/>
      <c r="FK165" s="29"/>
      <c r="FL165" s="29"/>
      <c r="FM165" s="29"/>
      <c r="FN165" s="29"/>
      <c r="FO165" s="29"/>
      <c r="FP165" s="29"/>
      <c r="FQ165" s="29"/>
      <c r="FR165" s="29"/>
      <c r="FS165" s="29"/>
      <c r="FT165" s="29"/>
      <c r="FU165" s="29"/>
      <c r="FV165" s="29"/>
      <c r="FW165" s="29"/>
      <c r="FX165" s="29"/>
      <c r="FY165" s="29"/>
      <c r="FZ165" s="29"/>
      <c r="GA165" s="29"/>
      <c r="GB165" s="29"/>
      <c r="GC165" s="29"/>
      <c r="GD165" s="29"/>
      <c r="GE165" s="29"/>
      <c r="GF165" s="29"/>
      <c r="GG165" s="29"/>
      <c r="GH165" s="29"/>
    </row>
    <row r="166" spans="5:190" x14ac:dyDescent="0.2">
      <c r="E166" s="192" t="s">
        <v>110</v>
      </c>
      <c r="F166" s="29"/>
      <c r="G166" s="29"/>
      <c r="H166" s="29"/>
      <c r="J166" s="29">
        <f t="shared" ref="J166:AC166" si="506">J66/J$82</f>
        <v>0.44485527447016004</v>
      </c>
      <c r="K166" s="29">
        <f t="shared" si="506"/>
        <v>0.45105076964431834</v>
      </c>
      <c r="L166" s="29">
        <f t="shared" si="506"/>
        <v>0.47563454094262436</v>
      </c>
      <c r="M166" s="29">
        <f t="shared" si="506"/>
        <v>0.48560840640689423</v>
      </c>
      <c r="N166" s="29">
        <f t="shared" si="506"/>
        <v>0.4717764480694715</v>
      </c>
      <c r="O166" s="29">
        <f t="shared" si="506"/>
        <v>0.46042751374483132</v>
      </c>
      <c r="P166" s="29">
        <f t="shared" si="506"/>
        <v>0.46132249382907559</v>
      </c>
      <c r="Q166" s="29">
        <f t="shared" si="506"/>
        <v>0.45909246034727469</v>
      </c>
      <c r="R166" s="29">
        <f t="shared" si="506"/>
        <v>0.46468848387215217</v>
      </c>
      <c r="S166" s="29">
        <f t="shared" si="506"/>
        <v>0.46091525406758077</v>
      </c>
      <c r="T166" s="29">
        <f t="shared" si="506"/>
        <v>0.45034587313139085</v>
      </c>
      <c r="U166" s="29">
        <f t="shared" si="506"/>
        <v>0.4449867474102534</v>
      </c>
      <c r="V166" s="29">
        <f t="shared" si="506"/>
        <v>0.4313152349188889</v>
      </c>
      <c r="W166" s="29">
        <f t="shared" si="506"/>
        <v>0.42257588268760771</v>
      </c>
      <c r="X166" s="29">
        <f t="shared" si="506"/>
        <v>0.41404840382017694</v>
      </c>
      <c r="Y166" s="29">
        <f t="shared" si="506"/>
        <v>0.4103040555777932</v>
      </c>
      <c r="Z166" s="29">
        <f t="shared" si="506"/>
        <v>0.45290511334665162</v>
      </c>
      <c r="AA166" s="29">
        <f t="shared" si="506"/>
        <v>0.4907482695268805</v>
      </c>
      <c r="AB166" s="29">
        <f t="shared" si="506"/>
        <v>0.49263230051150503</v>
      </c>
      <c r="AC166" s="29">
        <f t="shared" si="506"/>
        <v>0.49438699316502227</v>
      </c>
      <c r="AD166" s="29">
        <f t="shared" ref="AD166:AE166" si="507">AD66/AD$82</f>
        <v>0.49664954143516921</v>
      </c>
      <c r="AE166" s="29">
        <f t="shared" si="507"/>
        <v>0.52359221608945061</v>
      </c>
      <c r="AF166" s="29"/>
      <c r="AG166" s="29"/>
      <c r="AH166" s="29"/>
      <c r="AI166" s="29"/>
      <c r="AJ166" s="29"/>
      <c r="AK166" s="29"/>
      <c r="AL166" s="29">
        <f t="shared" ref="AL166:BF166" si="508">AL66/AL$82</f>
        <v>0.44035667249949556</v>
      </c>
      <c r="AM166" s="29">
        <f t="shared" si="508"/>
        <v>0.44876927294477303</v>
      </c>
      <c r="AN166" s="29">
        <f t="shared" si="508"/>
        <v>0.45307194875275197</v>
      </c>
      <c r="AO166" s="29">
        <f t="shared" si="508"/>
        <v>0.4923333835268317</v>
      </c>
      <c r="AP166" s="29">
        <f t="shared" si="508"/>
        <v>0.47973084240719766</v>
      </c>
      <c r="AQ166" s="29">
        <f t="shared" si="508"/>
        <v>0.46487553056616088</v>
      </c>
      <c r="AR166" s="29">
        <f t="shared" si="508"/>
        <v>0.45656240550922472</v>
      </c>
      <c r="AS166" s="29">
        <f t="shared" si="508"/>
        <v>0.46548636549383687</v>
      </c>
      <c r="AT166" s="29">
        <f t="shared" si="508"/>
        <v>0.45384723173034547</v>
      </c>
      <c r="AU166" s="29">
        <f t="shared" si="508"/>
        <v>0.47412367764486574</v>
      </c>
      <c r="AV166" s="29">
        <f t="shared" si="508"/>
        <v>0.45012337690340243</v>
      </c>
      <c r="AW166" s="39">
        <f t="shared" si="508"/>
        <v>0.45451386982243935</v>
      </c>
      <c r="AX166" s="29">
        <f t="shared" si="508"/>
        <v>0.44225874805928195</v>
      </c>
      <c r="AY166" s="29">
        <f t="shared" si="508"/>
        <v>0.42727573990245921</v>
      </c>
      <c r="AZ166" s="29">
        <f t="shared" si="508"/>
        <v>0.41853942513600295</v>
      </c>
      <c r="BA166" s="29">
        <f t="shared" si="508"/>
        <v>0.41015989339566694</v>
      </c>
      <c r="BB166" s="29">
        <f t="shared" si="508"/>
        <v>0.41043281250474278</v>
      </c>
      <c r="BC166" s="29">
        <f t="shared" si="508"/>
        <v>0.49076649404757983</v>
      </c>
      <c r="BD166" s="29">
        <f t="shared" si="508"/>
        <v>0.49073210784368343</v>
      </c>
      <c r="BE166" s="29">
        <f t="shared" si="508"/>
        <v>0.49431790681421101</v>
      </c>
      <c r="BF166" s="29">
        <f t="shared" si="508"/>
        <v>0.49445038895422128</v>
      </c>
      <c r="BG166" s="29"/>
      <c r="BH166" s="29"/>
      <c r="BI166" s="29"/>
      <c r="BJ166" s="29"/>
      <c r="BK166" s="29"/>
      <c r="BL166" s="29"/>
      <c r="BM166" s="29"/>
      <c r="BN166" s="29"/>
      <c r="BO166" s="29"/>
      <c r="BP166" s="29"/>
      <c r="BQ166" s="29"/>
      <c r="BR166" s="29"/>
      <c r="BS166" s="29"/>
      <c r="BT166" s="29"/>
      <c r="BU166" s="29"/>
      <c r="BV166" s="29"/>
      <c r="BW166" s="29"/>
      <c r="BX166" s="29"/>
      <c r="BY166" s="29"/>
      <c r="BZ166" s="29"/>
      <c r="CA166" s="29"/>
      <c r="CB166" s="29"/>
      <c r="CC166" s="29"/>
      <c r="CD166" s="29"/>
      <c r="CE166" s="29"/>
      <c r="CF166" s="29"/>
      <c r="CG166" s="29"/>
      <c r="CH166" s="29"/>
      <c r="CI166" s="29"/>
      <c r="CJ166" s="29"/>
      <c r="CK166" s="29"/>
      <c r="CL166" s="29"/>
      <c r="CM166" s="29"/>
      <c r="CN166" s="29"/>
      <c r="CO166" s="29"/>
      <c r="CP166" s="29"/>
      <c r="CQ166" s="29"/>
      <c r="CR166" s="29"/>
      <c r="CS166" s="29"/>
      <c r="CT166" s="29"/>
      <c r="CU166" s="29"/>
      <c r="CV166" s="29"/>
      <c r="CW166" s="29"/>
      <c r="CX166" s="29"/>
      <c r="CY166" s="29"/>
      <c r="CZ166" s="29"/>
      <c r="DA166" s="29"/>
      <c r="DB166" s="29"/>
      <c r="DC166" s="29"/>
      <c r="DD166" s="29"/>
      <c r="DE166" s="29"/>
      <c r="DF166" s="29"/>
      <c r="DG166" s="29"/>
      <c r="DH166" s="29"/>
      <c r="DI166" s="29"/>
      <c r="DJ166" s="29"/>
      <c r="DK166" s="29"/>
      <c r="DL166" s="29"/>
      <c r="DM166" s="29"/>
      <c r="DN166" s="29"/>
      <c r="DO166" s="29"/>
      <c r="DP166" s="29"/>
      <c r="DQ166" s="29"/>
      <c r="DR166" s="29"/>
      <c r="DS166" s="29"/>
      <c r="DT166" s="29"/>
      <c r="DU166" s="29"/>
      <c r="DV166" s="29"/>
      <c r="DW166" s="29"/>
      <c r="DX166" s="29"/>
      <c r="DY166" s="29"/>
      <c r="DZ166" s="29"/>
      <c r="EA166" s="29"/>
      <c r="EB166" s="29"/>
      <c r="EC166" s="29"/>
      <c r="ED166" s="29"/>
      <c r="EE166" s="29"/>
      <c r="EF166" s="29"/>
      <c r="EG166" s="29"/>
      <c r="EH166" s="29"/>
      <c r="EI166" s="29"/>
      <c r="EJ166" s="29"/>
      <c r="EK166" s="29"/>
      <c r="EL166" s="29"/>
      <c r="EM166" s="29"/>
      <c r="EN166" s="29"/>
      <c r="EO166" s="29"/>
      <c r="EP166" s="29"/>
      <c r="EQ166" s="29"/>
      <c r="ER166" s="29"/>
      <c r="ES166" s="29"/>
      <c r="ET166" s="29"/>
      <c r="EU166" s="29"/>
      <c r="EV166" s="29"/>
      <c r="EW166" s="29"/>
      <c r="EX166" s="29"/>
      <c r="EY166" s="29"/>
      <c r="EZ166" s="29"/>
      <c r="FA166" s="29"/>
      <c r="FB166" s="29"/>
      <c r="FC166" s="29"/>
      <c r="FD166" s="29"/>
      <c r="FE166" s="29"/>
      <c r="FF166" s="29"/>
      <c r="FG166" s="29"/>
      <c r="FH166" s="29"/>
      <c r="FI166" s="29"/>
      <c r="FJ166" s="29"/>
      <c r="FK166" s="29"/>
      <c r="FL166" s="29"/>
      <c r="FM166" s="29"/>
      <c r="FN166" s="29"/>
      <c r="FO166" s="29"/>
      <c r="FP166" s="29"/>
      <c r="FQ166" s="29"/>
      <c r="FR166" s="29"/>
      <c r="FS166" s="29"/>
      <c r="FT166" s="29"/>
      <c r="FU166" s="29"/>
      <c r="FV166" s="29"/>
      <c r="FW166" s="29"/>
      <c r="FX166" s="29"/>
      <c r="FY166" s="29"/>
      <c r="FZ166" s="29"/>
      <c r="GA166" s="29"/>
      <c r="GB166" s="29"/>
      <c r="GC166" s="29"/>
      <c r="GD166" s="29"/>
      <c r="GE166" s="29"/>
      <c r="GF166" s="29"/>
      <c r="GG166" s="29"/>
      <c r="GH166" s="29"/>
    </row>
    <row r="167" spans="5:190" x14ac:dyDescent="0.2">
      <c r="E167" s="191" t="s">
        <v>111</v>
      </c>
      <c r="F167" s="29"/>
      <c r="G167" s="29"/>
      <c r="H167" s="29"/>
      <c r="J167" s="29">
        <f t="shared" ref="J167:AC167" si="509">J67/J$82</f>
        <v>0.13044732726357883</v>
      </c>
      <c r="K167" s="29">
        <f t="shared" si="509"/>
        <v>0.12954183999335558</v>
      </c>
      <c r="L167" s="29">
        <f t="shared" si="509"/>
        <v>0.12119098648724386</v>
      </c>
      <c r="M167" s="29">
        <f t="shared" si="509"/>
        <v>0.11334654544966637</v>
      </c>
      <c r="N167" s="29">
        <f t="shared" si="509"/>
        <v>0.1094800512810918</v>
      </c>
      <c r="O167" s="29">
        <f t="shared" si="509"/>
        <v>0.10526162546744126</v>
      </c>
      <c r="P167" s="29">
        <f t="shared" si="509"/>
        <v>0.10365725168370726</v>
      </c>
      <c r="Q167" s="29">
        <f t="shared" si="509"/>
        <v>0.10011458048330105</v>
      </c>
      <c r="R167" s="29">
        <f t="shared" si="509"/>
        <v>9.7800346300965263E-2</v>
      </c>
      <c r="S167" s="29">
        <f t="shared" si="509"/>
        <v>9.8076887476656563E-2</v>
      </c>
      <c r="T167" s="29">
        <f t="shared" si="509"/>
        <v>9.7968308912493141E-2</v>
      </c>
      <c r="U167" s="29">
        <f t="shared" si="509"/>
        <v>9.9527008769815073E-2</v>
      </c>
      <c r="V167" s="29">
        <f t="shared" si="509"/>
        <v>0.10284078318494808</v>
      </c>
      <c r="W167" s="29">
        <f t="shared" si="509"/>
        <v>0.10473719013068086</v>
      </c>
      <c r="X167" s="29">
        <f t="shared" si="509"/>
        <v>0.10318950947276279</v>
      </c>
      <c r="Y167" s="29">
        <f t="shared" si="509"/>
        <v>0.1040599033397587</v>
      </c>
      <c r="Z167" s="29">
        <f t="shared" si="509"/>
        <v>0.10553023487586098</v>
      </c>
      <c r="AA167" s="29">
        <f t="shared" si="509"/>
        <v>0.10693256845901332</v>
      </c>
      <c r="AB167" s="29">
        <f t="shared" si="509"/>
        <v>0.10982022659393011</v>
      </c>
      <c r="AC167" s="29">
        <f t="shared" si="509"/>
        <v>0.11251593541918949</v>
      </c>
      <c r="AD167" s="29">
        <f t="shared" ref="AD167:AE167" si="510">AD67/AD$82</f>
        <v>0.11584973004146958</v>
      </c>
      <c r="AE167" s="29">
        <f t="shared" si="510"/>
        <v>0.12547455273547695</v>
      </c>
      <c r="AF167" s="29"/>
      <c r="AG167" s="29"/>
      <c r="AH167" s="29"/>
      <c r="AI167" s="29"/>
      <c r="AJ167" s="29"/>
      <c r="AK167" s="29"/>
      <c r="AL167" s="29">
        <f t="shared" ref="AL167:BF167" si="511">AL67/AL$82</f>
        <v>0.13000185233161446</v>
      </c>
      <c r="AM167" s="29">
        <f t="shared" si="511"/>
        <v>0.13083491172105183</v>
      </c>
      <c r="AN167" s="29">
        <f t="shared" si="511"/>
        <v>0.12839630707969996</v>
      </c>
      <c r="AO167" s="29">
        <f t="shared" si="511"/>
        <v>0.11585824309811407</v>
      </c>
      <c r="AP167" s="29">
        <f t="shared" si="511"/>
        <v>0.11115134635629367</v>
      </c>
      <c r="AQ167" s="29">
        <f t="shared" si="511"/>
        <v>0.10803010186345278</v>
      </c>
      <c r="AR167" s="29">
        <f t="shared" si="511"/>
        <v>0.10285595540185281</v>
      </c>
      <c r="AS167" s="29">
        <f t="shared" si="511"/>
        <v>0.10435818298138472</v>
      </c>
      <c r="AT167" s="29">
        <f t="shared" si="511"/>
        <v>9.6633348786614282E-2</v>
      </c>
      <c r="AU167" s="29">
        <f t="shared" si="511"/>
        <v>9.881598983882893E-2</v>
      </c>
      <c r="AV167" s="29">
        <f t="shared" si="511"/>
        <v>9.7473007546727955E-2</v>
      </c>
      <c r="AW167" s="39">
        <f t="shared" si="511"/>
        <v>9.9263138200103976E-2</v>
      </c>
      <c r="AX167" s="29">
        <f t="shared" si="511"/>
        <v>0.10097784921329193</v>
      </c>
      <c r="AY167" s="29">
        <f t="shared" si="511"/>
        <v>0.1055932468997496</v>
      </c>
      <c r="AZ167" s="29">
        <f t="shared" si="511"/>
        <v>0.10400196847348014</v>
      </c>
      <c r="BA167" s="29">
        <f t="shared" si="511"/>
        <v>0.10248604915235784</v>
      </c>
      <c r="BB167" s="29">
        <f t="shared" si="511"/>
        <v>0.10546557454733717</v>
      </c>
      <c r="BC167" s="29">
        <f t="shared" si="511"/>
        <v>0.105587875485528</v>
      </c>
      <c r="BD167" s="29">
        <f t="shared" si="511"/>
        <v>0.10812505533937497</v>
      </c>
      <c r="BE167" s="29">
        <f t="shared" si="511"/>
        <v>0.1113239642933917</v>
      </c>
      <c r="BF167" s="29">
        <f t="shared" si="511"/>
        <v>0.11360972528267201</v>
      </c>
      <c r="BG167" s="29"/>
      <c r="BH167" s="29"/>
      <c r="BI167" s="29"/>
      <c r="BJ167" s="29"/>
      <c r="BK167" s="29"/>
      <c r="BL167" s="29"/>
      <c r="BM167" s="29"/>
      <c r="BN167" s="29"/>
      <c r="BO167" s="29"/>
      <c r="BP167" s="29"/>
      <c r="BQ167" s="29"/>
      <c r="BR167" s="29"/>
      <c r="BS167" s="29"/>
      <c r="BT167" s="29"/>
      <c r="BU167" s="29"/>
      <c r="BV167" s="29"/>
      <c r="BW167" s="29"/>
      <c r="BX167" s="29"/>
      <c r="BY167" s="29"/>
      <c r="BZ167" s="29"/>
      <c r="CA167" s="29"/>
      <c r="CB167" s="29"/>
      <c r="CC167" s="29"/>
      <c r="CD167" s="29"/>
      <c r="CE167" s="29"/>
      <c r="CF167" s="29"/>
      <c r="CG167" s="29"/>
      <c r="CH167" s="29"/>
      <c r="CI167" s="29"/>
      <c r="CJ167" s="29"/>
      <c r="CK167" s="29"/>
      <c r="CL167" s="29"/>
      <c r="CM167" s="29"/>
      <c r="CN167" s="29"/>
      <c r="CO167" s="29"/>
      <c r="CP167" s="29"/>
      <c r="CQ167" s="29"/>
      <c r="CR167" s="29"/>
      <c r="CS167" s="29"/>
      <c r="CT167" s="29"/>
      <c r="CU167" s="29"/>
      <c r="CV167" s="29"/>
      <c r="CW167" s="29"/>
      <c r="CX167" s="29"/>
      <c r="CY167" s="29"/>
      <c r="CZ167" s="29"/>
      <c r="DA167" s="29"/>
      <c r="DB167" s="29"/>
      <c r="DC167" s="29"/>
      <c r="DD167" s="29"/>
      <c r="DE167" s="29"/>
      <c r="DF167" s="29"/>
      <c r="DG167" s="29"/>
      <c r="DH167" s="29"/>
      <c r="DI167" s="29"/>
      <c r="DJ167" s="29"/>
      <c r="DK167" s="29"/>
      <c r="DL167" s="29"/>
      <c r="DM167" s="29"/>
      <c r="DN167" s="29"/>
      <c r="DO167" s="29"/>
      <c r="DP167" s="29"/>
      <c r="DQ167" s="29"/>
      <c r="DR167" s="29"/>
      <c r="DS167" s="29"/>
      <c r="DT167" s="29"/>
      <c r="DU167" s="29"/>
      <c r="DV167" s="29"/>
      <c r="DW167" s="29"/>
      <c r="DX167" s="29"/>
      <c r="DY167" s="29"/>
      <c r="DZ167" s="29"/>
      <c r="EA167" s="29"/>
      <c r="EB167" s="29"/>
      <c r="EC167" s="29"/>
      <c r="ED167" s="29"/>
      <c r="EE167" s="29"/>
      <c r="EF167" s="29"/>
      <c r="EG167" s="29"/>
      <c r="EH167" s="29"/>
      <c r="EI167" s="29"/>
      <c r="EJ167" s="29"/>
      <c r="EK167" s="29"/>
      <c r="EL167" s="29"/>
      <c r="EM167" s="29"/>
      <c r="EN167" s="29"/>
      <c r="EO167" s="29"/>
      <c r="EP167" s="29"/>
      <c r="EQ167" s="29"/>
      <c r="ER167" s="29"/>
      <c r="ES167" s="29"/>
      <c r="ET167" s="29"/>
      <c r="EU167" s="29"/>
      <c r="EV167" s="29"/>
      <c r="EW167" s="29"/>
      <c r="EX167" s="29"/>
      <c r="EY167" s="29"/>
      <c r="EZ167" s="29"/>
      <c r="FA167" s="29"/>
      <c r="FB167" s="29"/>
      <c r="FC167" s="29"/>
      <c r="FD167" s="29"/>
      <c r="FE167" s="29"/>
      <c r="FF167" s="29"/>
      <c r="FG167" s="29"/>
      <c r="FH167" s="29"/>
      <c r="FI167" s="29"/>
      <c r="FJ167" s="29"/>
      <c r="FK167" s="29"/>
      <c r="FL167" s="29"/>
      <c r="FM167" s="29"/>
      <c r="FN167" s="29"/>
      <c r="FO167" s="29"/>
      <c r="FP167" s="29"/>
      <c r="FQ167" s="29"/>
      <c r="FR167" s="29"/>
      <c r="FS167" s="29"/>
      <c r="FT167" s="29"/>
      <c r="FU167" s="29"/>
      <c r="FV167" s="29"/>
      <c r="FW167" s="29"/>
      <c r="FX167" s="29"/>
      <c r="FY167" s="29"/>
      <c r="FZ167" s="29"/>
      <c r="GA167" s="29"/>
      <c r="GB167" s="29"/>
      <c r="GC167" s="29"/>
      <c r="GD167" s="29"/>
      <c r="GE167" s="29"/>
      <c r="GF167" s="29"/>
      <c r="GG167" s="29"/>
      <c r="GH167" s="29"/>
    </row>
    <row r="168" spans="5:190" x14ac:dyDescent="0.2">
      <c r="E168" s="191" t="s">
        <v>112</v>
      </c>
      <c r="F168" s="29"/>
      <c r="G168" s="29"/>
      <c r="H168" s="29"/>
      <c r="J168" s="29">
        <f t="shared" ref="J168:AC168" si="512">J68/J$82</f>
        <v>2.8537229245819726E-2</v>
      </c>
      <c r="K168" s="29">
        <f t="shared" si="512"/>
        <v>2.8215619690974168E-2</v>
      </c>
      <c r="L168" s="29">
        <f t="shared" si="512"/>
        <v>2.3279012406750416E-2</v>
      </c>
      <c r="M168" s="29">
        <f t="shared" si="512"/>
        <v>1.9409189398314895E-2</v>
      </c>
      <c r="N168" s="29">
        <f t="shared" si="512"/>
        <v>1.8063076613168971E-2</v>
      </c>
      <c r="O168" s="29">
        <f t="shared" si="512"/>
        <v>1.7101606523405154E-2</v>
      </c>
      <c r="P168" s="29">
        <f t="shared" si="512"/>
        <v>1.7558596428283883E-2</v>
      </c>
      <c r="Q168" s="29">
        <f t="shared" si="512"/>
        <v>1.676722720938699E-2</v>
      </c>
      <c r="R168" s="29">
        <f t="shared" si="512"/>
        <v>1.6885991355129606E-2</v>
      </c>
      <c r="S168" s="29">
        <f t="shared" si="512"/>
        <v>1.7498675717665533E-2</v>
      </c>
      <c r="T168" s="29">
        <f t="shared" si="512"/>
        <v>1.7514527837248398E-2</v>
      </c>
      <c r="U168" s="29">
        <f t="shared" si="512"/>
        <v>1.7069552477220432E-2</v>
      </c>
      <c r="V168" s="29">
        <f t="shared" si="512"/>
        <v>1.4963794925074148E-2</v>
      </c>
      <c r="W168" s="29">
        <f t="shared" si="512"/>
        <v>1.4202935208682354E-2</v>
      </c>
      <c r="X168" s="29">
        <f t="shared" si="512"/>
        <v>1.3526823487261643E-2</v>
      </c>
      <c r="Y168" s="29">
        <f t="shared" si="512"/>
        <v>1.1803197689179468E-2</v>
      </c>
      <c r="Z168" s="29">
        <f t="shared" si="512"/>
        <v>1.2652237966337068E-2</v>
      </c>
      <c r="AA168" s="29">
        <f t="shared" si="512"/>
        <v>1.3779122863125133E-2</v>
      </c>
      <c r="AB168" s="29">
        <f t="shared" si="512"/>
        <v>1.3159671477564585E-2</v>
      </c>
      <c r="AC168" s="29">
        <f t="shared" si="512"/>
        <v>1.25638022413876E-2</v>
      </c>
      <c r="AD168" s="29">
        <f t="shared" ref="AD168:AE168" si="513">AD68/AD$82</f>
        <v>1.1969511218232198E-2</v>
      </c>
      <c r="AE168" s="29">
        <f t="shared" si="513"/>
        <v>1.1953989420367062E-2</v>
      </c>
      <c r="AF168" s="29"/>
      <c r="AG168" s="29"/>
      <c r="AH168" s="29"/>
      <c r="AI168" s="29"/>
      <c r="AJ168" s="29"/>
      <c r="AK168" s="29"/>
      <c r="AL168" s="29">
        <f t="shared" ref="AL168:BF168" si="514">AL68/AL$82</f>
        <v>2.8105472144051565E-2</v>
      </c>
      <c r="AM168" s="29">
        <f t="shared" si="514"/>
        <v>2.8912878536142311E-2</v>
      </c>
      <c r="AN168" s="29">
        <f t="shared" si="514"/>
        <v>2.7597917718709512E-2</v>
      </c>
      <c r="AO168" s="29">
        <f t="shared" si="514"/>
        <v>2.0082539265119322E-2</v>
      </c>
      <c r="AP168" s="29">
        <f t="shared" si="514"/>
        <v>1.8820688223404283E-2</v>
      </c>
      <c r="AQ168" s="29">
        <f t="shared" si="514"/>
        <v>1.7405802784414001E-2</v>
      </c>
      <c r="AR168" s="29">
        <f t="shared" si="514"/>
        <v>1.6837274907565054E-2</v>
      </c>
      <c r="AS168" s="29">
        <f t="shared" si="514"/>
        <v>1.8189570065638126E-2</v>
      </c>
      <c r="AT168" s="29">
        <f t="shared" si="514"/>
        <v>1.560041079880814E-2</v>
      </c>
      <c r="AU168" s="29">
        <f t="shared" si="514"/>
        <v>1.800483828357162E-2</v>
      </c>
      <c r="AV168" s="29">
        <f t="shared" si="514"/>
        <v>1.7085118096318668E-2</v>
      </c>
      <c r="AW168" s="39">
        <f t="shared" si="514"/>
        <v>1.8042044656817757E-2</v>
      </c>
      <c r="AX168" s="29">
        <f t="shared" si="514"/>
        <v>1.6442471759641905E-2</v>
      </c>
      <c r="AY168" s="29">
        <f t="shared" si="514"/>
        <v>1.3910576302354438E-2</v>
      </c>
      <c r="AZ168" s="29">
        <f t="shared" si="514"/>
        <v>1.445402673365403E-2</v>
      </c>
      <c r="BA168" s="29">
        <f t="shared" si="514"/>
        <v>1.2724012893481788E-2</v>
      </c>
      <c r="BB168" s="29">
        <f t="shared" si="514"/>
        <v>1.0980781336667257E-2</v>
      </c>
      <c r="BC168" s="29">
        <f t="shared" si="514"/>
        <v>1.414223625996788E-2</v>
      </c>
      <c r="BD168" s="29">
        <f t="shared" si="514"/>
        <v>1.3457110351454003E-2</v>
      </c>
      <c r="BE168" s="29">
        <f t="shared" si="514"/>
        <v>1.2895822001146763E-2</v>
      </c>
      <c r="BF168" s="29">
        <f t="shared" si="514"/>
        <v>1.2259130559464598E-2</v>
      </c>
      <c r="BG168" s="29"/>
      <c r="BH168" s="29"/>
      <c r="BI168" s="29"/>
      <c r="BJ168" s="29"/>
      <c r="BK168" s="29"/>
      <c r="BL168" s="29"/>
      <c r="BM168" s="29"/>
      <c r="BN168" s="29"/>
      <c r="BO168" s="29"/>
      <c r="BP168" s="29"/>
      <c r="BQ168" s="29"/>
      <c r="BR168" s="29"/>
      <c r="BS168" s="29"/>
      <c r="BT168" s="29"/>
      <c r="BU168" s="29"/>
      <c r="BV168" s="29"/>
      <c r="BW168" s="29"/>
      <c r="BX168" s="29"/>
      <c r="BY168" s="29"/>
      <c r="BZ168" s="29"/>
      <c r="CA168" s="29"/>
      <c r="CB168" s="29"/>
      <c r="CC168" s="29"/>
      <c r="CD168" s="29"/>
      <c r="CE168" s="29"/>
      <c r="CF168" s="29"/>
      <c r="CG168" s="29"/>
      <c r="CH168" s="29"/>
      <c r="CI168" s="29"/>
      <c r="CJ168" s="29"/>
      <c r="CK168" s="29"/>
      <c r="CL168" s="29"/>
      <c r="CM168" s="29"/>
      <c r="CN168" s="29"/>
      <c r="CO168" s="29"/>
      <c r="CP168" s="29"/>
      <c r="CQ168" s="29"/>
      <c r="CR168" s="29"/>
      <c r="CS168" s="29"/>
      <c r="CT168" s="29"/>
      <c r="CU168" s="29"/>
      <c r="CV168" s="29"/>
      <c r="CW168" s="29"/>
      <c r="CX168" s="29"/>
      <c r="CY168" s="29"/>
      <c r="CZ168" s="29"/>
      <c r="DA168" s="29"/>
      <c r="DB168" s="29"/>
      <c r="DC168" s="29"/>
      <c r="DD168" s="29"/>
      <c r="DE168" s="29"/>
      <c r="DF168" s="29"/>
      <c r="DG168" s="29"/>
      <c r="DH168" s="29"/>
      <c r="DI168" s="29"/>
      <c r="DJ168" s="29"/>
      <c r="DK168" s="29"/>
      <c r="DL168" s="29"/>
      <c r="DM168" s="29"/>
      <c r="DN168" s="29"/>
      <c r="DO168" s="29"/>
      <c r="DP168" s="29"/>
      <c r="DQ168" s="29"/>
      <c r="DR168" s="29"/>
      <c r="DS168" s="29"/>
      <c r="DT168" s="29"/>
      <c r="DU168" s="29"/>
      <c r="DV168" s="29"/>
      <c r="DW168" s="29"/>
      <c r="DX168" s="29"/>
      <c r="DY168" s="29"/>
      <c r="DZ168" s="29"/>
      <c r="EA168" s="29"/>
      <c r="EB168" s="29"/>
      <c r="EC168" s="29"/>
      <c r="ED168" s="29"/>
      <c r="EE168" s="29"/>
      <c r="EF168" s="29"/>
      <c r="EG168" s="29"/>
      <c r="EH168" s="29"/>
      <c r="EI168" s="29"/>
      <c r="EJ168" s="29"/>
      <c r="EK168" s="29"/>
      <c r="EL168" s="29"/>
      <c r="EM168" s="29"/>
      <c r="EN168" s="29"/>
      <c r="EO168" s="29"/>
      <c r="EP168" s="29"/>
      <c r="EQ168" s="29"/>
      <c r="ER168" s="29"/>
      <c r="ES168" s="29"/>
      <c r="ET168" s="29"/>
      <c r="EU168" s="29"/>
      <c r="EV168" s="29"/>
      <c r="EW168" s="29"/>
      <c r="EX168" s="29"/>
      <c r="EY168" s="29"/>
      <c r="EZ168" s="29"/>
      <c r="FA168" s="29"/>
      <c r="FB168" s="29"/>
      <c r="FC168" s="29"/>
      <c r="FD168" s="29"/>
      <c r="FE168" s="29"/>
      <c r="FF168" s="29"/>
      <c r="FG168" s="29"/>
      <c r="FH168" s="29"/>
      <c r="FI168" s="29"/>
      <c r="FJ168" s="29"/>
      <c r="FK168" s="29"/>
      <c r="FL168" s="29"/>
      <c r="FM168" s="29"/>
      <c r="FN168" s="29"/>
      <c r="FO168" s="29"/>
      <c r="FP168" s="29"/>
      <c r="FQ168" s="29"/>
      <c r="FR168" s="29"/>
      <c r="FS168" s="29"/>
      <c r="FT168" s="29"/>
      <c r="FU168" s="29"/>
      <c r="FV168" s="29"/>
      <c r="FW168" s="29"/>
      <c r="FX168" s="29"/>
      <c r="FY168" s="29"/>
      <c r="FZ168" s="29"/>
      <c r="GA168" s="29"/>
      <c r="GB168" s="29"/>
      <c r="GC168" s="29"/>
      <c r="GD168" s="29"/>
      <c r="GE168" s="29"/>
      <c r="GF168" s="29"/>
      <c r="GG168" s="29"/>
      <c r="GH168" s="29"/>
    </row>
    <row r="169" spans="5:190" x14ac:dyDescent="0.2">
      <c r="E169" s="191" t="s">
        <v>113</v>
      </c>
      <c r="F169" s="29"/>
      <c r="G169" s="29"/>
      <c r="H169" s="29"/>
      <c r="J169" s="29">
        <f t="shared" ref="J169:AC169" si="515">J69/J$82</f>
        <v>5.513317556275734E-2</v>
      </c>
      <c r="K169" s="29">
        <f t="shared" si="515"/>
        <v>5.5290387229584188E-2</v>
      </c>
      <c r="L169" s="29">
        <f t="shared" si="515"/>
        <v>6.7226766658076961E-2</v>
      </c>
      <c r="M169" s="29">
        <f t="shared" si="515"/>
        <v>7.4138805894135684E-2</v>
      </c>
      <c r="N169" s="29">
        <f t="shared" si="515"/>
        <v>7.0329400092369085E-2</v>
      </c>
      <c r="O169" s="29">
        <f t="shared" si="515"/>
        <v>6.7203983511351817E-2</v>
      </c>
      <c r="P169" s="29">
        <f t="shared" si="515"/>
        <v>6.4790317620534221E-2</v>
      </c>
      <c r="Q169" s="29">
        <f t="shared" si="515"/>
        <v>6.1469352214495489E-2</v>
      </c>
      <c r="R169" s="29">
        <f t="shared" si="515"/>
        <v>5.9115581701858669E-2</v>
      </c>
      <c r="S169" s="29">
        <f t="shared" si="515"/>
        <v>5.9499971034891984E-2</v>
      </c>
      <c r="T169" s="29">
        <f t="shared" si="515"/>
        <v>6.057685058921114E-2</v>
      </c>
      <c r="U169" s="29">
        <f t="shared" si="515"/>
        <v>5.9173432290099311E-2</v>
      </c>
      <c r="V169" s="29">
        <f t="shared" si="515"/>
        <v>5.4171540154018746E-2</v>
      </c>
      <c r="W169" s="29">
        <f t="shared" si="515"/>
        <v>4.783486441924676E-2</v>
      </c>
      <c r="X169" s="29">
        <f t="shared" si="515"/>
        <v>4.3206248323521414E-2</v>
      </c>
      <c r="Y169" s="29">
        <f t="shared" si="515"/>
        <v>4.2716793814802624E-2</v>
      </c>
      <c r="Z169" s="29">
        <f t="shared" si="515"/>
        <v>5.5597718192070558E-2</v>
      </c>
      <c r="AA169" s="29">
        <f t="shared" si="515"/>
        <v>6.8276463114880129E-2</v>
      </c>
      <c r="AB169" s="29">
        <f t="shared" si="515"/>
        <v>7.1813280194564635E-2</v>
      </c>
      <c r="AC169" s="29">
        <f t="shared" si="515"/>
        <v>7.5386048440869338E-2</v>
      </c>
      <c r="AD169" s="29">
        <f t="shared" ref="AD169:AE169" si="516">AD69/AD$82</f>
        <v>7.9089174782477026E-2</v>
      </c>
      <c r="AE169" s="29">
        <f t="shared" si="516"/>
        <v>8.6778796858236182E-2</v>
      </c>
      <c r="AF169" s="29"/>
      <c r="AG169" s="29"/>
      <c r="AH169" s="29"/>
      <c r="AI169" s="29"/>
      <c r="AJ169" s="29"/>
      <c r="AK169" s="29"/>
      <c r="AL169" s="29">
        <f t="shared" ref="AL169:BF169" si="517">AL69/AL$82</f>
        <v>5.4402374803706952E-2</v>
      </c>
      <c r="AM169" s="29">
        <f t="shared" si="517"/>
        <v>5.5769007111052038E-2</v>
      </c>
      <c r="AN169" s="29">
        <f t="shared" si="517"/>
        <v>5.4866377628563674E-2</v>
      </c>
      <c r="AO169" s="29">
        <f t="shared" si="517"/>
        <v>7.6374837453597327E-2</v>
      </c>
      <c r="AP169" s="29">
        <f t="shared" si="517"/>
        <v>7.2184536256977502E-2</v>
      </c>
      <c r="AQ169" s="29">
        <f t="shared" si="517"/>
        <v>6.8719957426363401E-2</v>
      </c>
      <c r="AR169" s="29">
        <f t="shared" si="517"/>
        <v>6.5886676608244252E-2</v>
      </c>
      <c r="AS169" s="29">
        <f t="shared" si="517"/>
        <v>6.3831281187471695E-2</v>
      </c>
      <c r="AT169" s="29">
        <f t="shared" si="517"/>
        <v>5.9531748018588689E-2</v>
      </c>
      <c r="AU169" s="29">
        <f t="shared" si="517"/>
        <v>5.8753390158975703E-2</v>
      </c>
      <c r="AV169" s="29">
        <f t="shared" si="517"/>
        <v>6.0109961247491545E-2</v>
      </c>
      <c r="AW169" s="39">
        <f t="shared" si="517"/>
        <v>6.1516986733760812E-2</v>
      </c>
      <c r="AX169" s="29">
        <f t="shared" si="517"/>
        <v>5.7884059412260727E-2</v>
      </c>
      <c r="AY169" s="29">
        <f t="shared" si="517"/>
        <v>5.1721699808547808E-2</v>
      </c>
      <c r="AZ169" s="29">
        <f t="shared" si="517"/>
        <v>4.4496668099279532E-2</v>
      </c>
      <c r="BA169" s="29">
        <f t="shared" si="517"/>
        <v>4.2088949963714727E-2</v>
      </c>
      <c r="BB169" s="29">
        <f t="shared" si="517"/>
        <v>4.3277545904414502E-2</v>
      </c>
      <c r="BC169" s="29">
        <f t="shared" si="517"/>
        <v>6.6580375689723692E-2</v>
      </c>
      <c r="BD169" s="29">
        <f t="shared" si="517"/>
        <v>6.9780570031720182E-2</v>
      </c>
      <c r="BE169" s="29">
        <f t="shared" si="517"/>
        <v>7.3616438958456029E-2</v>
      </c>
      <c r="BF169" s="29">
        <f t="shared" si="517"/>
        <v>7.7009897267652533E-2</v>
      </c>
      <c r="BG169" s="29"/>
      <c r="BH169" s="29"/>
      <c r="BI169" s="29"/>
      <c r="BJ169" s="29"/>
      <c r="BK169" s="29"/>
      <c r="BL169" s="29"/>
      <c r="BM169" s="29"/>
      <c r="BN169" s="29"/>
      <c r="BO169" s="29"/>
      <c r="BP169" s="29"/>
      <c r="BQ169" s="29"/>
      <c r="BR169" s="29"/>
      <c r="BS169" s="29"/>
      <c r="BT169" s="29"/>
      <c r="BU169" s="29"/>
      <c r="BV169" s="29"/>
      <c r="BW169" s="29"/>
      <c r="BX169" s="29"/>
      <c r="BY169" s="29"/>
      <c r="BZ169" s="29"/>
      <c r="CA169" s="29"/>
      <c r="CB169" s="29"/>
      <c r="CC169" s="29"/>
      <c r="CD169" s="29"/>
      <c r="CE169" s="29"/>
      <c r="CF169" s="29"/>
      <c r="CG169" s="29"/>
      <c r="CH169" s="29"/>
      <c r="CI169" s="29"/>
      <c r="CJ169" s="29"/>
      <c r="CK169" s="29"/>
      <c r="CL169" s="29"/>
      <c r="CM169" s="29"/>
      <c r="CN169" s="29"/>
      <c r="CO169" s="29"/>
      <c r="CP169" s="29"/>
      <c r="CQ169" s="29"/>
      <c r="CR169" s="29"/>
      <c r="CS169" s="29"/>
      <c r="CT169" s="29"/>
      <c r="CU169" s="29"/>
      <c r="CV169" s="29"/>
      <c r="CW169" s="29"/>
      <c r="CX169" s="29"/>
      <c r="CY169" s="29"/>
      <c r="CZ169" s="29"/>
      <c r="DA169" s="29"/>
      <c r="DB169" s="29"/>
      <c r="DC169" s="29"/>
      <c r="DD169" s="29"/>
      <c r="DE169" s="29"/>
      <c r="DF169" s="29"/>
      <c r="DG169" s="29"/>
      <c r="DH169" s="29"/>
      <c r="DI169" s="29"/>
      <c r="DJ169" s="29"/>
      <c r="DK169" s="29"/>
      <c r="DL169" s="29"/>
      <c r="DM169" s="29"/>
      <c r="DN169" s="29"/>
      <c r="DO169" s="29"/>
      <c r="DP169" s="29"/>
      <c r="DQ169" s="29"/>
      <c r="DR169" s="29"/>
      <c r="DS169" s="29"/>
      <c r="DT169" s="29"/>
      <c r="DU169" s="29"/>
      <c r="DV169" s="29"/>
      <c r="DW169" s="29"/>
      <c r="DX169" s="29"/>
      <c r="DY169" s="29"/>
      <c r="DZ169" s="29"/>
      <c r="EA169" s="29"/>
      <c r="EB169" s="29"/>
      <c r="EC169" s="29"/>
      <c r="ED169" s="29"/>
      <c r="EE169" s="29"/>
      <c r="EF169" s="29"/>
      <c r="EG169" s="29"/>
      <c r="EH169" s="29"/>
      <c r="EI169" s="29"/>
      <c r="EJ169" s="29"/>
      <c r="EK169" s="29"/>
      <c r="EL169" s="29"/>
      <c r="EM169" s="29"/>
      <c r="EN169" s="29"/>
      <c r="EO169" s="29"/>
      <c r="EP169" s="29"/>
      <c r="EQ169" s="29"/>
      <c r="ER169" s="29"/>
      <c r="ES169" s="29"/>
      <c r="ET169" s="29"/>
      <c r="EU169" s="29"/>
      <c r="EV169" s="29"/>
      <c r="EW169" s="29"/>
      <c r="EX169" s="29"/>
      <c r="EY169" s="29"/>
      <c r="EZ169" s="29"/>
      <c r="FA169" s="29"/>
      <c r="FB169" s="29"/>
      <c r="FC169" s="29"/>
      <c r="FD169" s="29"/>
      <c r="FE169" s="29"/>
      <c r="FF169" s="29"/>
      <c r="FG169" s="29"/>
      <c r="FH169" s="29"/>
      <c r="FI169" s="29"/>
      <c r="FJ169" s="29"/>
      <c r="FK169" s="29"/>
      <c r="FL169" s="29"/>
      <c r="FM169" s="29"/>
      <c r="FN169" s="29"/>
      <c r="FO169" s="29"/>
      <c r="FP169" s="29"/>
      <c r="FQ169" s="29"/>
      <c r="FR169" s="29"/>
      <c r="FS169" s="29"/>
      <c r="FT169" s="29"/>
      <c r="FU169" s="29"/>
      <c r="FV169" s="29"/>
      <c r="FW169" s="29"/>
      <c r="FX169" s="29"/>
      <c r="FY169" s="29"/>
      <c r="FZ169" s="29"/>
      <c r="GA169" s="29"/>
      <c r="GB169" s="29"/>
      <c r="GC169" s="29"/>
      <c r="GD169" s="29"/>
      <c r="GE169" s="29"/>
      <c r="GF169" s="29"/>
      <c r="GG169" s="29"/>
      <c r="GH169" s="29"/>
    </row>
    <row r="170" spans="5:190" x14ac:dyDescent="0.2">
      <c r="E170" s="191" t="s">
        <v>114</v>
      </c>
      <c r="F170" s="29"/>
      <c r="G170" s="29"/>
      <c r="H170" s="29"/>
      <c r="J170" s="29">
        <f t="shared" ref="J170:AC170" si="518">J70/J$82</f>
        <v>1.1500509531240143E-2</v>
      </c>
      <c r="K170" s="29">
        <f t="shared" si="518"/>
        <v>1.1804935289598955E-2</v>
      </c>
      <c r="L170" s="29">
        <f t="shared" si="518"/>
        <v>1.5043644920019569E-2</v>
      </c>
      <c r="M170" s="29">
        <f t="shared" si="518"/>
        <v>1.7463207468212404E-2</v>
      </c>
      <c r="N170" s="29">
        <f t="shared" si="518"/>
        <v>1.8254568504854282E-2</v>
      </c>
      <c r="O170" s="29">
        <f t="shared" si="518"/>
        <v>1.9994993190932141E-2</v>
      </c>
      <c r="P170" s="29">
        <f t="shared" si="518"/>
        <v>2.2906048995714801E-2</v>
      </c>
      <c r="Q170" s="29">
        <f t="shared" si="518"/>
        <v>2.3513770277378516E-2</v>
      </c>
      <c r="R170" s="29">
        <f t="shared" si="518"/>
        <v>2.281466453876186E-2</v>
      </c>
      <c r="S170" s="29">
        <f t="shared" si="518"/>
        <v>2.2467540457533092E-2</v>
      </c>
      <c r="T170" s="29">
        <f t="shared" si="518"/>
        <v>2.308910500881067E-2</v>
      </c>
      <c r="U170" s="29">
        <f t="shared" si="518"/>
        <v>2.5145366938188647E-2</v>
      </c>
      <c r="V170" s="29">
        <f t="shared" si="518"/>
        <v>2.4652584766757864E-2</v>
      </c>
      <c r="W170" s="29">
        <f t="shared" si="518"/>
        <v>2.3639536635865616E-2</v>
      </c>
      <c r="X170" s="29">
        <f t="shared" si="518"/>
        <v>2.3257867190836411E-2</v>
      </c>
      <c r="Y170" s="29">
        <f t="shared" si="518"/>
        <v>2.2106981210604278E-2</v>
      </c>
      <c r="Z170" s="29">
        <f t="shared" si="518"/>
        <v>3.2954174922842791E-2</v>
      </c>
      <c r="AA170" s="29">
        <f t="shared" si="518"/>
        <v>4.3366756872981527E-2</v>
      </c>
      <c r="AB170" s="29">
        <f t="shared" si="518"/>
        <v>4.3708656500554721E-2</v>
      </c>
      <c r="AC170" s="29">
        <f t="shared" si="518"/>
        <v>4.4024816210171971E-2</v>
      </c>
      <c r="AD170" s="29">
        <f t="shared" ref="AD170:AE170" si="519">AD70/AD$82</f>
        <v>4.4346545313373301E-2</v>
      </c>
      <c r="AE170" s="29">
        <f t="shared" si="519"/>
        <v>4.6773016384951044E-2</v>
      </c>
      <c r="AF170" s="29"/>
      <c r="AG170" s="29"/>
      <c r="AH170" s="29"/>
      <c r="AI170" s="29"/>
      <c r="AJ170" s="29"/>
      <c r="AK170" s="29"/>
      <c r="AL170" s="29">
        <f t="shared" ref="AL170:BF170" si="520">AL70/AL$82</f>
        <v>1.1293812257597582E-2</v>
      </c>
      <c r="AM170" s="29">
        <f t="shared" si="520"/>
        <v>1.1680346026893511E-2</v>
      </c>
      <c r="AN170" s="29">
        <f t="shared" si="520"/>
        <v>1.1915308981993769E-2</v>
      </c>
      <c r="AO170" s="29">
        <f t="shared" si="520"/>
        <v>1.7358963520825572E-2</v>
      </c>
      <c r="AP170" s="29">
        <f t="shared" si="520"/>
        <v>1.7554315655113246E-2</v>
      </c>
      <c r="AQ170" s="29">
        <f t="shared" si="520"/>
        <v>1.8862080144628274E-2</v>
      </c>
      <c r="AR170" s="29">
        <f t="shared" si="520"/>
        <v>2.0979439006086752E-2</v>
      </c>
      <c r="AS170" s="29">
        <f t="shared" si="520"/>
        <v>2.4591344772980927E-2</v>
      </c>
      <c r="AT170" s="29">
        <f t="shared" si="520"/>
        <v>2.262978397297645E-2</v>
      </c>
      <c r="AU170" s="29">
        <f t="shared" si="520"/>
        <v>2.2975566982518094E-2</v>
      </c>
      <c r="AV170" s="29">
        <f t="shared" si="520"/>
        <v>2.2052459897638644E-2</v>
      </c>
      <c r="AW170" s="39">
        <f t="shared" si="520"/>
        <v>2.4193194113246295E-2</v>
      </c>
      <c r="AX170" s="29">
        <f t="shared" si="520"/>
        <v>2.6274017794652119E-2</v>
      </c>
      <c r="AY170" s="29">
        <f t="shared" si="520"/>
        <v>2.359425932943552E-2</v>
      </c>
      <c r="AZ170" s="29">
        <f t="shared" si="520"/>
        <v>2.3678422907746081E-2</v>
      </c>
      <c r="BA170" s="29">
        <f t="shared" si="520"/>
        <v>2.2893732804849937E-2</v>
      </c>
      <c r="BB170" s="29">
        <f t="shared" si="520"/>
        <v>2.1404302352295314E-2</v>
      </c>
      <c r="BC170" s="29">
        <f t="shared" si="520"/>
        <v>4.325015874694519E-2</v>
      </c>
      <c r="BD170" s="29">
        <f t="shared" si="520"/>
        <v>4.3470157231512964E-2</v>
      </c>
      <c r="BE170" s="29">
        <f t="shared" si="520"/>
        <v>4.392022234747929E-2</v>
      </c>
      <c r="BF170" s="29">
        <f t="shared" si="520"/>
        <v>4.4120794799182822E-2</v>
      </c>
      <c r="BG170" s="29"/>
      <c r="BH170" s="29"/>
      <c r="BI170" s="29"/>
      <c r="BJ170" s="29"/>
      <c r="BK170" s="29"/>
      <c r="BL170" s="29"/>
      <c r="BM170" s="29"/>
      <c r="BN170" s="29"/>
      <c r="BO170" s="29"/>
      <c r="BP170" s="29"/>
      <c r="BQ170" s="29"/>
      <c r="BR170" s="29"/>
      <c r="BS170" s="29"/>
      <c r="BT170" s="29"/>
      <c r="BU170" s="29"/>
      <c r="BV170" s="29"/>
      <c r="BW170" s="29"/>
      <c r="BX170" s="29"/>
      <c r="BY170" s="29"/>
      <c r="BZ170" s="29"/>
      <c r="CA170" s="29"/>
      <c r="CB170" s="29"/>
      <c r="CC170" s="29"/>
      <c r="CD170" s="29"/>
      <c r="CE170" s="29"/>
      <c r="CF170" s="29"/>
      <c r="CG170" s="29"/>
      <c r="CH170" s="29"/>
      <c r="CI170" s="29"/>
      <c r="CJ170" s="29"/>
      <c r="CK170" s="29"/>
      <c r="CL170" s="29"/>
      <c r="CM170" s="29"/>
      <c r="CN170" s="29"/>
      <c r="CO170" s="29"/>
      <c r="CP170" s="29"/>
      <c r="CQ170" s="29"/>
      <c r="CR170" s="29"/>
      <c r="CS170" s="29"/>
      <c r="CT170" s="29"/>
      <c r="CU170" s="29"/>
      <c r="CV170" s="29"/>
      <c r="CW170" s="29"/>
      <c r="CX170" s="29"/>
      <c r="CY170" s="29"/>
      <c r="CZ170" s="29"/>
      <c r="DA170" s="29"/>
      <c r="DB170" s="29"/>
      <c r="DC170" s="29"/>
      <c r="DD170" s="29"/>
      <c r="DE170" s="29"/>
      <c r="DF170" s="29"/>
      <c r="DG170" s="29"/>
      <c r="DH170" s="29"/>
      <c r="DI170" s="29"/>
      <c r="DJ170" s="29"/>
      <c r="DK170" s="29"/>
      <c r="DL170" s="29"/>
      <c r="DM170" s="29"/>
      <c r="DN170" s="29"/>
      <c r="DO170" s="29"/>
      <c r="DP170" s="29"/>
      <c r="DQ170" s="29"/>
      <c r="DR170" s="29"/>
      <c r="DS170" s="29"/>
      <c r="DT170" s="29"/>
      <c r="DU170" s="29"/>
      <c r="DV170" s="29"/>
      <c r="DW170" s="29"/>
      <c r="DX170" s="29"/>
      <c r="DY170" s="29"/>
      <c r="DZ170" s="29"/>
      <c r="EA170" s="29"/>
      <c r="EB170" s="29"/>
      <c r="EC170" s="29"/>
      <c r="ED170" s="29"/>
      <c r="EE170" s="29"/>
      <c r="EF170" s="29"/>
      <c r="EG170" s="29"/>
      <c r="EH170" s="29"/>
      <c r="EI170" s="29"/>
      <c r="EJ170" s="29"/>
      <c r="EK170" s="29"/>
      <c r="EL170" s="29"/>
      <c r="EM170" s="29"/>
      <c r="EN170" s="29"/>
      <c r="EO170" s="29"/>
      <c r="EP170" s="29"/>
      <c r="EQ170" s="29"/>
      <c r="ER170" s="29"/>
      <c r="ES170" s="29"/>
      <c r="ET170" s="29"/>
      <c r="EU170" s="29"/>
      <c r="EV170" s="29"/>
      <c r="EW170" s="29"/>
      <c r="EX170" s="29"/>
      <c r="EY170" s="29"/>
      <c r="EZ170" s="29"/>
      <c r="FA170" s="29"/>
      <c r="FB170" s="29"/>
      <c r="FC170" s="29"/>
      <c r="FD170" s="29"/>
      <c r="FE170" s="29"/>
      <c r="FF170" s="29"/>
      <c r="FG170" s="29"/>
      <c r="FH170" s="29"/>
      <c r="FI170" s="29"/>
      <c r="FJ170" s="29"/>
      <c r="FK170" s="29"/>
      <c r="FL170" s="29"/>
      <c r="FM170" s="29"/>
      <c r="FN170" s="29"/>
      <c r="FO170" s="29"/>
      <c r="FP170" s="29"/>
      <c r="FQ170" s="29"/>
      <c r="FR170" s="29"/>
      <c r="FS170" s="29"/>
      <c r="FT170" s="29"/>
      <c r="FU170" s="29"/>
      <c r="FV170" s="29"/>
      <c r="FW170" s="29"/>
      <c r="FX170" s="29"/>
      <c r="FY170" s="29"/>
      <c r="FZ170" s="29"/>
      <c r="GA170" s="29"/>
      <c r="GB170" s="29"/>
      <c r="GC170" s="29"/>
      <c r="GD170" s="29"/>
      <c r="GE170" s="29"/>
      <c r="GF170" s="29"/>
      <c r="GG170" s="29"/>
      <c r="GH170" s="29"/>
    </row>
    <row r="171" spans="5:190" x14ac:dyDescent="0.2">
      <c r="E171" s="191" t="s">
        <v>115</v>
      </c>
      <c r="F171" s="29"/>
      <c r="G171" s="29"/>
      <c r="H171" s="29"/>
      <c r="J171" s="29">
        <f t="shared" ref="J171:AC171" si="521">J71/J$82</f>
        <v>1.6694959150135653E-2</v>
      </c>
      <c r="K171" s="29">
        <f t="shared" si="521"/>
        <v>1.5926012476204607E-2</v>
      </c>
      <c r="L171" s="29">
        <f t="shared" si="521"/>
        <v>1.9125455192822476E-2</v>
      </c>
      <c r="M171" s="29">
        <f t="shared" si="521"/>
        <v>2.3137779864513878E-2</v>
      </c>
      <c r="N171" s="29">
        <f t="shared" si="521"/>
        <v>2.4222888507472288E-2</v>
      </c>
      <c r="O171" s="29">
        <f t="shared" si="521"/>
        <v>2.3749192604968883E-2</v>
      </c>
      <c r="P171" s="29">
        <f t="shared" si="521"/>
        <v>2.355957847116099E-2</v>
      </c>
      <c r="Q171" s="29">
        <f t="shared" si="521"/>
        <v>2.4209794208275816E-2</v>
      </c>
      <c r="R171" s="29">
        <f t="shared" si="521"/>
        <v>2.6578069724300803E-2</v>
      </c>
      <c r="S171" s="29">
        <f t="shared" si="521"/>
        <v>2.8812352785276708E-2</v>
      </c>
      <c r="T171" s="29">
        <f t="shared" si="521"/>
        <v>3.0189053352841239E-2</v>
      </c>
      <c r="U171" s="29">
        <f t="shared" si="521"/>
        <v>3.1513658724139304E-2</v>
      </c>
      <c r="V171" s="29">
        <f t="shared" si="521"/>
        <v>3.2723397530240471E-2</v>
      </c>
      <c r="W171" s="29">
        <f t="shared" si="521"/>
        <v>3.3651959618640322E-2</v>
      </c>
      <c r="X171" s="29">
        <f t="shared" si="521"/>
        <v>3.3076156562056716E-2</v>
      </c>
      <c r="Y171" s="29">
        <f t="shared" si="521"/>
        <v>3.3266566337919613E-2</v>
      </c>
      <c r="Z171" s="29">
        <f t="shared" si="521"/>
        <v>3.8600678236602709E-2</v>
      </c>
      <c r="AA171" s="29">
        <f t="shared" si="521"/>
        <v>4.3458391684608043E-2</v>
      </c>
      <c r="AB171" s="29">
        <f t="shared" si="521"/>
        <v>4.4921992455427696E-2</v>
      </c>
      <c r="AC171" s="29">
        <f t="shared" si="521"/>
        <v>4.6457831133422396E-2</v>
      </c>
      <c r="AD171" s="29">
        <f t="shared" ref="AD171:AE171" si="522">AD71/AD$82</f>
        <v>4.8166674056838478E-2</v>
      </c>
      <c r="AE171" s="29">
        <f t="shared" si="522"/>
        <v>5.2271510397548689E-2</v>
      </c>
      <c r="AF171" s="29"/>
      <c r="AG171" s="29"/>
      <c r="AH171" s="29"/>
      <c r="AI171" s="29"/>
      <c r="AJ171" s="29"/>
      <c r="AK171" s="29"/>
      <c r="AL171" s="29">
        <f t="shared" ref="AL171:BF171" si="523">AL71/AL$82</f>
        <v>1.7173851188388489E-2</v>
      </c>
      <c r="AM171" s="29">
        <f t="shared" si="523"/>
        <v>1.6278300214882257E-2</v>
      </c>
      <c r="AN171" s="29">
        <f t="shared" si="523"/>
        <v>1.5613920585949176E-2</v>
      </c>
      <c r="AO171" s="29">
        <f t="shared" si="523"/>
        <v>2.1724383681876801E-2</v>
      </c>
      <c r="AP171" s="29">
        <f t="shared" si="523"/>
        <v>2.437307425618513E-2</v>
      </c>
      <c r="AQ171" s="29">
        <f t="shared" si="523"/>
        <v>2.4092593299812701E-2</v>
      </c>
      <c r="AR171" s="29">
        <f t="shared" si="523"/>
        <v>2.3450794260927294E-2</v>
      </c>
      <c r="AS171" s="29">
        <f t="shared" si="523"/>
        <v>2.3654737102709173E-2</v>
      </c>
      <c r="AT171" s="29">
        <f t="shared" si="523"/>
        <v>2.4665134309108168E-2</v>
      </c>
      <c r="AU171" s="29">
        <f t="shared" si="523"/>
        <v>2.8242906597472247E-2</v>
      </c>
      <c r="AV171" s="29">
        <f t="shared" si="523"/>
        <v>2.9277615976939019E-2</v>
      </c>
      <c r="AW171" s="39">
        <f t="shared" si="523"/>
        <v>3.1247066531150107E-2</v>
      </c>
      <c r="AX171" s="29">
        <f t="shared" si="523"/>
        <v>3.213057665989575E-2</v>
      </c>
      <c r="AY171" s="29">
        <f t="shared" si="523"/>
        <v>3.3599254473998405E-2</v>
      </c>
      <c r="AZ171" s="29">
        <f t="shared" si="523"/>
        <v>3.369722526595105E-2</v>
      </c>
      <c r="BA171" s="29">
        <f t="shared" si="523"/>
        <v>3.2538409809236911E-2</v>
      </c>
      <c r="BB171" s="29">
        <f t="shared" si="523"/>
        <v>3.3916911633674045E-2</v>
      </c>
      <c r="BC171" s="29">
        <f t="shared" si="523"/>
        <v>4.2775961113973783E-2</v>
      </c>
      <c r="BD171" s="29">
        <f t="shared" si="523"/>
        <v>4.4063577789009128E-2</v>
      </c>
      <c r="BE171" s="29">
        <f t="shared" si="523"/>
        <v>4.568346743454603E-2</v>
      </c>
      <c r="BF171" s="29">
        <f t="shared" si="523"/>
        <v>4.7168411403487993E-2</v>
      </c>
      <c r="BG171" s="29"/>
      <c r="BH171" s="29"/>
      <c r="BI171" s="29"/>
      <c r="BJ171" s="29"/>
      <c r="BK171" s="29"/>
      <c r="BL171" s="29"/>
      <c r="BM171" s="29"/>
      <c r="BN171" s="29"/>
      <c r="BO171" s="29"/>
      <c r="BP171" s="29"/>
      <c r="BQ171" s="29"/>
      <c r="BR171" s="29"/>
      <c r="BS171" s="29"/>
      <c r="BT171" s="29"/>
      <c r="BU171" s="29"/>
      <c r="BV171" s="29"/>
      <c r="BW171" s="29"/>
      <c r="BX171" s="29"/>
      <c r="BY171" s="29"/>
      <c r="BZ171" s="29"/>
      <c r="CA171" s="29"/>
      <c r="CB171" s="29"/>
      <c r="CC171" s="29"/>
      <c r="CD171" s="29"/>
      <c r="CE171" s="29"/>
      <c r="CF171" s="29"/>
      <c r="CG171" s="29"/>
      <c r="CH171" s="29"/>
      <c r="CI171" s="29"/>
      <c r="CJ171" s="29"/>
      <c r="CK171" s="29"/>
      <c r="CL171" s="29"/>
      <c r="CM171" s="29"/>
      <c r="CN171" s="29"/>
      <c r="CO171" s="29"/>
      <c r="CP171" s="29"/>
      <c r="CQ171" s="29"/>
      <c r="CR171" s="29"/>
      <c r="CS171" s="29"/>
      <c r="CT171" s="29"/>
      <c r="CU171" s="29"/>
      <c r="CV171" s="29"/>
      <c r="CW171" s="29"/>
      <c r="CX171" s="29"/>
      <c r="CY171" s="29"/>
      <c r="CZ171" s="29"/>
      <c r="DA171" s="29"/>
      <c r="DB171" s="29"/>
      <c r="DC171" s="29"/>
      <c r="DD171" s="29"/>
      <c r="DE171" s="29"/>
      <c r="DF171" s="29"/>
      <c r="DG171" s="29"/>
      <c r="DH171" s="29"/>
      <c r="DI171" s="29"/>
      <c r="DJ171" s="29"/>
      <c r="DK171" s="29"/>
      <c r="DL171" s="29"/>
      <c r="DM171" s="29"/>
      <c r="DN171" s="29"/>
      <c r="DO171" s="29"/>
      <c r="DP171" s="29"/>
      <c r="DQ171" s="29"/>
      <c r="DR171" s="29"/>
      <c r="DS171" s="29"/>
      <c r="DT171" s="29"/>
      <c r="DU171" s="29"/>
      <c r="DV171" s="29"/>
      <c r="DW171" s="29"/>
      <c r="DX171" s="29"/>
      <c r="DY171" s="29"/>
      <c r="DZ171" s="29"/>
      <c r="EA171" s="29"/>
      <c r="EB171" s="29"/>
      <c r="EC171" s="29"/>
      <c r="ED171" s="29"/>
      <c r="EE171" s="29"/>
      <c r="EF171" s="29"/>
      <c r="EG171" s="29"/>
      <c r="EH171" s="29"/>
      <c r="EI171" s="29"/>
      <c r="EJ171" s="29"/>
      <c r="EK171" s="29"/>
      <c r="EL171" s="29"/>
      <c r="EM171" s="29"/>
      <c r="EN171" s="29"/>
      <c r="EO171" s="29"/>
      <c r="EP171" s="29"/>
      <c r="EQ171" s="29"/>
      <c r="ER171" s="29"/>
      <c r="ES171" s="29"/>
      <c r="ET171" s="29"/>
      <c r="EU171" s="29"/>
      <c r="EV171" s="29"/>
      <c r="EW171" s="29"/>
      <c r="EX171" s="29"/>
      <c r="EY171" s="29"/>
      <c r="EZ171" s="29"/>
      <c r="FA171" s="29"/>
      <c r="FB171" s="29"/>
      <c r="FC171" s="29"/>
      <c r="FD171" s="29"/>
      <c r="FE171" s="29"/>
      <c r="FF171" s="29"/>
      <c r="FG171" s="29"/>
      <c r="FH171" s="29"/>
      <c r="FI171" s="29"/>
      <c r="FJ171" s="29"/>
      <c r="FK171" s="29"/>
      <c r="FL171" s="29"/>
      <c r="FM171" s="29"/>
      <c r="FN171" s="29"/>
      <c r="FO171" s="29"/>
      <c r="FP171" s="29"/>
      <c r="FQ171" s="29"/>
      <c r="FR171" s="29"/>
      <c r="FS171" s="29"/>
      <c r="FT171" s="29"/>
      <c r="FU171" s="29"/>
      <c r="FV171" s="29"/>
      <c r="FW171" s="29"/>
      <c r="FX171" s="29"/>
      <c r="FY171" s="29"/>
      <c r="FZ171" s="29"/>
      <c r="GA171" s="29"/>
      <c r="GB171" s="29"/>
      <c r="GC171" s="29"/>
      <c r="GD171" s="29"/>
      <c r="GE171" s="29"/>
      <c r="GF171" s="29"/>
      <c r="GG171" s="29"/>
      <c r="GH171" s="29"/>
    </row>
    <row r="172" spans="5:190" x14ac:dyDescent="0.2">
      <c r="E172" s="191" t="s">
        <v>116</v>
      </c>
      <c r="F172" s="29"/>
      <c r="G172" s="29"/>
      <c r="H172" s="29"/>
      <c r="J172" s="29">
        <f t="shared" ref="J172:AC172" si="524">J72/J$82</f>
        <v>9.7791572255557527E-2</v>
      </c>
      <c r="K172" s="29">
        <f t="shared" si="524"/>
        <v>0.1035065285347344</v>
      </c>
      <c r="L172" s="29">
        <f t="shared" si="524"/>
        <v>0.10866152221693889</v>
      </c>
      <c r="M172" s="29">
        <f t="shared" si="524"/>
        <v>0.10676138230956689</v>
      </c>
      <c r="N172" s="29">
        <f t="shared" si="524"/>
        <v>0.10244326470393469</v>
      </c>
      <c r="O172" s="29">
        <f t="shared" si="524"/>
        <v>9.9826127743225079E-2</v>
      </c>
      <c r="P172" s="29">
        <f t="shared" si="524"/>
        <v>8.5910006782763684E-2</v>
      </c>
      <c r="Q172" s="29">
        <f t="shared" si="524"/>
        <v>7.275102272944893E-2</v>
      </c>
      <c r="R172" s="29">
        <f t="shared" si="524"/>
        <v>7.1384979510223212E-2</v>
      </c>
      <c r="S172" s="29">
        <f t="shared" si="524"/>
        <v>6.864050888422725E-2</v>
      </c>
      <c r="T172" s="29">
        <f t="shared" si="524"/>
        <v>6.5521644180134703E-2</v>
      </c>
      <c r="U172" s="29">
        <f t="shared" si="524"/>
        <v>6.3811882537338216E-2</v>
      </c>
      <c r="V172" s="29">
        <f t="shared" si="524"/>
        <v>6.0240635095270167E-2</v>
      </c>
      <c r="W172" s="29">
        <f t="shared" si="524"/>
        <v>5.704337380187402E-2</v>
      </c>
      <c r="X172" s="29">
        <f t="shared" si="524"/>
        <v>5.285798119159698E-2</v>
      </c>
      <c r="Y172" s="29">
        <f t="shared" si="524"/>
        <v>5.0090420380959351E-2</v>
      </c>
      <c r="Z172" s="29">
        <f t="shared" si="524"/>
        <v>5.385584270713812E-2</v>
      </c>
      <c r="AA172" s="29">
        <f t="shared" si="524"/>
        <v>5.5842340394521926E-2</v>
      </c>
      <c r="AB172" s="29">
        <f t="shared" si="524"/>
        <v>5.2992271188275701E-2</v>
      </c>
      <c r="AC172" s="29">
        <f t="shared" si="524"/>
        <v>5.0168626230025055E-2</v>
      </c>
      <c r="AD172" s="29">
        <f t="shared" ref="AD172:AE172" si="525">AD72/AD$82</f>
        <v>4.7334472500731715E-2</v>
      </c>
      <c r="AE172" s="29">
        <f t="shared" si="525"/>
        <v>4.6818248907641566E-2</v>
      </c>
      <c r="AF172" s="29"/>
      <c r="AG172" s="29"/>
      <c r="AH172" s="29"/>
      <c r="AI172" s="29"/>
      <c r="AJ172" s="29"/>
      <c r="AK172" s="29"/>
      <c r="AL172" s="29">
        <f t="shared" ref="AL172:BF172" si="526">AL72/AL$82</f>
        <v>9.5143485680712778E-2</v>
      </c>
      <c r="AM172" s="29">
        <f t="shared" si="526"/>
        <v>0.10009553399348707</v>
      </c>
      <c r="AN172" s="29">
        <f t="shared" si="526"/>
        <v>0.10652833036645497</v>
      </c>
      <c r="AO172" s="29">
        <f t="shared" si="526"/>
        <v>0.11024032285355786</v>
      </c>
      <c r="AP172" s="29">
        <f t="shared" si="526"/>
        <v>0.1037208224186157</v>
      </c>
      <c r="AQ172" s="29">
        <f t="shared" si="526"/>
        <v>0.1013349062267949</v>
      </c>
      <c r="AR172" s="29">
        <f t="shared" si="526"/>
        <v>9.85150733167698E-2</v>
      </c>
      <c r="AS172" s="29">
        <f t="shared" si="526"/>
        <v>7.4883766123635551E-2</v>
      </c>
      <c r="AT172" s="29">
        <f t="shared" si="526"/>
        <v>7.1001430511965183E-2</v>
      </c>
      <c r="AU172" s="29">
        <f t="shared" si="526"/>
        <v>7.1718784044289829E-2</v>
      </c>
      <c r="AV172" s="29">
        <f t="shared" si="526"/>
        <v>6.612541938769817E-2</v>
      </c>
      <c r="AW172" s="39">
        <f t="shared" si="526"/>
        <v>6.5575573927042205E-2</v>
      </c>
      <c r="AX172" s="29">
        <f t="shared" si="526"/>
        <v>6.3078592781845091E-2</v>
      </c>
      <c r="AY172" s="29">
        <f t="shared" si="526"/>
        <v>5.8588490042676335E-2</v>
      </c>
      <c r="AZ172" s="29">
        <f t="shared" si="526"/>
        <v>5.571635558979187E-2</v>
      </c>
      <c r="BA172" s="29">
        <f t="shared" si="526"/>
        <v>5.0383083420489687E-2</v>
      </c>
      <c r="BB172" s="29">
        <f t="shared" si="526"/>
        <v>4.982903148516233E-2</v>
      </c>
      <c r="BC172" s="29">
        <f t="shared" si="526"/>
        <v>5.7445491246629468E-2</v>
      </c>
      <c r="BD172" s="29">
        <f t="shared" si="526"/>
        <v>5.442065053960745E-2</v>
      </c>
      <c r="BE172" s="29">
        <f t="shared" si="526"/>
        <v>5.1725196918370353E-2</v>
      </c>
      <c r="BF172" s="29">
        <f t="shared" si="526"/>
        <v>4.8740268441939759E-2</v>
      </c>
      <c r="BG172" s="29"/>
      <c r="BH172" s="29"/>
      <c r="BI172" s="29"/>
      <c r="BJ172" s="29"/>
      <c r="BK172" s="29"/>
      <c r="BL172" s="29"/>
      <c r="BM172" s="29"/>
      <c r="BN172" s="29"/>
      <c r="BO172" s="29"/>
      <c r="BP172" s="29"/>
      <c r="BQ172" s="29"/>
      <c r="BR172" s="29"/>
      <c r="BS172" s="29"/>
      <c r="BT172" s="29"/>
      <c r="BU172" s="29"/>
      <c r="BV172" s="29"/>
      <c r="BW172" s="29"/>
      <c r="BX172" s="29"/>
      <c r="BY172" s="29"/>
      <c r="BZ172" s="29"/>
      <c r="CA172" s="29"/>
      <c r="CB172" s="29"/>
      <c r="CC172" s="29"/>
      <c r="CD172" s="29"/>
      <c r="CE172" s="29"/>
      <c r="CF172" s="29"/>
      <c r="CG172" s="29"/>
      <c r="CH172" s="29"/>
      <c r="CI172" s="29"/>
      <c r="CJ172" s="29"/>
      <c r="CK172" s="29"/>
      <c r="CL172" s="29"/>
      <c r="CM172" s="29"/>
      <c r="CN172" s="29"/>
      <c r="CO172" s="29"/>
      <c r="CP172" s="29"/>
      <c r="CQ172" s="29"/>
      <c r="CR172" s="29"/>
      <c r="CS172" s="29"/>
      <c r="CT172" s="29"/>
      <c r="CU172" s="29"/>
      <c r="CV172" s="29"/>
      <c r="CW172" s="29"/>
      <c r="CX172" s="29"/>
      <c r="CY172" s="29"/>
      <c r="CZ172" s="29"/>
      <c r="DA172" s="29"/>
      <c r="DB172" s="29"/>
      <c r="DC172" s="29"/>
      <c r="DD172" s="29"/>
      <c r="DE172" s="29"/>
      <c r="DF172" s="29"/>
      <c r="DG172" s="29"/>
      <c r="DH172" s="29"/>
      <c r="DI172" s="29"/>
      <c r="DJ172" s="29"/>
      <c r="DK172" s="29"/>
      <c r="DL172" s="29"/>
      <c r="DM172" s="29"/>
      <c r="DN172" s="29"/>
      <c r="DO172" s="29"/>
      <c r="DP172" s="29"/>
      <c r="DQ172" s="29"/>
      <c r="DR172" s="29"/>
      <c r="DS172" s="29"/>
      <c r="DT172" s="29"/>
      <c r="DU172" s="29"/>
      <c r="DV172" s="29"/>
      <c r="DW172" s="29"/>
      <c r="DX172" s="29"/>
      <c r="DY172" s="29"/>
      <c r="DZ172" s="29"/>
      <c r="EA172" s="29"/>
      <c r="EB172" s="29"/>
      <c r="EC172" s="29"/>
      <c r="ED172" s="29"/>
      <c r="EE172" s="29"/>
      <c r="EF172" s="29"/>
      <c r="EG172" s="29"/>
      <c r="EH172" s="29"/>
      <c r="EI172" s="29"/>
      <c r="EJ172" s="29"/>
      <c r="EK172" s="29"/>
      <c r="EL172" s="29"/>
      <c r="EM172" s="29"/>
      <c r="EN172" s="29"/>
      <c r="EO172" s="29"/>
      <c r="EP172" s="29"/>
      <c r="EQ172" s="29"/>
      <c r="ER172" s="29"/>
      <c r="ES172" s="29"/>
      <c r="ET172" s="29"/>
      <c r="EU172" s="29"/>
      <c r="EV172" s="29"/>
      <c r="EW172" s="29"/>
      <c r="EX172" s="29"/>
      <c r="EY172" s="29"/>
      <c r="EZ172" s="29"/>
      <c r="FA172" s="29"/>
      <c r="FB172" s="29"/>
      <c r="FC172" s="29"/>
      <c r="FD172" s="29"/>
      <c r="FE172" s="29"/>
      <c r="FF172" s="29"/>
      <c r="FG172" s="29"/>
      <c r="FH172" s="29"/>
      <c r="FI172" s="29"/>
      <c r="FJ172" s="29"/>
      <c r="FK172" s="29"/>
      <c r="FL172" s="29"/>
      <c r="FM172" s="29"/>
      <c r="FN172" s="29"/>
      <c r="FO172" s="29"/>
      <c r="FP172" s="29"/>
      <c r="FQ172" s="29"/>
      <c r="FR172" s="29"/>
      <c r="FS172" s="29"/>
      <c r="FT172" s="29"/>
      <c r="FU172" s="29"/>
      <c r="FV172" s="29"/>
      <c r="FW172" s="29"/>
      <c r="FX172" s="29"/>
      <c r="FY172" s="29"/>
      <c r="FZ172" s="29"/>
      <c r="GA172" s="29"/>
      <c r="GB172" s="29"/>
      <c r="GC172" s="29"/>
      <c r="GD172" s="29"/>
      <c r="GE172" s="29"/>
      <c r="GF172" s="29"/>
      <c r="GG172" s="29"/>
      <c r="GH172" s="29"/>
    </row>
    <row r="173" spans="5:190" x14ac:dyDescent="0.2">
      <c r="E173" s="191" t="s">
        <v>117</v>
      </c>
      <c r="F173" s="29"/>
      <c r="G173" s="29"/>
      <c r="H173" s="29"/>
      <c r="J173" s="29">
        <f t="shared" ref="J173:AC173" si="527">J73/J$82</f>
        <v>6.5219702585386091E-2</v>
      </c>
      <c r="K173" s="29">
        <f t="shared" si="527"/>
        <v>6.523708827682545E-2</v>
      </c>
      <c r="L173" s="29">
        <f t="shared" si="527"/>
        <v>6.0983710534201138E-2</v>
      </c>
      <c r="M173" s="29">
        <f t="shared" si="527"/>
        <v>5.7975436422480778E-2</v>
      </c>
      <c r="N173" s="29">
        <f t="shared" si="527"/>
        <v>5.8654838355166682E-2</v>
      </c>
      <c r="O173" s="29">
        <f t="shared" si="527"/>
        <v>6.1029832672834489E-2</v>
      </c>
      <c r="P173" s="29">
        <f t="shared" si="527"/>
        <v>7.9574928468179873E-2</v>
      </c>
      <c r="Q173" s="29">
        <f t="shared" si="527"/>
        <v>9.7871284486733434E-2</v>
      </c>
      <c r="R173" s="29">
        <f t="shared" si="527"/>
        <v>0.10641358431285934</v>
      </c>
      <c r="S173" s="29">
        <f t="shared" si="527"/>
        <v>0.10254510948868782</v>
      </c>
      <c r="T173" s="29">
        <f t="shared" si="527"/>
        <v>9.2337669947409814E-2</v>
      </c>
      <c r="U173" s="29">
        <f t="shared" si="527"/>
        <v>8.5925077616882325E-2</v>
      </c>
      <c r="V173" s="29">
        <f t="shared" si="527"/>
        <v>8.3158710762741797E-2</v>
      </c>
      <c r="W173" s="29">
        <f t="shared" si="527"/>
        <v>8.6534835645762948E-2</v>
      </c>
      <c r="X173" s="29">
        <f t="shared" si="527"/>
        <v>9.1345446786506232E-2</v>
      </c>
      <c r="Y173" s="29">
        <f t="shared" si="527"/>
        <v>9.227991264049179E-2</v>
      </c>
      <c r="Z173" s="29">
        <f t="shared" si="527"/>
        <v>9.3706840332847055E-2</v>
      </c>
      <c r="AA173" s="29">
        <f t="shared" si="527"/>
        <v>9.480162984369786E-2</v>
      </c>
      <c r="AB173" s="29">
        <f t="shared" si="527"/>
        <v>9.2818049103931835E-2</v>
      </c>
      <c r="AC173" s="29">
        <f t="shared" si="527"/>
        <v>9.0808524443164007E-2</v>
      </c>
      <c r="AD173" s="29">
        <f t="shared" ref="AD173:AE173" si="528">AD73/AD$82</f>
        <v>8.8545241712806685E-2</v>
      </c>
      <c r="AE173" s="29">
        <f t="shared" si="528"/>
        <v>9.0486000926069843E-2</v>
      </c>
      <c r="AF173" s="29"/>
      <c r="AG173" s="29"/>
      <c r="AH173" s="29"/>
      <c r="AI173" s="29"/>
      <c r="AJ173" s="29"/>
      <c r="AK173" s="29"/>
      <c r="AL173" s="29">
        <f t="shared" ref="AL173:BF173" si="529">AL73/AL$82</f>
        <v>6.6530850232941835E-2</v>
      </c>
      <c r="AM173" s="29">
        <f t="shared" si="529"/>
        <v>6.4078941538734183E-2</v>
      </c>
      <c r="AN173" s="29">
        <f t="shared" si="529"/>
        <v>6.6263091072269867E-2</v>
      </c>
      <c r="AO173" s="29">
        <f t="shared" si="529"/>
        <v>5.7076378264688664E-2</v>
      </c>
      <c r="AP173" s="29">
        <f t="shared" si="529"/>
        <v>5.8761204428472394E-2</v>
      </c>
      <c r="AQ173" s="29">
        <f t="shared" si="529"/>
        <v>5.8562559362465447E-2</v>
      </c>
      <c r="AR173" s="29">
        <f t="shared" si="529"/>
        <v>6.3173772045021753E-2</v>
      </c>
      <c r="AS173" s="29">
        <f t="shared" si="529"/>
        <v>9.3921786322667594E-2</v>
      </c>
      <c r="AT173" s="29">
        <f t="shared" si="529"/>
        <v>0.10111124822060369</v>
      </c>
      <c r="AU173" s="29">
        <f t="shared" si="529"/>
        <v>0.11102823286305416</v>
      </c>
      <c r="AV173" s="29">
        <f t="shared" si="529"/>
        <v>9.5614015487268042E-2</v>
      </c>
      <c r="AW173" s="39">
        <f t="shared" si="529"/>
        <v>9.0307208401191524E-2</v>
      </c>
      <c r="AX173" s="29">
        <f t="shared" si="529"/>
        <v>8.3210161506604485E-2</v>
      </c>
      <c r="AY173" s="29">
        <f t="shared" si="529"/>
        <v>8.4090110576100802E-2</v>
      </c>
      <c r="AZ173" s="29">
        <f t="shared" si="529"/>
        <v>8.8634480064289561E-2</v>
      </c>
      <c r="BA173" s="29">
        <f t="shared" si="529"/>
        <v>9.3692712946809503E-2</v>
      </c>
      <c r="BB173" s="29">
        <f t="shared" si="529"/>
        <v>9.1018085001980609E-2</v>
      </c>
      <c r="BC173" s="29">
        <f t="shared" si="529"/>
        <v>9.6103696334891922E-2</v>
      </c>
      <c r="BD173" s="29">
        <f t="shared" si="529"/>
        <v>9.3646944544731076E-2</v>
      </c>
      <c r="BE173" s="29">
        <f t="shared" si="529"/>
        <v>9.2082759781456469E-2</v>
      </c>
      <c r="BF173" s="29">
        <f t="shared" si="529"/>
        <v>8.963924637379582E-2</v>
      </c>
      <c r="BG173" s="29"/>
      <c r="BH173" s="29"/>
      <c r="BI173" s="29"/>
      <c r="BJ173" s="29"/>
      <c r="BK173" s="29"/>
      <c r="BL173" s="29"/>
      <c r="BM173" s="29"/>
      <c r="BN173" s="29"/>
      <c r="BO173" s="29"/>
      <c r="BP173" s="29"/>
      <c r="BQ173" s="29"/>
      <c r="BR173" s="29"/>
      <c r="BS173" s="29"/>
      <c r="BT173" s="29"/>
      <c r="BU173" s="29"/>
      <c r="BV173" s="29"/>
      <c r="BW173" s="29"/>
      <c r="BX173" s="29"/>
      <c r="BY173" s="29"/>
      <c r="BZ173" s="29"/>
      <c r="CA173" s="29"/>
      <c r="CB173" s="29"/>
      <c r="CC173" s="29"/>
      <c r="CD173" s="29"/>
      <c r="CE173" s="29"/>
      <c r="CF173" s="29"/>
      <c r="CG173" s="29"/>
      <c r="CH173" s="29"/>
      <c r="CI173" s="29"/>
      <c r="CJ173" s="29"/>
      <c r="CK173" s="29"/>
      <c r="CL173" s="29"/>
      <c r="CM173" s="29"/>
      <c r="CN173" s="29"/>
      <c r="CO173" s="29"/>
      <c r="CP173" s="29"/>
      <c r="CQ173" s="29"/>
      <c r="CR173" s="29"/>
      <c r="CS173" s="29"/>
      <c r="CT173" s="29"/>
      <c r="CU173" s="29"/>
      <c r="CV173" s="29"/>
      <c r="CW173" s="29"/>
      <c r="CX173" s="29"/>
      <c r="CY173" s="29"/>
      <c r="CZ173" s="29"/>
      <c r="DA173" s="29"/>
      <c r="DB173" s="29"/>
      <c r="DC173" s="29"/>
      <c r="DD173" s="29"/>
      <c r="DE173" s="29"/>
      <c r="DF173" s="29"/>
      <c r="DG173" s="29"/>
      <c r="DH173" s="29"/>
      <c r="DI173" s="29"/>
      <c r="DJ173" s="29"/>
      <c r="DK173" s="29"/>
      <c r="DL173" s="29"/>
      <c r="DM173" s="29"/>
      <c r="DN173" s="29"/>
      <c r="DO173" s="29"/>
      <c r="DP173" s="29"/>
      <c r="DQ173" s="29"/>
      <c r="DR173" s="29"/>
      <c r="DS173" s="29"/>
      <c r="DT173" s="29"/>
      <c r="DU173" s="29"/>
      <c r="DV173" s="29"/>
      <c r="DW173" s="29"/>
      <c r="DX173" s="29"/>
      <c r="DY173" s="29"/>
      <c r="DZ173" s="29"/>
      <c r="EA173" s="29"/>
      <c r="EB173" s="29"/>
      <c r="EC173" s="29"/>
      <c r="ED173" s="29"/>
      <c r="EE173" s="29"/>
      <c r="EF173" s="29"/>
      <c r="EG173" s="29"/>
      <c r="EH173" s="29"/>
      <c r="EI173" s="29"/>
      <c r="EJ173" s="29"/>
      <c r="EK173" s="29"/>
      <c r="EL173" s="29"/>
      <c r="EM173" s="29"/>
      <c r="EN173" s="29"/>
      <c r="EO173" s="29"/>
      <c r="EP173" s="29"/>
      <c r="EQ173" s="29"/>
      <c r="ER173" s="29"/>
      <c r="ES173" s="29"/>
      <c r="ET173" s="29"/>
      <c r="EU173" s="29"/>
      <c r="EV173" s="29"/>
      <c r="EW173" s="29"/>
      <c r="EX173" s="29"/>
      <c r="EY173" s="29"/>
      <c r="EZ173" s="29"/>
      <c r="FA173" s="29"/>
      <c r="FB173" s="29"/>
      <c r="FC173" s="29"/>
      <c r="FD173" s="29"/>
      <c r="FE173" s="29"/>
      <c r="FF173" s="29"/>
      <c r="FG173" s="29"/>
      <c r="FH173" s="29"/>
      <c r="FI173" s="29"/>
      <c r="FJ173" s="29"/>
      <c r="FK173" s="29"/>
      <c r="FL173" s="29"/>
      <c r="FM173" s="29"/>
      <c r="FN173" s="29"/>
      <c r="FO173" s="29"/>
      <c r="FP173" s="29"/>
      <c r="FQ173" s="29"/>
      <c r="FR173" s="29"/>
      <c r="FS173" s="29"/>
      <c r="FT173" s="29"/>
      <c r="FU173" s="29"/>
      <c r="FV173" s="29"/>
      <c r="FW173" s="29"/>
      <c r="FX173" s="29"/>
      <c r="FY173" s="29"/>
      <c r="FZ173" s="29"/>
      <c r="GA173" s="29"/>
      <c r="GB173" s="29"/>
      <c r="GC173" s="29"/>
      <c r="GD173" s="29"/>
      <c r="GE173" s="29"/>
      <c r="GF173" s="29"/>
      <c r="GG173" s="29"/>
      <c r="GH173" s="29"/>
    </row>
    <row r="174" spans="5:190" x14ac:dyDescent="0.2">
      <c r="E174" s="191" t="s">
        <v>118</v>
      </c>
      <c r="F174" s="29"/>
      <c r="G174" s="29"/>
      <c r="H174" s="29"/>
      <c r="J174" s="29">
        <f t="shared" ref="J174:AC174" si="530">J74/J$82</f>
        <v>1.9927173015249214E-2</v>
      </c>
      <c r="K174" s="29">
        <f t="shared" si="530"/>
        <v>2.0877574876511745E-2</v>
      </c>
      <c r="L174" s="29">
        <f t="shared" si="530"/>
        <v>2.8780326088410076E-2</v>
      </c>
      <c r="M174" s="29">
        <f t="shared" si="530"/>
        <v>3.4346646855413887E-2</v>
      </c>
      <c r="N174" s="29">
        <f t="shared" si="530"/>
        <v>3.2491764591544792E-2</v>
      </c>
      <c r="O174" s="29">
        <f t="shared" si="530"/>
        <v>2.9863597138604786E-2</v>
      </c>
      <c r="P174" s="29">
        <f t="shared" si="530"/>
        <v>2.7604844995512794E-2</v>
      </c>
      <c r="Q174" s="29">
        <f t="shared" si="530"/>
        <v>2.6866135933842787E-2</v>
      </c>
      <c r="R174" s="29">
        <f t="shared" si="530"/>
        <v>2.9592543067041645E-2</v>
      </c>
      <c r="S174" s="29">
        <f t="shared" si="530"/>
        <v>3.121699336348617E-2</v>
      </c>
      <c r="T174" s="29">
        <f t="shared" si="530"/>
        <v>3.107015016394931E-2</v>
      </c>
      <c r="U174" s="29">
        <f t="shared" si="530"/>
        <v>3.1343973382656681E-2</v>
      </c>
      <c r="V174" s="29">
        <f t="shared" si="530"/>
        <v>2.9253588283485798E-2</v>
      </c>
      <c r="W174" s="29">
        <f t="shared" si="530"/>
        <v>2.6892911113264958E-2</v>
      </c>
      <c r="X174" s="29">
        <f t="shared" si="530"/>
        <v>2.6444971992314482E-2</v>
      </c>
      <c r="Y174" s="29">
        <f t="shared" si="530"/>
        <v>2.703364771476675E-2</v>
      </c>
      <c r="Z174" s="29">
        <f t="shared" si="530"/>
        <v>2.978927205268396E-2</v>
      </c>
      <c r="AA174" s="29">
        <f t="shared" si="530"/>
        <v>3.1458196951977865E-2</v>
      </c>
      <c r="AB174" s="29">
        <f t="shared" si="530"/>
        <v>3.0604378793362634E-2</v>
      </c>
      <c r="AC174" s="29">
        <f t="shared" si="530"/>
        <v>2.9759175669032453E-2</v>
      </c>
      <c r="AD174" s="29">
        <f t="shared" ref="AD174:AE174" si="531">AD74/AD$82</f>
        <v>2.8857211483852691E-2</v>
      </c>
      <c r="AE174" s="29">
        <f t="shared" si="531"/>
        <v>2.9297398790653243E-2</v>
      </c>
      <c r="AF174" s="29"/>
      <c r="AG174" s="29"/>
      <c r="AH174" s="29"/>
      <c r="AI174" s="29"/>
      <c r="AJ174" s="29"/>
      <c r="AK174" s="29"/>
      <c r="AL174" s="29">
        <f t="shared" ref="AL174:BF174" si="532">AL74/AL$82</f>
        <v>1.8642190003392758E-2</v>
      </c>
      <c r="AM174" s="29">
        <f t="shared" si="532"/>
        <v>2.1045169579761193E-2</v>
      </c>
      <c r="AN174" s="29">
        <f t="shared" si="532"/>
        <v>2.072910264205292E-2</v>
      </c>
      <c r="AO174" s="29">
        <f t="shared" si="532"/>
        <v>3.4739132231320677E-2</v>
      </c>
      <c r="AP174" s="29">
        <f t="shared" si="532"/>
        <v>3.4003618488968143E-2</v>
      </c>
      <c r="AQ174" s="29">
        <f t="shared" si="532"/>
        <v>3.1180140025272734E-2</v>
      </c>
      <c r="AR174" s="29">
        <f t="shared" si="532"/>
        <v>2.8719586007759174E-2</v>
      </c>
      <c r="AS174" s="29">
        <f t="shared" si="532"/>
        <v>2.6629728946702669E-2</v>
      </c>
      <c r="AT174" s="29">
        <f t="shared" si="532"/>
        <v>2.7060071981651709E-2</v>
      </c>
      <c r="AU174" s="29">
        <f t="shared" si="532"/>
        <v>3.1796564807510648E-2</v>
      </c>
      <c r="AV174" s="29">
        <f t="shared" si="532"/>
        <v>3.0743457381301742E-2</v>
      </c>
      <c r="AW174" s="39">
        <f t="shared" si="532"/>
        <v>3.1628101749604377E-2</v>
      </c>
      <c r="AX174" s="29">
        <f t="shared" si="532"/>
        <v>3.1484835392820862E-2</v>
      </c>
      <c r="AY174" s="29">
        <f t="shared" si="532"/>
        <v>2.7742516827705597E-2</v>
      </c>
      <c r="AZ174" s="29">
        <f t="shared" si="532"/>
        <v>2.6163229923993163E-2</v>
      </c>
      <c r="BA174" s="29">
        <f t="shared" si="532"/>
        <v>2.6688915828837763E-2</v>
      </c>
      <c r="BB174" s="29">
        <f t="shared" si="532"/>
        <v>2.7341541349554386E-2</v>
      </c>
      <c r="BC174" s="29">
        <f t="shared" si="532"/>
        <v>3.1971269782204048E-2</v>
      </c>
      <c r="BD174" s="29">
        <f t="shared" si="532"/>
        <v>3.100319894813694E-2</v>
      </c>
      <c r="BE174" s="29">
        <f t="shared" si="532"/>
        <v>3.0250596896443549E-2</v>
      </c>
      <c r="BF174" s="29">
        <f t="shared" si="532"/>
        <v>2.9308232231218371E-2</v>
      </c>
      <c r="BG174" s="29"/>
      <c r="BH174" s="29"/>
      <c r="BI174" s="29"/>
      <c r="BJ174" s="29"/>
      <c r="BK174" s="29"/>
      <c r="BL174" s="29"/>
      <c r="BM174" s="29"/>
      <c r="BN174" s="29"/>
      <c r="BO174" s="29"/>
      <c r="BP174" s="29"/>
      <c r="BQ174" s="29"/>
      <c r="BR174" s="29"/>
      <c r="BS174" s="29"/>
      <c r="BT174" s="29"/>
      <c r="BU174" s="29"/>
      <c r="BV174" s="29"/>
      <c r="BW174" s="29"/>
      <c r="BX174" s="29"/>
      <c r="BY174" s="29"/>
      <c r="BZ174" s="29"/>
      <c r="CA174" s="29"/>
      <c r="CB174" s="29"/>
      <c r="CC174" s="29"/>
      <c r="CD174" s="29"/>
      <c r="CE174" s="29"/>
      <c r="CF174" s="29"/>
      <c r="CG174" s="29"/>
      <c r="CH174" s="29"/>
      <c r="CI174" s="29"/>
      <c r="CJ174" s="29"/>
      <c r="CK174" s="29"/>
      <c r="CL174" s="29"/>
      <c r="CM174" s="29"/>
      <c r="CN174" s="29"/>
      <c r="CO174" s="29"/>
      <c r="CP174" s="29"/>
      <c r="CQ174" s="29"/>
      <c r="CR174" s="29"/>
      <c r="CS174" s="29"/>
      <c r="CT174" s="29"/>
      <c r="CU174" s="29"/>
      <c r="CV174" s="29"/>
      <c r="CW174" s="29"/>
      <c r="CX174" s="29"/>
      <c r="CY174" s="29"/>
      <c r="CZ174" s="29"/>
      <c r="DA174" s="29"/>
      <c r="DB174" s="29"/>
      <c r="DC174" s="29"/>
      <c r="DD174" s="29"/>
      <c r="DE174" s="29"/>
      <c r="DF174" s="29"/>
      <c r="DG174" s="29"/>
      <c r="DH174" s="29"/>
      <c r="DI174" s="29"/>
      <c r="DJ174" s="29"/>
      <c r="DK174" s="29"/>
      <c r="DL174" s="29"/>
      <c r="DM174" s="29"/>
      <c r="DN174" s="29"/>
      <c r="DO174" s="29"/>
      <c r="DP174" s="29"/>
      <c r="DQ174" s="29"/>
      <c r="DR174" s="29"/>
      <c r="DS174" s="29"/>
      <c r="DT174" s="29"/>
      <c r="DU174" s="29"/>
      <c r="DV174" s="29"/>
      <c r="DW174" s="29"/>
      <c r="DX174" s="29"/>
      <c r="DY174" s="29"/>
      <c r="DZ174" s="29"/>
      <c r="EA174" s="29"/>
      <c r="EB174" s="29"/>
      <c r="EC174" s="29"/>
      <c r="ED174" s="29"/>
      <c r="EE174" s="29"/>
      <c r="EF174" s="29"/>
      <c r="EG174" s="29"/>
      <c r="EH174" s="29"/>
      <c r="EI174" s="29"/>
      <c r="EJ174" s="29"/>
      <c r="EK174" s="29"/>
      <c r="EL174" s="29"/>
      <c r="EM174" s="29"/>
      <c r="EN174" s="29"/>
      <c r="EO174" s="29"/>
      <c r="EP174" s="29"/>
      <c r="EQ174" s="29"/>
      <c r="ER174" s="29"/>
      <c r="ES174" s="29"/>
      <c r="ET174" s="29"/>
      <c r="EU174" s="29"/>
      <c r="EV174" s="29"/>
      <c r="EW174" s="29"/>
      <c r="EX174" s="29"/>
      <c r="EY174" s="29"/>
      <c r="EZ174" s="29"/>
      <c r="FA174" s="29"/>
      <c r="FB174" s="29"/>
      <c r="FC174" s="29"/>
      <c r="FD174" s="29"/>
      <c r="FE174" s="29"/>
      <c r="FF174" s="29"/>
      <c r="FG174" s="29"/>
      <c r="FH174" s="29"/>
      <c r="FI174" s="29"/>
      <c r="FJ174" s="29"/>
      <c r="FK174" s="29"/>
      <c r="FL174" s="29"/>
      <c r="FM174" s="29"/>
      <c r="FN174" s="29"/>
      <c r="FO174" s="29"/>
      <c r="FP174" s="29"/>
      <c r="FQ174" s="29"/>
      <c r="FR174" s="29"/>
      <c r="FS174" s="29"/>
      <c r="FT174" s="29"/>
      <c r="FU174" s="29"/>
      <c r="FV174" s="29"/>
      <c r="FW174" s="29"/>
      <c r="FX174" s="29"/>
      <c r="FY174" s="29"/>
      <c r="FZ174" s="29"/>
      <c r="GA174" s="29"/>
      <c r="GB174" s="29"/>
      <c r="GC174" s="29"/>
      <c r="GD174" s="29"/>
      <c r="GE174" s="29"/>
      <c r="GF174" s="29"/>
      <c r="GG174" s="29"/>
      <c r="GH174" s="29"/>
    </row>
    <row r="175" spans="5:190" x14ac:dyDescent="0.2">
      <c r="E175" s="191" t="s">
        <v>119</v>
      </c>
      <c r="F175" s="29"/>
      <c r="G175" s="29"/>
      <c r="H175" s="29"/>
      <c r="J175" s="29">
        <f t="shared" ref="J175:AC175" si="533">J75/J$82</f>
        <v>1.0112736563316179E-2</v>
      </c>
      <c r="K175" s="29">
        <f t="shared" si="533"/>
        <v>1.1270898631309118E-2</v>
      </c>
      <c r="L175" s="29">
        <f t="shared" si="533"/>
        <v>1.4234913037091981E-2</v>
      </c>
      <c r="M175" s="29">
        <f t="shared" si="533"/>
        <v>1.6921749716272479E-2</v>
      </c>
      <c r="N175" s="29">
        <f t="shared" si="533"/>
        <v>1.77657100976834E-2</v>
      </c>
      <c r="O175" s="29">
        <f t="shared" si="533"/>
        <v>1.7736301874461905E-2</v>
      </c>
      <c r="P175" s="29">
        <f t="shared" si="533"/>
        <v>1.7864413598260007E-2</v>
      </c>
      <c r="Q175" s="29">
        <f t="shared" si="533"/>
        <v>1.871952825961708E-2</v>
      </c>
      <c r="R175" s="29">
        <f t="shared" si="533"/>
        <v>1.7747638145063985E-2</v>
      </c>
      <c r="S175" s="29">
        <f t="shared" si="533"/>
        <v>1.6302544909923753E-2</v>
      </c>
      <c r="T175" s="29">
        <f t="shared" si="533"/>
        <v>1.6883661309723068E-2</v>
      </c>
      <c r="U175" s="29">
        <f t="shared" si="533"/>
        <v>1.70432628962441E-2</v>
      </c>
      <c r="V175" s="29">
        <f t="shared" si="533"/>
        <v>1.6011239725818527E-2</v>
      </c>
      <c r="W175" s="29">
        <f t="shared" si="533"/>
        <v>1.5238619874054284E-2</v>
      </c>
      <c r="X175" s="29">
        <f t="shared" si="533"/>
        <v>1.4648625432582918E-2</v>
      </c>
      <c r="Y175" s="29">
        <f t="shared" si="533"/>
        <v>1.4441662949148462E-2</v>
      </c>
      <c r="Z175" s="29">
        <f t="shared" si="533"/>
        <v>1.6041964800346496E-2</v>
      </c>
      <c r="AA175" s="29">
        <f t="shared" si="533"/>
        <v>1.7461751858832308E-2</v>
      </c>
      <c r="AB175" s="29">
        <f t="shared" si="533"/>
        <v>1.7599950617485628E-2</v>
      </c>
      <c r="AC175" s="29">
        <f t="shared" si="533"/>
        <v>1.7708636630900807E-2</v>
      </c>
      <c r="AD175" s="29">
        <f t="shared" ref="AD175:AE175" si="534">AD75/AD$82</f>
        <v>1.7790718891290927E-2</v>
      </c>
      <c r="AE175" s="29">
        <f t="shared" si="534"/>
        <v>1.8701860307189053E-2</v>
      </c>
      <c r="AF175" s="29"/>
      <c r="AG175" s="29"/>
      <c r="AH175" s="29"/>
      <c r="AI175" s="29"/>
      <c r="AJ175" s="29"/>
      <c r="AK175" s="29"/>
      <c r="AL175" s="29">
        <f t="shared" ref="AL175:BF175" si="535">AL75/AL$82</f>
        <v>9.6542441627683884E-3</v>
      </c>
      <c r="AM175" s="29">
        <f t="shared" si="535"/>
        <v>1.0511646839901641E-2</v>
      </c>
      <c r="AN175" s="29">
        <f t="shared" si="535"/>
        <v>1.1943520186772895E-2</v>
      </c>
      <c r="AO175" s="29">
        <f t="shared" si="535"/>
        <v>1.5930800113543777E-2</v>
      </c>
      <c r="AP175" s="29">
        <f t="shared" si="535"/>
        <v>1.7787829943258587E-2</v>
      </c>
      <c r="AQ175" s="29">
        <f t="shared" si="535"/>
        <v>1.7746519795691917E-2</v>
      </c>
      <c r="AR175" s="29">
        <f t="shared" si="535"/>
        <v>1.7727423002577361E-2</v>
      </c>
      <c r="AS175" s="29">
        <f t="shared" si="535"/>
        <v>1.798424567308159E-2</v>
      </c>
      <c r="AT175" s="29">
        <f t="shared" si="535"/>
        <v>1.9322716010454981E-2</v>
      </c>
      <c r="AU175" s="29">
        <f t="shared" si="535"/>
        <v>1.6376840319066801E-2</v>
      </c>
      <c r="AV175" s="29">
        <f t="shared" si="535"/>
        <v>1.6241842213296654E-2</v>
      </c>
      <c r="AW175" s="39">
        <f t="shared" si="535"/>
        <v>1.7590083068979728E-2</v>
      </c>
      <c r="AX175" s="29">
        <f t="shared" si="535"/>
        <v>1.6782207278956525E-2</v>
      </c>
      <c r="AY175" s="29">
        <f t="shared" si="535"/>
        <v>1.555826766807566E-2</v>
      </c>
      <c r="AZ175" s="29">
        <f t="shared" si="535"/>
        <v>1.4964091373921507E-2</v>
      </c>
      <c r="BA175" s="29">
        <f t="shared" si="535"/>
        <v>1.4375482083841687E-2</v>
      </c>
      <c r="BB175" s="29">
        <f t="shared" si="535"/>
        <v>1.4500771688445326E-2</v>
      </c>
      <c r="BC175" s="29">
        <f t="shared" si="535"/>
        <v>1.7415841373705124E-2</v>
      </c>
      <c r="BD175" s="29">
        <f t="shared" si="535"/>
        <v>1.7502465726060536E-2</v>
      </c>
      <c r="BE175" s="29">
        <f t="shared" si="535"/>
        <v>1.7686426662882178E-2</v>
      </c>
      <c r="BF175" s="29">
        <f t="shared" si="535"/>
        <v>1.7729017189927174E-2</v>
      </c>
      <c r="BG175" s="29"/>
      <c r="BH175" s="29"/>
      <c r="BI175" s="29"/>
      <c r="BJ175" s="29"/>
      <c r="BK175" s="29"/>
      <c r="BL175" s="29"/>
      <c r="BM175" s="29"/>
      <c r="BN175" s="29"/>
      <c r="BO175" s="29"/>
      <c r="BP175" s="29"/>
      <c r="BQ175" s="29"/>
      <c r="BR175" s="29"/>
      <c r="BS175" s="29"/>
      <c r="BT175" s="29"/>
      <c r="BU175" s="29"/>
      <c r="BV175" s="29"/>
      <c r="BW175" s="29"/>
      <c r="BX175" s="29"/>
      <c r="BY175" s="29"/>
      <c r="BZ175" s="29"/>
      <c r="CA175" s="29"/>
      <c r="CB175" s="29"/>
      <c r="CC175" s="29"/>
      <c r="CD175" s="29"/>
      <c r="CE175" s="29"/>
      <c r="CF175" s="29"/>
      <c r="CG175" s="29"/>
      <c r="CH175" s="29"/>
      <c r="CI175" s="29"/>
      <c r="CJ175" s="29"/>
      <c r="CK175" s="29"/>
      <c r="CL175" s="29"/>
      <c r="CM175" s="29"/>
      <c r="CN175" s="29"/>
      <c r="CO175" s="29"/>
      <c r="CP175" s="29"/>
      <c r="CQ175" s="29"/>
      <c r="CR175" s="29"/>
      <c r="CS175" s="29"/>
      <c r="CT175" s="29"/>
      <c r="CU175" s="29"/>
      <c r="CV175" s="29"/>
      <c r="CW175" s="29"/>
      <c r="CX175" s="29"/>
      <c r="CY175" s="29"/>
      <c r="CZ175" s="29"/>
      <c r="DA175" s="29"/>
      <c r="DB175" s="29"/>
      <c r="DC175" s="29"/>
      <c r="DD175" s="29"/>
      <c r="DE175" s="29"/>
      <c r="DF175" s="29"/>
      <c r="DG175" s="29"/>
      <c r="DH175" s="29"/>
      <c r="DI175" s="29"/>
      <c r="DJ175" s="29"/>
      <c r="DK175" s="29"/>
      <c r="DL175" s="29"/>
      <c r="DM175" s="29"/>
      <c r="DN175" s="29"/>
      <c r="DO175" s="29"/>
      <c r="DP175" s="29"/>
      <c r="DQ175" s="29"/>
      <c r="DR175" s="29"/>
      <c r="DS175" s="29"/>
      <c r="DT175" s="29"/>
      <c r="DU175" s="29"/>
      <c r="DV175" s="29"/>
      <c r="DW175" s="29"/>
      <c r="DX175" s="29"/>
      <c r="DY175" s="29"/>
      <c r="DZ175" s="29"/>
      <c r="EA175" s="29"/>
      <c r="EB175" s="29"/>
      <c r="EC175" s="29"/>
      <c r="ED175" s="29"/>
      <c r="EE175" s="29"/>
      <c r="EF175" s="29"/>
      <c r="EG175" s="29"/>
      <c r="EH175" s="29"/>
      <c r="EI175" s="29"/>
      <c r="EJ175" s="29"/>
      <c r="EK175" s="29"/>
      <c r="EL175" s="29"/>
      <c r="EM175" s="29"/>
      <c r="EN175" s="29"/>
      <c r="EO175" s="29"/>
      <c r="EP175" s="29"/>
      <c r="EQ175" s="29"/>
      <c r="ER175" s="29"/>
      <c r="ES175" s="29"/>
      <c r="ET175" s="29"/>
      <c r="EU175" s="29"/>
      <c r="EV175" s="29"/>
      <c r="EW175" s="29"/>
      <c r="EX175" s="29"/>
      <c r="EY175" s="29"/>
      <c r="EZ175" s="29"/>
      <c r="FA175" s="29"/>
      <c r="FB175" s="29"/>
      <c r="FC175" s="29"/>
      <c r="FD175" s="29"/>
      <c r="FE175" s="29"/>
      <c r="FF175" s="29"/>
      <c r="FG175" s="29"/>
      <c r="FH175" s="29"/>
      <c r="FI175" s="29"/>
      <c r="FJ175" s="29"/>
      <c r="FK175" s="29"/>
      <c r="FL175" s="29"/>
      <c r="FM175" s="29"/>
      <c r="FN175" s="29"/>
      <c r="FO175" s="29"/>
      <c r="FP175" s="29"/>
      <c r="FQ175" s="29"/>
      <c r="FR175" s="29"/>
      <c r="FS175" s="29"/>
      <c r="FT175" s="29"/>
      <c r="FU175" s="29"/>
      <c r="FV175" s="29"/>
      <c r="FW175" s="29"/>
      <c r="FX175" s="29"/>
      <c r="FY175" s="29"/>
      <c r="FZ175" s="29"/>
      <c r="GA175" s="29"/>
      <c r="GB175" s="29"/>
      <c r="GC175" s="29"/>
      <c r="GD175" s="29"/>
      <c r="GE175" s="29"/>
      <c r="GF175" s="29"/>
      <c r="GG175" s="29"/>
      <c r="GH175" s="29"/>
    </row>
    <row r="176" spans="5:190" x14ac:dyDescent="0.2">
      <c r="E176" s="191" t="s">
        <v>120</v>
      </c>
      <c r="F176" s="29"/>
      <c r="G176" s="29"/>
      <c r="H176" s="29"/>
      <c r="J176" s="29">
        <f t="shared" ref="J176:AC176" si="536">J76/J$82</f>
        <v>9.4908892971193488E-3</v>
      </c>
      <c r="K176" s="29">
        <f t="shared" si="536"/>
        <v>9.3799496843941562E-3</v>
      </c>
      <c r="L176" s="29">
        <f t="shared" si="536"/>
        <v>1.7108203401068951E-2</v>
      </c>
      <c r="M176" s="29">
        <f t="shared" si="536"/>
        <v>2.2107663028317001E-2</v>
      </c>
      <c r="N176" s="29">
        <f t="shared" si="536"/>
        <v>2.0070885322185469E-2</v>
      </c>
      <c r="O176" s="29">
        <f t="shared" si="536"/>
        <v>1.8660253017605793E-2</v>
      </c>
      <c r="P176" s="29">
        <f t="shared" si="536"/>
        <v>1.7896506784958036E-2</v>
      </c>
      <c r="Q176" s="29">
        <f t="shared" si="536"/>
        <v>1.6809764544794489E-2</v>
      </c>
      <c r="R176" s="29">
        <f t="shared" si="536"/>
        <v>1.6355085215947772E-2</v>
      </c>
      <c r="S176" s="29">
        <f t="shared" si="536"/>
        <v>1.5854669949231914E-2</v>
      </c>
      <c r="T176" s="29">
        <f t="shared" si="536"/>
        <v>1.5194901829569401E-2</v>
      </c>
      <c r="U176" s="29">
        <f t="shared" si="536"/>
        <v>1.4433531777669388E-2</v>
      </c>
      <c r="V176" s="29">
        <f t="shared" si="536"/>
        <v>1.3298960490533342E-2</v>
      </c>
      <c r="W176" s="29">
        <f t="shared" si="536"/>
        <v>1.2799656239535641E-2</v>
      </c>
      <c r="X176" s="29">
        <f t="shared" si="536"/>
        <v>1.2494773380737326E-2</v>
      </c>
      <c r="Y176" s="29">
        <f t="shared" si="536"/>
        <v>1.2504969500162211E-2</v>
      </c>
      <c r="Z176" s="29">
        <f t="shared" si="536"/>
        <v>1.4176149259922013E-2</v>
      </c>
      <c r="AA176" s="29">
        <f t="shared" si="536"/>
        <v>1.5371047483242403E-2</v>
      </c>
      <c r="AB176" s="29">
        <f t="shared" si="536"/>
        <v>1.5193823586407567E-2</v>
      </c>
      <c r="AC176" s="29">
        <f t="shared" si="536"/>
        <v>1.4993596746859201E-2</v>
      </c>
      <c r="AD176" s="29">
        <f t="shared" ref="AD176:AE176" si="537">AD76/AD$82</f>
        <v>1.4700261434096562E-2</v>
      </c>
      <c r="AE176" s="29">
        <f t="shared" si="537"/>
        <v>1.5036841361316899E-2</v>
      </c>
      <c r="AF176" s="29"/>
      <c r="AG176" s="29"/>
      <c r="AH176" s="29"/>
      <c r="AI176" s="29"/>
      <c r="AJ176" s="29"/>
      <c r="AK176" s="29"/>
      <c r="AL176" s="29">
        <f t="shared" ref="AL176:BF176" si="538">AL76/AL$82</f>
        <v>9.4083805593023016E-3</v>
      </c>
      <c r="AM176" s="29">
        <f t="shared" si="538"/>
        <v>9.562675837930041E-3</v>
      </c>
      <c r="AN176" s="29">
        <f t="shared" si="538"/>
        <v>9.2180724902852264E-3</v>
      </c>
      <c r="AO176" s="29">
        <f t="shared" si="538"/>
        <v>2.2947783044187618E-2</v>
      </c>
      <c r="AP176" s="29">
        <f t="shared" si="538"/>
        <v>2.1373406379909022E-2</v>
      </c>
      <c r="AQ176" s="29">
        <f t="shared" si="538"/>
        <v>1.8940869637264764E-2</v>
      </c>
      <c r="AR176" s="29">
        <f t="shared" si="538"/>
        <v>1.8416410952420494E-2</v>
      </c>
      <c r="AS176" s="29">
        <f t="shared" si="538"/>
        <v>1.7441722317564766E-2</v>
      </c>
      <c r="AT176" s="29">
        <f t="shared" si="538"/>
        <v>1.6291339119574071E-2</v>
      </c>
      <c r="AU176" s="29">
        <f t="shared" si="538"/>
        <v>1.6410563749577719E-2</v>
      </c>
      <c r="AV176" s="29">
        <f t="shared" si="538"/>
        <v>1.5400479668722048E-2</v>
      </c>
      <c r="AW176" s="39">
        <f t="shared" si="538"/>
        <v>1.5150472440542594E-2</v>
      </c>
      <c r="AX176" s="29">
        <f t="shared" si="538"/>
        <v>1.3993976259312589E-2</v>
      </c>
      <c r="AY176" s="29">
        <f t="shared" si="538"/>
        <v>1.2877317973815073E-2</v>
      </c>
      <c r="AZ176" s="29">
        <f t="shared" si="538"/>
        <v>1.2732956703896056E-2</v>
      </c>
      <c r="BA176" s="29">
        <f t="shared" si="538"/>
        <v>1.2288544492047049E-2</v>
      </c>
      <c r="BB176" s="29">
        <f t="shared" si="538"/>
        <v>1.2698267205211894E-2</v>
      </c>
      <c r="BC176" s="29">
        <f t="shared" si="538"/>
        <v>1.5493588014010826E-2</v>
      </c>
      <c r="BD176" s="29">
        <f t="shared" si="538"/>
        <v>1.5262377342076165E-2</v>
      </c>
      <c r="BE176" s="29">
        <f t="shared" si="538"/>
        <v>1.5133011520038738E-2</v>
      </c>
      <c r="BF176" s="29">
        <f t="shared" si="538"/>
        <v>1.4865665404880239E-2</v>
      </c>
      <c r="BG176" s="29"/>
      <c r="BH176" s="29"/>
      <c r="BI176" s="29"/>
      <c r="BJ176" s="29"/>
      <c r="BK176" s="29"/>
      <c r="BL176" s="29"/>
      <c r="BM176" s="29"/>
      <c r="BN176" s="29"/>
      <c r="BO176" s="29"/>
      <c r="BP176" s="29"/>
      <c r="BQ176" s="29"/>
      <c r="BR176" s="29"/>
      <c r="BS176" s="29"/>
      <c r="BT176" s="29"/>
      <c r="BU176" s="29"/>
      <c r="BV176" s="29"/>
      <c r="BW176" s="29"/>
      <c r="BX176" s="29"/>
      <c r="BY176" s="29"/>
      <c r="BZ176" s="29"/>
      <c r="CA176" s="29"/>
      <c r="CB176" s="29"/>
      <c r="CC176" s="29"/>
      <c r="CD176" s="29"/>
      <c r="CE176" s="29"/>
      <c r="CF176" s="29"/>
      <c r="CG176" s="29"/>
      <c r="CH176" s="29"/>
      <c r="CI176" s="29"/>
      <c r="CJ176" s="29"/>
      <c r="CK176" s="29"/>
      <c r="CL176" s="29"/>
      <c r="CM176" s="29"/>
      <c r="CN176" s="29"/>
      <c r="CO176" s="29"/>
      <c r="CP176" s="29"/>
      <c r="CQ176" s="29"/>
      <c r="CR176" s="29"/>
      <c r="CS176" s="29"/>
      <c r="CT176" s="29"/>
      <c r="CU176" s="29"/>
      <c r="CV176" s="29"/>
      <c r="CW176" s="29"/>
      <c r="CX176" s="29"/>
      <c r="CY176" s="29"/>
      <c r="CZ176" s="29"/>
      <c r="DA176" s="29"/>
      <c r="DB176" s="29"/>
      <c r="DC176" s="29"/>
      <c r="DD176" s="29"/>
      <c r="DE176" s="29"/>
      <c r="DF176" s="29"/>
      <c r="DG176" s="29"/>
      <c r="DH176" s="29"/>
      <c r="DI176" s="29"/>
      <c r="DJ176" s="29"/>
      <c r="DK176" s="29"/>
      <c r="DL176" s="29"/>
      <c r="DM176" s="29"/>
      <c r="DN176" s="29"/>
      <c r="DO176" s="29"/>
      <c r="DP176" s="29"/>
      <c r="DQ176" s="29"/>
      <c r="DR176" s="29"/>
      <c r="DS176" s="29"/>
      <c r="DT176" s="29"/>
      <c r="DU176" s="29"/>
      <c r="DV176" s="29"/>
      <c r="DW176" s="29"/>
      <c r="DX176" s="29"/>
      <c r="DY176" s="29"/>
      <c r="DZ176" s="29"/>
      <c r="EA176" s="29"/>
      <c r="EB176" s="29"/>
      <c r="EC176" s="29"/>
      <c r="ED176" s="29"/>
      <c r="EE176" s="29"/>
      <c r="EF176" s="29"/>
      <c r="EG176" s="29"/>
      <c r="EH176" s="29"/>
      <c r="EI176" s="29"/>
      <c r="EJ176" s="29"/>
      <c r="EK176" s="29"/>
      <c r="EL176" s="29"/>
      <c r="EM176" s="29"/>
      <c r="EN176" s="29"/>
      <c r="EO176" s="29"/>
      <c r="EP176" s="29"/>
      <c r="EQ176" s="29"/>
      <c r="ER176" s="29"/>
      <c r="ES176" s="29"/>
      <c r="ET176" s="29"/>
      <c r="EU176" s="29"/>
      <c r="EV176" s="29"/>
      <c r="EW176" s="29"/>
      <c r="EX176" s="29"/>
      <c r="EY176" s="29"/>
      <c r="EZ176" s="29"/>
      <c r="FA176" s="29"/>
      <c r="FB176" s="29"/>
      <c r="FC176" s="29"/>
      <c r="FD176" s="29"/>
      <c r="FE176" s="29"/>
      <c r="FF176" s="29"/>
      <c r="FG176" s="29"/>
      <c r="FH176" s="29"/>
      <c r="FI176" s="29"/>
      <c r="FJ176" s="29"/>
      <c r="FK176" s="29"/>
      <c r="FL176" s="29"/>
      <c r="FM176" s="29"/>
      <c r="FN176" s="29"/>
      <c r="FO176" s="29"/>
      <c r="FP176" s="29"/>
      <c r="FQ176" s="29"/>
      <c r="FR176" s="29"/>
      <c r="FS176" s="29"/>
      <c r="FT176" s="29"/>
      <c r="FU176" s="29"/>
      <c r="FV176" s="29"/>
      <c r="FW176" s="29"/>
      <c r="FX176" s="29"/>
      <c r="FY176" s="29"/>
      <c r="FZ176" s="29"/>
      <c r="GA176" s="29"/>
      <c r="GB176" s="29"/>
      <c r="GC176" s="29"/>
      <c r="GD176" s="29"/>
      <c r="GE176" s="29"/>
      <c r="GF176" s="29"/>
      <c r="GG176" s="29"/>
      <c r="GH176" s="29"/>
    </row>
    <row r="177" spans="5:251" x14ac:dyDescent="0.2">
      <c r="E177" s="177" t="s">
        <v>121</v>
      </c>
      <c r="F177" s="29"/>
      <c r="G177" s="29"/>
      <c r="H177" s="29"/>
      <c r="J177" s="29">
        <f t="shared" ref="J177:U177" si="539">J77/J$82</f>
        <v>0.95076552589517427</v>
      </c>
      <c r="K177" s="29">
        <f t="shared" si="539"/>
        <v>0.94904408348714553</v>
      </c>
      <c r="L177" s="29">
        <f t="shared" si="539"/>
        <v>0.95526274840540992</v>
      </c>
      <c r="M177" s="29">
        <f t="shared" si="539"/>
        <v>0.96224983260580577</v>
      </c>
      <c r="N177" s="29">
        <f t="shared" si="539"/>
        <v>0.96150369766378341</v>
      </c>
      <c r="O177" s="29">
        <f t="shared" si="539"/>
        <v>0.95985699284022019</v>
      </c>
      <c r="P177" s="29">
        <f t="shared" si="539"/>
        <v>0.95364816797650609</v>
      </c>
      <c r="Q177" s="29">
        <f t="shared" si="539"/>
        <v>0.95033039877427761</v>
      </c>
      <c r="R177" s="29">
        <f t="shared" si="539"/>
        <v>0.94758603475687486</v>
      </c>
      <c r="S177" s="29">
        <f t="shared" si="539"/>
        <v>0.94332639908667126</v>
      </c>
      <c r="T177" s="29">
        <f t="shared" si="539"/>
        <v>0.93830198764597994</v>
      </c>
      <c r="U177" s="29">
        <f t="shared" si="539"/>
        <v>0.9375029566047034</v>
      </c>
      <c r="V177" s="29">
        <f t="shared" ref="V177:W180" si="540">V77/V$82</f>
        <v>0.94074539328056295</v>
      </c>
      <c r="W177" s="29">
        <f t="shared" si="540"/>
        <v>0.9480200119589165</v>
      </c>
      <c r="X177" s="29">
        <f t="shared" ref="X177:Y180" si="541">X77/X$82</f>
        <v>0.94829099946173634</v>
      </c>
      <c r="Y177" s="29">
        <f t="shared" si="541"/>
        <v>0.9385593113756423</v>
      </c>
      <c r="Z177" s="29">
        <f t="shared" ref="Z177:AA180" si="542">Z77/Z$82</f>
        <v>0.93549711362960075</v>
      </c>
      <c r="AA177" s="29">
        <f t="shared" si="542"/>
        <v>0.93799410500778557</v>
      </c>
      <c r="AB177" s="29">
        <f t="shared" ref="AB177:AC180" si="543">AB77/AB$82</f>
        <v>0.93603660280064782</v>
      </c>
      <c r="AC177" s="29">
        <f t="shared" si="543"/>
        <v>0.93467352884431931</v>
      </c>
      <c r="AD177" s="29">
        <f t="shared" ref="AD177:AE177" si="544">AD77/AD$82</f>
        <v>0.93417972536509331</v>
      </c>
      <c r="AE177" s="29">
        <f t="shared" si="544"/>
        <v>0.9800209086621906</v>
      </c>
      <c r="AF177" s="29"/>
      <c r="AG177" s="29"/>
      <c r="AH177" s="29"/>
      <c r="AI177" s="29"/>
      <c r="AJ177" s="29"/>
      <c r="AK177" s="29"/>
      <c r="AL177" s="29">
        <f t="shared" ref="AL177:AY177" si="545">AL77/AL$82</f>
        <v>0.94817959087023307</v>
      </c>
      <c r="AM177" s="29">
        <f t="shared" si="545"/>
        <v>0.95301541281761593</v>
      </c>
      <c r="AN177" s="29">
        <f t="shared" si="545"/>
        <v>0.94552588077527822</v>
      </c>
      <c r="AO177" s="29">
        <f t="shared" si="545"/>
        <v>0.96246911983873396</v>
      </c>
      <c r="AP177" s="29">
        <f t="shared" si="545"/>
        <v>0.96205817771644853</v>
      </c>
      <c r="AQ177" s="29">
        <f t="shared" si="545"/>
        <v>0.9610226527295983</v>
      </c>
      <c r="AR177" s="29">
        <f t="shared" si="545"/>
        <v>0.95884409162619011</v>
      </c>
      <c r="AS177" s="29">
        <f t="shared" si="545"/>
        <v>0.94910305078467594</v>
      </c>
      <c r="AT177" s="29">
        <f t="shared" si="545"/>
        <v>0.95133725149580273</v>
      </c>
      <c r="AU177" s="29">
        <f t="shared" si="545"/>
        <v>0.94432133282463737</v>
      </c>
      <c r="AV177" s="29">
        <f t="shared" si="545"/>
        <v>0.94251349339631374</v>
      </c>
      <c r="AW177" s="39">
        <f t="shared" si="545"/>
        <v>0.94292586080934992</v>
      </c>
      <c r="AX177" s="29">
        <f t="shared" si="545"/>
        <v>0.94436297371173161</v>
      </c>
      <c r="AY177" s="29">
        <f t="shared" si="545"/>
        <v>0.94876002016071326</v>
      </c>
      <c r="AZ177" s="29">
        <f t="shared" ref="AZ177:BA180" si="546">AZ77/AZ$82</f>
        <v>0.94738445824784767</v>
      </c>
      <c r="BA177" s="29">
        <f t="shared" si="546"/>
        <v>0.94907592002045926</v>
      </c>
      <c r="BB177" s="29">
        <f t="shared" ref="BB177:BC180" si="547">BB77/BB$82</f>
        <v>0.92916651368718295</v>
      </c>
      <c r="BC177" s="29">
        <f t="shared" si="547"/>
        <v>0.94114044468852598</v>
      </c>
      <c r="BD177" s="29">
        <f t="shared" ref="BD177:BF180" si="548">BD77/BD$82</f>
        <v>0.93520390020681954</v>
      </c>
      <c r="BE177" s="29">
        <f t="shared" si="548"/>
        <v>0.93677526933915511</v>
      </c>
      <c r="BF177" s="29">
        <f t="shared" si="548"/>
        <v>0.93274490624670103</v>
      </c>
      <c r="BG177" s="29"/>
      <c r="BH177" s="29"/>
      <c r="BI177" s="29"/>
      <c r="BJ177" s="29"/>
      <c r="BK177" s="29"/>
      <c r="BL177" s="29"/>
      <c r="BM177" s="29"/>
      <c r="BN177" s="29"/>
      <c r="BO177" s="29"/>
      <c r="BP177" s="29"/>
      <c r="BQ177" s="29"/>
      <c r="BR177" s="29"/>
      <c r="BS177" s="29"/>
      <c r="BT177" s="29"/>
      <c r="BU177" s="29"/>
      <c r="BV177" s="29"/>
      <c r="BW177" s="29"/>
      <c r="BX177" s="29"/>
      <c r="BY177" s="29"/>
      <c r="BZ177" s="29"/>
      <c r="CA177" s="29"/>
      <c r="CB177" s="29"/>
      <c r="CC177" s="29"/>
      <c r="CD177" s="29"/>
      <c r="CE177" s="29"/>
      <c r="CF177" s="29"/>
      <c r="CG177" s="29"/>
      <c r="CH177" s="29"/>
      <c r="CI177" s="29"/>
      <c r="CJ177" s="29"/>
      <c r="CK177" s="29"/>
      <c r="CL177" s="29"/>
      <c r="CM177" s="29"/>
      <c r="CN177" s="29"/>
      <c r="CO177" s="29"/>
      <c r="CP177" s="29"/>
      <c r="CQ177" s="29"/>
      <c r="CR177" s="29"/>
      <c r="CS177" s="29"/>
      <c r="CT177" s="29"/>
      <c r="CU177" s="29"/>
      <c r="CV177" s="29"/>
      <c r="CW177" s="29"/>
      <c r="CX177" s="29"/>
      <c r="CY177" s="29"/>
      <c r="CZ177" s="29"/>
      <c r="DA177" s="29"/>
      <c r="DB177" s="29"/>
      <c r="DC177" s="29"/>
      <c r="DD177" s="29"/>
      <c r="DE177" s="29"/>
      <c r="DF177" s="29"/>
      <c r="DG177" s="29"/>
      <c r="DH177" s="29"/>
      <c r="DI177" s="29"/>
      <c r="DJ177" s="29"/>
      <c r="DK177" s="29"/>
      <c r="DL177" s="29"/>
      <c r="DM177" s="29"/>
      <c r="DN177" s="29"/>
      <c r="DO177" s="29"/>
      <c r="DP177" s="29"/>
      <c r="DQ177" s="29"/>
      <c r="DR177" s="29"/>
      <c r="DS177" s="29"/>
      <c r="DT177" s="29"/>
      <c r="DU177" s="29"/>
      <c r="DV177" s="29"/>
      <c r="DW177" s="29"/>
      <c r="DX177" s="29"/>
      <c r="DY177" s="29"/>
      <c r="DZ177" s="29"/>
      <c r="EA177" s="29"/>
      <c r="EB177" s="29"/>
      <c r="EC177" s="29"/>
      <c r="ED177" s="29"/>
      <c r="EE177" s="29"/>
      <c r="EF177" s="29"/>
      <c r="EG177" s="29"/>
      <c r="EH177" s="29"/>
      <c r="EI177" s="29"/>
      <c r="EJ177" s="29"/>
      <c r="EK177" s="29"/>
      <c r="EL177" s="29"/>
      <c r="EM177" s="29"/>
      <c r="EN177" s="29"/>
      <c r="EO177" s="29"/>
      <c r="EP177" s="29"/>
      <c r="EQ177" s="29"/>
      <c r="ER177" s="29"/>
      <c r="ES177" s="29"/>
      <c r="ET177" s="29"/>
      <c r="EU177" s="29"/>
      <c r="EV177" s="29"/>
      <c r="EW177" s="29"/>
      <c r="EX177" s="29"/>
      <c r="EY177" s="29"/>
      <c r="EZ177" s="29"/>
      <c r="FA177" s="29"/>
      <c r="FB177" s="29"/>
      <c r="FC177" s="29"/>
      <c r="FD177" s="29"/>
      <c r="FE177" s="29"/>
      <c r="FF177" s="29"/>
      <c r="FG177" s="29"/>
      <c r="FH177" s="29"/>
      <c r="FI177" s="29"/>
      <c r="FJ177" s="29"/>
      <c r="FK177" s="29"/>
      <c r="FL177" s="29"/>
      <c r="FM177" s="29"/>
      <c r="FN177" s="29"/>
      <c r="FO177" s="29"/>
      <c r="FP177" s="29"/>
      <c r="FQ177" s="29"/>
      <c r="FR177" s="29"/>
      <c r="FS177" s="29"/>
      <c r="FT177" s="29"/>
      <c r="FU177" s="29"/>
      <c r="FV177" s="29"/>
      <c r="FW177" s="29"/>
      <c r="FX177" s="29"/>
      <c r="FY177" s="29"/>
      <c r="FZ177" s="29"/>
      <c r="GA177" s="29"/>
      <c r="GB177" s="29"/>
      <c r="GC177" s="29"/>
      <c r="GD177" s="29"/>
      <c r="GE177" s="29"/>
      <c r="GF177" s="29"/>
      <c r="GG177" s="29"/>
      <c r="GH177" s="29"/>
    </row>
    <row r="178" spans="5:251" x14ac:dyDescent="0.2">
      <c r="E178" s="177" t="s">
        <v>122</v>
      </c>
      <c r="F178" s="29"/>
      <c r="G178" s="29"/>
      <c r="H178" s="29"/>
      <c r="J178" s="29">
        <f t="shared" ref="J178:U178" si="549">J78/J$82</f>
        <v>-1.3612820818845281E-2</v>
      </c>
      <c r="K178" s="29">
        <f t="shared" si="549"/>
        <v>-1.1335807727031107E-2</v>
      </c>
      <c r="L178" s="29">
        <f t="shared" si="549"/>
        <v>-9.9548382802561088E-3</v>
      </c>
      <c r="M178" s="29">
        <f t="shared" si="549"/>
        <v>-9.5395407253930833E-3</v>
      </c>
      <c r="N178" s="29">
        <f t="shared" si="549"/>
        <v>-9.5416396620165763E-3</v>
      </c>
      <c r="O178" s="29">
        <f t="shared" si="549"/>
        <v>-9.5625350134320858E-3</v>
      </c>
      <c r="P178" s="29">
        <f t="shared" si="549"/>
        <v>-9.6800225720040031E-3</v>
      </c>
      <c r="Q178" s="29">
        <f t="shared" si="549"/>
        <v>-1.1869350876802269E-2</v>
      </c>
      <c r="R178" s="29">
        <f t="shared" si="549"/>
        <v>-1.2922143314672088E-2</v>
      </c>
      <c r="S178" s="29">
        <f t="shared" si="549"/>
        <v>-1.0414458722825173E-2</v>
      </c>
      <c r="T178" s="29">
        <f t="shared" si="549"/>
        <v>-8.7027310862417256E-3</v>
      </c>
      <c r="U178" s="29">
        <f t="shared" si="549"/>
        <v>-8.569144237746908E-3</v>
      </c>
      <c r="V178" s="29">
        <f t="shared" si="540"/>
        <v>-9.6086573198592377E-3</v>
      </c>
      <c r="W178" s="29">
        <f t="shared" si="540"/>
        <v>-1.0475366520528107E-2</v>
      </c>
      <c r="X178" s="29">
        <f t="shared" si="541"/>
        <v>-1.1371844252613974E-2</v>
      </c>
      <c r="Y178" s="29">
        <f t="shared" si="541"/>
        <v>-1.1260647759101131E-2</v>
      </c>
      <c r="Z178" s="29">
        <f t="shared" si="542"/>
        <v>-1.3117628644288759E-2</v>
      </c>
      <c r="AA178" s="29">
        <f t="shared" si="542"/>
        <v>-1.5330295893360525E-2</v>
      </c>
      <c r="AB178" s="29">
        <f t="shared" si="543"/>
        <v>-1.5467378868322567E-2</v>
      </c>
      <c r="AC178" s="29">
        <f t="shared" si="543"/>
        <v>-1.6309069648920173E-2</v>
      </c>
      <c r="AD178" s="29">
        <f t="shared" ref="AD178:AE178" si="550">AD78/AD$82</f>
        <v>-1.7592235703272514E-2</v>
      </c>
      <c r="AE178" s="29">
        <f t="shared" si="550"/>
        <v>-1.9478024160135932E-2</v>
      </c>
      <c r="AF178" s="29"/>
      <c r="AG178" s="29"/>
      <c r="AH178" s="29"/>
      <c r="AI178" s="29"/>
      <c r="AJ178" s="29"/>
      <c r="AK178" s="29"/>
      <c r="AL178" s="29">
        <f t="shared" ref="AL178:AY178" si="551">AL78/AL$82</f>
        <v>-1.5054968418064243E-2</v>
      </c>
      <c r="AM178" s="29">
        <f t="shared" si="551"/>
        <v>-1.2358083560399637E-2</v>
      </c>
      <c r="AN178" s="29">
        <f t="shared" si="551"/>
        <v>-1.0430173036490948E-2</v>
      </c>
      <c r="AO178" s="29">
        <f t="shared" si="551"/>
        <v>-9.6030373789070533E-3</v>
      </c>
      <c r="AP178" s="29">
        <f t="shared" si="551"/>
        <v>-9.484045273417719E-3</v>
      </c>
      <c r="AQ178" s="29">
        <f t="shared" si="551"/>
        <v>-9.5916062726093231E-3</v>
      </c>
      <c r="AR178" s="29">
        <f t="shared" si="551"/>
        <v>-9.5372735165046071E-3</v>
      </c>
      <c r="AS178" s="29">
        <f t="shared" si="551"/>
        <v>-9.8048918406868149E-3</v>
      </c>
      <c r="AT178" s="29">
        <f t="shared" si="551"/>
        <v>-1.3562926143637933E-2</v>
      </c>
      <c r="AU178" s="29">
        <f t="shared" si="551"/>
        <v>-1.2364466943120354E-2</v>
      </c>
      <c r="AV178" s="29">
        <f t="shared" si="551"/>
        <v>-8.8212141498123786E-3</v>
      </c>
      <c r="AW178" s="39">
        <f t="shared" si="551"/>
        <v>-8.6766415925920784E-3</v>
      </c>
      <c r="AX178" s="29">
        <f t="shared" si="551"/>
        <v>-8.5819909772751821E-3</v>
      </c>
      <c r="AY178" s="29">
        <f t="shared" si="551"/>
        <v>-1.0574187241585804E-2</v>
      </c>
      <c r="AZ178" s="29">
        <f t="shared" si="546"/>
        <v>-1.0390494655802537E-2</v>
      </c>
      <c r="BA178" s="29">
        <f t="shared" si="546"/>
        <v>-1.2221536977037852E-2</v>
      </c>
      <c r="BB178" s="29">
        <f t="shared" si="547"/>
        <v>-1.0402439725511392E-2</v>
      </c>
      <c r="BC178" s="29">
        <f t="shared" si="547"/>
        <v>-1.5538048524799071E-2</v>
      </c>
      <c r="BD178" s="29">
        <f t="shared" si="548"/>
        <v>-1.5146058827921751E-2</v>
      </c>
      <c r="BE178" s="29">
        <f t="shared" si="548"/>
        <v>-1.5752412641190566E-2</v>
      </c>
      <c r="BF178" s="29">
        <f>BF78/BF$82</f>
        <v>-1.6819875472411604E-2</v>
      </c>
      <c r="BG178" s="29"/>
      <c r="BH178" s="29"/>
      <c r="BI178" s="29"/>
      <c r="BJ178" s="29"/>
      <c r="BK178" s="29"/>
      <c r="BL178" s="29"/>
      <c r="BM178" s="29"/>
      <c r="BN178" s="29"/>
      <c r="BO178" s="29"/>
      <c r="BP178" s="29"/>
      <c r="BQ178" s="29"/>
      <c r="BR178" s="29"/>
      <c r="BS178" s="29"/>
      <c r="BT178" s="29"/>
      <c r="BU178" s="29"/>
      <c r="BV178" s="29"/>
      <c r="BW178" s="29"/>
      <c r="BX178" s="29"/>
      <c r="BY178" s="29"/>
      <c r="BZ178" s="29"/>
      <c r="CA178" s="29"/>
      <c r="CB178" s="29"/>
      <c r="CC178" s="29"/>
      <c r="CD178" s="29"/>
      <c r="CE178" s="29"/>
      <c r="CF178" s="29"/>
      <c r="CG178" s="29"/>
      <c r="CH178" s="29"/>
      <c r="CI178" s="29"/>
      <c r="CJ178" s="29"/>
      <c r="CK178" s="29"/>
      <c r="CL178" s="29"/>
      <c r="CM178" s="29"/>
      <c r="CN178" s="29"/>
      <c r="CO178" s="29"/>
      <c r="CP178" s="29"/>
      <c r="CQ178" s="29"/>
      <c r="CR178" s="29"/>
      <c r="CS178" s="29"/>
      <c r="CT178" s="29"/>
      <c r="CU178" s="29"/>
      <c r="CV178" s="29"/>
      <c r="CW178" s="29"/>
      <c r="CX178" s="29"/>
      <c r="CY178" s="29"/>
      <c r="CZ178" s="29"/>
      <c r="DA178" s="29"/>
      <c r="DB178" s="29"/>
      <c r="DC178" s="29"/>
      <c r="DD178" s="29"/>
      <c r="DE178" s="29"/>
      <c r="DF178" s="29"/>
      <c r="DG178" s="29"/>
      <c r="DH178" s="29"/>
      <c r="DI178" s="29"/>
      <c r="DJ178" s="29"/>
      <c r="DK178" s="29"/>
      <c r="DL178" s="29"/>
      <c r="DM178" s="29"/>
      <c r="DN178" s="29"/>
      <c r="DO178" s="29"/>
      <c r="DP178" s="29"/>
      <c r="DQ178" s="29"/>
      <c r="DR178" s="29"/>
      <c r="DS178" s="29"/>
      <c r="DT178" s="29"/>
      <c r="DU178" s="29"/>
      <c r="DV178" s="29"/>
      <c r="DW178" s="29"/>
      <c r="DX178" s="29"/>
      <c r="DY178" s="29"/>
      <c r="DZ178" s="29"/>
      <c r="EA178" s="29"/>
      <c r="EB178" s="29"/>
      <c r="EC178" s="29"/>
      <c r="ED178" s="29"/>
      <c r="EE178" s="29"/>
      <c r="EF178" s="29"/>
      <c r="EG178" s="29"/>
      <c r="EH178" s="29"/>
      <c r="EI178" s="29"/>
      <c r="EJ178" s="29"/>
      <c r="EK178" s="29"/>
      <c r="EL178" s="29"/>
      <c r="EM178" s="29"/>
      <c r="EN178" s="29"/>
      <c r="EO178" s="29"/>
      <c r="EP178" s="29"/>
      <c r="EQ178" s="29"/>
      <c r="ER178" s="29"/>
      <c r="ES178" s="29"/>
      <c r="ET178" s="29"/>
      <c r="EU178" s="29"/>
      <c r="EV178" s="29"/>
      <c r="EW178" s="29"/>
      <c r="EX178" s="29"/>
      <c r="EY178" s="29"/>
      <c r="EZ178" s="29"/>
      <c r="FA178" s="29"/>
      <c r="FB178" s="29"/>
      <c r="FC178" s="29"/>
      <c r="FD178" s="29"/>
      <c r="FE178" s="29"/>
      <c r="FF178" s="29"/>
      <c r="FG178" s="29"/>
      <c r="FH178" s="29"/>
      <c r="FI178" s="29"/>
      <c r="FJ178" s="29"/>
      <c r="FK178" s="29"/>
      <c r="FL178" s="29"/>
      <c r="FM178" s="29"/>
      <c r="FN178" s="29"/>
      <c r="FO178" s="29"/>
      <c r="FP178" s="29"/>
      <c r="FQ178" s="29"/>
      <c r="FR178" s="29"/>
      <c r="FS178" s="29"/>
      <c r="FT178" s="29"/>
      <c r="FU178" s="29"/>
      <c r="FV178" s="29"/>
      <c r="FW178" s="29"/>
      <c r="FX178" s="29"/>
      <c r="FY178" s="29"/>
      <c r="FZ178" s="29"/>
      <c r="GA178" s="29"/>
      <c r="GB178" s="29"/>
      <c r="GC178" s="29"/>
      <c r="GD178" s="29"/>
      <c r="GE178" s="29"/>
      <c r="GF178" s="29"/>
      <c r="GG178" s="29"/>
      <c r="GH178" s="29"/>
    </row>
    <row r="179" spans="5:251" x14ac:dyDescent="0.2">
      <c r="E179" s="177" t="s">
        <v>123</v>
      </c>
      <c r="F179" s="29"/>
      <c r="G179" s="29"/>
      <c r="H179" s="29"/>
      <c r="J179" s="29">
        <f t="shared" ref="J179:U179" si="552">J79/J$82</f>
        <v>0.93715270507632897</v>
      </c>
      <c r="K179" s="29">
        <f t="shared" si="552"/>
        <v>0.93770827576011451</v>
      </c>
      <c r="L179" s="29">
        <f t="shared" si="552"/>
        <v>0.94530791012515392</v>
      </c>
      <c r="M179" s="29">
        <f t="shared" si="552"/>
        <v>0.95271029188041267</v>
      </c>
      <c r="N179" s="29">
        <f t="shared" si="552"/>
        <v>0.95196205800176681</v>
      </c>
      <c r="O179" s="29">
        <f t="shared" si="552"/>
        <v>0.95029445782678823</v>
      </c>
      <c r="P179" s="29">
        <f t="shared" si="552"/>
        <v>0.94396814540450191</v>
      </c>
      <c r="Q179" s="29">
        <f t="shared" si="552"/>
        <v>0.93846104789747542</v>
      </c>
      <c r="R179" s="29">
        <f t="shared" si="552"/>
        <v>0.93466389144220285</v>
      </c>
      <c r="S179" s="29">
        <f t="shared" si="552"/>
        <v>0.93291194036384606</v>
      </c>
      <c r="T179" s="29">
        <f t="shared" si="552"/>
        <v>0.9295992565597383</v>
      </c>
      <c r="U179" s="29">
        <f t="shared" si="552"/>
        <v>0.9289338123669566</v>
      </c>
      <c r="V179" s="29">
        <f t="shared" si="540"/>
        <v>0.93113673596070368</v>
      </c>
      <c r="W179" s="29">
        <f t="shared" si="540"/>
        <v>0.93754464543838834</v>
      </c>
      <c r="X179" s="29">
        <f t="shared" si="541"/>
        <v>0.9369191552091225</v>
      </c>
      <c r="Y179" s="29">
        <f t="shared" si="541"/>
        <v>0.92729866361654112</v>
      </c>
      <c r="Z179" s="29">
        <f t="shared" si="542"/>
        <v>0.92237948498531208</v>
      </c>
      <c r="AA179" s="29">
        <f t="shared" si="542"/>
        <v>0.92266380911442514</v>
      </c>
      <c r="AB179" s="29">
        <f t="shared" si="543"/>
        <v>0.92056922393232532</v>
      </c>
      <c r="AC179" s="29">
        <f t="shared" si="543"/>
        <v>0.91836445919539911</v>
      </c>
      <c r="AD179" s="29">
        <f t="shared" ref="AD179:AE179" si="553">AD79/AD$82</f>
        <v>0.9165874896618208</v>
      </c>
      <c r="AE179" s="29">
        <f t="shared" si="553"/>
        <v>0.96054288450205472</v>
      </c>
      <c r="AF179" s="29"/>
      <c r="AG179" s="29"/>
      <c r="AH179" s="29"/>
      <c r="AI179" s="29"/>
      <c r="AJ179" s="29"/>
      <c r="AK179" s="29"/>
      <c r="AL179" s="29">
        <f t="shared" ref="AL179:AY179" si="554">AL79/AL$82</f>
        <v>0.93312462245216876</v>
      </c>
      <c r="AM179" s="29">
        <f t="shared" si="554"/>
        <v>0.94065732925721623</v>
      </c>
      <c r="AN179" s="29">
        <f t="shared" si="554"/>
        <v>0.93509570773878725</v>
      </c>
      <c r="AO179" s="29">
        <f t="shared" si="554"/>
        <v>0.95286608245982685</v>
      </c>
      <c r="AP179" s="29">
        <f t="shared" si="554"/>
        <v>0.9525741324430308</v>
      </c>
      <c r="AQ179" s="29">
        <f t="shared" si="554"/>
        <v>0.95143104645698895</v>
      </c>
      <c r="AR179" s="29">
        <f t="shared" si="554"/>
        <v>0.94930681810968554</v>
      </c>
      <c r="AS179" s="29">
        <f t="shared" si="554"/>
        <v>0.93929815894398894</v>
      </c>
      <c r="AT179" s="29">
        <f t="shared" si="554"/>
        <v>0.93777432535216487</v>
      </c>
      <c r="AU179" s="29">
        <f t="shared" si="554"/>
        <v>0.93195686588151705</v>
      </c>
      <c r="AV179" s="29">
        <f>AV79/AV$82</f>
        <v>0.93369227924650133</v>
      </c>
      <c r="AW179" s="39">
        <f t="shared" si="554"/>
        <v>0.93424921921675796</v>
      </c>
      <c r="AX179" s="29">
        <f t="shared" si="554"/>
        <v>0.93578098273445642</v>
      </c>
      <c r="AY179" s="29">
        <f t="shared" si="554"/>
        <v>0.93818583291912749</v>
      </c>
      <c r="AZ179" s="29">
        <f t="shared" si="546"/>
        <v>0.93699396359204501</v>
      </c>
      <c r="BA179" s="29">
        <f t="shared" si="546"/>
        <v>0.9368543830434215</v>
      </c>
      <c r="BB179" s="29">
        <f t="shared" si="547"/>
        <v>0.91876407396167159</v>
      </c>
      <c r="BC179" s="29">
        <f t="shared" si="547"/>
        <v>0.92560239616372697</v>
      </c>
      <c r="BD179" s="29">
        <f t="shared" si="548"/>
        <v>0.92005784137889779</v>
      </c>
      <c r="BE179" s="29">
        <f t="shared" si="548"/>
        <v>0.92102285669796446</v>
      </c>
      <c r="BF179" s="29">
        <f>BF79/BF$82</f>
        <v>0.91592503077428944</v>
      </c>
      <c r="BG179" s="29"/>
      <c r="BH179" s="29"/>
      <c r="BI179" s="29"/>
      <c r="BJ179" s="29"/>
      <c r="BK179" s="29"/>
      <c r="BL179" s="29"/>
      <c r="BM179" s="29"/>
      <c r="BN179" s="29"/>
      <c r="BO179" s="29"/>
      <c r="BP179" s="29"/>
      <c r="BQ179" s="29"/>
      <c r="BR179" s="29"/>
      <c r="BS179" s="29"/>
      <c r="BT179" s="29"/>
      <c r="BU179" s="29"/>
      <c r="BV179" s="29"/>
      <c r="BW179" s="29"/>
      <c r="BX179" s="29"/>
      <c r="BY179" s="29"/>
      <c r="BZ179" s="29"/>
      <c r="CA179" s="29"/>
      <c r="CB179" s="29"/>
      <c r="CC179" s="29"/>
      <c r="CD179" s="29"/>
      <c r="CE179" s="29"/>
      <c r="CF179" s="29"/>
      <c r="CG179" s="29"/>
      <c r="CH179" s="29"/>
      <c r="CI179" s="29"/>
      <c r="CJ179" s="29"/>
      <c r="CK179" s="29"/>
      <c r="CL179" s="29"/>
      <c r="CM179" s="29"/>
      <c r="CN179" s="29"/>
      <c r="CO179" s="29"/>
      <c r="CP179" s="29"/>
      <c r="CQ179" s="29"/>
      <c r="CR179" s="29"/>
      <c r="CS179" s="29"/>
      <c r="CT179" s="29"/>
      <c r="CU179" s="29"/>
      <c r="CV179" s="29"/>
      <c r="CW179" s="29"/>
      <c r="CX179" s="29"/>
      <c r="CY179" s="29"/>
      <c r="CZ179" s="29"/>
      <c r="DA179" s="29"/>
      <c r="DB179" s="29"/>
      <c r="DC179" s="29"/>
      <c r="DD179" s="29"/>
      <c r="DE179" s="29"/>
      <c r="DF179" s="29"/>
      <c r="DG179" s="29"/>
      <c r="DH179" s="29"/>
      <c r="DI179" s="29"/>
      <c r="DJ179" s="29"/>
      <c r="DK179" s="29"/>
      <c r="DL179" s="29"/>
      <c r="DM179" s="29"/>
      <c r="DN179" s="29"/>
      <c r="DO179" s="29"/>
      <c r="DP179" s="29"/>
      <c r="DQ179" s="29"/>
      <c r="DR179" s="29"/>
      <c r="DS179" s="29"/>
      <c r="DT179" s="29"/>
      <c r="DU179" s="29"/>
      <c r="DV179" s="29"/>
      <c r="DW179" s="29"/>
      <c r="DX179" s="29"/>
      <c r="DY179" s="29"/>
      <c r="DZ179" s="29"/>
      <c r="EA179" s="29"/>
      <c r="EB179" s="29"/>
      <c r="EC179" s="29"/>
      <c r="ED179" s="29"/>
      <c r="EE179" s="29"/>
      <c r="EF179" s="29"/>
      <c r="EG179" s="29"/>
      <c r="EH179" s="29"/>
      <c r="EI179" s="29"/>
      <c r="EJ179" s="29"/>
      <c r="EK179" s="29"/>
      <c r="EL179" s="29"/>
      <c r="EM179" s="29"/>
      <c r="EN179" s="29"/>
      <c r="EO179" s="29"/>
      <c r="EP179" s="29"/>
      <c r="EQ179" s="29"/>
      <c r="ER179" s="29"/>
      <c r="ES179" s="29"/>
      <c r="ET179" s="29"/>
      <c r="EU179" s="29"/>
      <c r="EV179" s="29"/>
      <c r="EW179" s="29"/>
      <c r="EX179" s="29"/>
      <c r="EY179" s="29"/>
      <c r="EZ179" s="29"/>
      <c r="FA179" s="29"/>
      <c r="FB179" s="29"/>
      <c r="FC179" s="29"/>
      <c r="FD179" s="29"/>
      <c r="FE179" s="29"/>
      <c r="FF179" s="29"/>
      <c r="FG179" s="29"/>
      <c r="FH179" s="29"/>
      <c r="FI179" s="29"/>
      <c r="FJ179" s="29"/>
      <c r="FK179" s="29"/>
      <c r="FL179" s="29"/>
      <c r="FM179" s="29"/>
      <c r="FN179" s="29"/>
      <c r="FO179" s="29"/>
      <c r="FP179" s="29"/>
      <c r="FQ179" s="29"/>
      <c r="FR179" s="29"/>
      <c r="FS179" s="29"/>
      <c r="FT179" s="29"/>
      <c r="FU179" s="29"/>
      <c r="FV179" s="29"/>
      <c r="FW179" s="29"/>
      <c r="FX179" s="29"/>
      <c r="FY179" s="29"/>
      <c r="FZ179" s="29"/>
      <c r="GA179" s="29"/>
      <c r="GB179" s="29"/>
      <c r="GC179" s="29"/>
      <c r="GD179" s="29"/>
      <c r="GE179" s="29"/>
      <c r="GF179" s="29"/>
      <c r="GG179" s="29"/>
      <c r="GH179" s="29"/>
    </row>
    <row r="180" spans="5:251" x14ac:dyDescent="0.2">
      <c r="E180" s="177" t="s">
        <v>124</v>
      </c>
      <c r="F180" s="29"/>
      <c r="G180" s="29"/>
      <c r="H180" s="29"/>
      <c r="J180" s="29">
        <f t="shared" ref="J180:U180" si="555">J80/J$82</f>
        <v>6.2847294923671013E-2</v>
      </c>
      <c r="K180" s="29">
        <f t="shared" si="555"/>
        <v>6.2291724239885549E-2</v>
      </c>
      <c r="L180" s="29">
        <f t="shared" si="555"/>
        <v>5.4692089874846181E-2</v>
      </c>
      <c r="M180" s="29">
        <f t="shared" si="555"/>
        <v>4.7289708119587354E-2</v>
      </c>
      <c r="N180" s="29">
        <f t="shared" si="555"/>
        <v>4.8037941998233191E-2</v>
      </c>
      <c r="O180" s="29">
        <f t="shared" si="555"/>
        <v>4.970554217321177E-2</v>
      </c>
      <c r="P180" s="29">
        <f t="shared" si="555"/>
        <v>5.6031854595498094E-2</v>
      </c>
      <c r="Q180" s="29">
        <f t="shared" si="555"/>
        <v>6.1538952102524608E-2</v>
      </c>
      <c r="R180" s="29">
        <f t="shared" si="555"/>
        <v>6.5336108557797146E-2</v>
      </c>
      <c r="S180" s="29">
        <f t="shared" si="555"/>
        <v>6.7088059636153927E-2</v>
      </c>
      <c r="T180" s="29">
        <f t="shared" si="555"/>
        <v>7.0400743440261773E-2</v>
      </c>
      <c r="U180" s="29">
        <f t="shared" si="555"/>
        <v>7.1066187633043412E-2</v>
      </c>
      <c r="V180" s="29">
        <f t="shared" si="540"/>
        <v>6.8863264039296379E-2</v>
      </c>
      <c r="W180" s="29">
        <f t="shared" si="540"/>
        <v>6.2455354561611699E-2</v>
      </c>
      <c r="X180" s="29">
        <f t="shared" si="541"/>
        <v>6.3080844790877555E-2</v>
      </c>
      <c r="Y180" s="29">
        <f t="shared" si="541"/>
        <v>7.2701336383458964E-2</v>
      </c>
      <c r="Z180" s="29">
        <f t="shared" si="542"/>
        <v>7.7620515014687877E-2</v>
      </c>
      <c r="AA180" s="29">
        <f t="shared" si="542"/>
        <v>7.7336190885574863E-2</v>
      </c>
      <c r="AB180" s="29">
        <f t="shared" si="543"/>
        <v>7.9430776067674694E-2</v>
      </c>
      <c r="AC180" s="29">
        <f t="shared" si="543"/>
        <v>8.1635540804600851E-2</v>
      </c>
      <c r="AD180" s="29">
        <f t="shared" ref="AD180:AE180" si="556">AD80/AD$82</f>
        <v>8.3412510338179147E-2</v>
      </c>
      <c r="AE180" s="29">
        <f t="shared" si="556"/>
        <v>3.9457115497945207E-2</v>
      </c>
      <c r="AF180" s="29"/>
      <c r="AG180" s="29"/>
      <c r="AH180" s="29"/>
      <c r="AI180" s="29"/>
      <c r="AJ180" s="29"/>
      <c r="AK180" s="29"/>
      <c r="AL180" s="29">
        <f t="shared" ref="AL180:AY180" si="557">AL80/AL$82</f>
        <v>6.6875377547831211E-2</v>
      </c>
      <c r="AM180" s="29">
        <f t="shared" si="557"/>
        <v>5.9342670742783724E-2</v>
      </c>
      <c r="AN180" s="29">
        <f t="shared" si="557"/>
        <v>6.4904292261212693E-2</v>
      </c>
      <c r="AO180" s="29">
        <f t="shared" si="557"/>
        <v>4.7133917540173181E-2</v>
      </c>
      <c r="AP180" s="29">
        <f t="shared" si="557"/>
        <v>4.7425867556969217E-2</v>
      </c>
      <c r="AQ180" s="29">
        <f t="shared" si="557"/>
        <v>4.8568953543010954E-2</v>
      </c>
      <c r="AR180" s="29">
        <f t="shared" si="557"/>
        <v>5.0693181890314472E-2</v>
      </c>
      <c r="AS180" s="29">
        <f t="shared" si="557"/>
        <v>6.0701841056010987E-2</v>
      </c>
      <c r="AT180" s="29">
        <f t="shared" si="557"/>
        <v>6.2225674647835065E-2</v>
      </c>
      <c r="AU180" s="29">
        <f t="shared" si="557"/>
        <v>6.804313411848302E-2</v>
      </c>
      <c r="AV180" s="29">
        <f t="shared" si="557"/>
        <v>6.6307720753498625E-2</v>
      </c>
      <c r="AW180" s="39">
        <f t="shared" si="557"/>
        <v>6.5750780783242105E-2</v>
      </c>
      <c r="AX180" s="29">
        <f t="shared" si="557"/>
        <v>6.4219017265543618E-2</v>
      </c>
      <c r="AY180" s="29">
        <f t="shared" si="557"/>
        <v>6.1814167080872458E-2</v>
      </c>
      <c r="AZ180" s="29">
        <f t="shared" si="546"/>
        <v>6.3006036407954977E-2</v>
      </c>
      <c r="BA180" s="29">
        <f t="shared" si="546"/>
        <v>6.3145616956578499E-2</v>
      </c>
      <c r="BB180" s="29">
        <f t="shared" si="547"/>
        <v>8.1235926038328382E-2</v>
      </c>
      <c r="BC180" s="29">
        <f t="shared" si="547"/>
        <v>7.4397603836273085E-2</v>
      </c>
      <c r="BD180" s="29">
        <f t="shared" si="548"/>
        <v>7.9942158621102238E-2</v>
      </c>
      <c r="BE180" s="29">
        <f t="shared" si="548"/>
        <v>7.8977143302035535E-2</v>
      </c>
      <c r="BF180" s="29">
        <f>BF80/BF$82</f>
        <v>8.4074969225710477E-2</v>
      </c>
      <c r="BG180" s="29"/>
      <c r="BH180" s="29"/>
      <c r="BI180" s="29"/>
      <c r="BJ180" s="29"/>
      <c r="BK180" s="29"/>
      <c r="BL180" s="29"/>
      <c r="BM180" s="29"/>
      <c r="BN180" s="29"/>
      <c r="BO180" s="29"/>
      <c r="BP180" s="29"/>
      <c r="BQ180" s="29"/>
      <c r="BR180" s="29"/>
      <c r="BS180" s="29"/>
      <c r="BT180" s="29"/>
      <c r="BU180" s="29"/>
      <c r="BV180" s="29"/>
      <c r="BW180" s="29"/>
      <c r="BX180" s="29"/>
      <c r="BY180" s="29"/>
      <c r="BZ180" s="29"/>
      <c r="CA180" s="29"/>
      <c r="CB180" s="29"/>
      <c r="CC180" s="29"/>
      <c r="CD180" s="29"/>
      <c r="CE180" s="29"/>
      <c r="CF180" s="29"/>
      <c r="CG180" s="29"/>
      <c r="CH180" s="29"/>
      <c r="CI180" s="29"/>
      <c r="CJ180" s="29"/>
      <c r="CK180" s="29"/>
      <c r="CL180" s="29"/>
      <c r="CM180" s="29"/>
      <c r="CN180" s="29"/>
      <c r="CO180" s="29"/>
      <c r="CP180" s="29"/>
      <c r="CQ180" s="29"/>
      <c r="CR180" s="29"/>
      <c r="CS180" s="29"/>
      <c r="CT180" s="29"/>
      <c r="CU180" s="29"/>
      <c r="CV180" s="29"/>
      <c r="CW180" s="29"/>
      <c r="CX180" s="29"/>
      <c r="CY180" s="29"/>
      <c r="CZ180" s="29"/>
      <c r="DA180" s="29"/>
      <c r="DB180" s="29"/>
      <c r="DC180" s="29"/>
      <c r="DD180" s="29"/>
      <c r="DE180" s="29"/>
      <c r="DF180" s="29"/>
      <c r="DG180" s="29"/>
      <c r="DH180" s="29"/>
      <c r="DI180" s="29"/>
      <c r="DJ180" s="29"/>
      <c r="DK180" s="29"/>
      <c r="DL180" s="29"/>
      <c r="DM180" s="29"/>
      <c r="DN180" s="29"/>
      <c r="DO180" s="29"/>
      <c r="DP180" s="29"/>
      <c r="DQ180" s="29"/>
      <c r="DR180" s="29"/>
      <c r="DS180" s="29"/>
      <c r="DT180" s="29"/>
      <c r="DU180" s="29"/>
      <c r="DV180" s="29"/>
      <c r="DW180" s="29"/>
      <c r="DX180" s="29"/>
      <c r="DY180" s="29"/>
      <c r="DZ180" s="29"/>
      <c r="EA180" s="29"/>
      <c r="EB180" s="29"/>
      <c r="EC180" s="29"/>
      <c r="ED180" s="29"/>
      <c r="EE180" s="29"/>
      <c r="EF180" s="29"/>
      <c r="EG180" s="29"/>
      <c r="EH180" s="29"/>
      <c r="EI180" s="29"/>
      <c r="EJ180" s="29"/>
      <c r="EK180" s="29"/>
      <c r="EL180" s="29"/>
      <c r="EM180" s="29"/>
      <c r="EN180" s="29"/>
      <c r="EO180" s="29"/>
      <c r="EP180" s="29"/>
      <c r="EQ180" s="29"/>
      <c r="ER180" s="29"/>
      <c r="ES180" s="29"/>
      <c r="ET180" s="29"/>
      <c r="EU180" s="29"/>
      <c r="EV180" s="29"/>
      <c r="EW180" s="29"/>
      <c r="EX180" s="29"/>
      <c r="EY180" s="29"/>
      <c r="EZ180" s="29"/>
      <c r="FA180" s="29"/>
      <c r="FB180" s="29"/>
      <c r="FC180" s="29"/>
      <c r="FD180" s="29"/>
      <c r="FE180" s="29"/>
      <c r="FF180" s="29"/>
      <c r="FG180" s="29"/>
      <c r="FH180" s="29"/>
      <c r="FI180" s="29"/>
      <c r="FJ180" s="29"/>
      <c r="FK180" s="29"/>
      <c r="FL180" s="29"/>
      <c r="FM180" s="29"/>
      <c r="FN180" s="29"/>
      <c r="FO180" s="29"/>
      <c r="FP180" s="29"/>
      <c r="FQ180" s="29"/>
      <c r="FR180" s="29"/>
      <c r="FS180" s="29"/>
      <c r="FT180" s="29"/>
      <c r="FU180" s="29"/>
      <c r="FV180" s="29"/>
      <c r="FW180" s="29"/>
      <c r="FX180" s="29"/>
      <c r="FY180" s="29"/>
      <c r="FZ180" s="29"/>
      <c r="GA180" s="29"/>
      <c r="GB180" s="29"/>
      <c r="GC180" s="29"/>
      <c r="GD180" s="29"/>
      <c r="GE180" s="29"/>
      <c r="GF180" s="29"/>
      <c r="GG180" s="29"/>
      <c r="GH180" s="29"/>
    </row>
    <row r="181" spans="5:251" x14ac:dyDescent="0.2">
      <c r="E181" s="177"/>
      <c r="F181" s="29"/>
      <c r="G181" s="29"/>
      <c r="H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194"/>
      <c r="AQ181" s="194"/>
      <c r="AR181" s="194"/>
      <c r="AS181" s="194"/>
      <c r="AT181" s="194"/>
      <c r="AU181" s="194"/>
      <c r="AV181" s="194"/>
      <c r="AW181" s="39"/>
      <c r="AX181" s="29"/>
      <c r="AY181" s="29"/>
      <c r="AZ181" s="29"/>
      <c r="BA181" s="29"/>
      <c r="BB181" s="29"/>
      <c r="BC181" s="29"/>
      <c r="BD181" s="29"/>
      <c r="BE181" s="29"/>
      <c r="BF181" s="29"/>
      <c r="BG181" s="29"/>
      <c r="BH181" s="29"/>
      <c r="BI181" s="29"/>
      <c r="BJ181" s="29"/>
      <c r="BK181" s="29"/>
      <c r="BL181" s="29"/>
      <c r="BM181" s="29"/>
      <c r="BN181" s="29"/>
      <c r="BO181" s="29"/>
      <c r="BP181" s="29"/>
      <c r="BQ181" s="29"/>
      <c r="BR181" s="29"/>
      <c r="BS181" s="29"/>
      <c r="BT181" s="29"/>
      <c r="BU181" s="29"/>
      <c r="BV181" s="29"/>
      <c r="BW181" s="29"/>
      <c r="BX181" s="29"/>
      <c r="BY181" s="29"/>
      <c r="BZ181" s="29"/>
      <c r="CA181" s="29"/>
      <c r="CB181" s="29"/>
      <c r="CC181" s="29"/>
      <c r="CD181" s="29"/>
      <c r="CE181" s="29"/>
      <c r="CF181" s="29"/>
      <c r="CG181" s="29"/>
      <c r="CH181" s="29"/>
      <c r="CI181" s="29"/>
      <c r="CJ181" s="29"/>
      <c r="CK181" s="29"/>
      <c r="CL181" s="29"/>
      <c r="CM181" s="29"/>
      <c r="CN181" s="29"/>
      <c r="CO181" s="29"/>
      <c r="CP181" s="29"/>
      <c r="CQ181" s="29"/>
      <c r="CR181" s="29"/>
      <c r="CS181" s="29"/>
      <c r="CT181" s="29"/>
      <c r="CU181" s="29"/>
      <c r="CV181" s="29"/>
      <c r="CW181" s="29"/>
      <c r="CX181" s="29"/>
      <c r="CY181" s="29"/>
      <c r="CZ181" s="29"/>
      <c r="DA181" s="29"/>
      <c r="DB181" s="29"/>
      <c r="DC181" s="29"/>
      <c r="DD181" s="29"/>
      <c r="DE181" s="29"/>
      <c r="DF181" s="29"/>
      <c r="DG181" s="29"/>
      <c r="DH181" s="29"/>
      <c r="DI181" s="29"/>
      <c r="DJ181" s="29"/>
      <c r="DK181" s="29"/>
      <c r="DL181" s="29"/>
      <c r="DM181" s="29"/>
      <c r="DN181" s="29"/>
      <c r="DO181" s="29"/>
      <c r="DP181" s="29"/>
      <c r="DQ181" s="29"/>
      <c r="DR181" s="29"/>
      <c r="DS181" s="29"/>
      <c r="DT181" s="29"/>
      <c r="DU181" s="29"/>
      <c r="DV181" s="29"/>
      <c r="DW181" s="29"/>
      <c r="DX181" s="29"/>
      <c r="DY181" s="29"/>
      <c r="DZ181" s="29"/>
      <c r="EA181" s="29"/>
      <c r="EB181" s="29"/>
      <c r="EC181" s="29"/>
      <c r="ED181" s="29"/>
      <c r="EE181" s="29"/>
      <c r="EF181" s="29"/>
      <c r="EG181" s="29"/>
      <c r="EH181" s="29"/>
      <c r="EI181" s="29"/>
      <c r="EJ181" s="29"/>
      <c r="EK181" s="29"/>
      <c r="EL181" s="29"/>
      <c r="EM181" s="29"/>
      <c r="EN181" s="29"/>
      <c r="EO181" s="29"/>
      <c r="EP181" s="29"/>
      <c r="EQ181" s="29"/>
      <c r="ER181" s="29"/>
      <c r="ES181" s="29"/>
      <c r="ET181" s="29"/>
      <c r="EU181" s="29"/>
      <c r="EV181" s="29"/>
      <c r="EW181" s="29"/>
      <c r="EX181" s="29"/>
      <c r="EY181" s="29"/>
      <c r="EZ181" s="29"/>
      <c r="FA181" s="29"/>
      <c r="FB181" s="29"/>
      <c r="FC181" s="29"/>
      <c r="FD181" s="29"/>
      <c r="FE181" s="29"/>
      <c r="FF181" s="29"/>
      <c r="FG181" s="29"/>
      <c r="FH181" s="29"/>
      <c r="FI181" s="29"/>
      <c r="FJ181" s="29"/>
      <c r="FK181" s="29"/>
      <c r="FL181" s="29"/>
      <c r="FM181" s="29"/>
      <c r="FN181" s="29"/>
      <c r="FO181" s="29"/>
      <c r="FP181" s="29"/>
      <c r="FQ181" s="29"/>
      <c r="FR181" s="29"/>
      <c r="FS181" s="29"/>
      <c r="FT181" s="29"/>
      <c r="FU181" s="29"/>
      <c r="FV181" s="29"/>
      <c r="FW181" s="29"/>
      <c r="FX181" s="29"/>
      <c r="FY181" s="29"/>
      <c r="FZ181" s="29"/>
      <c r="GA181" s="29"/>
      <c r="GB181" s="29"/>
      <c r="GC181" s="29"/>
      <c r="GD181" s="29"/>
      <c r="GE181" s="29"/>
      <c r="GF181" s="29"/>
      <c r="GG181" s="29"/>
      <c r="GH181" s="29"/>
    </row>
    <row r="182" spans="5:251" x14ac:dyDescent="0.2">
      <c r="E182" s="15" t="s">
        <v>129</v>
      </c>
      <c r="F182" s="29"/>
      <c r="G182" s="29"/>
      <c r="H182" s="29"/>
      <c r="J182" s="29">
        <f t="shared" ref="J182:U182" si="558">J82/J$82</f>
        <v>1</v>
      </c>
      <c r="K182" s="29">
        <f t="shared" si="558"/>
        <v>1</v>
      </c>
      <c r="L182" s="29">
        <f t="shared" si="558"/>
        <v>1</v>
      </c>
      <c r="M182" s="29">
        <f t="shared" si="558"/>
        <v>1</v>
      </c>
      <c r="N182" s="29">
        <f t="shared" si="558"/>
        <v>1</v>
      </c>
      <c r="O182" s="29">
        <f t="shared" si="558"/>
        <v>1</v>
      </c>
      <c r="P182" s="29">
        <f t="shared" si="558"/>
        <v>1</v>
      </c>
      <c r="Q182" s="29">
        <f t="shared" si="558"/>
        <v>1</v>
      </c>
      <c r="R182" s="29">
        <f t="shared" si="558"/>
        <v>1</v>
      </c>
      <c r="S182" s="29">
        <f t="shared" si="558"/>
        <v>1</v>
      </c>
      <c r="T182" s="29">
        <f t="shared" si="558"/>
        <v>1</v>
      </c>
      <c r="U182" s="29">
        <f t="shared" si="558"/>
        <v>1</v>
      </c>
      <c r="V182" s="29">
        <f t="shared" ref="V182:AA182" si="559">V82/V$82</f>
        <v>1</v>
      </c>
      <c r="W182" s="29">
        <f t="shared" si="559"/>
        <v>1</v>
      </c>
      <c r="X182" s="29">
        <f t="shared" si="559"/>
        <v>1</v>
      </c>
      <c r="Y182" s="29">
        <f t="shared" si="559"/>
        <v>1</v>
      </c>
      <c r="Z182" s="29">
        <f t="shared" si="559"/>
        <v>1</v>
      </c>
      <c r="AA182" s="29">
        <f t="shared" si="559"/>
        <v>1</v>
      </c>
      <c r="AB182" s="29">
        <f>AB82/AB$82</f>
        <v>1</v>
      </c>
      <c r="AC182" s="29">
        <f>AC82/AC$82</f>
        <v>1</v>
      </c>
      <c r="AD182" s="29">
        <f t="shared" ref="AD182:AE182" si="560">AD82/AD$82</f>
        <v>1</v>
      </c>
      <c r="AE182" s="29">
        <f t="shared" si="560"/>
        <v>1</v>
      </c>
      <c r="AF182" s="29"/>
      <c r="AG182" s="29"/>
      <c r="AH182" s="29"/>
      <c r="AI182" s="29"/>
      <c r="AJ182" s="29"/>
      <c r="AK182" s="29"/>
      <c r="AL182" s="29">
        <f t="shared" ref="AL182:AY182" si="561">AL82/AL$82</f>
        <v>1</v>
      </c>
      <c r="AM182" s="29">
        <f t="shared" si="561"/>
        <v>1</v>
      </c>
      <c r="AN182" s="29">
        <f t="shared" si="561"/>
        <v>1</v>
      </c>
      <c r="AO182" s="29">
        <f t="shared" si="561"/>
        <v>1</v>
      </c>
      <c r="AP182" s="29">
        <f t="shared" si="561"/>
        <v>1</v>
      </c>
      <c r="AQ182" s="29">
        <f t="shared" si="561"/>
        <v>1</v>
      </c>
      <c r="AR182" s="29">
        <f t="shared" si="561"/>
        <v>1</v>
      </c>
      <c r="AS182" s="29">
        <f t="shared" si="561"/>
        <v>1</v>
      </c>
      <c r="AT182" s="29">
        <f t="shared" si="561"/>
        <v>1</v>
      </c>
      <c r="AU182" s="29">
        <f t="shared" si="561"/>
        <v>1</v>
      </c>
      <c r="AV182" s="29">
        <f t="shared" si="561"/>
        <v>1</v>
      </c>
      <c r="AW182" s="39">
        <f t="shared" si="561"/>
        <v>1</v>
      </c>
      <c r="AX182" s="29">
        <f t="shared" si="561"/>
        <v>1</v>
      </c>
      <c r="AY182" s="29">
        <f t="shared" si="561"/>
        <v>1</v>
      </c>
      <c r="AZ182" s="29">
        <f t="shared" ref="AZ182:BF182" si="562">AZ82/AZ$82</f>
        <v>1</v>
      </c>
      <c r="BA182" s="29">
        <f t="shared" si="562"/>
        <v>1</v>
      </c>
      <c r="BB182" s="29">
        <f t="shared" si="562"/>
        <v>1</v>
      </c>
      <c r="BC182" s="29">
        <f t="shared" si="562"/>
        <v>1</v>
      </c>
      <c r="BD182" s="29">
        <f t="shared" si="562"/>
        <v>1</v>
      </c>
      <c r="BE182" s="29">
        <f t="shared" si="562"/>
        <v>1</v>
      </c>
      <c r="BF182" s="29">
        <f t="shared" si="562"/>
        <v>1</v>
      </c>
      <c r="BG182" s="29"/>
      <c r="BH182" s="29"/>
      <c r="BI182" s="29"/>
      <c r="BJ182" s="29"/>
      <c r="BK182" s="29"/>
      <c r="BL182" s="29"/>
      <c r="BM182" s="29"/>
      <c r="BN182" s="29"/>
      <c r="BO182" s="29"/>
      <c r="BP182" s="29"/>
      <c r="BQ182" s="29"/>
      <c r="BR182" s="29"/>
      <c r="BS182" s="29"/>
      <c r="BT182" s="29"/>
      <c r="BU182" s="29"/>
      <c r="BV182" s="29"/>
      <c r="BW182" s="29"/>
      <c r="BX182" s="29"/>
      <c r="BY182" s="29"/>
      <c r="BZ182" s="29"/>
      <c r="CA182" s="29"/>
      <c r="CB182" s="29"/>
      <c r="CC182" s="29"/>
      <c r="CD182" s="29"/>
      <c r="CE182" s="29"/>
      <c r="CF182" s="29"/>
      <c r="CG182" s="29"/>
      <c r="CH182" s="29"/>
      <c r="CI182" s="29"/>
      <c r="CJ182" s="29"/>
      <c r="CK182" s="29"/>
      <c r="CL182" s="29"/>
      <c r="CM182" s="29"/>
      <c r="CN182" s="29"/>
      <c r="CO182" s="29"/>
      <c r="CP182" s="29"/>
      <c r="CQ182" s="29"/>
      <c r="CR182" s="29"/>
      <c r="CS182" s="29"/>
      <c r="CT182" s="29"/>
      <c r="CU182" s="29"/>
      <c r="CV182" s="29"/>
      <c r="CW182" s="29"/>
      <c r="CX182" s="29"/>
      <c r="CY182" s="29"/>
      <c r="CZ182" s="29"/>
      <c r="DA182" s="29"/>
      <c r="DB182" s="29"/>
      <c r="DC182" s="29"/>
      <c r="DD182" s="29"/>
      <c r="DE182" s="29"/>
      <c r="DF182" s="29"/>
      <c r="DG182" s="29"/>
      <c r="DH182" s="29"/>
      <c r="DI182" s="29"/>
      <c r="DJ182" s="29"/>
      <c r="DK182" s="29"/>
      <c r="DL182" s="29"/>
      <c r="DM182" s="29"/>
      <c r="DN182" s="29"/>
      <c r="DO182" s="29"/>
      <c r="DP182" s="29"/>
      <c r="DQ182" s="29"/>
      <c r="DR182" s="29"/>
      <c r="DS182" s="29"/>
      <c r="DT182" s="29"/>
      <c r="DU182" s="29"/>
      <c r="DV182" s="29"/>
      <c r="DW182" s="29"/>
      <c r="DX182" s="29"/>
      <c r="DY182" s="29"/>
      <c r="DZ182" s="29"/>
      <c r="EA182" s="29"/>
      <c r="EB182" s="29"/>
      <c r="EC182" s="29"/>
      <c r="ED182" s="29"/>
      <c r="EE182" s="29"/>
      <c r="EF182" s="29"/>
      <c r="EG182" s="29"/>
      <c r="EH182" s="29"/>
      <c r="EI182" s="29"/>
      <c r="EJ182" s="29"/>
      <c r="EK182" s="29"/>
      <c r="EL182" s="29"/>
      <c r="EM182" s="29"/>
      <c r="EN182" s="29"/>
      <c r="EO182" s="29"/>
      <c r="EP182" s="29"/>
      <c r="EQ182" s="29"/>
      <c r="ER182" s="29"/>
      <c r="ES182" s="29"/>
      <c r="ET182" s="29"/>
      <c r="EU182" s="29"/>
      <c r="EV182" s="29"/>
      <c r="EW182" s="29"/>
      <c r="EX182" s="29"/>
      <c r="EY182" s="29"/>
      <c r="EZ182" s="29"/>
      <c r="FA182" s="29"/>
      <c r="FB182" s="29"/>
      <c r="FC182" s="29"/>
      <c r="FD182" s="29"/>
      <c r="FE182" s="29"/>
      <c r="FF182" s="29"/>
      <c r="FG182" s="29"/>
      <c r="FH182" s="29"/>
      <c r="FI182" s="29"/>
      <c r="FJ182" s="29"/>
      <c r="FK182" s="29"/>
      <c r="FL182" s="29"/>
      <c r="FM182" s="29"/>
      <c r="FN182" s="29"/>
      <c r="FO182" s="29"/>
      <c r="FP182" s="29"/>
      <c r="FQ182" s="29"/>
      <c r="FR182" s="29"/>
      <c r="FS182" s="29"/>
      <c r="FT182" s="29"/>
      <c r="FU182" s="29"/>
      <c r="FV182" s="29"/>
      <c r="FW182" s="29"/>
      <c r="FX182" s="29"/>
      <c r="FY182" s="29"/>
      <c r="FZ182" s="29"/>
      <c r="GA182" s="29"/>
      <c r="GB182" s="29"/>
      <c r="GC182" s="29"/>
      <c r="GD182" s="29"/>
      <c r="GE182" s="29"/>
      <c r="GF182" s="29"/>
      <c r="GG182" s="29"/>
      <c r="GH182" s="29"/>
    </row>
    <row r="183" spans="5:251" x14ac:dyDescent="0.2">
      <c r="F183" s="29"/>
      <c r="G183" s="29"/>
      <c r="H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39"/>
      <c r="AX183" s="29"/>
      <c r="AY183" s="29"/>
      <c r="AZ183" s="29"/>
      <c r="BA183" s="29"/>
      <c r="BB183" s="29"/>
      <c r="BC183" s="29"/>
      <c r="BD183" s="29"/>
      <c r="BE183" s="29"/>
      <c r="BF183" s="29"/>
      <c r="BG183" s="29"/>
      <c r="BH183" s="29"/>
      <c r="BI183" s="29"/>
      <c r="BJ183" s="29"/>
      <c r="BK183" s="29"/>
      <c r="BL183" s="29"/>
      <c r="BM183" s="29"/>
      <c r="BN183" s="29"/>
      <c r="BO183" s="29"/>
      <c r="BP183" s="29"/>
      <c r="BQ183" s="29"/>
      <c r="BR183" s="29"/>
      <c r="BS183" s="29"/>
      <c r="BT183" s="29"/>
      <c r="BU183" s="29"/>
      <c r="BV183" s="29"/>
      <c r="BW183" s="29"/>
      <c r="BX183" s="29"/>
      <c r="BY183" s="29"/>
      <c r="BZ183" s="29"/>
      <c r="CA183" s="29"/>
      <c r="CB183" s="29"/>
      <c r="CC183" s="29"/>
      <c r="CD183" s="29"/>
      <c r="CE183" s="29"/>
      <c r="CF183" s="29"/>
      <c r="CG183" s="29"/>
      <c r="CH183" s="29"/>
      <c r="CI183" s="29"/>
      <c r="CJ183" s="29"/>
      <c r="CK183" s="29"/>
      <c r="CL183" s="29"/>
      <c r="CM183" s="29"/>
      <c r="CN183" s="29"/>
      <c r="CO183" s="29"/>
      <c r="CP183" s="29"/>
      <c r="CQ183" s="29"/>
      <c r="CR183" s="29"/>
      <c r="CS183" s="29"/>
      <c r="CT183" s="29"/>
      <c r="CU183" s="29"/>
      <c r="CV183" s="29"/>
      <c r="CW183" s="29"/>
      <c r="CX183" s="29"/>
      <c r="CY183" s="29"/>
      <c r="CZ183" s="29"/>
      <c r="DA183" s="29"/>
      <c r="DB183" s="29"/>
      <c r="DC183" s="29"/>
      <c r="DD183" s="29"/>
      <c r="DE183" s="29"/>
      <c r="DF183" s="29"/>
      <c r="DG183" s="29"/>
      <c r="DH183" s="29"/>
      <c r="DI183" s="29"/>
      <c r="DJ183" s="29"/>
      <c r="DK183" s="29"/>
      <c r="DL183" s="29"/>
      <c r="DM183" s="29"/>
      <c r="DN183" s="29"/>
      <c r="DO183" s="29"/>
      <c r="DP183" s="29"/>
      <c r="DQ183" s="29"/>
      <c r="DR183" s="29"/>
      <c r="DS183" s="29"/>
      <c r="DT183" s="29"/>
      <c r="DU183" s="29"/>
      <c r="DV183" s="29"/>
      <c r="DW183" s="29"/>
      <c r="DX183" s="29"/>
      <c r="DY183" s="29"/>
      <c r="DZ183" s="29"/>
      <c r="EA183" s="29"/>
      <c r="EB183" s="29"/>
      <c r="EC183" s="29"/>
      <c r="ED183" s="29"/>
      <c r="EE183" s="29"/>
      <c r="EF183" s="29"/>
      <c r="EG183" s="29"/>
      <c r="EH183" s="29"/>
      <c r="EI183" s="29"/>
      <c r="EJ183" s="29"/>
      <c r="EK183" s="29"/>
      <c r="EL183" s="29"/>
      <c r="EM183" s="29"/>
      <c r="EN183" s="29"/>
      <c r="EO183" s="29"/>
      <c r="EP183" s="29"/>
      <c r="EQ183" s="29"/>
      <c r="ER183" s="29"/>
      <c r="ES183" s="29"/>
      <c r="ET183" s="29"/>
      <c r="EU183" s="29"/>
      <c r="EV183" s="29"/>
      <c r="EW183" s="29"/>
      <c r="EX183" s="29"/>
      <c r="EY183" s="29"/>
      <c r="EZ183" s="29"/>
      <c r="FA183" s="29"/>
      <c r="FB183" s="29"/>
      <c r="FC183" s="29"/>
      <c r="FD183" s="29"/>
      <c r="FE183" s="29"/>
      <c r="FF183" s="29"/>
      <c r="FG183" s="29"/>
      <c r="FH183" s="29"/>
      <c r="FI183" s="29"/>
      <c r="FJ183" s="29"/>
      <c r="FK183" s="29"/>
      <c r="FL183" s="29"/>
      <c r="FM183" s="29"/>
      <c r="FN183" s="29"/>
      <c r="FO183" s="29"/>
      <c r="FP183" s="29"/>
      <c r="FQ183" s="29"/>
      <c r="FR183" s="29"/>
      <c r="FS183" s="29"/>
      <c r="FT183" s="29"/>
      <c r="FU183" s="29"/>
      <c r="FV183" s="29"/>
      <c r="FW183" s="29"/>
      <c r="FX183" s="29"/>
      <c r="FY183" s="29"/>
      <c r="FZ183" s="29"/>
      <c r="GA183" s="29"/>
      <c r="GB183" s="29"/>
      <c r="GC183" s="29"/>
      <c r="GD183" s="29"/>
      <c r="GE183" s="29"/>
      <c r="GF183" s="29"/>
      <c r="GG183" s="29"/>
      <c r="GH183" s="29"/>
    </row>
    <row r="184" spans="5:251" x14ac:dyDescent="0.2">
      <c r="F184" s="29"/>
      <c r="G184" s="29"/>
      <c r="H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39"/>
      <c r="AX184" s="29"/>
      <c r="AY184" s="29"/>
      <c r="AZ184" s="29"/>
      <c r="BA184" s="29"/>
      <c r="BB184" s="29"/>
      <c r="BC184" s="29"/>
      <c r="BD184" s="29"/>
      <c r="BE184" s="29"/>
      <c r="BF184" s="29"/>
      <c r="BG184" s="29"/>
      <c r="BH184" s="29"/>
      <c r="BI184" s="29"/>
      <c r="BJ184" s="29"/>
      <c r="BK184" s="29"/>
      <c r="BL184" s="29"/>
      <c r="BM184" s="29"/>
      <c r="BN184" s="29"/>
      <c r="BO184" s="29"/>
      <c r="BP184" s="29"/>
      <c r="BQ184" s="29"/>
      <c r="BR184" s="29"/>
      <c r="BS184" s="29"/>
      <c r="BT184" s="29"/>
      <c r="BU184" s="29"/>
      <c r="BV184" s="29"/>
      <c r="BW184" s="29"/>
      <c r="BX184" s="29"/>
      <c r="BY184" s="29"/>
      <c r="BZ184" s="29"/>
      <c r="CA184" s="29"/>
      <c r="CB184" s="29"/>
      <c r="CC184" s="29"/>
      <c r="CD184" s="29"/>
      <c r="CE184" s="29"/>
      <c r="CF184" s="29"/>
      <c r="CG184" s="29"/>
      <c r="CH184" s="29"/>
      <c r="CI184" s="29"/>
      <c r="CJ184" s="29"/>
      <c r="CK184" s="29"/>
      <c r="CL184" s="29"/>
      <c r="CM184" s="29"/>
      <c r="CN184" s="29"/>
      <c r="CO184" s="29"/>
      <c r="CP184" s="29"/>
      <c r="CQ184" s="29"/>
      <c r="CR184" s="29"/>
      <c r="CS184" s="29"/>
      <c r="CT184" s="29"/>
      <c r="CU184" s="29"/>
      <c r="CV184" s="29"/>
      <c r="CW184" s="29"/>
      <c r="CX184" s="29"/>
      <c r="CY184" s="29"/>
      <c r="CZ184" s="29"/>
      <c r="DA184" s="29"/>
      <c r="DB184" s="29"/>
      <c r="DC184" s="29"/>
      <c r="DD184" s="29"/>
      <c r="DE184" s="29"/>
      <c r="DF184" s="29"/>
      <c r="DG184" s="29"/>
      <c r="DH184" s="29"/>
      <c r="DI184" s="29"/>
      <c r="DJ184" s="29"/>
      <c r="DK184" s="29"/>
      <c r="DL184" s="29"/>
      <c r="DM184" s="29"/>
      <c r="DN184" s="29"/>
      <c r="DO184" s="29"/>
      <c r="DP184" s="29"/>
      <c r="DQ184" s="29"/>
      <c r="DR184" s="29"/>
      <c r="DS184" s="29"/>
      <c r="DT184" s="29"/>
      <c r="DU184" s="29"/>
      <c r="DV184" s="29"/>
      <c r="DW184" s="29"/>
      <c r="DX184" s="29"/>
      <c r="DY184" s="29"/>
      <c r="DZ184" s="29"/>
      <c r="EA184" s="29"/>
      <c r="EB184" s="29"/>
      <c r="EC184" s="29"/>
      <c r="ED184" s="29"/>
      <c r="EE184" s="29"/>
      <c r="EF184" s="29"/>
      <c r="EG184" s="29"/>
      <c r="EH184" s="29"/>
      <c r="EI184" s="29"/>
      <c r="EJ184" s="29"/>
      <c r="EK184" s="29"/>
      <c r="EL184" s="29"/>
      <c r="EM184" s="29"/>
      <c r="EN184" s="29"/>
      <c r="EO184" s="29"/>
      <c r="EP184" s="29"/>
      <c r="EQ184" s="29"/>
      <c r="ER184" s="29"/>
      <c r="ES184" s="29"/>
      <c r="ET184" s="29"/>
      <c r="EU184" s="29"/>
      <c r="EV184" s="29"/>
      <c r="EW184" s="29"/>
      <c r="EX184" s="29"/>
      <c r="EY184" s="29"/>
      <c r="EZ184" s="29"/>
      <c r="FA184" s="29"/>
      <c r="FB184" s="29"/>
      <c r="FC184" s="29"/>
      <c r="FD184" s="29"/>
      <c r="FE184" s="29"/>
      <c r="FF184" s="29"/>
      <c r="FG184" s="29"/>
      <c r="FH184" s="29"/>
      <c r="FI184" s="29"/>
      <c r="FJ184" s="29"/>
      <c r="FK184" s="29"/>
      <c r="FL184" s="29"/>
      <c r="FM184" s="29"/>
      <c r="FN184" s="29"/>
      <c r="FO184" s="29"/>
      <c r="FP184" s="29"/>
      <c r="FQ184" s="29"/>
      <c r="FR184" s="29"/>
      <c r="FS184" s="29"/>
      <c r="FT184" s="29"/>
      <c r="FU184" s="29"/>
      <c r="FV184" s="29"/>
      <c r="FW184" s="29"/>
      <c r="FX184" s="29"/>
      <c r="FY184" s="29"/>
      <c r="FZ184" s="29"/>
      <c r="GA184" s="29"/>
      <c r="GB184" s="29"/>
      <c r="GC184" s="29"/>
      <c r="GD184" s="29"/>
      <c r="GE184" s="29"/>
      <c r="GF184" s="29"/>
      <c r="GG184" s="29"/>
      <c r="GH184" s="29"/>
    </row>
    <row r="185" spans="5:251" x14ac:dyDescent="0.2">
      <c r="F185" s="29"/>
      <c r="G185" s="29"/>
      <c r="H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39"/>
      <c r="AX185" s="29"/>
      <c r="AY185" s="29"/>
      <c r="AZ185" s="29"/>
      <c r="BA185" s="29"/>
      <c r="BB185" s="29"/>
      <c r="BC185" s="29"/>
      <c r="BD185" s="29"/>
      <c r="BE185" s="29"/>
      <c r="BF185" s="29"/>
      <c r="BG185" s="29"/>
      <c r="BH185" s="29"/>
      <c r="BI185" s="29"/>
      <c r="BJ185" s="29"/>
      <c r="BK185" s="29"/>
      <c r="BL185" s="29"/>
      <c r="BM185" s="29"/>
      <c r="BN185" s="29"/>
      <c r="BO185" s="29"/>
      <c r="BP185" s="29"/>
      <c r="BQ185" s="29"/>
      <c r="BR185" s="29"/>
      <c r="BS185" s="29"/>
      <c r="BT185" s="29"/>
      <c r="BU185" s="29"/>
      <c r="BV185" s="29"/>
      <c r="BW185" s="29"/>
      <c r="BX185" s="29"/>
      <c r="BY185" s="29"/>
      <c r="BZ185" s="29"/>
      <c r="CA185" s="29"/>
      <c r="CB185" s="29"/>
      <c r="CC185" s="29"/>
      <c r="CD185" s="29"/>
      <c r="CE185" s="29"/>
      <c r="CF185" s="29"/>
      <c r="CG185" s="29"/>
      <c r="CH185" s="29"/>
      <c r="CI185" s="29"/>
      <c r="CJ185" s="29"/>
      <c r="CK185" s="29"/>
      <c r="CL185" s="29"/>
      <c r="CM185" s="29"/>
      <c r="CN185" s="29"/>
      <c r="CO185" s="29"/>
      <c r="CP185" s="29"/>
      <c r="CQ185" s="29"/>
      <c r="CR185" s="29"/>
      <c r="CS185" s="29"/>
      <c r="CT185" s="29"/>
      <c r="CU185" s="29"/>
      <c r="CV185" s="29"/>
      <c r="CW185" s="29"/>
      <c r="CX185" s="29"/>
      <c r="CY185" s="29"/>
      <c r="CZ185" s="29"/>
      <c r="DA185" s="29"/>
      <c r="DB185" s="29"/>
      <c r="DC185" s="29"/>
      <c r="DD185" s="29"/>
      <c r="DE185" s="29"/>
      <c r="DF185" s="29"/>
      <c r="DG185" s="29"/>
      <c r="DH185" s="29"/>
      <c r="DI185" s="29"/>
      <c r="DJ185" s="29"/>
      <c r="DK185" s="29"/>
      <c r="DL185" s="29"/>
      <c r="DM185" s="29"/>
      <c r="DN185" s="29"/>
      <c r="DO185" s="29"/>
      <c r="DP185" s="29"/>
      <c r="DQ185" s="29"/>
      <c r="DR185" s="29"/>
      <c r="DS185" s="29"/>
      <c r="DT185" s="29"/>
      <c r="DU185" s="29"/>
      <c r="DV185" s="29"/>
      <c r="DW185" s="29"/>
      <c r="DX185" s="29"/>
      <c r="DY185" s="29"/>
      <c r="DZ185" s="29"/>
      <c r="EA185" s="29"/>
      <c r="EB185" s="29"/>
      <c r="EC185" s="29"/>
      <c r="ED185" s="29"/>
      <c r="EE185" s="29"/>
      <c r="EF185" s="29"/>
      <c r="EG185" s="29"/>
      <c r="EH185" s="29"/>
      <c r="EI185" s="29"/>
      <c r="EJ185" s="29"/>
      <c r="EK185" s="29"/>
      <c r="EL185" s="29"/>
      <c r="EM185" s="29"/>
      <c r="EN185" s="29"/>
      <c r="EO185" s="29"/>
      <c r="EP185" s="29"/>
      <c r="EQ185" s="29"/>
      <c r="ER185" s="29"/>
      <c r="ES185" s="29"/>
      <c r="ET185" s="29"/>
      <c r="EU185" s="29"/>
      <c r="EV185" s="29"/>
      <c r="EW185" s="29"/>
      <c r="EX185" s="29"/>
      <c r="EY185" s="29"/>
      <c r="EZ185" s="29"/>
      <c r="FA185" s="29"/>
      <c r="FB185" s="29"/>
      <c r="FC185" s="29"/>
      <c r="FD185" s="29"/>
      <c r="FE185" s="29"/>
      <c r="FF185" s="29"/>
      <c r="FG185" s="29"/>
      <c r="FH185" s="29"/>
      <c r="FI185" s="29"/>
      <c r="FJ185" s="29"/>
      <c r="FK185" s="29"/>
      <c r="FL185" s="29"/>
      <c r="FM185" s="29"/>
      <c r="FN185" s="29"/>
      <c r="FO185" s="29"/>
      <c r="FP185" s="29"/>
      <c r="FQ185" s="29"/>
      <c r="FR185" s="29"/>
      <c r="FS185" s="29"/>
      <c r="FT185" s="29"/>
      <c r="FU185" s="29"/>
      <c r="FV185" s="29"/>
      <c r="FW185" s="29"/>
      <c r="FX185" s="29"/>
      <c r="FY185" s="29"/>
      <c r="FZ185" s="29"/>
      <c r="GA185" s="29"/>
      <c r="GB185" s="29"/>
      <c r="GC185" s="29"/>
      <c r="GD185" s="29"/>
      <c r="GE185" s="29"/>
      <c r="GF185" s="29"/>
      <c r="GG185" s="29"/>
      <c r="GH185" s="29"/>
    </row>
    <row r="188" spans="5:251" s="58" customFormat="1" x14ac:dyDescent="0.2">
      <c r="E188" s="58" t="s">
        <v>139</v>
      </c>
      <c r="F188" s="59">
        <f>F13</f>
        <v>0</v>
      </c>
      <c r="G188" s="59">
        <f>G13</f>
        <v>0</v>
      </c>
      <c r="J188" s="181">
        <f>[1]NA!J188</f>
        <v>0</v>
      </c>
      <c r="K188" s="181">
        <f>[1]NA!K188</f>
        <v>0.26134329141333157</v>
      </c>
      <c r="L188" s="181">
        <f>[1]NA!L188</f>
        <v>0.31154506120044395</v>
      </c>
      <c r="M188" s="181">
        <f>[1]NA!M188</f>
        <v>0.38684040303338851</v>
      </c>
      <c r="N188" s="181">
        <f>[1]NA!N188</f>
        <v>0.16556439911746579</v>
      </c>
      <c r="O188" s="181">
        <f>[1]NA!O188</f>
        <v>-0.87575163039727211</v>
      </c>
      <c r="P188" s="181">
        <f>[1]NA!P188</f>
        <v>0.18543244410615767</v>
      </c>
      <c r="Q188" s="181">
        <f>[1]NA!Q188</f>
        <v>0.14982914649379639</v>
      </c>
      <c r="R188" s="181">
        <f>[1]NA!R188</f>
        <v>9.7736131202967924E-2</v>
      </c>
      <c r="S188" s="181">
        <f>[1]NA!S188</f>
        <v>0.18719691280238748</v>
      </c>
      <c r="T188" s="181">
        <f>[1]NA!T188</f>
        <v>0.29871687501244054</v>
      </c>
      <c r="U188" s="181">
        <f>[1]NA!U188</f>
        <v>0.17750644175767893</v>
      </c>
      <c r="V188" s="181">
        <f>[1]NA!V188</f>
        <v>0.11183711077545355</v>
      </c>
      <c r="W188" s="181">
        <f>[1]NA!W188</f>
        <v>0.12759590288836553</v>
      </c>
      <c r="X188" s="181">
        <f>[1]NA!X188</f>
        <v>0.12011589079459811</v>
      </c>
      <c r="Y188" s="181">
        <f>[1]NA!Y188</f>
        <v>0.10550273650572711</v>
      </c>
      <c r="Z188" s="181">
        <f>[1]NA!Z188</f>
        <v>0.10986156230103433</v>
      </c>
      <c r="AA188" s="181">
        <f>[1]NA!AA188</f>
        <v>9.344178407596701E-2</v>
      </c>
      <c r="AB188" s="181">
        <f>[1]NA!AB188</f>
        <v>8.6667203078466523E-2</v>
      </c>
      <c r="AC188" s="181">
        <f>[1]NA!AC188</f>
        <v>9.2747379368363997E-2</v>
      </c>
      <c r="AD188" s="181"/>
      <c r="AE188" s="181"/>
      <c r="AF188" s="181"/>
      <c r="AG188" s="59"/>
      <c r="AH188" s="59"/>
      <c r="AI188" s="59"/>
      <c r="AJ188" s="59"/>
      <c r="AK188" s="59"/>
      <c r="AL188" s="331">
        <f>[1]NA!AL188</f>
        <v>0.29574231134086432</v>
      </c>
      <c r="AM188" s="331">
        <f>[1]NA!AM188</f>
        <v>0.25121247418859532</v>
      </c>
      <c r="AN188" s="331">
        <f>[1]NA!AN188</f>
        <v>0.27082337261469175</v>
      </c>
      <c r="AO188" s="331">
        <f>[1]NA!AO188</f>
        <v>0.31329559732025536</v>
      </c>
      <c r="AP188" s="331">
        <f>[1]NA!AP188</f>
        <v>0.63793410022729968</v>
      </c>
      <c r="AQ188" s="331">
        <f>[1]NA!AQ188</f>
        <v>4.5607348347994918</v>
      </c>
      <c r="AR188" s="331">
        <f>[1]NA!AR188</f>
        <v>0.21570861792896312</v>
      </c>
      <c r="AS188" s="331">
        <f>[1]NA!AS188</f>
        <v>0.15888934926358109</v>
      </c>
      <c r="AT188" s="331">
        <f>[1]NA!AT188</f>
        <v>0.13598468454587942</v>
      </c>
      <c r="AU188" s="331">
        <f>[1]NA!AU188</f>
        <v>7.7613914307184187E-2</v>
      </c>
      <c r="AV188" s="355">
        <f>[1]NA!AV188</f>
        <v>0.34082179999868079</v>
      </c>
      <c r="AW188" s="355">
        <f>[1]NA!AW188</f>
        <v>0.25746682959977485</v>
      </c>
      <c r="AX188" s="331">
        <f>[1]NA!AX188</f>
        <v>0.11328240339422946</v>
      </c>
      <c r="AY188" s="331">
        <f>[1]NA!AY188</f>
        <v>0.11074393945499257</v>
      </c>
      <c r="AZ188" s="331">
        <f>[1]NA!AZ188</f>
        <v>0.15160838123601625</v>
      </c>
      <c r="BA188" s="331">
        <f>[1]NA!BA188</f>
        <v>9.89145187342617E-2</v>
      </c>
      <c r="BB188" s="331">
        <f>[1]NA!BB188</f>
        <v>0.11190757209624921</v>
      </c>
      <c r="BC188" s="331">
        <f>[1]NA!BC188</f>
        <v>0.10796905381290774</v>
      </c>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c r="DH188" s="4"/>
      <c r="DI188" s="4"/>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c r="GW188" s="4"/>
      <c r="GX188" s="4"/>
      <c r="GY188" s="4"/>
      <c r="GZ188" s="4"/>
      <c r="HA188" s="4"/>
      <c r="HB188" s="4"/>
      <c r="HC188" s="4"/>
      <c r="HD188" s="4"/>
      <c r="HE188" s="4"/>
      <c r="HF188" s="4"/>
      <c r="HG188" s="4"/>
      <c r="HH188" s="4"/>
      <c r="HI188" s="4"/>
      <c r="HJ188" s="4"/>
      <c r="HK188" s="4"/>
      <c r="HL188" s="4"/>
      <c r="HM188" s="4"/>
      <c r="HN188" s="4"/>
      <c r="HO188" s="4"/>
      <c r="HP188" s="4"/>
      <c r="HQ188" s="4"/>
      <c r="HR188" s="4"/>
      <c r="HS188" s="4"/>
      <c r="HT188" s="4"/>
      <c r="HU188" s="4"/>
      <c r="HV188" s="4"/>
      <c r="HW188" s="4"/>
      <c r="HX188" s="4"/>
      <c r="HY188" s="4"/>
      <c r="HZ188" s="4"/>
      <c r="IA188" s="4"/>
      <c r="IB188" s="4"/>
      <c r="IC188" s="4"/>
      <c r="ID188" s="4"/>
      <c r="IE188" s="4"/>
      <c r="IF188" s="4"/>
      <c r="IG188" s="4"/>
      <c r="IH188" s="4"/>
      <c r="II188" s="4"/>
      <c r="IJ188" s="4"/>
      <c r="IK188" s="4"/>
      <c r="IL188" s="4"/>
      <c r="IM188" s="4"/>
      <c r="IN188" s="4"/>
      <c r="IO188" s="4"/>
      <c r="IP188" s="4"/>
      <c r="IQ188" s="4"/>
    </row>
    <row r="189" spans="5:251" x14ac:dyDescent="0.2">
      <c r="E189" s="4" t="s">
        <v>140</v>
      </c>
      <c r="F189" s="2"/>
      <c r="G189" s="2"/>
      <c r="J189" s="2">
        <f>AVERAGE(AL189:AM189)</f>
        <v>51746.499999999534</v>
      </c>
      <c r="K189" s="2">
        <f t="shared" ref="K189:Y189" si="563">AVERAGE(AM189:AN189)</f>
        <v>45571.749999999534</v>
      </c>
      <c r="L189" s="2">
        <f t="shared" si="563"/>
        <v>39972.299999999814</v>
      </c>
      <c r="M189" s="2">
        <f t="shared" si="563"/>
        <v>37031.858843999915</v>
      </c>
      <c r="N189" s="2">
        <f t="shared" si="563"/>
        <v>42575.058943999931</v>
      </c>
      <c r="O189" s="2">
        <f t="shared" si="563"/>
        <v>49913.099770579487</v>
      </c>
      <c r="P189" s="2">
        <f t="shared" si="563"/>
        <v>142700.29651174508</v>
      </c>
      <c r="Q189" s="2">
        <f t="shared" si="563"/>
        <v>239498.99684116524</v>
      </c>
      <c r="R189" s="2">
        <f t="shared" si="563"/>
        <v>185277</v>
      </c>
      <c r="S189" s="2">
        <f t="shared" si="563"/>
        <v>135263.15000000037</v>
      </c>
      <c r="T189" s="2">
        <f t="shared" si="563"/>
        <v>140573.81000000355</v>
      </c>
      <c r="U189" s="2">
        <f t="shared" si="563"/>
        <v>66656.810000003548</v>
      </c>
      <c r="V189" s="2">
        <f t="shared" si="563"/>
        <v>0</v>
      </c>
      <c r="W189" s="2">
        <f t="shared" si="563"/>
        <v>0</v>
      </c>
      <c r="X189" s="2">
        <f t="shared" si="563"/>
        <v>0</v>
      </c>
      <c r="Y189" s="2">
        <f t="shared" si="563"/>
        <v>0.5</v>
      </c>
      <c r="Z189" s="2">
        <f>AVERAGE(BB189:BC189)</f>
        <v>1.5</v>
      </c>
      <c r="AA189" s="2">
        <f>AVERAGE(BC189:BD189)</f>
        <v>2</v>
      </c>
      <c r="AB189" s="2"/>
      <c r="AC189" s="2"/>
      <c r="AD189" s="2"/>
      <c r="AE189" s="2"/>
      <c r="AF189" s="2"/>
      <c r="AG189" s="2"/>
      <c r="AH189" s="2"/>
      <c r="AI189" s="2"/>
      <c r="AJ189" s="2"/>
      <c r="AK189" s="2"/>
      <c r="AL189" s="2">
        <v>57818.599999999627</v>
      </c>
      <c r="AM189" s="2">
        <v>45674.399999999441</v>
      </c>
      <c r="AN189" s="2">
        <v>45469.099999999627</v>
      </c>
      <c r="AO189" s="2">
        <v>34475.5</v>
      </c>
      <c r="AP189" s="2">
        <v>39588.21768799983</v>
      </c>
      <c r="AQ189" s="2">
        <v>45561.900200000033</v>
      </c>
      <c r="AR189" s="2">
        <v>54264.299341158941</v>
      </c>
      <c r="AS189" s="2">
        <v>231136.29368233122</v>
      </c>
      <c r="AT189" s="2">
        <v>247861.69999999925</v>
      </c>
      <c r="AU189" s="2">
        <v>122692.30000000075</v>
      </c>
      <c r="AV189" s="356">
        <v>147834</v>
      </c>
      <c r="AW189" s="356">
        <v>133313.6200000071</v>
      </c>
      <c r="AX189" s="2">
        <v>0</v>
      </c>
      <c r="AY189" s="2">
        <v>0</v>
      </c>
      <c r="AZ189" s="2">
        <v>0</v>
      </c>
      <c r="BA189" s="2">
        <v>0</v>
      </c>
      <c r="BB189" s="2">
        <v>1</v>
      </c>
      <c r="BC189" s="2">
        <v>2</v>
      </c>
    </row>
    <row r="191" spans="5:251" x14ac:dyDescent="0.2">
      <c r="AR191" s="176"/>
      <c r="AS191" s="176"/>
      <c r="AT191" s="176"/>
    </row>
    <row r="192" spans="5:251" x14ac:dyDescent="0.2">
      <c r="E192" s="188"/>
      <c r="AL192" s="171"/>
      <c r="AM192" s="56"/>
      <c r="AN192" s="29"/>
      <c r="AO192" s="29"/>
      <c r="AP192" s="29"/>
      <c r="AQ192" s="29"/>
      <c r="AR192" s="29"/>
      <c r="AS192" s="29"/>
      <c r="AT192" s="29"/>
      <c r="AU192" s="29"/>
      <c r="AV192" s="29"/>
      <c r="AW192" s="39"/>
      <c r="AX192" s="29"/>
      <c r="AY192" s="29"/>
      <c r="AZ192" s="29"/>
      <c r="BA192" s="29"/>
    </row>
    <row r="193" spans="5:61" x14ac:dyDescent="0.2">
      <c r="E193" s="196"/>
      <c r="AN193" s="2"/>
      <c r="AO193" s="2"/>
      <c r="AP193" s="2"/>
      <c r="AQ193" s="2"/>
      <c r="AR193" s="2"/>
      <c r="AS193" s="2"/>
      <c r="AT193" s="29"/>
      <c r="AU193" s="29"/>
      <c r="AV193" s="248">
        <f>AV236-AV82</f>
        <v>0</v>
      </c>
      <c r="AW193" s="334"/>
    </row>
    <row r="194" spans="5:61" x14ac:dyDescent="0.2">
      <c r="E194" s="691" t="s">
        <v>304</v>
      </c>
      <c r="AN194" s="198"/>
      <c r="AO194" s="198"/>
      <c r="AP194" s="198"/>
      <c r="AQ194" s="198"/>
      <c r="AR194" s="198"/>
      <c r="AS194" s="198"/>
      <c r="AT194" s="198"/>
      <c r="AU194" s="198"/>
      <c r="AV194" s="198"/>
      <c r="AW194" s="60"/>
    </row>
    <row r="195" spans="5:61" ht="13.5" thickBot="1" x14ac:dyDescent="0.25">
      <c r="E195" s="199"/>
      <c r="AN195" s="2"/>
      <c r="AO195" s="2"/>
      <c r="AQ195" s="2"/>
      <c r="AR195" s="2"/>
      <c r="AS195" s="190"/>
      <c r="AT195" s="190"/>
      <c r="AU195" s="190"/>
      <c r="AV195" s="200"/>
      <c r="AW195" s="333"/>
    </row>
    <row r="196" spans="5:61" ht="15.75" x14ac:dyDescent="0.25">
      <c r="E196" s="347" t="s">
        <v>283</v>
      </c>
      <c r="AN196" s="201"/>
      <c r="AO196" s="201"/>
      <c r="AP196" s="201"/>
      <c r="AQ196" s="201"/>
      <c r="AR196" s="201"/>
      <c r="AS196" s="235"/>
      <c r="AT196" s="235"/>
      <c r="AU196" s="235"/>
      <c r="AV196" s="247"/>
      <c r="AW196" s="332"/>
      <c r="BE196" s="470"/>
    </row>
    <row r="197" spans="5:61" x14ac:dyDescent="0.2">
      <c r="E197" s="202" t="s">
        <v>327</v>
      </c>
      <c r="I197" s="1">
        <f>I222+I223</f>
        <v>5221280</v>
      </c>
      <c r="J197" s="1">
        <f t="shared" ref="J197:X197" si="564">J222+J223</f>
        <v>5633065</v>
      </c>
      <c r="K197" s="1">
        <f t="shared" si="564"/>
        <v>6442247.5</v>
      </c>
      <c r="L197" s="1">
        <f t="shared" si="564"/>
        <v>8927630.9750329293</v>
      </c>
      <c r="M197" s="1">
        <f t="shared" si="564"/>
        <v>11809719.60309658</v>
      </c>
      <c r="N197" s="1">
        <f t="shared" si="564"/>
        <v>13565856.273020916</v>
      </c>
      <c r="O197" s="1">
        <f t="shared" si="564"/>
        <v>15623387.681736451</v>
      </c>
      <c r="P197" s="1">
        <f t="shared" si="564"/>
        <v>16704561.412207766</v>
      </c>
      <c r="Q197" s="1">
        <f t="shared" si="564"/>
        <v>18485720.127257217</v>
      </c>
      <c r="R197" s="1">
        <f t="shared" si="564"/>
        <v>21912159.890219167</v>
      </c>
      <c r="S197" s="1">
        <f t="shared" si="564"/>
        <v>26073603.570105981</v>
      </c>
      <c r="T197" s="1">
        <f t="shared" si="564"/>
        <v>30837526.491254319</v>
      </c>
      <c r="U197" s="1">
        <f t="shared" si="564"/>
        <v>35786771.0589431</v>
      </c>
      <c r="V197" s="1">
        <f t="shared" si="564"/>
        <v>42480523.324660473</v>
      </c>
      <c r="W197" s="1">
        <f t="shared" si="564"/>
        <v>50253483.060422525</v>
      </c>
      <c r="X197" s="1">
        <f t="shared" si="564"/>
        <v>58356331.096764214</v>
      </c>
      <c r="Y197" s="1">
        <f>Y222+Y223</f>
        <v>66464819.750433132</v>
      </c>
      <c r="Z197" s="1">
        <f>Z222+Z223</f>
        <v>75338788.727343202</v>
      </c>
      <c r="AA197" s="1">
        <f>AA222+AA223</f>
        <v>85879151.26455754</v>
      </c>
      <c r="AB197" s="1">
        <f>AB222+AB223</f>
        <v>97498153.975894675</v>
      </c>
      <c r="AC197" s="1">
        <f>AC222+AC223</f>
        <v>108034122.26620837</v>
      </c>
      <c r="AD197" s="1">
        <f t="shared" ref="AD197:AE197" si="565">AD222+AD223</f>
        <v>123171412.68100193</v>
      </c>
      <c r="AE197" s="1">
        <f t="shared" si="565"/>
        <v>140560745.3214789</v>
      </c>
      <c r="AF197" s="1"/>
      <c r="AG197" s="1"/>
      <c r="AL197" s="203">
        <f t="shared" ref="AL197:AN197" si="566">AL198+AL202+AL203+AL209+AL221+AL223</f>
        <v>5341884</v>
      </c>
      <c r="AM197" s="203">
        <f t="shared" si="566"/>
        <v>6179391</v>
      </c>
      <c r="AN197" s="203">
        <f t="shared" si="566"/>
        <v>6981254</v>
      </c>
      <c r="AO197" s="203">
        <f>AO198+AO203+AO209+AO221+AO223</f>
        <v>11015616.950065861</v>
      </c>
      <c r="AP197" s="203">
        <f t="shared" ref="AP197:BF197" si="567">AP198+AP203+AP209+AP221+AP223</f>
        <v>12603822.2561273</v>
      </c>
      <c r="AQ197" s="203">
        <f t="shared" si="567"/>
        <v>14527890.289914532</v>
      </c>
      <c r="AR197" s="203">
        <f t="shared" si="567"/>
        <v>16718885.07355837</v>
      </c>
      <c r="AS197" s="203">
        <f t="shared" si="567"/>
        <v>16690237.750857163</v>
      </c>
      <c r="AT197" s="203">
        <f t="shared" si="567"/>
        <v>20281202.50365727</v>
      </c>
      <c r="AU197" s="203">
        <f t="shared" si="567"/>
        <v>23543117.276781064</v>
      </c>
      <c r="AV197" s="203">
        <f t="shared" si="567"/>
        <v>28604089.863430899</v>
      </c>
      <c r="AW197" s="203">
        <f t="shared" si="567"/>
        <v>33070963.119077742</v>
      </c>
      <c r="AX197" s="203">
        <f t="shared" si="567"/>
        <v>38502578.998808451</v>
      </c>
      <c r="AY197" s="203">
        <f t="shared" si="567"/>
        <v>46458467.650512502</v>
      </c>
      <c r="AZ197" s="203">
        <f t="shared" si="567"/>
        <v>54048498.470332555</v>
      </c>
      <c r="BA197" s="203">
        <f t="shared" si="567"/>
        <v>62664163.723195881</v>
      </c>
      <c r="BB197" s="203">
        <f t="shared" si="567"/>
        <v>70265475.777670383</v>
      </c>
      <c r="BC197" s="203">
        <f t="shared" si="567"/>
        <v>80412101.677016035</v>
      </c>
      <c r="BD197" s="203">
        <f t="shared" si="567"/>
        <v>91346200.852099061</v>
      </c>
      <c r="BE197" s="203">
        <f t="shared" si="567"/>
        <v>103650107.09969029</v>
      </c>
      <c r="BF197" s="203">
        <f t="shared" si="567"/>
        <v>112418137.43272646</v>
      </c>
      <c r="BG197" s="203">
        <f t="shared" ref="BG197:BH197" si="568">BG198+BG203+BG209+BG221+BG223</f>
        <v>133924687.92927742</v>
      </c>
      <c r="BH197" s="203">
        <f t="shared" si="568"/>
        <v>147196802.71368036</v>
      </c>
    </row>
    <row r="198" spans="5:61" ht="15" x14ac:dyDescent="0.25">
      <c r="E198" s="202" t="s">
        <v>487</v>
      </c>
      <c r="F198" s="204">
        <f t="shared" ref="F198:AB198" si="569">F199+F200+F201</f>
        <v>0</v>
      </c>
      <c r="G198" s="204">
        <f t="shared" si="569"/>
        <v>0</v>
      </c>
      <c r="H198" s="204">
        <f t="shared" si="569"/>
        <v>0</v>
      </c>
      <c r="I198" s="204">
        <f t="shared" si="569"/>
        <v>1149264</v>
      </c>
      <c r="J198" s="204">
        <f t="shared" si="569"/>
        <v>1248979.5</v>
      </c>
      <c r="K198" s="204">
        <f t="shared" si="569"/>
        <v>1416298.5</v>
      </c>
      <c r="L198" s="204">
        <f t="shared" si="569"/>
        <v>2266521.6046767235</v>
      </c>
      <c r="M198" s="204">
        <f t="shared" si="569"/>
        <v>3241998.142098031</v>
      </c>
      <c r="N198" s="204">
        <f t="shared" si="569"/>
        <v>3703758.5238680337</v>
      </c>
      <c r="O198" s="204">
        <f t="shared" si="569"/>
        <v>4337594.5996625619</v>
      </c>
      <c r="P198" s="204">
        <f t="shared" si="569"/>
        <v>3890275.4945871942</v>
      </c>
      <c r="Q198" s="204">
        <f t="shared" si="569"/>
        <v>3439531.6998194898</v>
      </c>
      <c r="R198" s="204">
        <f t="shared" si="569"/>
        <v>3917564.8359616119</v>
      </c>
      <c r="S198" s="204">
        <f t="shared" si="569"/>
        <v>4633097.0965657616</v>
      </c>
      <c r="T198" s="204">
        <f t="shared" si="569"/>
        <v>5846668.2786075985</v>
      </c>
      <c r="U198" s="204">
        <f t="shared" si="569"/>
        <v>6965604.0676570823</v>
      </c>
      <c r="V198" s="204">
        <f t="shared" si="569"/>
        <v>8142976.8033503219</v>
      </c>
      <c r="W198" s="204">
        <f t="shared" si="569"/>
        <v>9957536.6538620647</v>
      </c>
      <c r="X198" s="204">
        <f t="shared" si="569"/>
        <v>12060431.828104218</v>
      </c>
      <c r="Y198" s="204">
        <f t="shared" si="569"/>
        <v>12982049.034473272</v>
      </c>
      <c r="Z198" s="204">
        <f t="shared" si="569"/>
        <v>12366033.742276167</v>
      </c>
      <c r="AA198" s="204">
        <f t="shared" si="569"/>
        <v>12362327.189330123</v>
      </c>
      <c r="AB198" s="204">
        <f t="shared" si="569"/>
        <v>13643451.821777392</v>
      </c>
      <c r="AC198" s="204">
        <f>AC199+AC200+AC201</f>
        <v>14841231.027860647</v>
      </c>
      <c r="AD198" s="204">
        <f t="shared" ref="AD198:AE198" si="570">AD199+AD200+AD201</f>
        <v>16630352.491292387</v>
      </c>
      <c r="AE198" s="204">
        <f t="shared" si="570"/>
        <v>19569295.196957979</v>
      </c>
      <c r="AF198" s="204"/>
      <c r="AG198" s="204"/>
      <c r="AL198" s="239">
        <f>AL199+AL200+AL201+AL202</f>
        <v>1269868</v>
      </c>
      <c r="AM198" s="239">
        <f t="shared" ref="AM198:AN198" si="571">AM199+AM200+AM201+AM202</f>
        <v>1483236</v>
      </c>
      <c r="AN198" s="239">
        <f t="shared" si="571"/>
        <v>1625511</v>
      </c>
      <c r="AO198" s="239">
        <f t="shared" ref="AO198:BE198" si="572">AO199+AO200+AO201+AO202</f>
        <v>3288569.1781851272</v>
      </c>
      <c r="AP198" s="239">
        <f t="shared" si="572"/>
        <v>3704400.8570905868</v>
      </c>
      <c r="AQ198" s="239">
        <f t="shared" si="572"/>
        <v>4265119.0453516357</v>
      </c>
      <c r="AR198" s="239">
        <f t="shared" si="572"/>
        <v>5025106.7868076861</v>
      </c>
      <c r="AS198" s="239">
        <f t="shared" si="572"/>
        <v>3420713.0287398547</v>
      </c>
      <c r="AT198" s="239">
        <f t="shared" si="572"/>
        <v>4177507.1653707391</v>
      </c>
      <c r="AU198" s="239">
        <f t="shared" si="572"/>
        <v>4447586.0313302875</v>
      </c>
      <c r="AV198" s="239">
        <f t="shared" si="572"/>
        <v>5820185.6735043461</v>
      </c>
      <c r="AW198" s="239">
        <f t="shared" si="572"/>
        <v>7282503.5337865027</v>
      </c>
      <c r="AX198" s="239">
        <f t="shared" si="572"/>
        <v>8346156.8469882365</v>
      </c>
      <c r="AY198" s="239">
        <f t="shared" si="572"/>
        <v>9869070.3141189907</v>
      </c>
      <c r="AZ198" s="239">
        <f t="shared" si="572"/>
        <v>12422452.974177554</v>
      </c>
      <c r="BA198" s="239">
        <f t="shared" si="572"/>
        <v>14678539.134964783</v>
      </c>
      <c r="BB198" s="239">
        <f t="shared" si="572"/>
        <v>14663739.721882602</v>
      </c>
      <c r="BC198" s="239">
        <f t="shared" si="572"/>
        <v>12849353.851118736</v>
      </c>
      <c r="BD198" s="239">
        <f t="shared" si="572"/>
        <v>14084071.95933428</v>
      </c>
      <c r="BE198" s="239">
        <f t="shared" si="572"/>
        <v>15606422.484529931</v>
      </c>
      <c r="BF198" s="204">
        <f>BF199+BF200+BF201</f>
        <v>15330475.156239539</v>
      </c>
      <c r="BG198" s="204">
        <f t="shared" ref="BG198:BH198" si="573">BG199+BG200+BG201</f>
        <v>17930229.826345235</v>
      </c>
      <c r="BH198" s="204">
        <f t="shared" si="573"/>
        <v>21208360.567570716</v>
      </c>
      <c r="BI198" s="543"/>
    </row>
    <row r="199" spans="5:61" x14ac:dyDescent="0.2">
      <c r="E199" s="205" t="s">
        <v>102</v>
      </c>
      <c r="I199" s="60">
        <f t="shared" ref="I199:J202" si="574">AVERAGE(AK199:AL199)</f>
        <v>862991</v>
      </c>
      <c r="J199" s="60">
        <f t="shared" si="574"/>
        <v>928420</v>
      </c>
      <c r="K199" s="60">
        <f t="shared" ref="K199:S202" si="575">AVERAGE(AM199:AN199)</f>
        <v>1027928</v>
      </c>
      <c r="L199" s="60">
        <f t="shared" si="575"/>
        <v>1459126.9184305884</v>
      </c>
      <c r="M199" s="60">
        <f t="shared" si="575"/>
        <v>1994688.9901221048</v>
      </c>
      <c r="N199" s="60">
        <f t="shared" si="575"/>
        <v>2326476.7348530572</v>
      </c>
      <c r="O199" s="60">
        <f t="shared" si="575"/>
        <v>2749384.3553243256</v>
      </c>
      <c r="P199" s="60">
        <f t="shared" si="575"/>
        <v>2363090.4738535127</v>
      </c>
      <c r="Q199" s="60">
        <f t="shared" si="575"/>
        <v>1947504.5348350676</v>
      </c>
      <c r="R199" s="60">
        <f t="shared" si="575"/>
        <v>2091821.2799845105</v>
      </c>
      <c r="S199" s="60">
        <f t="shared" si="575"/>
        <v>2424931.4809855912</v>
      </c>
      <c r="T199" s="60">
        <f t="shared" ref="T199:U202" si="576">AVERAGE(AV199:AW199)</f>
        <v>3100946.2493051933</v>
      </c>
      <c r="U199" s="60">
        <f t="shared" si="576"/>
        <v>3738405.0906941555</v>
      </c>
      <c r="V199" s="60">
        <f t="shared" ref="V199:Y202" si="577">AVERAGE(AX199:AY199)</f>
        <v>4482266.9947524294</v>
      </c>
      <c r="W199" s="60">
        <f t="shared" si="577"/>
        <v>5635528.1902977042</v>
      </c>
      <c r="X199" s="60">
        <f t="shared" si="577"/>
        <v>6862721.3407861087</v>
      </c>
      <c r="Y199" s="60">
        <f t="shared" si="577"/>
        <v>7223971.1402592156</v>
      </c>
      <c r="Z199" s="60">
        <f t="shared" ref="Z199:AC202" si="578">AVERAGE(BB199:BC199)</f>
        <v>6636755.475421248</v>
      </c>
      <c r="AA199" s="60">
        <f t="shared" si="578"/>
        <v>6443089.8196221422</v>
      </c>
      <c r="AB199" s="60">
        <f t="shared" si="578"/>
        <v>7085860.0551480781</v>
      </c>
      <c r="AC199" s="60">
        <f t="shared" si="578"/>
        <v>7685876.4889568239</v>
      </c>
      <c r="AD199" s="60">
        <f t="shared" ref="AD199:AD202" si="579">AVERAGE(BF199:BG199)</f>
        <v>8613223.1153769996</v>
      </c>
      <c r="AE199" s="60">
        <f t="shared" ref="AE199:AE202" si="580">AVERAGE(BG199:BH199)</f>
        <v>10162048.146613576</v>
      </c>
      <c r="AF199" s="60"/>
      <c r="AG199" s="60"/>
      <c r="AL199" s="221">
        <v>862991</v>
      </c>
      <c r="AM199" s="221">
        <v>993849</v>
      </c>
      <c r="AN199" s="55">
        <v>1062007</v>
      </c>
      <c r="AO199" s="55">
        <v>1856246.8368611769</v>
      </c>
      <c r="AP199" s="55">
        <v>2133131.1433830326</v>
      </c>
      <c r="AQ199" s="55">
        <v>2519822.3263230813</v>
      </c>
      <c r="AR199" s="55">
        <v>2978946.38432557</v>
      </c>
      <c r="AS199" s="55">
        <f>AS458</f>
        <v>1747234.5633814558</v>
      </c>
      <c r="AT199" s="55">
        <f t="shared" ref="AT199:BB199" si="581">AT458</f>
        <v>2147774.5062886793</v>
      </c>
      <c r="AU199" s="55">
        <f t="shared" si="581"/>
        <v>2035868.0536803417</v>
      </c>
      <c r="AV199" s="55">
        <f t="shared" si="581"/>
        <v>2813994.9082908407</v>
      </c>
      <c r="AW199" s="55">
        <f t="shared" si="581"/>
        <v>3387897.5903195464</v>
      </c>
      <c r="AX199" s="55">
        <f t="shared" si="581"/>
        <v>4088912.5910687651</v>
      </c>
      <c r="AY199" s="55">
        <f t="shared" si="581"/>
        <v>4875621.3984360937</v>
      </c>
      <c r="AZ199" s="55">
        <f t="shared" si="581"/>
        <v>6395434.9821593156</v>
      </c>
      <c r="BA199" s="55">
        <f t="shared" si="581"/>
        <v>7330007.6994129028</v>
      </c>
      <c r="BB199" s="55">
        <f t="shared" si="581"/>
        <v>7117934.5811055284</v>
      </c>
      <c r="BC199" s="206">
        <f>NA!BC246*(Prices!BC$20/100)</f>
        <v>6155576.3697369667</v>
      </c>
      <c r="BD199" s="206">
        <f>NA!BD246*(Prices!BD$20/100)</f>
        <v>6730603.2695073178</v>
      </c>
      <c r="BE199" s="206">
        <f>NA!BE246*(Prices!BE$20/100)</f>
        <v>7441116.8407888375</v>
      </c>
      <c r="BF199" s="206">
        <f>NA!BF246*(Prices!BF$20/100)</f>
        <v>7930636.1371248104</v>
      </c>
      <c r="BG199" s="206">
        <f>NA!BG246*(Prices!BG$20/100)</f>
        <v>9295810.0936291888</v>
      </c>
      <c r="BH199" s="206">
        <f>NA!BH246*(Prices!BH$20/100)</f>
        <v>11028286.19959796</v>
      </c>
      <c r="BI199" s="543"/>
    </row>
    <row r="200" spans="5:61" x14ac:dyDescent="0.2">
      <c r="E200" s="205" t="s">
        <v>103</v>
      </c>
      <c r="I200" s="60">
        <f t="shared" si="574"/>
        <v>166097</v>
      </c>
      <c r="J200" s="60">
        <f t="shared" si="574"/>
        <v>193366</v>
      </c>
      <c r="K200" s="60">
        <f t="shared" si="575"/>
        <v>249225.5</v>
      </c>
      <c r="L200" s="60">
        <f t="shared" si="575"/>
        <v>601061.33611375082</v>
      </c>
      <c r="M200" s="60">
        <f t="shared" si="575"/>
        <v>967913.93883265252</v>
      </c>
      <c r="N200" s="60">
        <f t="shared" si="575"/>
        <v>1072212.4777640714</v>
      </c>
      <c r="O200" s="60">
        <f t="shared" si="575"/>
        <v>1239412.2254660176</v>
      </c>
      <c r="P200" s="60">
        <f t="shared" si="575"/>
        <v>1205708.9343866631</v>
      </c>
      <c r="Q200" s="60">
        <f t="shared" si="575"/>
        <v>1195107.2749236794</v>
      </c>
      <c r="R200" s="60">
        <f t="shared" si="575"/>
        <v>1462826.1967683062</v>
      </c>
      <c r="S200" s="60">
        <f t="shared" si="575"/>
        <v>1775942.8089083899</v>
      </c>
      <c r="T200" s="60">
        <f t="shared" si="576"/>
        <v>2238528.3685731702</v>
      </c>
      <c r="U200" s="60">
        <f t="shared" si="576"/>
        <v>2656718.0666283034</v>
      </c>
      <c r="V200" s="60">
        <f t="shared" si="577"/>
        <v>3007762.9073842401</v>
      </c>
      <c r="W200" s="60">
        <f t="shared" si="577"/>
        <v>3483357.6715586158</v>
      </c>
      <c r="X200" s="60">
        <f t="shared" si="577"/>
        <v>3971386.2491831169</v>
      </c>
      <c r="Y200" s="60">
        <f t="shared" si="577"/>
        <v>4164498.4810238495</v>
      </c>
      <c r="Z200" s="60">
        <f t="shared" si="578"/>
        <v>4280152.8183839871</v>
      </c>
      <c r="AA200" s="60">
        <f t="shared" si="578"/>
        <v>4655179.4234391283</v>
      </c>
      <c r="AB200" s="60">
        <f t="shared" si="578"/>
        <v>5151055.6632503625</v>
      </c>
      <c r="AC200" s="60">
        <f t="shared" si="578"/>
        <v>5619168.6497478923</v>
      </c>
      <c r="AD200" s="60">
        <f t="shared" si="579"/>
        <v>6295251.9086192343</v>
      </c>
      <c r="AE200" s="60">
        <f t="shared" si="580"/>
        <v>7385946.0376718696</v>
      </c>
      <c r="AF200" s="60"/>
      <c r="AG200" s="60"/>
      <c r="AL200" s="221">
        <v>166097</v>
      </c>
      <c r="AM200" s="221">
        <v>220635</v>
      </c>
      <c r="AN200" s="55">
        <v>277816</v>
      </c>
      <c r="AO200" s="55">
        <v>924306.67222750164</v>
      </c>
      <c r="AP200" s="55">
        <v>1011521.2054378033</v>
      </c>
      <c r="AQ200" s="55">
        <v>1132903.7500903397</v>
      </c>
      <c r="AR200" s="55">
        <v>1345920.7008416958</v>
      </c>
      <c r="AS200" s="55">
        <f t="shared" ref="AS200:BB202" si="582">AS459</f>
        <v>1065497.1679316305</v>
      </c>
      <c r="AT200" s="55">
        <f t="shared" si="582"/>
        <v>1324717.3819157283</v>
      </c>
      <c r="AU200" s="55">
        <f t="shared" si="582"/>
        <v>1600935.0116208843</v>
      </c>
      <c r="AV200" s="55">
        <f t="shared" si="582"/>
        <v>1950950.6061958955</v>
      </c>
      <c r="AW200" s="55">
        <f t="shared" si="582"/>
        <v>2526106.1309504444</v>
      </c>
      <c r="AX200" s="55">
        <f t="shared" si="582"/>
        <v>2787330.0023061628</v>
      </c>
      <c r="AY200" s="55">
        <f t="shared" si="582"/>
        <v>3228195.8124623178</v>
      </c>
      <c r="AZ200" s="55">
        <f t="shared" si="582"/>
        <v>3738519.5306549137</v>
      </c>
      <c r="BA200" s="55">
        <f t="shared" si="582"/>
        <v>4204252.9677113201</v>
      </c>
      <c r="BB200" s="55">
        <f t="shared" si="582"/>
        <v>4124743.9943363788</v>
      </c>
      <c r="BC200" s="206">
        <f>NA!BC247*(Prices!BC$20/100)</f>
        <v>4435561.6424315954</v>
      </c>
      <c r="BD200" s="206">
        <f>NA!BD247*(Prices!BD$20/100)</f>
        <v>4874797.2044466613</v>
      </c>
      <c r="BE200" s="206">
        <f>NA!BE247*(Prices!BE$20/100)</f>
        <v>5427314.1220540646</v>
      </c>
      <c r="BF200" s="206">
        <f>NA!BF247*(Prices!BF$20/100)</f>
        <v>5811023.1774417199</v>
      </c>
      <c r="BG200" s="206">
        <f>NA!BG247*(Prices!BG$20/100)</f>
        <v>6779480.6397967478</v>
      </c>
      <c r="BH200" s="206">
        <f>NA!BH247*(Prices!BH$20/100)</f>
        <v>7992411.4355469923</v>
      </c>
      <c r="BI200" s="543"/>
    </row>
    <row r="201" spans="5:61" x14ac:dyDescent="0.2">
      <c r="E201" s="205" t="s">
        <v>104</v>
      </c>
      <c r="I201" s="60">
        <f t="shared" si="574"/>
        <v>120176</v>
      </c>
      <c r="J201" s="60">
        <f t="shared" si="574"/>
        <v>127193.5</v>
      </c>
      <c r="K201" s="60">
        <f t="shared" si="575"/>
        <v>139145</v>
      </c>
      <c r="L201" s="60">
        <f t="shared" si="575"/>
        <v>206333.35013238448</v>
      </c>
      <c r="M201" s="60">
        <f t="shared" si="575"/>
        <v>279395.21314327378</v>
      </c>
      <c r="N201" s="60">
        <f t="shared" si="575"/>
        <v>305069.31125090522</v>
      </c>
      <c r="O201" s="60">
        <f t="shared" si="575"/>
        <v>348798.01887221844</v>
      </c>
      <c r="P201" s="60">
        <f t="shared" si="575"/>
        <v>321476.08634701814</v>
      </c>
      <c r="Q201" s="60">
        <f t="shared" si="575"/>
        <v>296919.89006074285</v>
      </c>
      <c r="R201" s="60">
        <f t="shared" si="575"/>
        <v>362917.35920879513</v>
      </c>
      <c r="S201" s="60">
        <f t="shared" si="575"/>
        <v>432222.80667178053</v>
      </c>
      <c r="T201" s="60">
        <f t="shared" si="576"/>
        <v>507193.66072923481</v>
      </c>
      <c r="U201" s="60">
        <f t="shared" si="576"/>
        <v>570480.91033462354</v>
      </c>
      <c r="V201" s="60">
        <f t="shared" si="577"/>
        <v>652946.90121365245</v>
      </c>
      <c r="W201" s="60">
        <f t="shared" si="577"/>
        <v>838650.79200574639</v>
      </c>
      <c r="X201" s="60">
        <f t="shared" si="577"/>
        <v>1226324.2381349932</v>
      </c>
      <c r="Y201" s="60">
        <f t="shared" si="577"/>
        <v>1593579.4131902058</v>
      </c>
      <c r="Z201" s="60">
        <f t="shared" si="578"/>
        <v>1449125.4484709338</v>
      </c>
      <c r="AA201" s="60">
        <f t="shared" si="578"/>
        <v>1264057.9462688519</v>
      </c>
      <c r="AB201" s="60">
        <f t="shared" si="578"/>
        <v>1406536.1033789511</v>
      </c>
      <c r="AC201" s="60">
        <f t="shared" si="578"/>
        <v>1536185.8891559297</v>
      </c>
      <c r="AD201" s="60">
        <f t="shared" si="579"/>
        <v>1721877.4672961542</v>
      </c>
      <c r="AE201" s="60">
        <f t="shared" si="580"/>
        <v>2021301.0126725314</v>
      </c>
      <c r="AF201" s="60"/>
      <c r="AG201" s="60"/>
      <c r="AL201" s="221">
        <v>120176</v>
      </c>
      <c r="AM201" s="221">
        <v>134211</v>
      </c>
      <c r="AN201" s="55">
        <v>144079</v>
      </c>
      <c r="AO201" s="55">
        <v>268587.70026476897</v>
      </c>
      <c r="AP201" s="55">
        <v>290202.7260217786</v>
      </c>
      <c r="AQ201" s="55">
        <v>319935.89648003184</v>
      </c>
      <c r="AR201" s="55">
        <v>377660.14126440504</v>
      </c>
      <c r="AS201" s="55">
        <f t="shared" si="582"/>
        <v>265292.03142963117</v>
      </c>
      <c r="AT201" s="55">
        <f t="shared" si="582"/>
        <v>328547.74869185453</v>
      </c>
      <c r="AU201" s="55">
        <f t="shared" si="582"/>
        <v>397286.96972573566</v>
      </c>
      <c r="AV201" s="55">
        <f t="shared" si="582"/>
        <v>467158.64361782541</v>
      </c>
      <c r="AW201" s="55">
        <f t="shared" si="582"/>
        <v>547228.67784064414</v>
      </c>
      <c r="AX201" s="55">
        <f t="shared" si="582"/>
        <v>593733.14282860293</v>
      </c>
      <c r="AY201" s="55">
        <f t="shared" si="582"/>
        <v>712160.6595987021</v>
      </c>
      <c r="AZ201" s="55">
        <f t="shared" si="582"/>
        <v>965140.92441279069</v>
      </c>
      <c r="BA201" s="55">
        <f t="shared" si="582"/>
        <v>1487507.5518571958</v>
      </c>
      <c r="BB201" s="55">
        <f t="shared" si="582"/>
        <v>1699651.2745232158</v>
      </c>
      <c r="BC201" s="206">
        <f>NA!BC248*(Prices!BC$20/100)</f>
        <v>1198599.6224186521</v>
      </c>
      <c r="BD201" s="206">
        <f>NA!BD248*(Prices!BD$20/100)</f>
        <v>1329516.2701190519</v>
      </c>
      <c r="BE201" s="206">
        <f>NA!BE248*(Prices!BE$20/100)</f>
        <v>1483555.9366388503</v>
      </c>
      <c r="BF201" s="206">
        <f>NA!BF248*(Prices!BF$20/100)</f>
        <v>1588815.8416730091</v>
      </c>
      <c r="BG201" s="206">
        <f>NA!BG248*(Prices!BG$20/100)</f>
        <v>1854939.0929192994</v>
      </c>
      <c r="BH201" s="206">
        <f>NA!BH248*(Prices!BH$20/100)</f>
        <v>2187662.9324257635</v>
      </c>
      <c r="BI201" s="543"/>
    </row>
    <row r="202" spans="5:61" x14ac:dyDescent="0.2">
      <c r="E202" s="205" t="s">
        <v>105</v>
      </c>
      <c r="I202" s="60">
        <f t="shared" si="574"/>
        <v>120604</v>
      </c>
      <c r="J202" s="60">
        <f t="shared" si="574"/>
        <v>127572.5</v>
      </c>
      <c r="K202" s="60">
        <f t="shared" si="575"/>
        <v>138075</v>
      </c>
      <c r="L202" s="60">
        <f t="shared" si="575"/>
        <v>190518.48441583983</v>
      </c>
      <c r="M202" s="60">
        <f t="shared" si="575"/>
        <v>254486.875539826</v>
      </c>
      <c r="N202" s="60">
        <f t="shared" si="575"/>
        <v>281001.4273530778</v>
      </c>
      <c r="O202" s="60">
        <f t="shared" si="575"/>
        <v>307518.31641709915</v>
      </c>
      <c r="P202" s="60">
        <f t="shared" si="575"/>
        <v>332634.41318657616</v>
      </c>
      <c r="Q202" s="60">
        <f t="shared" si="575"/>
        <v>359578.39723580697</v>
      </c>
      <c r="R202" s="60">
        <f t="shared" si="575"/>
        <v>394981.76238890132</v>
      </c>
      <c r="S202" s="60">
        <f t="shared" si="575"/>
        <v>500788.75585155538</v>
      </c>
      <c r="T202" s="60">
        <f t="shared" si="576"/>
        <v>704676.32503782585</v>
      </c>
      <c r="U202" s="60">
        <f t="shared" si="576"/>
        <v>848726.12273028609</v>
      </c>
      <c r="V202" s="60">
        <f t="shared" si="577"/>
        <v>964636.77720329154</v>
      </c>
      <c r="W202" s="60">
        <f t="shared" si="577"/>
        <v>1188224.9902862064</v>
      </c>
      <c r="X202" s="60">
        <f t="shared" si="577"/>
        <v>1490064.2264669489</v>
      </c>
      <c r="Y202" s="60">
        <f t="shared" si="577"/>
        <v>1689090.3939504204</v>
      </c>
      <c r="Z202" s="60">
        <f t="shared" si="578"/>
        <v>1390513.0442244997</v>
      </c>
      <c r="AA202" s="60">
        <f t="shared" si="578"/>
        <v>1104385.7158963848</v>
      </c>
      <c r="AB202" s="60">
        <f t="shared" si="578"/>
        <v>1201795.4001547126</v>
      </c>
      <c r="AC202" s="60">
        <f t="shared" si="578"/>
        <v>1286440.1783924</v>
      </c>
      <c r="AD202" s="60">
        <f t="shared" si="579"/>
        <v>1407943.1106472325</v>
      </c>
      <c r="AE202" s="60">
        <f t="shared" si="580"/>
        <v>1606860.677358015</v>
      </c>
      <c r="AF202" s="60"/>
      <c r="AG202" s="60"/>
      <c r="AL202" s="223">
        <v>120604</v>
      </c>
      <c r="AM202" s="223">
        <v>134541</v>
      </c>
      <c r="AN202" s="207">
        <v>141609</v>
      </c>
      <c r="AO202" s="207">
        <v>239427.96883167964</v>
      </c>
      <c r="AP202" s="207">
        <v>269545.78224797233</v>
      </c>
      <c r="AQ202" s="207">
        <v>292457.07245818328</v>
      </c>
      <c r="AR202" s="207">
        <v>322579.56037601503</v>
      </c>
      <c r="AS202" s="55">
        <f t="shared" si="582"/>
        <v>342689.26599713729</v>
      </c>
      <c r="AT202" s="55">
        <f t="shared" si="582"/>
        <v>376467.52847447665</v>
      </c>
      <c r="AU202" s="55">
        <f t="shared" si="582"/>
        <v>413495.99630332604</v>
      </c>
      <c r="AV202" s="55">
        <f t="shared" si="582"/>
        <v>588081.51539978478</v>
      </c>
      <c r="AW202" s="55">
        <f t="shared" si="582"/>
        <v>821271.13467586704</v>
      </c>
      <c r="AX202" s="55">
        <f t="shared" si="582"/>
        <v>876181.11078470503</v>
      </c>
      <c r="AY202" s="55">
        <f t="shared" si="582"/>
        <v>1053092.443621878</v>
      </c>
      <c r="AZ202" s="55">
        <f t="shared" si="582"/>
        <v>1323357.5369505347</v>
      </c>
      <c r="BA202" s="55">
        <f t="shared" si="582"/>
        <v>1656770.9159833631</v>
      </c>
      <c r="BB202" s="55">
        <f t="shared" si="582"/>
        <v>1721409.871917478</v>
      </c>
      <c r="BC202" s="206">
        <f>NA!BC249*(Prices!BC$20/100)</f>
        <v>1059616.2165315216</v>
      </c>
      <c r="BD202" s="206">
        <f>NA!BD249*(Prices!BD$20/100)</f>
        <v>1149155.2152612479</v>
      </c>
      <c r="BE202" s="206">
        <f>NA!BE249*(Prices!BE$20/100)</f>
        <v>1254435.5850481773</v>
      </c>
      <c r="BF202" s="206">
        <f>NA!BF249*(Prices!BF$20/100)</f>
        <v>1318444.771736623</v>
      </c>
      <c r="BG202" s="206">
        <f>NA!BG249*(Prices!BG$20/100)</f>
        <v>1497441.449557842</v>
      </c>
      <c r="BH202" s="206">
        <f>NA!BH249*(Prices!BH$20/100)</f>
        <v>1716279.9051581882</v>
      </c>
      <c r="BI202" s="543"/>
    </row>
    <row r="203" spans="5:61" x14ac:dyDescent="0.2">
      <c r="E203" s="202" t="s">
        <v>106</v>
      </c>
      <c r="I203" s="204">
        <f>I204+I205+I206+I207+I208</f>
        <v>1098311</v>
      </c>
      <c r="J203" s="204">
        <f>J204+J205+J206+J207+J208</f>
        <v>1174022</v>
      </c>
      <c r="K203" s="204">
        <f t="shared" ref="K203:V203" si="583">K204+K205+K206+K207+K208</f>
        <v>1314406</v>
      </c>
      <c r="L203" s="204">
        <f t="shared" si="583"/>
        <v>1634672.503781978</v>
      </c>
      <c r="M203" s="204">
        <f t="shared" si="583"/>
        <v>2132516.5769913401</v>
      </c>
      <c r="N203" s="204">
        <f t="shared" si="583"/>
        <v>2658809.5297571644</v>
      </c>
      <c r="O203" s="204">
        <f t="shared" si="583"/>
        <v>3157667.4555152911</v>
      </c>
      <c r="P203" s="204">
        <f t="shared" si="583"/>
        <v>3424521.1116086454</v>
      </c>
      <c r="Q203" s="204">
        <f t="shared" si="583"/>
        <v>3978103.3325160597</v>
      </c>
      <c r="R203" s="204">
        <f t="shared" si="583"/>
        <v>4741357.7470383458</v>
      </c>
      <c r="S203" s="204">
        <f t="shared" si="583"/>
        <v>5631914.4989064997</v>
      </c>
      <c r="T203" s="204">
        <f t="shared" si="583"/>
        <v>6427299.0796692092</v>
      </c>
      <c r="U203" s="204">
        <f t="shared" si="583"/>
        <v>7517473.7229520269</v>
      </c>
      <c r="V203" s="204">
        <f t="shared" si="583"/>
        <v>9953312.1636707336</v>
      </c>
      <c r="W203" s="204">
        <f t="shared" ref="W203:AB203" si="584">W204+W205+W206+W207+W208</f>
        <v>12139293.249438848</v>
      </c>
      <c r="X203" s="204">
        <f t="shared" si="584"/>
        <v>14117054.306061566</v>
      </c>
      <c r="Y203" s="204">
        <f t="shared" si="584"/>
        <v>16467971.248347238</v>
      </c>
      <c r="Z203" s="204">
        <f t="shared" si="584"/>
        <v>18141700.758115858</v>
      </c>
      <c r="AA203" s="204">
        <f t="shared" si="584"/>
        <v>20200855.224668682</v>
      </c>
      <c r="AB203" s="204">
        <f t="shared" si="584"/>
        <v>23362213.910775337</v>
      </c>
      <c r="AC203" s="204">
        <f>AC204+AC205+AC206+AC207+AC208</f>
        <v>26523132.640727066</v>
      </c>
      <c r="AD203" s="204">
        <f t="shared" ref="AD203:AE203" si="585">AD204+AD205+AD206+AD207+AD208</f>
        <v>30975612.457566664</v>
      </c>
      <c r="AE203" s="204">
        <f t="shared" si="585"/>
        <v>37898920.154647797</v>
      </c>
      <c r="AF203" s="204"/>
      <c r="AG203" s="204"/>
      <c r="AL203" s="173">
        <f>AL204+AL205+AL206+AL207+AL208</f>
        <v>1098311</v>
      </c>
      <c r="AM203" s="173">
        <f>AM204+AM205+AM206+AM207+AM208</f>
        <v>1249733</v>
      </c>
      <c r="AN203" s="204">
        <f t="shared" ref="AN203:BA203" si="586">AN204+AN205+AN206+AN207+AN208</f>
        <v>1379079</v>
      </c>
      <c r="AO203" s="204">
        <f t="shared" si="586"/>
        <v>1890266.0075639565</v>
      </c>
      <c r="AP203" s="204">
        <f t="shared" si="586"/>
        <v>2374767.1464187237</v>
      </c>
      <c r="AQ203" s="204">
        <f t="shared" si="586"/>
        <v>2942851.9130956056</v>
      </c>
      <c r="AR203" s="204">
        <f t="shared" si="586"/>
        <v>3372482.9979349766</v>
      </c>
      <c r="AS203" s="204">
        <f t="shared" si="586"/>
        <v>3476559.2252823147</v>
      </c>
      <c r="AT203" s="204">
        <f t="shared" si="586"/>
        <v>4479647.4397498053</v>
      </c>
      <c r="AU203" s="204">
        <f t="shared" si="586"/>
        <v>5003068.0543268844</v>
      </c>
      <c r="AV203" s="204">
        <f t="shared" si="586"/>
        <v>6260760.943486115</v>
      </c>
      <c r="AW203" s="204">
        <f t="shared" si="586"/>
        <v>6593837.2158523053</v>
      </c>
      <c r="AX203" s="204">
        <f t="shared" si="586"/>
        <v>8441110.2300517485</v>
      </c>
      <c r="AY203" s="204">
        <f t="shared" si="586"/>
        <v>11465514.097289719</v>
      </c>
      <c r="AZ203" s="204">
        <f t="shared" si="586"/>
        <v>12813072.40158798</v>
      </c>
      <c r="BA203" s="204">
        <f t="shared" si="586"/>
        <v>15421036.210535157</v>
      </c>
      <c r="BB203" s="204">
        <f>BB204+BB205+BB206+BB207+BB208</f>
        <v>17514906.286159322</v>
      </c>
      <c r="BC203" s="204">
        <f t="shared" ref="BC203:BF203" si="587">BC204+BC205+BC206+BC207+BC208</f>
        <v>18768495.230072398</v>
      </c>
      <c r="BD203" s="204">
        <f t="shared" si="587"/>
        <v>21633215.219264969</v>
      </c>
      <c r="BE203" s="204">
        <f t="shared" si="587"/>
        <v>25091212.602285706</v>
      </c>
      <c r="BF203" s="204">
        <f t="shared" si="587"/>
        <v>27955052.679168429</v>
      </c>
      <c r="BG203" s="204">
        <f t="shared" ref="BG203:BH203" si="588">BG204+BG205+BG206+BG207+BG208</f>
        <v>33996172.235964894</v>
      </c>
      <c r="BH203" s="204">
        <f t="shared" si="588"/>
        <v>41801668.073330693</v>
      </c>
      <c r="BI203" s="543"/>
    </row>
    <row r="204" spans="5:61" x14ac:dyDescent="0.2">
      <c r="E204" s="205" t="s">
        <v>39</v>
      </c>
      <c r="I204" s="60">
        <f t="shared" ref="I204:J208" si="589">AVERAGE(AK204:AL204)</f>
        <v>90090</v>
      </c>
      <c r="J204" s="60">
        <f t="shared" si="589"/>
        <v>94310.5</v>
      </c>
      <c r="K204" s="60">
        <f t="shared" ref="K204:V208" si="590">AVERAGE(AM204:AN204)</f>
        <v>108853</v>
      </c>
      <c r="L204" s="60">
        <f t="shared" si="590"/>
        <v>166035.53531782737</v>
      </c>
      <c r="M204" s="60">
        <f t="shared" si="590"/>
        <v>252833.29694542862</v>
      </c>
      <c r="N204" s="60">
        <f t="shared" si="590"/>
        <v>338149.95435975888</v>
      </c>
      <c r="O204" s="60">
        <f t="shared" si="590"/>
        <v>429552.91172003315</v>
      </c>
      <c r="P204" s="60">
        <f t="shared" si="590"/>
        <v>542157.11267685401</v>
      </c>
      <c r="Q204" s="60">
        <f t="shared" si="590"/>
        <v>771236.70341570326</v>
      </c>
      <c r="R204" s="60">
        <f t="shared" si="590"/>
        <v>934573.75328918942</v>
      </c>
      <c r="S204" s="60">
        <f t="shared" si="590"/>
        <v>963214.30289410183</v>
      </c>
      <c r="T204" s="60">
        <f t="shared" ref="T204:U208" si="591">AVERAGE(AV204:AW204)</f>
        <v>1032017.8335006054</v>
      </c>
      <c r="U204" s="60">
        <f t="shared" si="591"/>
        <v>1426364.9646695065</v>
      </c>
      <c r="V204" s="60">
        <f t="shared" si="590"/>
        <v>2234147.2677978016</v>
      </c>
      <c r="W204" s="60">
        <f t="shared" ref="W204:Y208" si="592">AVERAGE(AY204:AZ204)</f>
        <v>2844881.3959774636</v>
      </c>
      <c r="X204" s="60">
        <f t="shared" si="592"/>
        <v>2993822.4123098021</v>
      </c>
      <c r="Y204" s="60">
        <f t="shared" si="592"/>
        <v>2954942.9446318517</v>
      </c>
      <c r="Z204" s="60">
        <f t="shared" ref="Z204:AC208" si="593">AVERAGE(BB204:BC204)</f>
        <v>2976411.3002431309</v>
      </c>
      <c r="AA204" s="60">
        <f t="shared" si="593"/>
        <v>3235508.1844228553</v>
      </c>
      <c r="AB204" s="60">
        <f t="shared" si="593"/>
        <v>3686044.3688239725</v>
      </c>
      <c r="AC204" s="60">
        <f t="shared" si="593"/>
        <v>4120122.5362689905</v>
      </c>
      <c r="AD204" s="60">
        <f t="shared" ref="AD204:AD208" si="594">AVERAGE(BF204:BG204)</f>
        <v>4728089.6680382993</v>
      </c>
      <c r="AE204" s="60">
        <f t="shared" ref="AE204:AE208" si="595">AVERAGE(BG204:BH204)</f>
        <v>5652981.9273039792</v>
      </c>
      <c r="AF204" s="60"/>
      <c r="AG204" s="60"/>
      <c r="AL204" s="221">
        <v>90090</v>
      </c>
      <c r="AM204" s="221">
        <v>98531</v>
      </c>
      <c r="AN204" s="55">
        <v>119175</v>
      </c>
      <c r="AO204" s="55">
        <v>212896.07063565473</v>
      </c>
      <c r="AP204" s="55">
        <v>292770.52325520251</v>
      </c>
      <c r="AQ204" s="55">
        <v>383529.3854643153</v>
      </c>
      <c r="AR204" s="55">
        <v>475576.437975751</v>
      </c>
      <c r="AS204" s="55">
        <f>AS463</f>
        <v>608737.78737795702</v>
      </c>
      <c r="AT204" s="55">
        <f t="shared" ref="AT204:BB204" si="596">AT463</f>
        <v>933735.61945344938</v>
      </c>
      <c r="AU204" s="55">
        <f t="shared" si="596"/>
        <v>935411.88712492958</v>
      </c>
      <c r="AV204" s="55">
        <f t="shared" si="596"/>
        <v>991016.71866327408</v>
      </c>
      <c r="AW204" s="55">
        <f t="shared" si="596"/>
        <v>1073018.9483379368</v>
      </c>
      <c r="AX204" s="55">
        <f t="shared" si="596"/>
        <v>1779710.9810010761</v>
      </c>
      <c r="AY204" s="55">
        <f t="shared" si="596"/>
        <v>2688583.5545945275</v>
      </c>
      <c r="AZ204" s="55">
        <f t="shared" si="596"/>
        <v>3001179.2373603992</v>
      </c>
      <c r="BA204" s="55">
        <f t="shared" si="596"/>
        <v>2986465.5872592051</v>
      </c>
      <c r="BB204" s="55">
        <f t="shared" si="596"/>
        <v>2923420.3020044984</v>
      </c>
      <c r="BC204" s="206">
        <f>NA!BC251*(Prices!BC$20/100)</f>
        <v>3029402.2984817638</v>
      </c>
      <c r="BD204" s="206">
        <f>NA!BD251*(Prices!BD$20/100)</f>
        <v>3441614.0703639463</v>
      </c>
      <c r="BE204" s="206">
        <f>NA!BE251*(Prices!BE$20/100)</f>
        <v>3930474.6672839983</v>
      </c>
      <c r="BF204" s="206">
        <f>NA!BF251*(Prices!BF$20/100)</f>
        <v>4309770.4052539822</v>
      </c>
      <c r="BG204" s="206">
        <f>NA!BG251*(Prices!BG$20/100)</f>
        <v>5146408.9308226174</v>
      </c>
      <c r="BH204" s="206">
        <f>NA!BH251*(Prices!BH$20/100)</f>
        <v>6159554.9237853419</v>
      </c>
      <c r="BI204" s="543"/>
    </row>
    <row r="205" spans="5:61" x14ac:dyDescent="0.2">
      <c r="E205" s="474" t="s">
        <v>40</v>
      </c>
      <c r="I205" s="60">
        <f t="shared" si="589"/>
        <v>611112</v>
      </c>
      <c r="J205" s="60">
        <f t="shared" si="589"/>
        <v>634515.5</v>
      </c>
      <c r="K205" s="60">
        <f t="shared" si="590"/>
        <v>686784</v>
      </c>
      <c r="L205" s="60">
        <f t="shared" si="590"/>
        <v>776575.04240089504</v>
      </c>
      <c r="M205" s="60">
        <f t="shared" si="590"/>
        <v>894528.93280336424</v>
      </c>
      <c r="N205" s="60">
        <f t="shared" si="590"/>
        <v>1026584.2012422677</v>
      </c>
      <c r="O205" s="60">
        <f t="shared" si="590"/>
        <v>1171219.0127984425</v>
      </c>
      <c r="P205" s="60">
        <f t="shared" si="590"/>
        <v>1317494.9925349611</v>
      </c>
      <c r="Q205" s="60">
        <f t="shared" si="590"/>
        <v>1570342.4505699966</v>
      </c>
      <c r="R205" s="60">
        <f t="shared" si="590"/>
        <v>1813276.6205931962</v>
      </c>
      <c r="S205" s="60">
        <f t="shared" si="590"/>
        <v>2081812.9177887514</v>
      </c>
      <c r="T205" s="60">
        <f t="shared" si="591"/>
        <v>2440455.0272548059</v>
      </c>
      <c r="U205" s="60">
        <f t="shared" si="591"/>
        <v>2809425.9190450367</v>
      </c>
      <c r="V205" s="60">
        <f t="shared" si="590"/>
        <v>3526538.424437982</v>
      </c>
      <c r="W205" s="60">
        <f t="shared" si="592"/>
        <v>4315730.1254688287</v>
      </c>
      <c r="X205" s="60">
        <f t="shared" si="592"/>
        <v>4587626.5953074936</v>
      </c>
      <c r="Y205" s="60">
        <f t="shared" si="592"/>
        <v>4510451.1603175066</v>
      </c>
      <c r="Z205" s="60">
        <f t="shared" si="593"/>
        <v>5496847.1974126119</v>
      </c>
      <c r="AA205" s="60">
        <f t="shared" si="593"/>
        <v>6947831.3640962709</v>
      </c>
      <c r="AB205" s="60">
        <f t="shared" si="593"/>
        <v>7819488.7897222843</v>
      </c>
      <c r="AC205" s="60">
        <f t="shared" si="593"/>
        <v>8635521.8722991031</v>
      </c>
      <c r="AD205" s="60">
        <f t="shared" si="594"/>
        <v>9790873.4032768421</v>
      </c>
      <c r="AE205" s="60">
        <f t="shared" si="595"/>
        <v>11636669.603061412</v>
      </c>
      <c r="AF205" s="60"/>
      <c r="AG205" s="60"/>
      <c r="AL205" s="221">
        <v>611112</v>
      </c>
      <c r="AM205" s="221">
        <v>657919</v>
      </c>
      <c r="AN205" s="55">
        <v>715649</v>
      </c>
      <c r="AO205" s="55">
        <v>837501.08480179007</v>
      </c>
      <c r="AP205" s="55">
        <v>951556.7808049384</v>
      </c>
      <c r="AQ205" s="55">
        <v>1101611.6216795971</v>
      </c>
      <c r="AR205" s="55">
        <v>1240826.4039172882</v>
      </c>
      <c r="AS205" s="55">
        <f t="shared" ref="AS205:BB208" si="597">AS464</f>
        <v>1394163.5811526338</v>
      </c>
      <c r="AT205" s="55">
        <f t="shared" si="597"/>
        <v>1746521.3199873595</v>
      </c>
      <c r="AU205" s="55">
        <f t="shared" si="597"/>
        <v>1880031.921199033</v>
      </c>
      <c r="AV205" s="55">
        <f t="shared" si="597"/>
        <v>2283593.9143784698</v>
      </c>
      <c r="AW205" s="55">
        <f t="shared" si="597"/>
        <v>2597316.140131142</v>
      </c>
      <c r="AX205" s="55">
        <f t="shared" si="597"/>
        <v>3021535.6979589313</v>
      </c>
      <c r="AY205" s="55">
        <f t="shared" si="597"/>
        <v>4031541.1509170327</v>
      </c>
      <c r="AZ205" s="55">
        <f t="shared" si="597"/>
        <v>4599919.1000206247</v>
      </c>
      <c r="BA205" s="55">
        <f t="shared" si="597"/>
        <v>4575334.0905943625</v>
      </c>
      <c r="BB205" s="55">
        <f t="shared" si="597"/>
        <v>4445568.2300406508</v>
      </c>
      <c r="BC205" s="206">
        <f>NA!BC252*(Prices!BC$20/100)</f>
        <v>6548126.164784573</v>
      </c>
      <c r="BD205" s="206">
        <f>NA!BD252*(Prices!BD$20/100)</f>
        <v>7347536.5634079687</v>
      </c>
      <c r="BE205" s="206">
        <f>NA!BE252*(Prices!BE$20/100)</f>
        <v>8291441.0160365989</v>
      </c>
      <c r="BF205" s="206">
        <f>NA!BF252*(Prices!BF$20/100)</f>
        <v>8979602.7285616063</v>
      </c>
      <c r="BG205" s="206">
        <f>NA!BG252*(Prices!BG$20/100)</f>
        <v>10602144.07799208</v>
      </c>
      <c r="BH205" s="206">
        <f>NA!BH252*(Prices!BH$20/100)</f>
        <v>12671195.128130745</v>
      </c>
      <c r="BI205" s="543"/>
    </row>
    <row r="206" spans="5:61" x14ac:dyDescent="0.2">
      <c r="E206" s="205" t="s">
        <v>107</v>
      </c>
      <c r="I206" s="60">
        <f t="shared" si="589"/>
        <v>112564</v>
      </c>
      <c r="J206" s="60">
        <f t="shared" si="589"/>
        <v>124199</v>
      </c>
      <c r="K206" s="60">
        <f t="shared" si="590"/>
        <v>153027</v>
      </c>
      <c r="L206" s="60">
        <f t="shared" si="590"/>
        <v>158965.07133239356</v>
      </c>
      <c r="M206" s="60">
        <f t="shared" si="590"/>
        <v>152504.75717066939</v>
      </c>
      <c r="N206" s="60">
        <f t="shared" si="590"/>
        <v>163842.63236490014</v>
      </c>
      <c r="O206" s="60">
        <f t="shared" si="590"/>
        <v>177099.85402330101</v>
      </c>
      <c r="P206" s="60">
        <f t="shared" si="590"/>
        <v>193923.77365567861</v>
      </c>
      <c r="Q206" s="60">
        <f t="shared" si="590"/>
        <v>204922.8274204116</v>
      </c>
      <c r="R206" s="60">
        <f t="shared" si="590"/>
        <v>219217.0900673164</v>
      </c>
      <c r="S206" s="60">
        <f t="shared" si="590"/>
        <v>269625.10389899876</v>
      </c>
      <c r="T206" s="60">
        <f t="shared" si="591"/>
        <v>330744.81740728463</v>
      </c>
      <c r="U206" s="60">
        <f t="shared" si="591"/>
        <v>380566.78372889769</v>
      </c>
      <c r="V206" s="60">
        <f t="shared" si="590"/>
        <v>354857.99557901442</v>
      </c>
      <c r="W206" s="60">
        <f t="shared" si="592"/>
        <v>418363.49463717919</v>
      </c>
      <c r="X206" s="60">
        <f t="shared" si="592"/>
        <v>539976.37773976615</v>
      </c>
      <c r="Y206" s="60">
        <f t="shared" si="592"/>
        <v>572529.69477226166</v>
      </c>
      <c r="Z206" s="60">
        <f t="shared" si="593"/>
        <v>701133.41392049449</v>
      </c>
      <c r="AA206" s="60">
        <f t="shared" si="593"/>
        <v>861135.0568191621</v>
      </c>
      <c r="AB206" s="60">
        <f t="shared" si="593"/>
        <v>985819.78674872266</v>
      </c>
      <c r="AC206" s="60">
        <f t="shared" si="593"/>
        <v>1105983.1700539645</v>
      </c>
      <c r="AD206" s="60">
        <f t="shared" si="594"/>
        <v>1276006.8894031632</v>
      </c>
      <c r="AE206" s="60">
        <f t="shared" si="595"/>
        <v>1542807.0956815446</v>
      </c>
      <c r="AF206" s="60"/>
      <c r="AG206" s="60"/>
      <c r="AL206" s="221">
        <v>112564</v>
      </c>
      <c r="AM206" s="221">
        <v>135834</v>
      </c>
      <c r="AN206" s="55">
        <v>170220</v>
      </c>
      <c r="AO206" s="55">
        <v>147710.1426647871</v>
      </c>
      <c r="AP206" s="55">
        <v>157299.3716765517</v>
      </c>
      <c r="AQ206" s="55">
        <v>170385.89305324861</v>
      </c>
      <c r="AR206" s="55">
        <v>183813.81499335342</v>
      </c>
      <c r="AS206" s="55">
        <f t="shared" si="597"/>
        <v>204033.73231800384</v>
      </c>
      <c r="AT206" s="55">
        <f t="shared" si="597"/>
        <v>205811.92252281937</v>
      </c>
      <c r="AU206" s="55">
        <f t="shared" si="597"/>
        <v>232622.25761181343</v>
      </c>
      <c r="AV206" s="55">
        <f t="shared" si="597"/>
        <v>306627.95018618408</v>
      </c>
      <c r="AW206" s="55">
        <f t="shared" si="597"/>
        <v>354861.68462838524</v>
      </c>
      <c r="AX206" s="55">
        <f t="shared" si="597"/>
        <v>406271.88282941008</v>
      </c>
      <c r="AY206" s="55">
        <f t="shared" si="597"/>
        <v>303444.10832861869</v>
      </c>
      <c r="AZ206" s="55">
        <f t="shared" si="597"/>
        <v>533282.88094573969</v>
      </c>
      <c r="BA206" s="55">
        <f t="shared" si="597"/>
        <v>546669.87453379249</v>
      </c>
      <c r="BB206" s="55">
        <f t="shared" si="597"/>
        <v>598389.51501073095</v>
      </c>
      <c r="BC206" s="206">
        <f>NA!BC253*(Prices!BC$20/100)</f>
        <v>803877.31283025816</v>
      </c>
      <c r="BD206" s="206">
        <f>NA!BD253*(Prices!BD$20/100)</f>
        <v>918392.80080806592</v>
      </c>
      <c r="BE206" s="206">
        <f>NA!BE253*(Prices!BE$20/100)</f>
        <v>1053246.7726893795</v>
      </c>
      <c r="BF206" s="206">
        <f>NA!BF253*(Prices!BF$20/100)</f>
        <v>1158719.5674185494</v>
      </c>
      <c r="BG206" s="206">
        <f>NA!BG253*(Prices!BG$20/100)</f>
        <v>1393294.211387777</v>
      </c>
      <c r="BH206" s="206">
        <f>NA!BH253*(Prices!BH$20/100)</f>
        <v>1692319.9799753122</v>
      </c>
      <c r="BI206" s="543"/>
    </row>
    <row r="207" spans="5:61" x14ac:dyDescent="0.2">
      <c r="E207" s="205" t="s">
        <v>108</v>
      </c>
      <c r="I207" s="60">
        <f t="shared" si="589"/>
        <v>10767</v>
      </c>
      <c r="J207" s="60">
        <f t="shared" si="589"/>
        <v>13989</v>
      </c>
      <c r="K207" s="60">
        <f t="shared" si="590"/>
        <v>20530.5</v>
      </c>
      <c r="L207" s="60">
        <f t="shared" si="590"/>
        <v>86548.203512426015</v>
      </c>
      <c r="M207" s="60">
        <f t="shared" si="590"/>
        <v>157461.08722902555</v>
      </c>
      <c r="N207" s="60">
        <f t="shared" si="590"/>
        <v>174627.48794578688</v>
      </c>
      <c r="O207" s="60">
        <f t="shared" si="590"/>
        <v>196428.90196465439</v>
      </c>
      <c r="P207" s="60">
        <f t="shared" si="590"/>
        <v>185826.07498748967</v>
      </c>
      <c r="Q207" s="60">
        <f t="shared" si="590"/>
        <v>157256.30473923776</v>
      </c>
      <c r="R207" s="60">
        <f t="shared" si="590"/>
        <v>158014.77263716015</v>
      </c>
      <c r="S207" s="60">
        <f t="shared" si="590"/>
        <v>166185.99550190772</v>
      </c>
      <c r="T207" s="60">
        <f t="shared" si="591"/>
        <v>174221.38353481935</v>
      </c>
      <c r="U207" s="60">
        <f t="shared" si="591"/>
        <v>178864.07600233058</v>
      </c>
      <c r="V207" s="60">
        <f t="shared" si="590"/>
        <v>173184.9919205053</v>
      </c>
      <c r="W207" s="60">
        <f t="shared" si="592"/>
        <v>179244.04641541018</v>
      </c>
      <c r="X207" s="60">
        <f t="shared" si="592"/>
        <v>207401.72428518848</v>
      </c>
      <c r="Y207" s="60">
        <f t="shared" si="592"/>
        <v>244195.16038209677</v>
      </c>
      <c r="Z207" s="60">
        <f t="shared" si="593"/>
        <v>341404.07215747243</v>
      </c>
      <c r="AA207" s="60">
        <f t="shared" si="593"/>
        <v>438146.84239778353</v>
      </c>
      <c r="AB207" s="60">
        <f t="shared" si="593"/>
        <v>478960.28511946474</v>
      </c>
      <c r="AC207" s="60">
        <f t="shared" si="593"/>
        <v>514132.07862246747</v>
      </c>
      <c r="AD207" s="60">
        <f t="shared" si="594"/>
        <v>566128.74263324961</v>
      </c>
      <c r="AE207" s="60">
        <f t="shared" si="595"/>
        <v>652778.23985122633</v>
      </c>
      <c r="AF207" s="60"/>
      <c r="AG207" s="60"/>
      <c r="AL207" s="221">
        <v>10767</v>
      </c>
      <c r="AM207" s="221">
        <v>17211</v>
      </c>
      <c r="AN207" s="55">
        <v>23850</v>
      </c>
      <c r="AO207" s="55">
        <v>149246.40702485203</v>
      </c>
      <c r="AP207" s="55">
        <v>165675.7674331991</v>
      </c>
      <c r="AQ207" s="55">
        <v>183579.20845837466</v>
      </c>
      <c r="AR207" s="55">
        <v>209278.59547093415</v>
      </c>
      <c r="AS207" s="55">
        <f t="shared" si="597"/>
        <v>162373.55450404523</v>
      </c>
      <c r="AT207" s="55">
        <f t="shared" si="597"/>
        <v>152139.0549744303</v>
      </c>
      <c r="AU207" s="55">
        <f t="shared" si="597"/>
        <v>163890.49029988996</v>
      </c>
      <c r="AV207" s="55">
        <f t="shared" si="597"/>
        <v>168481.5007039255</v>
      </c>
      <c r="AW207" s="55">
        <f t="shared" si="597"/>
        <v>179961.26636571321</v>
      </c>
      <c r="AX207" s="55">
        <f t="shared" si="597"/>
        <v>177766.88563894792</v>
      </c>
      <c r="AY207" s="55">
        <f t="shared" si="597"/>
        <v>168603.09820206268</v>
      </c>
      <c r="AZ207" s="55">
        <f t="shared" si="597"/>
        <v>189884.9946287577</v>
      </c>
      <c r="BA207" s="55">
        <f t="shared" si="597"/>
        <v>224918.45394161926</v>
      </c>
      <c r="BB207" s="55">
        <f t="shared" si="597"/>
        <v>263471.86682257429</v>
      </c>
      <c r="BC207" s="206">
        <f>NA!BC254*(Prices!BC$20/100)</f>
        <v>419336.27749237057</v>
      </c>
      <c r="BD207" s="206">
        <f>NA!BD254*(Prices!BD$20/100)</f>
        <v>456957.40730319644</v>
      </c>
      <c r="BE207" s="206">
        <f>NA!BE254*(Prices!BE$20/100)</f>
        <v>500963.16293573298</v>
      </c>
      <c r="BF207" s="206">
        <f>NA!BF254*(Prices!BF$20/100)</f>
        <v>527300.99430920195</v>
      </c>
      <c r="BG207" s="206">
        <f>NA!BG254*(Prices!BG$20/100)</f>
        <v>604956.49095729738</v>
      </c>
      <c r="BH207" s="206">
        <f>NA!BH254*(Prices!BH$20/100)</f>
        <v>700599.98874515528</v>
      </c>
      <c r="BI207" s="543"/>
    </row>
    <row r="208" spans="5:61" x14ac:dyDescent="0.2">
      <c r="E208" s="205" t="s">
        <v>109</v>
      </c>
      <c r="I208" s="60">
        <f t="shared" si="589"/>
        <v>273778</v>
      </c>
      <c r="J208" s="60">
        <f t="shared" si="589"/>
        <v>307008</v>
      </c>
      <c r="K208" s="60">
        <f t="shared" si="590"/>
        <v>345211.5</v>
      </c>
      <c r="L208" s="60">
        <f t="shared" si="590"/>
        <v>446548.65121843631</v>
      </c>
      <c r="M208" s="60">
        <f t="shared" si="590"/>
        <v>675188.50284285238</v>
      </c>
      <c r="N208" s="60">
        <f t="shared" si="590"/>
        <v>955605.25384445093</v>
      </c>
      <c r="O208" s="60">
        <f t="shared" si="590"/>
        <v>1183366.7750088598</v>
      </c>
      <c r="P208" s="60">
        <f t="shared" si="590"/>
        <v>1185119.1577536622</v>
      </c>
      <c r="Q208" s="60">
        <f t="shared" si="590"/>
        <v>1274345.0463707107</v>
      </c>
      <c r="R208" s="60">
        <f t="shared" si="590"/>
        <v>1616275.5104514831</v>
      </c>
      <c r="S208" s="60">
        <f t="shared" si="590"/>
        <v>2151076.17882274</v>
      </c>
      <c r="T208" s="60">
        <f t="shared" si="591"/>
        <v>2449860.0179716945</v>
      </c>
      <c r="U208" s="60">
        <f t="shared" si="591"/>
        <v>2722251.9795062556</v>
      </c>
      <c r="V208" s="60">
        <f t="shared" si="590"/>
        <v>3664583.4839354297</v>
      </c>
      <c r="W208" s="60">
        <f t="shared" si="592"/>
        <v>4381074.1869399678</v>
      </c>
      <c r="X208" s="60">
        <f t="shared" si="592"/>
        <v>5788227.1964193173</v>
      </c>
      <c r="Y208" s="60">
        <f t="shared" si="592"/>
        <v>8185852.288243521</v>
      </c>
      <c r="Z208" s="60">
        <f t="shared" si="593"/>
        <v>8625904.7743821498</v>
      </c>
      <c r="AA208" s="60">
        <f t="shared" si="593"/>
        <v>8718233.7769326121</v>
      </c>
      <c r="AB208" s="60">
        <f t="shared" si="593"/>
        <v>10391900.680360893</v>
      </c>
      <c r="AC208" s="60">
        <f t="shared" si="593"/>
        <v>12147372.983482542</v>
      </c>
      <c r="AD208" s="60">
        <f t="shared" si="594"/>
        <v>14614513.75421511</v>
      </c>
      <c r="AE208" s="60">
        <f t="shared" si="595"/>
        <v>18413683.288749635</v>
      </c>
      <c r="AF208" s="60"/>
      <c r="AG208" s="60"/>
      <c r="AL208" s="221">
        <v>273778</v>
      </c>
      <c r="AM208" s="221">
        <v>340238</v>
      </c>
      <c r="AN208" s="55">
        <v>350185</v>
      </c>
      <c r="AO208" s="55">
        <v>542912.30243687262</v>
      </c>
      <c r="AP208" s="55">
        <v>807464.70324883214</v>
      </c>
      <c r="AQ208" s="55">
        <v>1103745.8044400697</v>
      </c>
      <c r="AR208" s="55">
        <v>1262987.7455776499</v>
      </c>
      <c r="AS208" s="55">
        <f t="shared" si="597"/>
        <v>1107250.5699296747</v>
      </c>
      <c r="AT208" s="55">
        <f t="shared" si="597"/>
        <v>1441439.5228117469</v>
      </c>
      <c r="AU208" s="55">
        <f t="shared" si="597"/>
        <v>1791111.498091219</v>
      </c>
      <c r="AV208" s="55">
        <f t="shared" si="597"/>
        <v>2511040.859554261</v>
      </c>
      <c r="AW208" s="55">
        <f t="shared" si="597"/>
        <v>2388679.1763891284</v>
      </c>
      <c r="AX208" s="55">
        <f t="shared" si="597"/>
        <v>3055824.7826233828</v>
      </c>
      <c r="AY208" s="55">
        <f t="shared" si="597"/>
        <v>4273342.1852474771</v>
      </c>
      <c r="AZ208" s="55">
        <f t="shared" si="597"/>
        <v>4488806.1886324584</v>
      </c>
      <c r="BA208" s="55">
        <f t="shared" si="597"/>
        <v>7087648.204206177</v>
      </c>
      <c r="BB208" s="55">
        <f t="shared" si="597"/>
        <v>9284056.3722808659</v>
      </c>
      <c r="BC208" s="206">
        <f>NA!BC255*(Prices!BC$20/100)</f>
        <v>7967753.1764834328</v>
      </c>
      <c r="BD208" s="206">
        <f>NA!BD255*(Prices!BD$20/100)</f>
        <v>9468714.3773817923</v>
      </c>
      <c r="BE208" s="206">
        <f>NA!BE255*(Prices!BE$20/100)</f>
        <v>11315086.983339993</v>
      </c>
      <c r="BF208" s="206">
        <f>NA!BF255*(Prices!BF$20/100)</f>
        <v>12979658.98362509</v>
      </c>
      <c r="BG208" s="206">
        <f>NA!BG255*(Prices!BG$20/100)</f>
        <v>16249368.524805129</v>
      </c>
      <c r="BH208" s="206">
        <f>NA!BH255*(Prices!BH$20/100)</f>
        <v>20577998.052694138</v>
      </c>
      <c r="BI208" s="543"/>
    </row>
    <row r="209" spans="3:61" x14ac:dyDescent="0.2">
      <c r="E209" s="202" t="s">
        <v>110</v>
      </c>
      <c r="I209" s="204">
        <f>I210+I211+I212+I213+I214+I215+I216+I217+I218+I219</f>
        <v>2527463</v>
      </c>
      <c r="J209" s="204">
        <f>J210+J211+J212+J213+J214+J215+J216+J217+J218+J219</f>
        <v>2749997.5</v>
      </c>
      <c r="K209" s="204">
        <f t="shared" ref="K209:X209" si="598">K210+K211+K212+K213+K214+K215+K216+K217+K218+K219</f>
        <v>3181735.5</v>
      </c>
      <c r="L209" s="204">
        <f t="shared" si="598"/>
        <v>4407147.4823307218</v>
      </c>
      <c r="M209" s="204">
        <f t="shared" si="598"/>
        <v>5734899.1165719898</v>
      </c>
      <c r="N209" s="204">
        <f t="shared" si="598"/>
        <v>6400051.4875067659</v>
      </c>
      <c r="O209" s="204">
        <f t="shared" si="598"/>
        <v>7193437.5465735383</v>
      </c>
      <c r="P209" s="204">
        <f t="shared" si="598"/>
        <v>8226697.5832460979</v>
      </c>
      <c r="Q209" s="204">
        <f t="shared" si="598"/>
        <v>9655231.3908511046</v>
      </c>
      <c r="R209" s="204">
        <f t="shared" si="598"/>
        <v>11546101.61531228</v>
      </c>
      <c r="S209" s="204">
        <f t="shared" si="598"/>
        <v>13620761.281662101</v>
      </c>
      <c r="T209" s="204">
        <f t="shared" si="598"/>
        <v>15840498.860505048</v>
      </c>
      <c r="U209" s="204">
        <f t="shared" si="598"/>
        <v>18158901.309818421</v>
      </c>
      <c r="V209" s="204">
        <f t="shared" si="598"/>
        <v>20848367.944546815</v>
      </c>
      <c r="W209" s="204">
        <f t="shared" si="598"/>
        <v>24000454.151771881</v>
      </c>
      <c r="X209" s="204">
        <f t="shared" si="598"/>
        <v>27265969.600556247</v>
      </c>
      <c r="Y209" s="204">
        <f>Y210+Y211+Y212+Y213+Y214+Y215+Y216+Y217+Y218+Y219</f>
        <v>30705500.567039538</v>
      </c>
      <c r="Z209" s="204">
        <f>Z210+Z211+Z212+Z213+Z214+Z215+Z216+Z217+Z218+Z219</f>
        <v>38004242.935579784</v>
      </c>
      <c r="AA209" s="204">
        <f>AA210+AA211+AA212+AA213+AA214+AA215+AA216+AA217+AA218+AA219</f>
        <v>46333132.580552615</v>
      </c>
      <c r="AB209" s="204">
        <f>AB210+AB211+AB212+AB213+AB214+AB215+AB216+AB217+AB218+AB219</f>
        <v>52453732.138823815</v>
      </c>
      <c r="AC209" s="204">
        <f>AC210+AC211+AC212+AC213+AC214+AC215+AC216+AC217+AC218+AC219</f>
        <v>58309872.476190746</v>
      </c>
      <c r="AD209" s="204">
        <f t="shared" ref="AD209:AE209" si="599">AD210+AD211+AD212+AD213+AD214+AD215+AD216+AD217+AD218+AD219</f>
        <v>66696659.985052317</v>
      </c>
      <c r="AE209" s="204">
        <f t="shared" si="599"/>
        <v>80029361.186748579</v>
      </c>
      <c r="AF209" s="204"/>
      <c r="AG209" s="204"/>
      <c r="AL209" s="173">
        <f>AL210+AL211+AL212+AL213+AL214+AL215+AL216+AL217+AL218+AL219</f>
        <v>2527463</v>
      </c>
      <c r="AM209" s="173">
        <f>AM210+AM211+AM212+AM213+AM214+AM215+AM216+AM217+AM218+AM219</f>
        <v>2972532</v>
      </c>
      <c r="AN209" s="204">
        <f t="shared" ref="AN209:BA209" si="600">AN210+AN211+AN212+AN213+AN214+AN215+AN216+AN217+AN218+AN219</f>
        <v>3390939</v>
      </c>
      <c r="AO209" s="204">
        <f>AO210+AO211+AO212+AO213+AO214+AO215+AO216+AO217+AO218+AO219</f>
        <v>5423355.9646614436</v>
      </c>
      <c r="AP209" s="204">
        <f t="shared" si="600"/>
        <v>6046442.2684825361</v>
      </c>
      <c r="AQ209" s="204">
        <f t="shared" si="600"/>
        <v>6753660.7065309947</v>
      </c>
      <c r="AR209" s="204">
        <f t="shared" si="600"/>
        <v>7633214.386616081</v>
      </c>
      <c r="AS209" s="204">
        <f t="shared" si="600"/>
        <v>8820180.7798761148</v>
      </c>
      <c r="AT209" s="204">
        <f t="shared" si="600"/>
        <v>10490282.0018261</v>
      </c>
      <c r="AU209" s="204">
        <f t="shared" si="600"/>
        <v>12601921.228798456</v>
      </c>
      <c r="AV209" s="204">
        <f t="shared" si="600"/>
        <v>14639601.33452574</v>
      </c>
      <c r="AW209" s="204">
        <f t="shared" si="600"/>
        <v>17041396.386484355</v>
      </c>
      <c r="AX209" s="204">
        <f t="shared" si="600"/>
        <v>19276406.233152486</v>
      </c>
      <c r="AY209" s="204">
        <f t="shared" si="600"/>
        <v>22420329.655941144</v>
      </c>
      <c r="AZ209" s="204">
        <f t="shared" si="600"/>
        <v>25580578.647602618</v>
      </c>
      <c r="BA209" s="204">
        <f t="shared" si="600"/>
        <v>28951360.553509887</v>
      </c>
      <c r="BB209" s="204">
        <f>BB210+BB211+BB212+BB213+BB214+BB215+BB216+BB217+BB218+BB219</f>
        <v>32459640.580569174</v>
      </c>
      <c r="BC209" s="204">
        <f>BC210+BC211+BC212+BC213+BC214+BC215+BC216+BC217+BC218+BC219</f>
        <v>43548845.290590398</v>
      </c>
      <c r="BD209" s="204">
        <f>BD210+BD211+BD212+BD213+BD214+BD215+BD216+BD217+BD218+BD219</f>
        <v>49117419.870514825</v>
      </c>
      <c r="BE209" s="204">
        <f>BE210+BE211+BE212+BE213+BE214+BE215+BE216+BE217+BE218+BE219</f>
        <v>55790044.407132804</v>
      </c>
      <c r="BF209" s="204">
        <f>BF210+BF211+BF212+BF213+BF214+BF215+BF216+BF217+BF218+BF219</f>
        <v>60829700.545248672</v>
      </c>
      <c r="BG209" s="204">
        <f t="shared" ref="BG209:BH209" si="601">BG210+BG211+BG212+BG213+BG214+BG215+BG216+BG217+BG218+BG219</f>
        <v>72563619.424855977</v>
      </c>
      <c r="BH209" s="204">
        <f t="shared" si="601"/>
        <v>87495102.948641211</v>
      </c>
      <c r="BI209" s="543"/>
    </row>
    <row r="210" spans="3:61" x14ac:dyDescent="0.2">
      <c r="E210" s="205" t="s">
        <v>111</v>
      </c>
      <c r="I210" s="60">
        <f t="shared" ref="I210:I219" si="602">AVERAGE(AK210:AL210)</f>
        <v>816928</v>
      </c>
      <c r="J210" s="60">
        <f t="shared" ref="J210:J219" si="603">AVERAGE(AL210:AM210)</f>
        <v>880945.5</v>
      </c>
      <c r="K210" s="60">
        <f t="shared" ref="K210:K219" si="604">AVERAGE(AM210:AN210)</f>
        <v>995875.5</v>
      </c>
      <c r="L210" s="60">
        <f t="shared" ref="L210:L219" si="605">AVERAGE(AN210:AO210)</f>
        <v>1161519.0132382181</v>
      </c>
      <c r="M210" s="60">
        <f t="shared" ref="M210:M219" si="606">AVERAGE(AO210:AP210)</f>
        <v>1338590.9197402024</v>
      </c>
      <c r="N210" s="60">
        <f t="shared" ref="N210:N219" si="607">AVERAGE(AP210:AQ210)</f>
        <v>1485190.6404422508</v>
      </c>
      <c r="O210" s="60">
        <f t="shared" ref="O210:O219" si="608">AVERAGE(AQ210:AR210)</f>
        <v>1644543.1826875778</v>
      </c>
      <c r="P210" s="60">
        <f t="shared" ref="P210:P219" si="609">AVERAGE(AR210:AS210)</f>
        <v>1857108.5325243152</v>
      </c>
      <c r="Q210" s="60">
        <f t="shared" ref="Q210:Q219" si="610">AVERAGE(AS210:AT210)</f>
        <v>2122992.9952119882</v>
      </c>
      <c r="R210" s="60">
        <f t="shared" ref="R210:R219" si="611">AVERAGE(AT210:AU210)</f>
        <v>2448376.2697932515</v>
      </c>
      <c r="S210" s="60">
        <f t="shared" ref="S210:S219" si="612">AVERAGE(AU210:AV210)</f>
        <v>2919521.9567636773</v>
      </c>
      <c r="T210" s="60">
        <f t="shared" ref="T210:T219" si="613">AVERAGE(AV210:AW210)</f>
        <v>3469290.0522144046</v>
      </c>
      <c r="U210" s="60">
        <f t="shared" ref="U210:U219" si="614">AVERAGE(AW210:AX210)</f>
        <v>4085674.8641865887</v>
      </c>
      <c r="V210" s="60">
        <f t="shared" ref="V210:V219" si="615">AVERAGE(AX210:AY210)</f>
        <v>4998919.5280243028</v>
      </c>
      <c r="W210" s="60">
        <f t="shared" ref="W210:W219" si="616">AVERAGE(AY210:AZ210)</f>
        <v>5980325.7067496032</v>
      </c>
      <c r="X210" s="60">
        <f t="shared" ref="X210:X219" si="617">AVERAGE(AZ210:BA210)</f>
        <v>6830497.5617650747</v>
      </c>
      <c r="Y210" s="60">
        <f t="shared" ref="Y210:Y219" si="618">AVERAGE(BA210:BB210)</f>
        <v>7825082.3904028255</v>
      </c>
      <c r="Z210" s="60">
        <f t="shared" ref="Z210:Z219" si="619">AVERAGE(BB210:BC210)</f>
        <v>8894079.9886424243</v>
      </c>
      <c r="AA210" s="60">
        <f t="shared" ref="AA210:AC219" si="620">AVERAGE(BC210:BD210)</f>
        <v>10137710.55782992</v>
      </c>
      <c r="AB210" s="60">
        <f t="shared" si="620"/>
        <v>11738534.953465406</v>
      </c>
      <c r="AC210" s="60">
        <f t="shared" si="620"/>
        <v>13318466.387687661</v>
      </c>
      <c r="AD210" s="60">
        <f t="shared" ref="AD210:AD219" si="621">AVERAGE(BF210:BG210)</f>
        <v>15609881.180146981</v>
      </c>
      <c r="AE210" s="60">
        <f t="shared" ref="AE210:AE219" si="622">AVERAGE(BG210:BH210)</f>
        <v>19237598.272973731</v>
      </c>
      <c r="AF210" s="60"/>
      <c r="AG210" s="60"/>
      <c r="AL210" s="221">
        <v>816928</v>
      </c>
      <c r="AM210" s="221">
        <v>944963</v>
      </c>
      <c r="AN210" s="55">
        <v>1046788</v>
      </c>
      <c r="AO210" s="55">
        <v>1276250.0264764363</v>
      </c>
      <c r="AP210" s="55">
        <v>1400931.8130039682</v>
      </c>
      <c r="AQ210" s="55">
        <v>1569449.4678805335</v>
      </c>
      <c r="AR210" s="55">
        <v>1719636.8974946223</v>
      </c>
      <c r="AS210" s="55">
        <f>AS469</f>
        <v>1994580.1675540083</v>
      </c>
      <c r="AT210" s="55">
        <f t="shared" ref="AT210:BB210" si="623">AT469</f>
        <v>2251405.8228699681</v>
      </c>
      <c r="AU210" s="55">
        <f t="shared" si="623"/>
        <v>2645346.7167165349</v>
      </c>
      <c r="AV210" s="55">
        <f t="shared" si="623"/>
        <v>3193697.1968108192</v>
      </c>
      <c r="AW210" s="55">
        <f t="shared" si="623"/>
        <v>3744882.9076179895</v>
      </c>
      <c r="AX210" s="55">
        <f t="shared" si="623"/>
        <v>4426466.8207551884</v>
      </c>
      <c r="AY210" s="55">
        <f t="shared" si="623"/>
        <v>5571372.2352934182</v>
      </c>
      <c r="AZ210" s="55">
        <f t="shared" si="623"/>
        <v>6389279.1782057891</v>
      </c>
      <c r="BA210" s="55">
        <f t="shared" si="623"/>
        <v>7271715.9453243595</v>
      </c>
      <c r="BB210" s="55">
        <f t="shared" si="623"/>
        <v>8378448.8354812926</v>
      </c>
      <c r="BC210" s="206">
        <f>NA!BC257*(Prices!BC$20/100)</f>
        <v>9409711.1418035571</v>
      </c>
      <c r="BD210" s="206">
        <f>NA!BD257*(Prices!BD$20/100)</f>
        <v>10865709.973856281</v>
      </c>
      <c r="BE210" s="206">
        <f>NA!BE257*(Prices!BE$20/100)</f>
        <v>12611359.93307453</v>
      </c>
      <c r="BF210" s="206">
        <f>NA!BF257*(Prices!BF$20/100)</f>
        <v>14025572.842300793</v>
      </c>
      <c r="BG210" s="206">
        <f>NA!BG257*(Prices!BG$20/100)</f>
        <v>17194189.517993167</v>
      </c>
      <c r="BH210" s="206">
        <f>NA!BH257*(Prices!BH$20/100)</f>
        <v>21281007.027954295</v>
      </c>
      <c r="BI210" s="543"/>
    </row>
    <row r="211" spans="3:61" x14ac:dyDescent="0.2">
      <c r="E211" s="205" t="s">
        <v>112</v>
      </c>
      <c r="I211" s="60">
        <f t="shared" si="602"/>
        <v>176614</v>
      </c>
      <c r="J211" s="60">
        <f t="shared" si="603"/>
        <v>192719.5</v>
      </c>
      <c r="K211" s="60">
        <f t="shared" si="604"/>
        <v>216912.5</v>
      </c>
      <c r="L211" s="60">
        <f t="shared" si="605"/>
        <v>223110.77996460581</v>
      </c>
      <c r="M211" s="60">
        <f t="shared" si="606"/>
        <v>229217.08451749373</v>
      </c>
      <c r="N211" s="60">
        <f t="shared" si="607"/>
        <v>245041.10118281568</v>
      </c>
      <c r="O211" s="60">
        <f t="shared" si="608"/>
        <v>267185.02869567182</v>
      </c>
      <c r="P211" s="60">
        <f t="shared" si="609"/>
        <v>314577.30854774622</v>
      </c>
      <c r="Q211" s="60">
        <f t="shared" si="610"/>
        <v>355559.65717295202</v>
      </c>
      <c r="R211" s="60">
        <f t="shared" si="611"/>
        <v>422731.22835992725</v>
      </c>
      <c r="S211" s="60">
        <f t="shared" si="612"/>
        <v>520895.07820251124</v>
      </c>
      <c r="T211" s="60">
        <f t="shared" si="613"/>
        <v>620230.94885992771</v>
      </c>
      <c r="U211" s="60">
        <f t="shared" si="614"/>
        <v>700720.76274681173</v>
      </c>
      <c r="V211" s="60">
        <f t="shared" si="615"/>
        <v>727365.19839390297</v>
      </c>
      <c r="W211" s="60">
        <f t="shared" si="616"/>
        <v>810964.8390777387</v>
      </c>
      <c r="X211" s="60">
        <f t="shared" si="617"/>
        <v>895390.77489805431</v>
      </c>
      <c r="Y211" s="60">
        <f t="shared" si="618"/>
        <v>887575.24679299549</v>
      </c>
      <c r="Z211" s="60">
        <f t="shared" si="619"/>
        <v>1066329.6318852464</v>
      </c>
      <c r="AA211" s="60">
        <f t="shared" si="620"/>
        <v>1306325.6717777359</v>
      </c>
      <c r="AB211" s="60">
        <f t="shared" si="620"/>
        <v>1406619.4216362294</v>
      </c>
      <c r="AC211" s="60">
        <f t="shared" si="620"/>
        <v>1487172.259023299</v>
      </c>
      <c r="AD211" s="60">
        <f t="shared" si="621"/>
        <v>1612801.7547745579</v>
      </c>
      <c r="AE211" s="60">
        <f t="shared" si="622"/>
        <v>1832770.4001719751</v>
      </c>
      <c r="AF211" s="60"/>
      <c r="AG211" s="60"/>
      <c r="AL211" s="221">
        <v>176614</v>
      </c>
      <c r="AM211" s="221">
        <v>208825</v>
      </c>
      <c r="AN211" s="55">
        <v>225000</v>
      </c>
      <c r="AO211" s="55">
        <v>221221.55992921159</v>
      </c>
      <c r="AP211" s="55">
        <v>237212.60910577589</v>
      </c>
      <c r="AQ211" s="55">
        <v>252869.59325985546</v>
      </c>
      <c r="AR211" s="55">
        <v>281500.46413148823</v>
      </c>
      <c r="AS211" s="55">
        <f>AS471</f>
        <v>347654.1529640042</v>
      </c>
      <c r="AT211" s="55">
        <f t="shared" ref="AT211:BB211" si="624">AT471</f>
        <v>363465.16138189984</v>
      </c>
      <c r="AU211" s="55">
        <f t="shared" si="624"/>
        <v>481997.29533795465</v>
      </c>
      <c r="AV211" s="55">
        <f t="shared" si="624"/>
        <v>559792.86106706783</v>
      </c>
      <c r="AW211" s="55">
        <f t="shared" si="624"/>
        <v>680669.03665278759</v>
      </c>
      <c r="AX211" s="55">
        <f t="shared" si="624"/>
        <v>720772.48884083587</v>
      </c>
      <c r="AY211" s="55">
        <f t="shared" si="624"/>
        <v>733957.90794697008</v>
      </c>
      <c r="AZ211" s="55">
        <f t="shared" si="624"/>
        <v>887971.77020850731</v>
      </c>
      <c r="BA211" s="55">
        <f t="shared" si="624"/>
        <v>902809.77958760131</v>
      </c>
      <c r="BB211" s="55">
        <f t="shared" si="624"/>
        <v>872340.71399838966</v>
      </c>
      <c r="BC211" s="206">
        <f>NA!BC258*(Prices!BC$20/100)</f>
        <v>1260318.5497721029</v>
      </c>
      <c r="BD211" s="206">
        <f>NA!BD258*(Prices!BD$20/100)</f>
        <v>1352332.7937833692</v>
      </c>
      <c r="BE211" s="206">
        <f>NA!BE258*(Prices!BE$20/100)</f>
        <v>1460906.0494890893</v>
      </c>
      <c r="BF211" s="206">
        <f>NA!BF258*(Prices!BF$20/100)</f>
        <v>1513438.4685575087</v>
      </c>
      <c r="BG211" s="206">
        <f>NA!BG258*(Prices!BG$20/100)</f>
        <v>1712165.0409916074</v>
      </c>
      <c r="BH211" s="206">
        <f>NA!BH258*(Prices!BH$20/100)</f>
        <v>1953375.7593523427</v>
      </c>
      <c r="BI211" s="543"/>
    </row>
    <row r="212" spans="3:61" x14ac:dyDescent="0.2">
      <c r="E212" s="474" t="s">
        <v>113</v>
      </c>
      <c r="I212" s="60">
        <f t="shared" si="602"/>
        <v>341863</v>
      </c>
      <c r="J212" s="60">
        <f t="shared" si="603"/>
        <v>372329</v>
      </c>
      <c r="K212" s="60">
        <f t="shared" si="604"/>
        <v>425054.5</v>
      </c>
      <c r="L212" s="60">
        <f t="shared" si="605"/>
        <v>644314.9770061858</v>
      </c>
      <c r="M212" s="60">
        <f t="shared" si="606"/>
        <v>875558.50931814639</v>
      </c>
      <c r="N212" s="60">
        <f t="shared" si="607"/>
        <v>954078.53342086298</v>
      </c>
      <c r="O212" s="60">
        <f t="shared" si="608"/>
        <v>1049953.8881548736</v>
      </c>
      <c r="P212" s="60">
        <f t="shared" si="609"/>
        <v>1160774.0869418283</v>
      </c>
      <c r="Q212" s="60">
        <f t="shared" si="610"/>
        <v>1303496.489138857</v>
      </c>
      <c r="R212" s="60">
        <f t="shared" si="611"/>
        <v>1479925.1013738629</v>
      </c>
      <c r="S212" s="60">
        <f t="shared" si="612"/>
        <v>1771176.4344531763</v>
      </c>
      <c r="T212" s="60">
        <f t="shared" si="613"/>
        <v>2145169.876631693</v>
      </c>
      <c r="U212" s="60">
        <f t="shared" si="614"/>
        <v>2429123.5909084082</v>
      </c>
      <c r="V212" s="60">
        <f t="shared" si="615"/>
        <v>2633188.5226124134</v>
      </c>
      <c r="W212" s="60">
        <f t="shared" si="616"/>
        <v>2731294.0991483107</v>
      </c>
      <c r="X212" s="60">
        <f t="shared" si="617"/>
        <v>2859982.3309047446</v>
      </c>
      <c r="Y212" s="60">
        <f t="shared" si="618"/>
        <v>3212211.6235617045</v>
      </c>
      <c r="Z212" s="60">
        <f t="shared" si="619"/>
        <v>4685771.3655992774</v>
      </c>
      <c r="AA212" s="60">
        <f t="shared" si="620"/>
        <v>6472929.9122400619</v>
      </c>
      <c r="AB212" s="60">
        <f t="shared" si="620"/>
        <v>7676024.0424917731</v>
      </c>
      <c r="AC212" s="60">
        <f t="shared" si="620"/>
        <v>8923416.4789166059</v>
      </c>
      <c r="AD212" s="60">
        <f t="shared" si="621"/>
        <v>10656672.402675565</v>
      </c>
      <c r="AE212" s="60">
        <f t="shared" si="622"/>
        <v>13304814.372123508</v>
      </c>
      <c r="AF212" s="60"/>
      <c r="AG212" s="60"/>
      <c r="AL212" s="221">
        <v>341863</v>
      </c>
      <c r="AM212" s="221">
        <v>402795</v>
      </c>
      <c r="AN212" s="55">
        <v>447314</v>
      </c>
      <c r="AO212" s="55">
        <v>841315.9540123716</v>
      </c>
      <c r="AP212" s="55">
        <v>909801.06462392106</v>
      </c>
      <c r="AQ212" s="55">
        <v>998356.0022178049</v>
      </c>
      <c r="AR212" s="55">
        <v>1101551.7740919422</v>
      </c>
      <c r="AS212" s="55">
        <f>AS470</f>
        <v>1219996.3997917143</v>
      </c>
      <c r="AT212" s="55">
        <f t="shared" ref="AT212:BB212" si="625">AT470</f>
        <v>1386996.578486</v>
      </c>
      <c r="AU212" s="55">
        <f t="shared" si="625"/>
        <v>1572853.6242617257</v>
      </c>
      <c r="AV212" s="55">
        <f t="shared" si="625"/>
        <v>1969499.244644627</v>
      </c>
      <c r="AW212" s="55">
        <f t="shared" si="625"/>
        <v>2320840.508618759</v>
      </c>
      <c r="AX212" s="55">
        <f t="shared" si="625"/>
        <v>2537406.6731980573</v>
      </c>
      <c r="AY212" s="55">
        <f t="shared" si="625"/>
        <v>2728970.3720267694</v>
      </c>
      <c r="AZ212" s="55">
        <f t="shared" si="625"/>
        <v>2733617.826269852</v>
      </c>
      <c r="BA212" s="55">
        <f t="shared" si="625"/>
        <v>2986346.8355396367</v>
      </c>
      <c r="BB212" s="55">
        <f t="shared" si="625"/>
        <v>3438076.4115837729</v>
      </c>
      <c r="BC212" s="206">
        <f>NA!BC259*(Prices!BC$20/100)</f>
        <v>5933466.319614782</v>
      </c>
      <c r="BD212" s="206">
        <f>NA!BD259*(Prices!BD$20/100)</f>
        <v>7012393.5048653428</v>
      </c>
      <c r="BE212" s="206">
        <f>NA!BE259*(Prices!BE$20/100)</f>
        <v>8339654.5801182026</v>
      </c>
      <c r="BF212" s="206">
        <f>NA!BF259*(Prices!BF$20/100)</f>
        <v>9507178.3777150083</v>
      </c>
      <c r="BG212" s="206">
        <f>NA!BG259*(Prices!BG$20/100)</f>
        <v>11806166.42763612</v>
      </c>
      <c r="BH212" s="206">
        <f>NA!BH259*(Prices!BH$20/100)</f>
        <v>14803462.316610895</v>
      </c>
      <c r="BI212" s="543"/>
    </row>
    <row r="213" spans="3:61" x14ac:dyDescent="0.2">
      <c r="E213" s="205" t="s">
        <v>114</v>
      </c>
      <c r="I213" s="60">
        <f t="shared" si="602"/>
        <v>70970</v>
      </c>
      <c r="J213" s="60">
        <f t="shared" si="603"/>
        <v>77666</v>
      </c>
      <c r="K213" s="60">
        <f t="shared" si="604"/>
        <v>90752.5</v>
      </c>
      <c r="L213" s="60">
        <f t="shared" si="605"/>
        <v>144181.34639779056</v>
      </c>
      <c r="M213" s="60">
        <f t="shared" si="606"/>
        <v>206235.58357029065</v>
      </c>
      <c r="N213" s="60">
        <f t="shared" si="607"/>
        <v>247638.85266286752</v>
      </c>
      <c r="O213" s="60">
        <f t="shared" si="608"/>
        <v>312389.53031561343</v>
      </c>
      <c r="P213" s="60">
        <f t="shared" si="609"/>
        <v>410381.50583195727</v>
      </c>
      <c r="Q213" s="60">
        <f t="shared" si="610"/>
        <v>498624.36968634097</v>
      </c>
      <c r="R213" s="60">
        <f t="shared" si="611"/>
        <v>571152.20316399657</v>
      </c>
      <c r="S213" s="60">
        <f t="shared" si="612"/>
        <v>668806.68185821397</v>
      </c>
      <c r="T213" s="60">
        <f t="shared" si="613"/>
        <v>817639.94102572231</v>
      </c>
      <c r="U213" s="60">
        <f t="shared" si="614"/>
        <v>1032240.3427969187</v>
      </c>
      <c r="V213" s="60">
        <f t="shared" si="615"/>
        <v>1198321.1678307927</v>
      </c>
      <c r="W213" s="60">
        <f t="shared" si="616"/>
        <v>1349779.6576624389</v>
      </c>
      <c r="X213" s="60">
        <f t="shared" si="617"/>
        <v>1539524.763229894</v>
      </c>
      <c r="Y213" s="60">
        <f t="shared" si="618"/>
        <v>1662397.7519107582</v>
      </c>
      <c r="Z213" s="60">
        <f t="shared" si="619"/>
        <v>2777375.2997731762</v>
      </c>
      <c r="AA213" s="60">
        <f t="shared" si="620"/>
        <v>4111372.5719454652</v>
      </c>
      <c r="AB213" s="60">
        <f t="shared" si="620"/>
        <v>4671958.9643346528</v>
      </c>
      <c r="AC213" s="60">
        <f t="shared" si="620"/>
        <v>5211199.9312348254</v>
      </c>
      <c r="AD213" s="60">
        <f t="shared" si="621"/>
        <v>5975363.9723110739</v>
      </c>
      <c r="AE213" s="60">
        <f t="shared" si="622"/>
        <v>7171179.1722888108</v>
      </c>
      <c r="AF213" s="60"/>
      <c r="AG213" s="60"/>
      <c r="AL213" s="221">
        <v>70970</v>
      </c>
      <c r="AM213" s="221">
        <v>84362</v>
      </c>
      <c r="AN213" s="55">
        <v>97143</v>
      </c>
      <c r="AO213" s="55">
        <v>191219.69279558113</v>
      </c>
      <c r="AP213" s="55">
        <v>221251.4743450002</v>
      </c>
      <c r="AQ213" s="55">
        <v>274026.23098073481</v>
      </c>
      <c r="AR213" s="55">
        <v>350752.82965049206</v>
      </c>
      <c r="AS213" s="55">
        <f>AS472</f>
        <v>470010.18201342248</v>
      </c>
      <c r="AT213" s="55">
        <f t="shared" ref="AT213:BB213" si="626">AT472</f>
        <v>527238.55735925946</v>
      </c>
      <c r="AU213" s="55">
        <f t="shared" si="626"/>
        <v>615065.84896873357</v>
      </c>
      <c r="AV213" s="55">
        <f t="shared" si="626"/>
        <v>722547.51474769437</v>
      </c>
      <c r="AW213" s="55">
        <f t="shared" si="626"/>
        <v>912732.36730375013</v>
      </c>
      <c r="AX213" s="55">
        <f t="shared" si="626"/>
        <v>1151748.3182900874</v>
      </c>
      <c r="AY213" s="55">
        <f t="shared" si="626"/>
        <v>1244894.017371498</v>
      </c>
      <c r="AZ213" s="55">
        <f t="shared" si="626"/>
        <v>1454665.2979533798</v>
      </c>
      <c r="BA213" s="55">
        <f t="shared" si="626"/>
        <v>1624384.2285064084</v>
      </c>
      <c r="BB213" s="55">
        <f t="shared" si="626"/>
        <v>1700411.275315108</v>
      </c>
      <c r="BC213" s="206">
        <f>NA!BC260*(Prices!BC$20/100)</f>
        <v>3854339.3242312442</v>
      </c>
      <c r="BD213" s="206">
        <f>NA!BD260*(Prices!BD$20/100)</f>
        <v>4368405.8196596857</v>
      </c>
      <c r="BE213" s="206">
        <f>NA!BE260*(Prices!BE$20/100)</f>
        <v>4975512.1090096198</v>
      </c>
      <c r="BF213" s="206">
        <f>NA!BF260*(Prices!BF$20/100)</f>
        <v>5446887.7534600319</v>
      </c>
      <c r="BG213" s="206">
        <f>NA!BG260*(Prices!BG$20/100)</f>
        <v>6503840.191162115</v>
      </c>
      <c r="BH213" s="206">
        <f>NA!BH260*(Prices!BH$20/100)</f>
        <v>7838518.1534155058</v>
      </c>
      <c r="BI213" s="543"/>
    </row>
    <row r="214" spans="3:61" x14ac:dyDescent="0.2">
      <c r="E214" s="205" t="s">
        <v>115</v>
      </c>
      <c r="I214" s="60">
        <f t="shared" si="602"/>
        <v>107920</v>
      </c>
      <c r="J214" s="60">
        <f t="shared" si="603"/>
        <v>112745.5</v>
      </c>
      <c r="K214" s="60">
        <f t="shared" si="604"/>
        <v>122434</v>
      </c>
      <c r="L214" s="60">
        <f t="shared" si="605"/>
        <v>183302.24455790815</v>
      </c>
      <c r="M214" s="60">
        <f t="shared" si="606"/>
        <v>273250.69243808289</v>
      </c>
      <c r="N214" s="60">
        <f t="shared" si="607"/>
        <v>328604.22400977917</v>
      </c>
      <c r="O214" s="60">
        <f t="shared" si="608"/>
        <v>371042.84319565725</v>
      </c>
      <c r="P214" s="60">
        <f t="shared" si="609"/>
        <v>422090.04667587799</v>
      </c>
      <c r="Q214" s="60">
        <f t="shared" si="610"/>
        <v>513383.99733160046</v>
      </c>
      <c r="R214" s="60">
        <f t="shared" si="611"/>
        <v>665366.92017057096</v>
      </c>
      <c r="S214" s="60">
        <f t="shared" si="612"/>
        <v>857677.06079230504</v>
      </c>
      <c r="T214" s="60">
        <f t="shared" si="613"/>
        <v>1069065.9422970405</v>
      </c>
      <c r="U214" s="60">
        <f t="shared" si="614"/>
        <v>1293664.5531621717</v>
      </c>
      <c r="V214" s="60">
        <f t="shared" si="615"/>
        <v>1590629.9609079929</v>
      </c>
      <c r="W214" s="60">
        <f t="shared" si="616"/>
        <v>1921472.9642713782</v>
      </c>
      <c r="X214" s="60">
        <f t="shared" si="617"/>
        <v>2189433.8669118527</v>
      </c>
      <c r="Y214" s="60">
        <f t="shared" si="618"/>
        <v>2501574.7092334921</v>
      </c>
      <c r="Z214" s="60">
        <f t="shared" si="619"/>
        <v>3253262.1599492324</v>
      </c>
      <c r="AA214" s="60">
        <f t="shared" si="620"/>
        <v>4120059.9831867553</v>
      </c>
      <c r="AB214" s="60">
        <f t="shared" si="620"/>
        <v>4801650.7975999098</v>
      </c>
      <c r="AC214" s="60">
        <f t="shared" si="620"/>
        <v>5499194.9370562565</v>
      </c>
      <c r="AD214" s="60">
        <f t="shared" si="621"/>
        <v>6490097.634245459</v>
      </c>
      <c r="AE214" s="60">
        <f t="shared" si="622"/>
        <v>8014201.2561666761</v>
      </c>
      <c r="AF214" s="60"/>
      <c r="AG214" s="60"/>
      <c r="AL214" s="221">
        <v>107920</v>
      </c>
      <c r="AM214" s="221">
        <v>117571</v>
      </c>
      <c r="AN214" s="55">
        <v>127297</v>
      </c>
      <c r="AO214" s="55">
        <v>239307.48911581628</v>
      </c>
      <c r="AP214" s="55">
        <v>307193.89576034946</v>
      </c>
      <c r="AQ214" s="55">
        <v>350014.55225920887</v>
      </c>
      <c r="AR214" s="55">
        <v>392071.13413210562</v>
      </c>
      <c r="AS214" s="55">
        <f>AS473</f>
        <v>452108.95921965037</v>
      </c>
      <c r="AT214" s="55">
        <f t="shared" ref="AT214:BB214" si="627">AT473</f>
        <v>574659.03544355056</v>
      </c>
      <c r="AU214" s="55">
        <f t="shared" si="627"/>
        <v>756074.80489759147</v>
      </c>
      <c r="AV214" s="55">
        <f t="shared" si="627"/>
        <v>959279.31668701861</v>
      </c>
      <c r="AW214" s="55">
        <f t="shared" si="627"/>
        <v>1178852.5679070624</v>
      </c>
      <c r="AX214" s="55">
        <f t="shared" si="627"/>
        <v>1408476.5384172811</v>
      </c>
      <c r="AY214" s="55">
        <f t="shared" si="627"/>
        <v>1772783.3833987047</v>
      </c>
      <c r="AZ214" s="55">
        <f t="shared" si="627"/>
        <v>2070162.5451440515</v>
      </c>
      <c r="BA214" s="55">
        <f t="shared" si="627"/>
        <v>2308705.1886796537</v>
      </c>
      <c r="BB214" s="55">
        <f t="shared" si="627"/>
        <v>2694444.2297873306</v>
      </c>
      <c r="BC214" s="206">
        <f>NA!BC261*(Prices!BC$20/100)</f>
        <v>3812080.0901111341</v>
      </c>
      <c r="BD214" s="206">
        <f>NA!BD261*(Prices!BD$20/100)</f>
        <v>4428039.876262377</v>
      </c>
      <c r="BE214" s="206">
        <f>NA!BE261*(Prices!BE$20/100)</f>
        <v>5175261.7189374436</v>
      </c>
      <c r="BF214" s="206">
        <f>NA!BF261*(Prices!BF$20/100)</f>
        <v>5823128.1551750693</v>
      </c>
      <c r="BG214" s="206">
        <f>NA!BG261*(Prices!BG$20/100)</f>
        <v>7157067.1133158496</v>
      </c>
      <c r="BH214" s="206">
        <f>NA!BH261*(Prices!BH$20/100)</f>
        <v>8871335.3990175035</v>
      </c>
      <c r="BI214" s="543"/>
    </row>
    <row r="215" spans="3:61" x14ac:dyDescent="0.2">
      <c r="C215" s="2"/>
      <c r="D215" s="2"/>
      <c r="E215" s="205" t="s">
        <v>116</v>
      </c>
      <c r="I215" s="60">
        <f t="shared" si="602"/>
        <v>358154</v>
      </c>
      <c r="J215" s="60">
        <f t="shared" si="603"/>
        <v>406184</v>
      </c>
      <c r="K215" s="60">
        <f t="shared" si="604"/>
        <v>509928</v>
      </c>
      <c r="L215" s="60">
        <f t="shared" si="605"/>
        <v>890003.58450319245</v>
      </c>
      <c r="M215" s="60">
        <f t="shared" si="606"/>
        <v>1260821.9895149805</v>
      </c>
      <c r="N215" s="60">
        <f t="shared" si="607"/>
        <v>1389730.6051126146</v>
      </c>
      <c r="O215" s="60">
        <f t="shared" si="608"/>
        <v>1559622.2944989521</v>
      </c>
      <c r="P215" s="60">
        <f t="shared" si="609"/>
        <v>1500861.0249200771</v>
      </c>
      <c r="Q215" s="60">
        <f t="shared" si="610"/>
        <v>1462616.8699364299</v>
      </c>
      <c r="R215" s="60">
        <f t="shared" si="611"/>
        <v>1699971.1737806078</v>
      </c>
      <c r="S215" s="60">
        <f t="shared" si="612"/>
        <v>1943649.9752978859</v>
      </c>
      <c r="T215" s="60">
        <f t="shared" si="613"/>
        <v>2212960.6885011345</v>
      </c>
      <c r="U215" s="60">
        <f t="shared" si="614"/>
        <v>2511323.9986904841</v>
      </c>
      <c r="V215" s="60">
        <f t="shared" si="615"/>
        <v>2811048.4496522285</v>
      </c>
      <c r="W215" s="60">
        <f t="shared" si="616"/>
        <v>3129133.6894361116</v>
      </c>
      <c r="X215" s="60">
        <f t="shared" si="617"/>
        <v>3357431.6716244938</v>
      </c>
      <c r="Y215" s="60">
        <f t="shared" si="618"/>
        <v>3618204.8546978817</v>
      </c>
      <c r="Z215" s="60">
        <f t="shared" si="619"/>
        <v>4372401.4386639828</v>
      </c>
      <c r="AA215" s="60">
        <f t="shared" si="620"/>
        <v>5102004.4690281041</v>
      </c>
      <c r="AB215" s="60">
        <f t="shared" si="620"/>
        <v>5461206.1605672371</v>
      </c>
      <c r="AC215" s="60">
        <f t="shared" si="620"/>
        <v>5727921.6016282719</v>
      </c>
      <c r="AD215" s="60">
        <f t="shared" si="621"/>
        <v>6154828.4589410871</v>
      </c>
      <c r="AE215" s="60">
        <f t="shared" si="622"/>
        <v>6930985.0802259408</v>
      </c>
      <c r="AF215" s="60"/>
      <c r="AG215" s="60"/>
      <c r="AL215" s="221">
        <v>358154</v>
      </c>
      <c r="AM215" s="221">
        <v>454214</v>
      </c>
      <c r="AN215" s="55">
        <v>565642</v>
      </c>
      <c r="AO215" s="55">
        <v>1214365.1690063849</v>
      </c>
      <c r="AP215" s="55">
        <v>1307278.810023576</v>
      </c>
      <c r="AQ215" s="55">
        <v>1472182.4002016534</v>
      </c>
      <c r="AR215" s="55">
        <v>1647062.1887962511</v>
      </c>
      <c r="AS215" s="55">
        <f>AS474+AS475</f>
        <v>1354659.861043903</v>
      </c>
      <c r="AT215" s="55">
        <f t="shared" ref="AT215:BB215" si="628">AT474+AT475</f>
        <v>1570573.878828957</v>
      </c>
      <c r="AU215" s="55">
        <f t="shared" si="628"/>
        <v>1829368.4687322585</v>
      </c>
      <c r="AV215" s="55">
        <f t="shared" si="628"/>
        <v>2057931.4818635136</v>
      </c>
      <c r="AW215" s="55">
        <f t="shared" si="628"/>
        <v>2367989.895138755</v>
      </c>
      <c r="AX215" s="55">
        <f t="shared" si="628"/>
        <v>2654658.1022422137</v>
      </c>
      <c r="AY215" s="55">
        <f t="shared" si="628"/>
        <v>2967438.7970622429</v>
      </c>
      <c r="AZ215" s="55">
        <f t="shared" si="628"/>
        <v>3290828.5818099808</v>
      </c>
      <c r="BA215" s="55">
        <f t="shared" si="628"/>
        <v>3424034.7614390068</v>
      </c>
      <c r="BB215" s="55">
        <f t="shared" si="628"/>
        <v>3812374.9479567567</v>
      </c>
      <c r="BC215" s="206">
        <f>NA!BC262*(Prices!BC$20/100)</f>
        <v>4932427.9293712089</v>
      </c>
      <c r="BD215" s="206">
        <f>NA!BD262*(Prices!BD$20/100)</f>
        <v>5271581.0086850002</v>
      </c>
      <c r="BE215" s="206">
        <f>NA!BE262*(Prices!BE$20/100)</f>
        <v>5650831.3124494739</v>
      </c>
      <c r="BF215" s="206">
        <f>NA!BF262*(Prices!BF$20/100)</f>
        <v>5805011.8908070708</v>
      </c>
      <c r="BG215" s="206">
        <f>NA!BG262*(Prices!BG$20/100)</f>
        <v>6504645.0270751044</v>
      </c>
      <c r="BH215" s="206">
        <f>NA!BH262*(Prices!BH$20/100)</f>
        <v>7357325.1333767772</v>
      </c>
      <c r="BI215" s="543"/>
    </row>
    <row r="216" spans="3:61" x14ac:dyDescent="0.2">
      <c r="E216" s="205" t="s">
        <v>117</v>
      </c>
      <c r="I216" s="60">
        <f t="shared" si="602"/>
        <v>418078</v>
      </c>
      <c r="J216" s="60">
        <f t="shared" si="603"/>
        <v>440446</v>
      </c>
      <c r="K216" s="60">
        <f t="shared" si="604"/>
        <v>501521.5</v>
      </c>
      <c r="L216" s="60">
        <f t="shared" si="605"/>
        <v>584480.25993043755</v>
      </c>
      <c r="M216" s="60">
        <f t="shared" si="606"/>
        <v>684673.6480166507</v>
      </c>
      <c r="N216" s="60">
        <f t="shared" si="607"/>
        <v>795703.10684346571</v>
      </c>
      <c r="O216" s="60">
        <f t="shared" si="608"/>
        <v>953492.7359991991</v>
      </c>
      <c r="P216" s="60">
        <f t="shared" si="609"/>
        <v>1425653.0655876598</v>
      </c>
      <c r="Q216" s="60">
        <f t="shared" si="610"/>
        <v>2075422.4848636528</v>
      </c>
      <c r="R216" s="60">
        <f t="shared" si="611"/>
        <v>2664003.804377907</v>
      </c>
      <c r="S216" s="60">
        <f t="shared" si="612"/>
        <v>3052530.5850699628</v>
      </c>
      <c r="T216" s="60">
        <f t="shared" si="613"/>
        <v>3269895.7790456926</v>
      </c>
      <c r="U216" s="60">
        <f t="shared" si="614"/>
        <v>3527303.1327055134</v>
      </c>
      <c r="V216" s="60">
        <f t="shared" si="615"/>
        <v>4042206.7032453106</v>
      </c>
      <c r="W216" s="60">
        <f t="shared" si="616"/>
        <v>4941000.4363876274</v>
      </c>
      <c r="X216" s="60">
        <f t="shared" si="617"/>
        <v>6046494.9852122497</v>
      </c>
      <c r="Y216" s="60">
        <f t="shared" si="618"/>
        <v>6939252.2596657816</v>
      </c>
      <c r="Z216" s="60">
        <f t="shared" si="619"/>
        <v>7897605.2160187718</v>
      </c>
      <c r="AA216" s="60">
        <f t="shared" si="620"/>
        <v>8987640.5066835508</v>
      </c>
      <c r="AB216" s="60">
        <f t="shared" si="620"/>
        <v>9921195.2798792794</v>
      </c>
      <c r="AC216" s="60">
        <f t="shared" si="620"/>
        <v>10748968.810559487</v>
      </c>
      <c r="AD216" s="60">
        <f t="shared" si="621"/>
        <v>11930806.413701102</v>
      </c>
      <c r="AE216" s="60">
        <f t="shared" si="622"/>
        <v>13873198.168025684</v>
      </c>
      <c r="AF216" s="60"/>
      <c r="AG216" s="60"/>
      <c r="AL216" s="221">
        <v>418078</v>
      </c>
      <c r="AM216" s="221">
        <v>462814</v>
      </c>
      <c r="AN216" s="55">
        <v>540229</v>
      </c>
      <c r="AO216" s="55">
        <v>628731.51986087509</v>
      </c>
      <c r="AP216" s="55">
        <v>740615.77617242641</v>
      </c>
      <c r="AQ216" s="55">
        <v>850790.43751450512</v>
      </c>
      <c r="AR216" s="55">
        <v>1056195.0344838931</v>
      </c>
      <c r="AS216" s="55">
        <f>AS476+AS477</f>
        <v>1795111.0966914266</v>
      </c>
      <c r="AT216" s="55">
        <f t="shared" ref="AT216:BB216" si="629">AT476+AT477</f>
        <v>2355733.8730358793</v>
      </c>
      <c r="AU216" s="55">
        <f t="shared" si="629"/>
        <v>2972273.735719935</v>
      </c>
      <c r="AV216" s="55">
        <f t="shared" si="629"/>
        <v>3132787.4344199901</v>
      </c>
      <c r="AW216" s="55">
        <f t="shared" si="629"/>
        <v>3407004.1236713952</v>
      </c>
      <c r="AX216" s="55">
        <f t="shared" si="629"/>
        <v>3647602.141739632</v>
      </c>
      <c r="AY216" s="55">
        <f t="shared" si="629"/>
        <v>4436811.2647509892</v>
      </c>
      <c r="AZ216" s="55">
        <f t="shared" si="629"/>
        <v>5445189.6080242656</v>
      </c>
      <c r="BA216" s="55">
        <f t="shared" si="629"/>
        <v>6647800.3624002347</v>
      </c>
      <c r="BB216" s="55">
        <f t="shared" si="629"/>
        <v>7230704.1569313286</v>
      </c>
      <c r="BC216" s="206">
        <f>NA!BC263*(Prices!BC$20/100)</f>
        <v>8564506.275106214</v>
      </c>
      <c r="BD216" s="206">
        <f>NA!BD263*(Prices!BD$20/100)</f>
        <v>9410774.7382608876</v>
      </c>
      <c r="BE216" s="206">
        <f>NA!BE263*(Prices!BE$20/100)</f>
        <v>10431615.821497673</v>
      </c>
      <c r="BF216" s="206">
        <f>NA!BF263*(Prices!BF$20/100)</f>
        <v>11066321.799621301</v>
      </c>
      <c r="BG216" s="206">
        <f>NA!BG263*(Prices!BG$20/100)</f>
        <v>12795291.027780904</v>
      </c>
      <c r="BH216" s="206">
        <f>NA!BH263*(Prices!BH$20/100)</f>
        <v>14951105.308270466</v>
      </c>
      <c r="BI216" s="543"/>
    </row>
    <row r="217" spans="3:61" x14ac:dyDescent="0.2">
      <c r="E217" s="205" t="s">
        <v>118</v>
      </c>
      <c r="I217" s="60">
        <f t="shared" si="602"/>
        <v>117147</v>
      </c>
      <c r="J217" s="60">
        <f t="shared" si="603"/>
        <v>134573.5</v>
      </c>
      <c r="K217" s="60">
        <f t="shared" si="604"/>
        <v>160500</v>
      </c>
      <c r="L217" s="60">
        <f t="shared" si="605"/>
        <v>275836.48691895767</v>
      </c>
      <c r="M217" s="60">
        <f t="shared" si="606"/>
        <v>405624.26866901689</v>
      </c>
      <c r="N217" s="60">
        <f t="shared" si="607"/>
        <v>440778.60850572679</v>
      </c>
      <c r="O217" s="60">
        <f t="shared" si="608"/>
        <v>466570.55566761794</v>
      </c>
      <c r="P217" s="60">
        <f t="shared" si="609"/>
        <v>494564.46459341887</v>
      </c>
      <c r="Q217" s="60">
        <f t="shared" si="610"/>
        <v>569713.40358835086</v>
      </c>
      <c r="R217" s="60">
        <f t="shared" si="611"/>
        <v>740832.55273161002</v>
      </c>
      <c r="S217" s="60">
        <f t="shared" si="612"/>
        <v>929257.64564598294</v>
      </c>
      <c r="T217" s="60">
        <f t="shared" si="613"/>
        <v>1100267.6690160902</v>
      </c>
      <c r="U217" s="60">
        <f t="shared" si="614"/>
        <v>1286698.8144839415</v>
      </c>
      <c r="V217" s="60">
        <f t="shared" si="615"/>
        <v>1421968.3009619811</v>
      </c>
      <c r="W217" s="60">
        <f t="shared" si="616"/>
        <v>1535542.1265295027</v>
      </c>
      <c r="X217" s="60">
        <f t="shared" si="617"/>
        <v>1750491.0880706168</v>
      </c>
      <c r="Y217" s="60">
        <f t="shared" si="618"/>
        <v>2032872.5464071282</v>
      </c>
      <c r="Z217" s="60">
        <f t="shared" si="619"/>
        <v>2510637.5319989529</v>
      </c>
      <c r="AA217" s="60">
        <f t="shared" si="620"/>
        <v>2982385.0672080051</v>
      </c>
      <c r="AB217" s="60">
        <f t="shared" si="620"/>
        <v>3271260.5076234555</v>
      </c>
      <c r="AC217" s="60">
        <f t="shared" si="620"/>
        <v>3522581.7516129781</v>
      </c>
      <c r="AD217" s="60">
        <f t="shared" si="621"/>
        <v>3888292.5518433889</v>
      </c>
      <c r="AE217" s="60">
        <f t="shared" si="622"/>
        <v>4491839.7881512176</v>
      </c>
      <c r="AF217" s="60"/>
      <c r="AG217" s="60"/>
      <c r="AL217" s="221">
        <v>117147</v>
      </c>
      <c r="AM217" s="221">
        <v>152000</v>
      </c>
      <c r="AN217" s="55">
        <v>169000</v>
      </c>
      <c r="AO217" s="55">
        <v>382672.97383791534</v>
      </c>
      <c r="AP217" s="55">
        <v>428575.56350011838</v>
      </c>
      <c r="AQ217" s="55">
        <v>452981.6535113352</v>
      </c>
      <c r="AR217" s="55">
        <v>480159.45782390068</v>
      </c>
      <c r="AS217" s="55">
        <f>AS478</f>
        <v>508969.47136293701</v>
      </c>
      <c r="AT217" s="55">
        <f t="shared" ref="AT217:BB217" si="630">AT478</f>
        <v>630457.33581376472</v>
      </c>
      <c r="AU217" s="55">
        <f t="shared" si="630"/>
        <v>851207.76964945532</v>
      </c>
      <c r="AV217" s="55">
        <f t="shared" si="630"/>
        <v>1007307.5216425105</v>
      </c>
      <c r="AW217" s="55">
        <f t="shared" si="630"/>
        <v>1193227.8163896697</v>
      </c>
      <c r="AX217" s="55">
        <f t="shared" si="630"/>
        <v>1380169.8125782132</v>
      </c>
      <c r="AY217" s="55">
        <f t="shared" si="630"/>
        <v>1463766.7893457487</v>
      </c>
      <c r="AZ217" s="55">
        <f t="shared" si="630"/>
        <v>1607317.4637132564</v>
      </c>
      <c r="BA217" s="55">
        <f t="shared" si="630"/>
        <v>1893664.7124279772</v>
      </c>
      <c r="BB217" s="55">
        <f t="shared" si="630"/>
        <v>2172080.380386279</v>
      </c>
      <c r="BC217" s="206">
        <f>NA!BC264*(Prices!BC$20/100)</f>
        <v>2849194.6836116267</v>
      </c>
      <c r="BD217" s="206">
        <f>NA!BD264*(Prices!BD$20/100)</f>
        <v>3115575.450804384</v>
      </c>
      <c r="BE217" s="206">
        <f>NA!BE264*(Prices!BE$20/100)</f>
        <v>3426945.5644425265</v>
      </c>
      <c r="BF217" s="206">
        <f>NA!BF264*(Prices!BF$20/100)</f>
        <v>3618217.9387834296</v>
      </c>
      <c r="BG217" s="206">
        <f>NA!BG264*(Prices!BG$20/100)</f>
        <v>4158367.1649033488</v>
      </c>
      <c r="BH217" s="206">
        <f>NA!BH264*(Prices!BH$20/100)</f>
        <v>4825312.4113990869</v>
      </c>
      <c r="BI217" s="543"/>
    </row>
    <row r="218" spans="3:61" x14ac:dyDescent="0.2">
      <c r="E218" s="205" t="s">
        <v>119</v>
      </c>
      <c r="I218" s="60">
        <f t="shared" si="602"/>
        <v>60667</v>
      </c>
      <c r="J218" s="60">
        <f t="shared" si="603"/>
        <v>68294</v>
      </c>
      <c r="K218" s="60">
        <f t="shared" si="604"/>
        <v>86647</v>
      </c>
      <c r="L218" s="60">
        <f t="shared" si="605"/>
        <v>136430.295879432</v>
      </c>
      <c r="M218" s="60">
        <f t="shared" si="606"/>
        <v>199841.11934295707</v>
      </c>
      <c r="N218" s="60">
        <f t="shared" si="607"/>
        <v>241007.06977332939</v>
      </c>
      <c r="O218" s="60">
        <f t="shared" si="608"/>
        <v>277101.12022502726</v>
      </c>
      <c r="P218" s="60">
        <f t="shared" si="609"/>
        <v>320056.28533451317</v>
      </c>
      <c r="Q218" s="60">
        <f t="shared" si="610"/>
        <v>396959.43564852409</v>
      </c>
      <c r="R218" s="60">
        <f t="shared" si="611"/>
        <v>444302.06765866344</v>
      </c>
      <c r="S218" s="60">
        <f t="shared" si="612"/>
        <v>485289.03231127345</v>
      </c>
      <c r="T218" s="60">
        <f t="shared" si="613"/>
        <v>597890.46965278313</v>
      </c>
      <c r="U218" s="60">
        <f t="shared" si="614"/>
        <v>699641.55136979325</v>
      </c>
      <c r="V218" s="60">
        <f t="shared" si="615"/>
        <v>778279.74908875767</v>
      </c>
      <c r="W218" s="60">
        <f t="shared" si="616"/>
        <v>870100.77370308212</v>
      </c>
      <c r="X218" s="60">
        <f t="shared" si="617"/>
        <v>969647.01946643088</v>
      </c>
      <c r="Y218" s="60">
        <f t="shared" si="618"/>
        <v>1085982.1968365919</v>
      </c>
      <c r="Z218" s="60">
        <f t="shared" si="619"/>
        <v>1352015.5458490718</v>
      </c>
      <c r="AA218" s="60">
        <f t="shared" si="620"/>
        <v>1655456.2256244896</v>
      </c>
      <c r="AB218" s="60">
        <f t="shared" si="620"/>
        <v>1881234.8317813342</v>
      </c>
      <c r="AC218" s="60">
        <f t="shared" si="620"/>
        <v>2096164.2531943307</v>
      </c>
      <c r="AD218" s="60">
        <f t="shared" si="621"/>
        <v>2397165.7758981236</v>
      </c>
      <c r="AE218" s="60">
        <f t="shared" si="622"/>
        <v>2867345.3517340291</v>
      </c>
      <c r="AF218" s="60"/>
      <c r="AG218" s="60"/>
      <c r="AL218" s="221">
        <v>60667</v>
      </c>
      <c r="AM218" s="221">
        <v>75921</v>
      </c>
      <c r="AN218" s="55">
        <v>97373</v>
      </c>
      <c r="AO218" s="55">
        <v>175487.59175886397</v>
      </c>
      <c r="AP218" s="55">
        <v>224194.64692705017</v>
      </c>
      <c r="AQ218" s="55">
        <v>257819.49261960862</v>
      </c>
      <c r="AR218" s="55">
        <v>296382.74783044594</v>
      </c>
      <c r="AS218" s="55">
        <f>AS479</f>
        <v>343729.82283858041</v>
      </c>
      <c r="AT218" s="55">
        <f t="shared" ref="AT218:BB218" si="631">AT479</f>
        <v>450189.0484584677</v>
      </c>
      <c r="AU218" s="55">
        <f t="shared" si="631"/>
        <v>438415.08685885917</v>
      </c>
      <c r="AV218" s="55">
        <f t="shared" si="631"/>
        <v>532162.97776368773</v>
      </c>
      <c r="AW218" s="55">
        <f t="shared" si="631"/>
        <v>663617.96154187853</v>
      </c>
      <c r="AX218" s="55">
        <f t="shared" si="631"/>
        <v>735665.14119770785</v>
      </c>
      <c r="AY218" s="55">
        <f t="shared" si="631"/>
        <v>820894.35697980761</v>
      </c>
      <c r="AZ218" s="55">
        <f t="shared" si="631"/>
        <v>919307.19042635662</v>
      </c>
      <c r="BA218" s="55">
        <f t="shared" si="631"/>
        <v>1019986.848506505</v>
      </c>
      <c r="BB218" s="55">
        <f t="shared" si="631"/>
        <v>1151977.545166679</v>
      </c>
      <c r="BC218" s="206">
        <f>NA!BC265*(Prices!BC$20/100)</f>
        <v>1552053.5465314649</v>
      </c>
      <c r="BD218" s="206">
        <f>NA!BD265*(Prices!BD$20/100)</f>
        <v>1758858.9047175145</v>
      </c>
      <c r="BE218" s="206">
        <f>NA!BE265*(Prices!BE$20/100)</f>
        <v>2003610.758845154</v>
      </c>
      <c r="BF218" s="206">
        <f>NA!BF265*(Prices!BF$20/100)</f>
        <v>2188717.7475435073</v>
      </c>
      <c r="BG218" s="206">
        <f>NA!BG265*(Prices!BG$20/100)</f>
        <v>2605613.80425274</v>
      </c>
      <c r="BH218" s="206">
        <f>NA!BH265*(Prices!BH$20/100)</f>
        <v>3129076.8992153187</v>
      </c>
      <c r="BI218" s="543"/>
    </row>
    <row r="219" spans="3:61" x14ac:dyDescent="0.2">
      <c r="E219" s="205" t="s">
        <v>285</v>
      </c>
      <c r="I219" s="60">
        <f t="shared" si="602"/>
        <v>59122</v>
      </c>
      <c r="J219" s="60">
        <f t="shared" si="603"/>
        <v>64094.5</v>
      </c>
      <c r="K219" s="60">
        <f t="shared" si="604"/>
        <v>72110</v>
      </c>
      <c r="L219" s="60">
        <f t="shared" si="605"/>
        <v>163968.49393399354</v>
      </c>
      <c r="M219" s="60">
        <f t="shared" si="606"/>
        <v>261085.30144416881</v>
      </c>
      <c r="N219" s="60">
        <f t="shared" si="607"/>
        <v>272278.74555305316</v>
      </c>
      <c r="O219" s="60">
        <f t="shared" si="608"/>
        <v>291536.36713334778</v>
      </c>
      <c r="P219" s="60">
        <f t="shared" si="609"/>
        <v>320631.26228870323</v>
      </c>
      <c r="Q219" s="60">
        <f t="shared" si="610"/>
        <v>356461.68827240978</v>
      </c>
      <c r="R219" s="60">
        <f t="shared" si="611"/>
        <v>409440.29390188103</v>
      </c>
      <c r="S219" s="60">
        <f t="shared" si="612"/>
        <v>471956.83126711089</v>
      </c>
      <c r="T219" s="60">
        <f t="shared" si="613"/>
        <v>538087.49326055963</v>
      </c>
      <c r="U219" s="60">
        <f t="shared" si="614"/>
        <v>592509.69876778871</v>
      </c>
      <c r="V219" s="60">
        <f t="shared" si="615"/>
        <v>646440.36382913264</v>
      </c>
      <c r="W219" s="60">
        <f t="shared" si="616"/>
        <v>730839.85880608566</v>
      </c>
      <c r="X219" s="60">
        <f t="shared" si="617"/>
        <v>827075.53847283951</v>
      </c>
      <c r="Y219" s="60">
        <f t="shared" si="618"/>
        <v>940346.98753037152</v>
      </c>
      <c r="Z219" s="60">
        <f t="shared" si="619"/>
        <v>1194764.7571996539</v>
      </c>
      <c r="AA219" s="60">
        <f t="shared" si="620"/>
        <v>1457247.6150285241</v>
      </c>
      <c r="AB219" s="60">
        <f t="shared" si="620"/>
        <v>1624047.1794445391</v>
      </c>
      <c r="AC219" s="60">
        <f t="shared" si="620"/>
        <v>1774786.0652770265</v>
      </c>
      <c r="AD219" s="60">
        <f t="shared" si="621"/>
        <v>1980749.8405149803</v>
      </c>
      <c r="AE219" s="60">
        <f t="shared" si="622"/>
        <v>2305429.3248870084</v>
      </c>
      <c r="AF219" s="60"/>
      <c r="AG219" s="60"/>
      <c r="AL219" s="221">
        <v>59122</v>
      </c>
      <c r="AM219" s="221">
        <v>69067</v>
      </c>
      <c r="AN219" s="55">
        <v>75153</v>
      </c>
      <c r="AO219" s="55">
        <v>252783.98786798707</v>
      </c>
      <c r="AP219" s="55">
        <v>269386.61502035055</v>
      </c>
      <c r="AQ219" s="55">
        <v>275170.87608575576</v>
      </c>
      <c r="AR219" s="55">
        <v>307901.85818093986</v>
      </c>
      <c r="AS219" s="55">
        <f>AS481+AS480+AS482</f>
        <v>333360.66639646667</v>
      </c>
      <c r="AT219" s="55">
        <f t="shared" ref="AT219:BB219" si="632">AT481+AT480+AT482</f>
        <v>379562.7101483529</v>
      </c>
      <c r="AU219" s="55">
        <f t="shared" si="632"/>
        <v>439317.87765540916</v>
      </c>
      <c r="AV219" s="55">
        <f t="shared" si="632"/>
        <v>504595.78487881261</v>
      </c>
      <c r="AW219" s="55">
        <f t="shared" si="632"/>
        <v>571579.20164230652</v>
      </c>
      <c r="AX219" s="55">
        <f t="shared" si="632"/>
        <v>613440.19589327089</v>
      </c>
      <c r="AY219" s="55">
        <f t="shared" si="632"/>
        <v>679440.53176499426</v>
      </c>
      <c r="AZ219" s="55">
        <f t="shared" si="632"/>
        <v>782239.18584717705</v>
      </c>
      <c r="BA219" s="55">
        <f t="shared" si="632"/>
        <v>871911.89109850198</v>
      </c>
      <c r="BB219" s="55">
        <f t="shared" si="632"/>
        <v>1008782.0839622411</v>
      </c>
      <c r="BC219" s="206">
        <f>NA!BC266*(Prices!BC$20/100)</f>
        <v>1380747.4304370666</v>
      </c>
      <c r="BD219" s="206">
        <f>NA!BD266*(Prices!BD$20/100)</f>
        <v>1533747.7996199816</v>
      </c>
      <c r="BE219" s="206">
        <f>NA!BE266*(Prices!BE$20/100)</f>
        <v>1714346.5592690967</v>
      </c>
      <c r="BF219" s="206">
        <f>NA!BF266*(Prices!BF$20/100)</f>
        <v>1835225.5712849565</v>
      </c>
      <c r="BG219" s="206">
        <f>NA!BG266*(Prices!BG$20/100)</f>
        <v>2126274.1097450042</v>
      </c>
      <c r="BH219" s="206">
        <f>NA!BH266*(Prices!BH$20/100)</f>
        <v>2484584.5400290121</v>
      </c>
      <c r="BI219" s="543"/>
    </row>
    <row r="220" spans="3:61" ht="21.75" customHeight="1" x14ac:dyDescent="0.2">
      <c r="E220" s="405" t="s">
        <v>121</v>
      </c>
      <c r="I220" s="203">
        <f>I198+I202+I203+I209</f>
        <v>4895642</v>
      </c>
      <c r="J220" s="203">
        <f>J198+J202+J203+J209</f>
        <v>5300571.5</v>
      </c>
      <c r="K220" s="203">
        <f t="shared" ref="K220:X220" si="633">K198+K202+K203+K209</f>
        <v>6050515</v>
      </c>
      <c r="L220" s="203">
        <f t="shared" si="633"/>
        <v>8498860.0752052628</v>
      </c>
      <c r="M220" s="203">
        <f t="shared" si="633"/>
        <v>11363900.711201187</v>
      </c>
      <c r="N220" s="203">
        <f t="shared" si="633"/>
        <v>13043620.968485042</v>
      </c>
      <c r="O220" s="203">
        <f t="shared" si="633"/>
        <v>14996217.918168491</v>
      </c>
      <c r="P220" s="203">
        <f t="shared" si="633"/>
        <v>15874128.602628514</v>
      </c>
      <c r="Q220" s="203">
        <f t="shared" si="633"/>
        <v>17432444.820422463</v>
      </c>
      <c r="R220" s="203">
        <f t="shared" si="633"/>
        <v>20600005.960701138</v>
      </c>
      <c r="S220" s="203">
        <f t="shared" si="633"/>
        <v>24386561.63298592</v>
      </c>
      <c r="T220" s="203">
        <f t="shared" si="633"/>
        <v>28819142.543819681</v>
      </c>
      <c r="U220" s="203">
        <f t="shared" si="633"/>
        <v>33490705.223157816</v>
      </c>
      <c r="V220" s="203">
        <f t="shared" si="633"/>
        <v>39909293.688771158</v>
      </c>
      <c r="W220" s="203">
        <f t="shared" si="633"/>
        <v>47285509.045359001</v>
      </c>
      <c r="X220" s="203">
        <f t="shared" si="633"/>
        <v>54933519.961188979</v>
      </c>
      <c r="Y220" s="203">
        <f>Y198+Y202+Y203+Y209</f>
        <v>61844611.243810467</v>
      </c>
      <c r="Z220" s="203">
        <f>Z198+Z202+Z203+Z209</f>
        <v>69902490.480196312</v>
      </c>
      <c r="AA220" s="203">
        <f>AA198+AA202+AA203+AA209</f>
        <v>80000700.710447803</v>
      </c>
      <c r="AB220" s="203">
        <f>AB198+AB202+AB203+AB209</f>
        <v>90661193.271531254</v>
      </c>
      <c r="AC220" s="203">
        <f>AC198+AC202+AC203+AC209</f>
        <v>100960676.32317086</v>
      </c>
      <c r="AD220" s="203">
        <f t="shared" ref="AD220:AE220" si="634">AD198+AD202+AD203+AD209</f>
        <v>115710568.0445586</v>
      </c>
      <c r="AE220" s="203">
        <f t="shared" si="634"/>
        <v>139104437.21571237</v>
      </c>
      <c r="AF220" s="203"/>
      <c r="AG220" s="203"/>
      <c r="AL220" s="174">
        <f>AL198+AL203+AL209</f>
        <v>4895642</v>
      </c>
      <c r="AM220" s="174">
        <f t="shared" ref="AM220:BF220" si="635">AM198+AM203+AM209</f>
        <v>5705501</v>
      </c>
      <c r="AN220" s="174">
        <f t="shared" si="635"/>
        <v>6395529</v>
      </c>
      <c r="AO220" s="174">
        <f t="shared" si="635"/>
        <v>10602191.150410527</v>
      </c>
      <c r="AP220" s="174">
        <f t="shared" si="635"/>
        <v>12125610.271991847</v>
      </c>
      <c r="AQ220" s="174">
        <f t="shared" si="635"/>
        <v>13961631.664978236</v>
      </c>
      <c r="AR220" s="174">
        <f t="shared" si="635"/>
        <v>16030804.171358744</v>
      </c>
      <c r="AS220" s="174">
        <f t="shared" si="635"/>
        <v>15717453.033898285</v>
      </c>
      <c r="AT220" s="174">
        <f t="shared" si="635"/>
        <v>19147436.606946643</v>
      </c>
      <c r="AU220" s="174">
        <f t="shared" si="635"/>
        <v>22052575.314455628</v>
      </c>
      <c r="AV220" s="174">
        <f t="shared" si="635"/>
        <v>26720547.951516204</v>
      </c>
      <c r="AW220" s="174">
        <f t="shared" si="635"/>
        <v>30917737.136123162</v>
      </c>
      <c r="AX220" s="174">
        <f t="shared" si="635"/>
        <v>36063673.310192473</v>
      </c>
      <c r="AY220" s="174">
        <f t="shared" si="635"/>
        <v>43754914.067349851</v>
      </c>
      <c r="AZ220" s="174">
        <f t="shared" si="635"/>
        <v>50816104.02336815</v>
      </c>
      <c r="BA220" s="174">
        <f t="shared" si="635"/>
        <v>59050935.899009824</v>
      </c>
      <c r="BB220" s="174">
        <f t="shared" si="635"/>
        <v>64638286.588611096</v>
      </c>
      <c r="BC220" s="174">
        <f t="shared" si="635"/>
        <v>75166694.371781528</v>
      </c>
      <c r="BD220" s="174">
        <f t="shared" si="635"/>
        <v>84834707.049114078</v>
      </c>
      <c r="BE220" s="174">
        <f t="shared" si="635"/>
        <v>96487679.493948445</v>
      </c>
      <c r="BF220" s="174">
        <f t="shared" si="635"/>
        <v>104115228.38065664</v>
      </c>
      <c r="BG220" s="174">
        <f t="shared" ref="BG220:BH220" si="636">BG198+BG203+BG209</f>
        <v>124490021.48716611</v>
      </c>
      <c r="BH220" s="174">
        <f t="shared" si="636"/>
        <v>150505131.58954263</v>
      </c>
      <c r="BI220" s="543"/>
    </row>
    <row r="221" spans="3:61" x14ac:dyDescent="0.2">
      <c r="E221" s="208" t="s">
        <v>301</v>
      </c>
      <c r="I221" s="60">
        <f t="shared" ref="I221:J223" si="637">AVERAGE(AK221:AL221)</f>
        <v>-94605</v>
      </c>
      <c r="J221" s="60">
        <f t="shared" si="637"/>
        <v>-91931</v>
      </c>
      <c r="K221" s="60">
        <f t="shared" ref="K221:Y223" si="638">AVERAGE(AM221:AN221)</f>
        <v>-87146</v>
      </c>
      <c r="L221" s="60">
        <f t="shared" si="638"/>
        <v>-95409.19066160229</v>
      </c>
      <c r="M221" s="60">
        <f t="shared" si="638"/>
        <v>-112659.30110921287</v>
      </c>
      <c r="N221" s="60">
        <f t="shared" si="638"/>
        <v>-129440.51226387273</v>
      </c>
      <c r="O221" s="60">
        <f t="shared" si="638"/>
        <v>-149399.19173502835</v>
      </c>
      <c r="P221" s="60">
        <f t="shared" si="638"/>
        <v>-173425.90336419447</v>
      </c>
      <c r="Q221" s="60">
        <f t="shared" si="638"/>
        <v>-251697.09194723706</v>
      </c>
      <c r="R221" s="60">
        <f t="shared" si="638"/>
        <v>-323498.5380230539</v>
      </c>
      <c r="S221" s="60">
        <f t="shared" si="638"/>
        <v>-310014.33356389793</v>
      </c>
      <c r="T221" s="60">
        <f t="shared" si="638"/>
        <v>-308184.33756536228</v>
      </c>
      <c r="U221" s="60">
        <f t="shared" si="638"/>
        <v>-351771.21921471914</v>
      </c>
      <c r="V221" s="60">
        <f t="shared" si="638"/>
        <v>-467060.86074778321</v>
      </c>
      <c r="W221" s="60">
        <f t="shared" si="638"/>
        <v>-598126.64071066526</v>
      </c>
      <c r="X221" s="60">
        <f t="shared" si="638"/>
        <v>-752744.68148096581</v>
      </c>
      <c r="Y221" s="60">
        <f t="shared" si="638"/>
        <v>-846776.65129643225</v>
      </c>
      <c r="Z221" s="60">
        <f t="shared" ref="Z221:AC223" si="639">AVERAGE(BB221:BC221)</f>
        <v>-1105552.7220313072</v>
      </c>
      <c r="AA221" s="60">
        <f t="shared" si="639"/>
        <v>-1453384.1725904776</v>
      </c>
      <c r="AB221" s="60">
        <f t="shared" si="639"/>
        <v>-1653287.1322115078</v>
      </c>
      <c r="AC221" s="60">
        <f t="shared" si="639"/>
        <v>-1930498.0678901691</v>
      </c>
      <c r="AD221" s="60">
        <f t="shared" ref="AD221:AD223" si="640">AVERAGE(BF221:BG221)</f>
        <v>-2370421.656769705</v>
      </c>
      <c r="AE221" s="60">
        <f t="shared" ref="AE221:AE223" si="641">AVERAGE(BG221:BH221)</f>
        <v>-2986345.8029926512</v>
      </c>
      <c r="AF221" s="60"/>
      <c r="AG221" s="60"/>
      <c r="AL221" s="226">
        <v>-94605</v>
      </c>
      <c r="AM221" s="226">
        <v>-89257</v>
      </c>
      <c r="AN221" s="55">
        <v>-85035</v>
      </c>
      <c r="AO221" s="55">
        <v>-105783.38132320458</v>
      </c>
      <c r="AP221" s="55">
        <v>-119535.22089522117</v>
      </c>
      <c r="AQ221" s="55">
        <v>-139345.8036325243</v>
      </c>
      <c r="AR221" s="55">
        <v>-159452.57983753242</v>
      </c>
      <c r="AS221" s="55">
        <f>AS483</f>
        <v>-187399.22689085652</v>
      </c>
      <c r="AT221" s="55">
        <f t="shared" ref="AT221:BB221" si="642">AT483</f>
        <v>-315994.9570036176</v>
      </c>
      <c r="AU221" s="55">
        <f t="shared" si="642"/>
        <v>-331002.1190424902</v>
      </c>
      <c r="AV221" s="55">
        <f t="shared" si="642"/>
        <v>-289026.54808530567</v>
      </c>
      <c r="AW221" s="55">
        <f t="shared" si="642"/>
        <v>-327342.12704541889</v>
      </c>
      <c r="AX221" s="55">
        <f t="shared" si="642"/>
        <v>-376200.31138401938</v>
      </c>
      <c r="AY221" s="55">
        <f t="shared" si="642"/>
        <v>-557921.4101115471</v>
      </c>
      <c r="AZ221" s="55">
        <f t="shared" si="642"/>
        <v>-638331.87130978343</v>
      </c>
      <c r="BA221" s="55">
        <f t="shared" si="642"/>
        <v>-867157.49165214831</v>
      </c>
      <c r="BB221" s="55">
        <f t="shared" si="642"/>
        <v>-826395.81094071618</v>
      </c>
      <c r="BC221" s="206">
        <f>NA!BC268*(Prices!BC$20/100)</f>
        <v>-1384709.6331218982</v>
      </c>
      <c r="BD221" s="206">
        <f>NA!BD268*(Prices!BD$20/100)</f>
        <v>-1522058.7120590571</v>
      </c>
      <c r="BE221" s="206">
        <f>NA!BE268*(Prices!BE$20/100)</f>
        <v>-1784515.5523639582</v>
      </c>
      <c r="BF221" s="206">
        <f>NA!BF268*(Prices!BF$20/100)</f>
        <v>-2076480.58341638</v>
      </c>
      <c r="BG221" s="206">
        <f>NA!BG268*(Prices!BG$20/100)</f>
        <v>-2664362.73012303</v>
      </c>
      <c r="BH221" s="206">
        <f>NA!BH268*(Prices!BH$20/100)</f>
        <v>-3308328.875862272</v>
      </c>
      <c r="BI221" s="543"/>
    </row>
    <row r="222" spans="3:61" x14ac:dyDescent="0.2">
      <c r="E222" s="209" t="s">
        <v>127</v>
      </c>
      <c r="I222" s="60">
        <f t="shared" si="637"/>
        <v>4801037</v>
      </c>
      <c r="J222" s="60">
        <f t="shared" si="637"/>
        <v>5208640.5</v>
      </c>
      <c r="K222" s="60">
        <f t="shared" si="638"/>
        <v>5963369</v>
      </c>
      <c r="L222" s="60">
        <f t="shared" si="638"/>
        <v>8403450.884543661</v>
      </c>
      <c r="M222" s="60">
        <f t="shared" si="638"/>
        <v>11251241.410091974</v>
      </c>
      <c r="N222" s="60">
        <f t="shared" si="638"/>
        <v>12914180.456221169</v>
      </c>
      <c r="O222" s="60">
        <f t="shared" si="638"/>
        <v>14846818.726433462</v>
      </c>
      <c r="P222" s="60">
        <f t="shared" si="638"/>
        <v>15700702.69926432</v>
      </c>
      <c r="Q222" s="60">
        <f t="shared" si="638"/>
        <v>17180747.728475228</v>
      </c>
      <c r="R222" s="60">
        <f t="shared" si="638"/>
        <v>20276507.422678083</v>
      </c>
      <c r="S222" s="60">
        <f t="shared" si="638"/>
        <v>24076547.299422018</v>
      </c>
      <c r="T222" s="60">
        <f t="shared" si="638"/>
        <v>28510958.206254318</v>
      </c>
      <c r="U222" s="60">
        <f t="shared" si="638"/>
        <v>33138934.003943097</v>
      </c>
      <c r="V222" s="60">
        <f t="shared" si="638"/>
        <v>39442232.828023374</v>
      </c>
      <c r="W222" s="60">
        <f t="shared" si="638"/>
        <v>46687382.404648334</v>
      </c>
      <c r="X222" s="60">
        <f t="shared" si="638"/>
        <v>54180775.27970802</v>
      </c>
      <c r="Y222" s="60">
        <f t="shared" si="638"/>
        <v>60997834.592514031</v>
      </c>
      <c r="Z222" s="60">
        <f t="shared" si="639"/>
        <v>68796937.758165002</v>
      </c>
      <c r="AA222" s="60">
        <f t="shared" si="639"/>
        <v>78547316.537857324</v>
      </c>
      <c r="AB222" s="60">
        <f t="shared" si="639"/>
        <v>89007906.139319748</v>
      </c>
      <c r="AC222" s="60">
        <f t="shared" si="639"/>
        <v>98370955.869412363</v>
      </c>
      <c r="AD222" s="60">
        <f t="shared" si="640"/>
        <v>111932203.27714166</v>
      </c>
      <c r="AE222" s="60">
        <f t="shared" si="641"/>
        <v>134511230.73536173</v>
      </c>
      <c r="AF222" s="60"/>
      <c r="AG222" s="60"/>
      <c r="AL222" s="174">
        <f>AL220+AL221</f>
        <v>4801037</v>
      </c>
      <c r="AM222" s="174">
        <f>AM220+AM221</f>
        <v>5616244</v>
      </c>
      <c r="AN222" s="203">
        <f t="shared" ref="AN222:BA222" si="643">AN220+AN221</f>
        <v>6310494</v>
      </c>
      <c r="AO222" s="203">
        <f t="shared" si="643"/>
        <v>10496407.769087322</v>
      </c>
      <c r="AP222" s="203">
        <f t="shared" si="643"/>
        <v>12006075.051096626</v>
      </c>
      <c r="AQ222" s="203">
        <f t="shared" si="643"/>
        <v>13822285.861345712</v>
      </c>
      <c r="AR222" s="203">
        <f t="shared" si="643"/>
        <v>15871351.591521211</v>
      </c>
      <c r="AS222" s="203">
        <f t="shared" si="643"/>
        <v>15530053.807007428</v>
      </c>
      <c r="AT222" s="203">
        <f t="shared" si="643"/>
        <v>18831441.649943028</v>
      </c>
      <c r="AU222" s="203">
        <f t="shared" si="643"/>
        <v>21721573.195413139</v>
      </c>
      <c r="AV222" s="203">
        <f t="shared" si="643"/>
        <v>26431521.403430898</v>
      </c>
      <c r="AW222" s="203">
        <f t="shared" si="643"/>
        <v>30590395.009077743</v>
      </c>
      <c r="AX222" s="203">
        <f t="shared" si="643"/>
        <v>35687472.998808451</v>
      </c>
      <c r="AY222" s="203">
        <f t="shared" si="643"/>
        <v>43196992.657238305</v>
      </c>
      <c r="AZ222" s="203">
        <f t="shared" si="643"/>
        <v>50177772.152058363</v>
      </c>
      <c r="BA222" s="203">
        <f t="shared" si="643"/>
        <v>58183778.407357678</v>
      </c>
      <c r="BB222" s="203">
        <f>BB220+BB221</f>
        <v>63811890.777670383</v>
      </c>
      <c r="BC222" s="203">
        <f>BC220+BC221</f>
        <v>73781984.738659635</v>
      </c>
      <c r="BD222" s="203">
        <f>BD220+BD221</f>
        <v>83312648.337055027</v>
      </c>
      <c r="BE222" s="203">
        <f>BE220+BE221</f>
        <v>94703163.941584483</v>
      </c>
      <c r="BF222" s="203">
        <f>BF220+BF221</f>
        <v>102038747.79724026</v>
      </c>
      <c r="BG222" s="203">
        <f t="shared" ref="BG222:BH222" si="644">BG220+BG221</f>
        <v>121825658.75704308</v>
      </c>
      <c r="BH222" s="203">
        <f t="shared" si="644"/>
        <v>147196802.71368036</v>
      </c>
      <c r="BI222" s="543"/>
    </row>
    <row r="223" spans="3:61" ht="15" x14ac:dyDescent="0.25">
      <c r="E223" s="208" t="s">
        <v>302</v>
      </c>
      <c r="I223" s="60">
        <f t="shared" si="637"/>
        <v>420243</v>
      </c>
      <c r="J223" s="60">
        <f t="shared" si="637"/>
        <v>424424.5</v>
      </c>
      <c r="K223" s="60">
        <f t="shared" si="638"/>
        <v>478878.5</v>
      </c>
      <c r="L223" s="60">
        <f t="shared" si="638"/>
        <v>524180.09048926912</v>
      </c>
      <c r="M223" s="60">
        <f t="shared" si="638"/>
        <v>558478.19300460629</v>
      </c>
      <c r="N223" s="60">
        <f t="shared" si="638"/>
        <v>651675.81679974659</v>
      </c>
      <c r="O223" s="60">
        <f t="shared" si="638"/>
        <v>776568.95530298841</v>
      </c>
      <c r="P223" s="60">
        <f t="shared" si="638"/>
        <v>1003858.7129434464</v>
      </c>
      <c r="Q223" s="60">
        <f t="shared" si="638"/>
        <v>1304972.3987819883</v>
      </c>
      <c r="R223" s="60">
        <f t="shared" si="638"/>
        <v>1635652.4675410837</v>
      </c>
      <c r="S223" s="60">
        <f t="shared" si="638"/>
        <v>1997056.2706839626</v>
      </c>
      <c r="T223" s="60">
        <f t="shared" si="638"/>
        <v>2326568.2850000001</v>
      </c>
      <c r="U223" s="60">
        <f t="shared" si="638"/>
        <v>2647837.0550000002</v>
      </c>
      <c r="V223" s="60">
        <f t="shared" si="638"/>
        <v>3038290.4966370976</v>
      </c>
      <c r="W223" s="60">
        <f t="shared" si="638"/>
        <v>3566100.6557741947</v>
      </c>
      <c r="X223" s="60">
        <f t="shared" si="638"/>
        <v>4175555.8170561972</v>
      </c>
      <c r="Y223" s="60">
        <f t="shared" si="638"/>
        <v>5466985.1579190996</v>
      </c>
      <c r="Z223" s="60">
        <f t="shared" si="639"/>
        <v>6541850.9691782007</v>
      </c>
      <c r="AA223" s="60">
        <f t="shared" si="639"/>
        <v>7331834.7267002193</v>
      </c>
      <c r="AB223" s="60">
        <f t="shared" si="639"/>
        <v>8490247.8365749232</v>
      </c>
      <c r="AC223" s="60">
        <f t="shared" si="639"/>
        <v>9663166.396796003</v>
      </c>
      <c r="AD223" s="60">
        <f t="shared" si="640"/>
        <v>11239209.403860267</v>
      </c>
      <c r="AE223" s="60">
        <f t="shared" si="641"/>
        <v>6049514.5861171698</v>
      </c>
      <c r="AF223" s="60"/>
      <c r="AG223" s="60"/>
      <c r="AL223" s="226">
        <v>420243</v>
      </c>
      <c r="AM223" s="226">
        <v>428606</v>
      </c>
      <c r="AN223" s="55">
        <v>529151</v>
      </c>
      <c r="AO223" s="655">
        <v>519209.18097853824</v>
      </c>
      <c r="AP223" s="655">
        <v>597747.20503067423</v>
      </c>
      <c r="AQ223" s="655">
        <v>705604.42856881884</v>
      </c>
      <c r="AR223" s="655">
        <v>847533.4820371581</v>
      </c>
      <c r="AS223" s="656">
        <f>AS485</f>
        <v>1160183.9438497345</v>
      </c>
      <c r="AT223" s="656">
        <f t="shared" ref="AT223:BB223" si="645">AT485</f>
        <v>1449760.8537142419</v>
      </c>
      <c r="AU223" s="656">
        <f t="shared" si="645"/>
        <v>1821544.0813679253</v>
      </c>
      <c r="AV223" s="656">
        <f t="shared" si="645"/>
        <v>2172568.46</v>
      </c>
      <c r="AW223" s="656">
        <f t="shared" si="645"/>
        <v>2480568.1100000003</v>
      </c>
      <c r="AX223" s="656">
        <f t="shared" si="645"/>
        <v>2815106</v>
      </c>
      <c r="AY223" s="656">
        <f t="shared" si="645"/>
        <v>3261474.9932741951</v>
      </c>
      <c r="AZ223" s="656">
        <f t="shared" si="645"/>
        <v>3870726.3182741944</v>
      </c>
      <c r="BA223" s="656">
        <f t="shared" si="645"/>
        <v>4480385.3158382</v>
      </c>
      <c r="BB223" s="656">
        <f t="shared" si="645"/>
        <v>6453585</v>
      </c>
      <c r="BC223" s="206">
        <f t="shared" ref="BC223:BF223" si="646">BC80</f>
        <v>6630116.9383564014</v>
      </c>
      <c r="BD223" s="206">
        <f t="shared" si="646"/>
        <v>8033552.5150440373</v>
      </c>
      <c r="BE223" s="206">
        <f t="shared" si="646"/>
        <v>8946943.1581058111</v>
      </c>
      <c r="BF223" s="206">
        <f t="shared" si="646"/>
        <v>10379389.635486197</v>
      </c>
      <c r="BG223" s="206">
        <f t="shared" ref="BG223:BH223" si="647">BG80</f>
        <v>12099029.17223434</v>
      </c>
      <c r="BH223" s="206">
        <f t="shared" si="647"/>
        <v>0</v>
      </c>
      <c r="BI223" s="543"/>
    </row>
    <row r="224" spans="3:61" ht="15" x14ac:dyDescent="0.25">
      <c r="E224" s="348" t="s">
        <v>286</v>
      </c>
      <c r="I224" s="60"/>
      <c r="J224" s="60"/>
      <c r="K224" s="60"/>
      <c r="L224" s="60"/>
      <c r="M224" s="60"/>
      <c r="N224" s="60"/>
      <c r="O224" s="60"/>
      <c r="P224" s="60"/>
      <c r="Q224" s="60"/>
      <c r="R224" s="60"/>
      <c r="S224" s="60"/>
      <c r="T224" s="60"/>
      <c r="U224" s="60"/>
      <c r="V224" s="60"/>
      <c r="W224" s="60"/>
      <c r="X224" s="60"/>
      <c r="Y224" s="60"/>
      <c r="Z224" s="60"/>
      <c r="AA224" s="60"/>
      <c r="AB224" s="60"/>
      <c r="AC224" s="60"/>
      <c r="AD224" s="60"/>
      <c r="AE224" s="60"/>
      <c r="AF224" s="60"/>
      <c r="AG224" s="60"/>
      <c r="AL224" s="55"/>
      <c r="AM224" s="55"/>
      <c r="AN224" s="55"/>
      <c r="AO224" s="55"/>
      <c r="AP224" s="55"/>
      <c r="AQ224" s="55"/>
      <c r="AR224" s="55"/>
      <c r="AS224" s="55"/>
      <c r="AT224" s="55"/>
      <c r="AU224" s="55"/>
      <c r="AV224" s="55"/>
      <c r="AW224" s="473"/>
      <c r="AX224" s="473"/>
      <c r="AY224" s="473"/>
      <c r="AZ224" s="473"/>
      <c r="BA224" s="473"/>
      <c r="BB224" s="245"/>
      <c r="BC224" s="245"/>
      <c r="BI224" s="543"/>
    </row>
    <row r="225" spans="5:61" x14ac:dyDescent="0.2">
      <c r="E225" s="202" t="s">
        <v>284</v>
      </c>
      <c r="I225" s="203">
        <f>I226+I230+I231+I234</f>
        <v>1062690</v>
      </c>
      <c r="J225" s="203">
        <f>J226+J230+J231+J234</f>
        <v>1120200.5</v>
      </c>
      <c r="K225" s="203">
        <f t="shared" ref="K225:X225" si="648">K226+K230+K231+K234</f>
        <v>1245427.5</v>
      </c>
      <c r="L225" s="203">
        <f t="shared" si="648"/>
        <v>656572</v>
      </c>
      <c r="M225" s="203">
        <f t="shared" si="648"/>
        <v>0</v>
      </c>
      <c r="N225" s="203">
        <f t="shared" si="648"/>
        <v>0</v>
      </c>
      <c r="O225" s="203">
        <f t="shared" si="648"/>
        <v>0</v>
      </c>
      <c r="P225" s="203">
        <f t="shared" si="648"/>
        <v>1211295.9191342911</v>
      </c>
      <c r="Q225" s="203">
        <f t="shared" si="648"/>
        <v>2719912.3087304672</v>
      </c>
      <c r="R225" s="203">
        <f t="shared" si="648"/>
        <v>3122273.6511382041</v>
      </c>
      <c r="S225" s="203">
        <f t="shared" si="648"/>
        <v>3694082.0883378303</v>
      </c>
      <c r="T225" s="203">
        <f t="shared" si="648"/>
        <v>4408355.0811606077</v>
      </c>
      <c r="U225" s="203">
        <f t="shared" si="648"/>
        <v>4994649.7799167326</v>
      </c>
      <c r="V225" s="203">
        <f t="shared" si="648"/>
        <v>5818776.1656929953</v>
      </c>
      <c r="W225" s="203">
        <f t="shared" si="648"/>
        <v>6844914.3597100526</v>
      </c>
      <c r="X225" s="203">
        <f t="shared" si="648"/>
        <v>7837389.5310870707</v>
      </c>
      <c r="Y225" s="203">
        <f>Y226+Y230+Y231+Y234</f>
        <v>8733043.5884717572</v>
      </c>
      <c r="Z225" s="203">
        <f>Z226+Z230+Z231+Z234</f>
        <v>8941133.5063640326</v>
      </c>
      <c r="AA225" s="203">
        <f>AA226+AA230+AA231+AA234</f>
        <v>8925553.269549381</v>
      </c>
      <c r="AB225" s="203">
        <f>AB226+AB230+AB231+AB234</f>
        <v>9390488.6497453712</v>
      </c>
      <c r="AC225" s="203">
        <f>AC226+AC230+AC231+AC234</f>
        <v>9676256.4010396525</v>
      </c>
      <c r="AD225" s="203">
        <f t="shared" ref="AD225:AE225" si="649">AD226+AD230+AD231+AD234</f>
        <v>10163134.972543959</v>
      </c>
      <c r="AE225" s="203">
        <f t="shared" si="649"/>
        <v>11151117.627379699</v>
      </c>
      <c r="AF225" s="203"/>
      <c r="AG225" s="203"/>
      <c r="AL225" s="203">
        <f t="shared" ref="AL225:AM225" si="650">AL226+AL230+AL231+AL234</f>
        <v>1062690</v>
      </c>
      <c r="AM225" s="203">
        <f t="shared" si="650"/>
        <v>1177711</v>
      </c>
      <c r="AN225" s="203">
        <f t="shared" ref="AN225" si="651">AN226+AN231+AN234</f>
        <v>1309456</v>
      </c>
      <c r="AO225" s="203">
        <f t="shared" ref="AO225" si="652">AO226+AO231+AO234</f>
        <v>0</v>
      </c>
      <c r="AP225" s="203">
        <f t="shared" ref="AP225" si="653">AP226+AP231+AP234</f>
        <v>0</v>
      </c>
      <c r="AQ225" s="203">
        <f t="shared" ref="AQ225" si="654">AQ226+AQ231+AQ234</f>
        <v>0</v>
      </c>
      <c r="AR225" s="203">
        <f t="shared" ref="AR225" si="655">AR226+AR231+AR234</f>
        <v>0</v>
      </c>
      <c r="AS225" s="203">
        <f t="shared" ref="AS225" si="656">AS226+AS231+AS234</f>
        <v>2422591.8382685822</v>
      </c>
      <c r="AT225" s="203">
        <f t="shared" ref="AT225" si="657">AT226+AT231+AT234</f>
        <v>3017232.7791923522</v>
      </c>
      <c r="AU225" s="203">
        <f t="shared" ref="AU225" si="658">AU226+AU231+AU234</f>
        <v>3227314.5230840566</v>
      </c>
      <c r="AV225" s="203">
        <f t="shared" ref="AV225" si="659">AV226+AV231+AV234</f>
        <v>4160849.653591604</v>
      </c>
      <c r="AW225" s="203">
        <f t="shared" ref="AW225" si="660">AW226+AW231+AW234</f>
        <v>4655860.5087296106</v>
      </c>
      <c r="AX225" s="203">
        <f t="shared" ref="AX225" si="661">AX226+AX231+AX234</f>
        <v>5333439.0511038546</v>
      </c>
      <c r="AY225" s="203">
        <f t="shared" ref="AY225" si="662">AY226+AY231+AY234</f>
        <v>6304113.280282137</v>
      </c>
      <c r="AZ225" s="203">
        <f t="shared" ref="AZ225" si="663">AZ226+AZ231+AZ234</f>
        <v>7385715.4391379692</v>
      </c>
      <c r="BA225" s="203">
        <f t="shared" ref="BA225" si="664">BA226+BA231+BA234</f>
        <v>8289063.6230361732</v>
      </c>
      <c r="BB225" s="203">
        <f t="shared" ref="BB225" si="665">BB226+BB231+BB234</f>
        <v>9177023.5539073423</v>
      </c>
      <c r="BC225" s="203">
        <f t="shared" ref="BC225" si="666">BC226+BC231+BC234</f>
        <v>8673937.3002744541</v>
      </c>
      <c r="BD225" s="203">
        <f t="shared" ref="BD225" si="667">BD226+BD231+BD234</f>
        <v>9112466.0496680569</v>
      </c>
      <c r="BE225" s="203">
        <f t="shared" ref="BE225" si="668">BE226+BE231+BE234</f>
        <v>9599414.9177988321</v>
      </c>
      <c r="BF225" s="203">
        <f t="shared" ref="BF225:BH225" si="669">BF226+BF231+BF234</f>
        <v>9681095.6067671459</v>
      </c>
      <c r="BG225" s="203">
        <f t="shared" si="669"/>
        <v>10568881.780099174</v>
      </c>
      <c r="BH225" s="203">
        <f t="shared" si="669"/>
        <v>11648868.484942032</v>
      </c>
      <c r="BI225" s="543"/>
    </row>
    <row r="226" spans="5:61" x14ac:dyDescent="0.2">
      <c r="E226" s="202" t="s">
        <v>101</v>
      </c>
      <c r="I226" s="204">
        <f>SUM(I227:I229)</f>
        <v>754603</v>
      </c>
      <c r="J226" s="204">
        <f>SUM(J227:J229)</f>
        <v>793243</v>
      </c>
      <c r="K226" s="204">
        <f t="shared" ref="K226:X226" si="670">SUM(K227:K229)</f>
        <v>877640.5</v>
      </c>
      <c r="L226" s="204">
        <f t="shared" si="670"/>
        <v>461699</v>
      </c>
      <c r="M226" s="204">
        <f t="shared" si="670"/>
        <v>0</v>
      </c>
      <c r="N226" s="204">
        <f t="shared" si="670"/>
        <v>0</v>
      </c>
      <c r="O226" s="204">
        <f t="shared" si="670"/>
        <v>0</v>
      </c>
      <c r="P226" s="204">
        <f t="shared" si="670"/>
        <v>1019752.8004254876</v>
      </c>
      <c r="Q226" s="204">
        <f t="shared" si="670"/>
        <v>2308681.0472156703</v>
      </c>
      <c r="R226" s="204">
        <f t="shared" si="670"/>
        <v>2650175.7597705587</v>
      </c>
      <c r="S226" s="204">
        <f t="shared" si="670"/>
        <v>3159498.9390304871</v>
      </c>
      <c r="T226" s="204">
        <f t="shared" si="670"/>
        <v>3848130.8967859326</v>
      </c>
      <c r="U226" s="204">
        <f t="shared" si="670"/>
        <v>4419916.2561716326</v>
      </c>
      <c r="V226" s="204">
        <f t="shared" si="670"/>
        <v>5165259.498841133</v>
      </c>
      <c r="W226" s="204">
        <f t="shared" si="670"/>
        <v>6114111.8718993142</v>
      </c>
      <c r="X226" s="204">
        <f t="shared" si="670"/>
        <v>7018606.4803611031</v>
      </c>
      <c r="Y226" s="204">
        <f>SUM(Y227:Y229)</f>
        <v>7822263.3880028911</v>
      </c>
      <c r="Z226" s="204">
        <f>SUM(Z227:Z229)</f>
        <v>7628876.2877833396</v>
      </c>
      <c r="AA226" s="204">
        <f>SUM(AA227:AA229)</f>
        <v>7166367.4246262833</v>
      </c>
      <c r="AB226" s="204">
        <f>SUM(AB227:AB229)</f>
        <v>7519844.6409645025</v>
      </c>
      <c r="AC226" s="204">
        <f>SUM(AC227:AC229)</f>
        <v>7745253.6063428223</v>
      </c>
      <c r="AD226" s="204">
        <f t="shared" ref="AD226:AE226" si="671">SUM(AD227:AD229)</f>
        <v>8122232.048050303</v>
      </c>
      <c r="AE226" s="204">
        <f t="shared" si="671"/>
        <v>8900692.1375718117</v>
      </c>
      <c r="AF226" s="204"/>
      <c r="AG226" s="204"/>
      <c r="AL226" s="174">
        <f>SUM(AL227:AL229)</f>
        <v>754603</v>
      </c>
      <c r="AM226" s="174">
        <f>SUM(AM227:AM229)</f>
        <v>831883</v>
      </c>
      <c r="AN226" s="204">
        <f t="shared" ref="AN226:AR226" si="672">SUM(AN227:AN229)</f>
        <v>923398</v>
      </c>
      <c r="AO226" s="204">
        <f t="shared" si="672"/>
        <v>0</v>
      </c>
      <c r="AP226" s="204">
        <f t="shared" si="672"/>
        <v>0</v>
      </c>
      <c r="AQ226" s="204">
        <f t="shared" si="672"/>
        <v>0</v>
      </c>
      <c r="AR226" s="204">
        <f t="shared" si="672"/>
        <v>0</v>
      </c>
      <c r="AS226" s="204">
        <f>SUM(AS227:AS230)</f>
        <v>2048429.224289079</v>
      </c>
      <c r="AT226" s="204">
        <f t="shared" ref="AT226:BB226" si="673">SUM(AT227:AT230)</f>
        <v>2588121.678502372</v>
      </c>
      <c r="AU226" s="204">
        <f t="shared" si="673"/>
        <v>2733770.6152770268</v>
      </c>
      <c r="AV226" s="204">
        <f t="shared" si="673"/>
        <v>3612539.2000006181</v>
      </c>
      <c r="AW226" s="204">
        <f t="shared" si="673"/>
        <v>4125213.8135909382</v>
      </c>
      <c r="AX226" s="204">
        <f t="shared" si="673"/>
        <v>4763966.0836412953</v>
      </c>
      <c r="AY226" s="204">
        <f t="shared" si="673"/>
        <v>5619162.1205936782</v>
      </c>
      <c r="AZ226" s="204">
        <f t="shared" si="673"/>
        <v>6673098.5187469395</v>
      </c>
      <c r="BA226" s="204">
        <f t="shared" si="673"/>
        <v>7450674.9813419534</v>
      </c>
      <c r="BB226" s="204">
        <f t="shared" si="673"/>
        <v>8305484.9054593956</v>
      </c>
      <c r="BC226" s="204">
        <f>SUM(BC227:BC229)</f>
        <v>7012660.4432951165</v>
      </c>
      <c r="BD226" s="204">
        <f>SUM(BD227:BD229)</f>
        <v>7320074.405957453</v>
      </c>
      <c r="BE226" s="204">
        <f>SUM(BE227:BE229)</f>
        <v>7719614.875971552</v>
      </c>
      <c r="BF226" s="204">
        <f>SUM(BF227:BF229)</f>
        <v>7770892.3367140936</v>
      </c>
      <c r="BG226" s="204">
        <f t="shared" ref="BG226:BH226" si="674">SUM(BG227:BG229)</f>
        <v>8473571.7593865134</v>
      </c>
      <c r="BH226" s="204">
        <f t="shared" si="674"/>
        <v>9327812.51575711</v>
      </c>
      <c r="BI226" s="543"/>
    </row>
    <row r="227" spans="5:61" x14ac:dyDescent="0.2">
      <c r="E227" s="205" t="s">
        <v>102</v>
      </c>
      <c r="I227" s="60">
        <f t="shared" ref="I227:J230" si="675">AVERAGE(AK227:AL227)</f>
        <v>577548</v>
      </c>
      <c r="J227" s="60">
        <f t="shared" si="675"/>
        <v>607869.5</v>
      </c>
      <c r="K227" s="60">
        <f t="shared" ref="K227:Y230" si="676">AVERAGE(AM227:AN227)</f>
        <v>674567.5</v>
      </c>
      <c r="L227" s="60">
        <f t="shared" si="676"/>
        <v>355472</v>
      </c>
      <c r="M227" s="60">
        <f t="shared" si="676"/>
        <v>0</v>
      </c>
      <c r="N227" s="60">
        <f t="shared" si="676"/>
        <v>0</v>
      </c>
      <c r="O227" s="60">
        <f t="shared" si="676"/>
        <v>0</v>
      </c>
      <c r="P227" s="60">
        <f t="shared" si="676"/>
        <v>687039.64682149654</v>
      </c>
      <c r="Q227" s="60">
        <f t="shared" si="676"/>
        <v>1562644.662355111</v>
      </c>
      <c r="R227" s="60">
        <f t="shared" si="676"/>
        <v>1659440.7144408356</v>
      </c>
      <c r="S227" s="60">
        <f t="shared" si="676"/>
        <v>1883618.7225231782</v>
      </c>
      <c r="T227" s="60">
        <f t="shared" si="676"/>
        <v>2423862.269319322</v>
      </c>
      <c r="U227" s="60">
        <f t="shared" si="676"/>
        <v>2922133.5419132663</v>
      </c>
      <c r="V227" s="60">
        <f t="shared" si="676"/>
        <v>3503575.0303733991</v>
      </c>
      <c r="W227" s="60">
        <f t="shared" si="676"/>
        <v>4225325.1260761945</v>
      </c>
      <c r="X227" s="60">
        <f t="shared" si="676"/>
        <v>4861791.5822094362</v>
      </c>
      <c r="Y227" s="60">
        <f t="shared" si="676"/>
        <v>5408851.9103747392</v>
      </c>
      <c r="Z227" s="60">
        <f t="shared" ref="Z227:AC230" si="677">AVERAGE(BB227:BC227)</f>
        <v>5017246.8890930843</v>
      </c>
      <c r="AA227" s="60">
        <f t="shared" si="677"/>
        <v>4418045.4577192683</v>
      </c>
      <c r="AB227" s="60">
        <f t="shared" si="677"/>
        <v>4667628.4679745669</v>
      </c>
      <c r="AC227" s="60">
        <f t="shared" si="677"/>
        <v>4824308.4195454903</v>
      </c>
      <c r="AD227" s="60">
        <f t="shared" ref="AD227:AD230" si="678">AVERAGE(BF227:BG227)</f>
        <v>5064841.2087240554</v>
      </c>
      <c r="AE227" s="60">
        <f t="shared" ref="AE227:AE230" si="679">AVERAGE(BG227:BH227)</f>
        <v>5547033.3641395187</v>
      </c>
      <c r="AF227" s="60"/>
      <c r="AG227" s="60"/>
      <c r="AL227" s="221">
        <v>577548</v>
      </c>
      <c r="AM227" s="221">
        <v>638191</v>
      </c>
      <c r="AN227" s="55">
        <v>710944</v>
      </c>
      <c r="AO227" s="55">
        <v>0</v>
      </c>
      <c r="AP227" s="55">
        <v>0</v>
      </c>
      <c r="AQ227" s="55">
        <v>0</v>
      </c>
      <c r="AR227" s="55">
        <v>0</v>
      </c>
      <c r="AS227" s="55">
        <f t="shared" ref="AS227:BB235" si="680">AS489</f>
        <v>1374079.2936429931</v>
      </c>
      <c r="AT227" s="55">
        <f t="shared" si="680"/>
        <v>1751210.0310672291</v>
      </c>
      <c r="AU227" s="55">
        <f t="shared" si="680"/>
        <v>1567671.3978144419</v>
      </c>
      <c r="AV227" s="55">
        <f t="shared" si="680"/>
        <v>2199566.0472319145</v>
      </c>
      <c r="AW227" s="55">
        <f t="shared" si="680"/>
        <v>2648158.4914067299</v>
      </c>
      <c r="AX227" s="55">
        <f t="shared" si="680"/>
        <v>3196108.5924198022</v>
      </c>
      <c r="AY227" s="55">
        <f t="shared" si="680"/>
        <v>3811041.4683269956</v>
      </c>
      <c r="AZ227" s="55">
        <f t="shared" si="680"/>
        <v>4639608.7838253928</v>
      </c>
      <c r="BA227" s="55">
        <f t="shared" si="680"/>
        <v>5083974.3805934787</v>
      </c>
      <c r="BB227" s="55">
        <f t="shared" si="680"/>
        <v>5733729.4401559997</v>
      </c>
      <c r="BC227" s="206">
        <f>NA!BC274*(Prices!BC$20/100)</f>
        <v>4300764.3380301679</v>
      </c>
      <c r="BD227" s="206">
        <f>NA!BD274*(Prices!BD$20/100)</f>
        <v>4535326.5774083696</v>
      </c>
      <c r="BE227" s="206">
        <f>NA!BE274*(Prices!BE$20/100)</f>
        <v>4799930.3585407641</v>
      </c>
      <c r="BF227" s="206">
        <f>NA!BF274*(Prices!BF$20/100)</f>
        <v>4848686.4805502165</v>
      </c>
      <c r="BG227" s="206">
        <f>NA!BG274*(Prices!BG$20/100)</f>
        <v>5280995.9368978953</v>
      </c>
      <c r="BH227" s="206">
        <f>NA!BH274*(Prices!BH$20/100)</f>
        <v>5813070.7913811421</v>
      </c>
    </row>
    <row r="228" spans="5:61" x14ac:dyDescent="0.2">
      <c r="E228" s="205" t="s">
        <v>103</v>
      </c>
      <c r="I228" s="60">
        <f t="shared" si="675"/>
        <v>112435</v>
      </c>
      <c r="J228" s="60">
        <f t="shared" si="675"/>
        <v>118169</v>
      </c>
      <c r="K228" s="60">
        <f t="shared" si="676"/>
        <v>130718</v>
      </c>
      <c r="L228" s="60">
        <f t="shared" si="676"/>
        <v>68766.5</v>
      </c>
      <c r="M228" s="60">
        <f t="shared" si="676"/>
        <v>0</v>
      </c>
      <c r="N228" s="60">
        <f t="shared" si="676"/>
        <v>0</v>
      </c>
      <c r="O228" s="60">
        <f t="shared" si="676"/>
        <v>0</v>
      </c>
      <c r="P228" s="60">
        <f t="shared" si="676"/>
        <v>263736.85304032813</v>
      </c>
      <c r="Q228" s="60">
        <f t="shared" si="676"/>
        <v>591637.66963701439</v>
      </c>
      <c r="R228" s="60">
        <f t="shared" si="676"/>
        <v>784075.27726839262</v>
      </c>
      <c r="S228" s="60">
        <f t="shared" si="676"/>
        <v>1012083.2477982291</v>
      </c>
      <c r="T228" s="60">
        <f t="shared" si="676"/>
        <v>1114714.9709182759</v>
      </c>
      <c r="U228" s="60">
        <f t="shared" si="676"/>
        <v>1149603.1815504832</v>
      </c>
      <c r="V228" s="60">
        <f t="shared" si="676"/>
        <v>1263173.7684089388</v>
      </c>
      <c r="W228" s="60">
        <f t="shared" si="676"/>
        <v>1400135.5403156255</v>
      </c>
      <c r="X228" s="60">
        <f t="shared" si="676"/>
        <v>1545252.4022759513</v>
      </c>
      <c r="Y228" s="60">
        <f t="shared" si="676"/>
        <v>1676979.0178978897</v>
      </c>
      <c r="Z228" s="60">
        <f t="shared" si="677"/>
        <v>1910310.7639562474</v>
      </c>
      <c r="AA228" s="60">
        <f t="shared" si="677"/>
        <v>2113070.1629542247</v>
      </c>
      <c r="AB228" s="60">
        <f t="shared" si="677"/>
        <v>2167384.4803077364</v>
      </c>
      <c r="AC228" s="60">
        <f t="shared" si="677"/>
        <v>2202250.2867382132</v>
      </c>
      <c r="AD228" s="60">
        <f t="shared" si="678"/>
        <v>2291355.5989067163</v>
      </c>
      <c r="AE228" s="60">
        <f t="shared" si="679"/>
        <v>2507764.9891212308</v>
      </c>
      <c r="AF228" s="60"/>
      <c r="AG228" s="60"/>
      <c r="AL228" s="221">
        <v>112435</v>
      </c>
      <c r="AM228" s="221">
        <v>123903</v>
      </c>
      <c r="AN228" s="55">
        <v>137533</v>
      </c>
      <c r="AO228" s="55">
        <v>0</v>
      </c>
      <c r="AP228" s="55">
        <v>0</v>
      </c>
      <c r="AQ228" s="55">
        <v>0</v>
      </c>
      <c r="AR228" s="55">
        <v>0</v>
      </c>
      <c r="AS228" s="55">
        <f t="shared" si="680"/>
        <v>527473.70608065627</v>
      </c>
      <c r="AT228" s="55">
        <f t="shared" si="680"/>
        <v>655801.63319337252</v>
      </c>
      <c r="AU228" s="55">
        <f t="shared" si="680"/>
        <v>912348.92134341272</v>
      </c>
      <c r="AV228" s="55">
        <f t="shared" si="680"/>
        <v>1111817.5742530455</v>
      </c>
      <c r="AW228" s="55">
        <f t="shared" si="680"/>
        <v>1117612.367583506</v>
      </c>
      <c r="AX228" s="55">
        <f t="shared" si="680"/>
        <v>1181593.9955174602</v>
      </c>
      <c r="AY228" s="55">
        <f t="shared" si="680"/>
        <v>1344753.5413004176</v>
      </c>
      <c r="AZ228" s="55">
        <f t="shared" si="680"/>
        <v>1455517.5393308334</v>
      </c>
      <c r="BA228" s="55">
        <f t="shared" si="680"/>
        <v>1634987.2652210693</v>
      </c>
      <c r="BB228" s="55">
        <f t="shared" si="680"/>
        <v>1718970.7705747101</v>
      </c>
      <c r="BC228" s="206">
        <f>NA!BC275*(Prices!BC$20/100)</f>
        <v>2101650.7573377844</v>
      </c>
      <c r="BD228" s="206">
        <f>NA!BD275*(Prices!BD$20/100)</f>
        <v>2124489.5685706651</v>
      </c>
      <c r="BE228" s="206">
        <f>NA!BE275*(Prices!BE$20/100)</f>
        <v>2210279.3920448082</v>
      </c>
      <c r="BF228" s="206">
        <f>NA!BF275*(Prices!BF$20/100)</f>
        <v>2194221.1814316181</v>
      </c>
      <c r="BG228" s="206">
        <f>NA!BG275*(Prices!BG$20/100)</f>
        <v>2388490.0163818151</v>
      </c>
      <c r="BH228" s="206">
        <f>NA!BH275*(Prices!BH$20/100)</f>
        <v>2627039.9618606465</v>
      </c>
    </row>
    <row r="229" spans="5:61" x14ac:dyDescent="0.2">
      <c r="E229" s="205" t="s">
        <v>287</v>
      </c>
      <c r="I229" s="60">
        <f t="shared" si="675"/>
        <v>64620</v>
      </c>
      <c r="J229" s="60">
        <f t="shared" si="675"/>
        <v>67204.5</v>
      </c>
      <c r="K229" s="60">
        <f t="shared" si="676"/>
        <v>72355</v>
      </c>
      <c r="L229" s="60">
        <f t="shared" si="676"/>
        <v>37460.5</v>
      </c>
      <c r="M229" s="60">
        <f t="shared" si="676"/>
        <v>0</v>
      </c>
      <c r="N229" s="60">
        <f t="shared" si="676"/>
        <v>0</v>
      </c>
      <c r="O229" s="60">
        <f t="shared" si="676"/>
        <v>0</v>
      </c>
      <c r="P229" s="60">
        <f t="shared" si="676"/>
        <v>68976.300563662851</v>
      </c>
      <c r="Q229" s="60">
        <f t="shared" si="676"/>
        <v>154398.71522354503</v>
      </c>
      <c r="R229" s="60">
        <f t="shared" si="676"/>
        <v>206659.76806133043</v>
      </c>
      <c r="S229" s="60">
        <f t="shared" si="676"/>
        <v>263796.96870907978</v>
      </c>
      <c r="T229" s="60">
        <f t="shared" si="676"/>
        <v>309553.65654833463</v>
      </c>
      <c r="U229" s="60">
        <f t="shared" si="676"/>
        <v>348179.53270788264</v>
      </c>
      <c r="V229" s="60">
        <f t="shared" si="676"/>
        <v>398510.7000587951</v>
      </c>
      <c r="W229" s="60">
        <f t="shared" si="676"/>
        <v>488651.20550749486</v>
      </c>
      <c r="X229" s="60">
        <f t="shared" si="676"/>
        <v>611562.49587571528</v>
      </c>
      <c r="Y229" s="60">
        <f t="shared" si="676"/>
        <v>736432.45973026205</v>
      </c>
      <c r="Z229" s="60">
        <f t="shared" si="677"/>
        <v>701318.63473400823</v>
      </c>
      <c r="AA229" s="60">
        <f t="shared" si="677"/>
        <v>635251.80395279126</v>
      </c>
      <c r="AB229" s="60">
        <f t="shared" si="677"/>
        <v>684831.69268219871</v>
      </c>
      <c r="AC229" s="60">
        <f t="shared" si="677"/>
        <v>718694.9000591191</v>
      </c>
      <c r="AD229" s="60">
        <f t="shared" si="678"/>
        <v>766035.24041953101</v>
      </c>
      <c r="AE229" s="60">
        <f t="shared" si="679"/>
        <v>845893.78431106196</v>
      </c>
      <c r="AF229" s="60"/>
      <c r="AG229" s="60"/>
      <c r="AL229" s="221">
        <v>64620</v>
      </c>
      <c r="AM229" s="221">
        <v>69789</v>
      </c>
      <c r="AN229" s="55">
        <v>74921</v>
      </c>
      <c r="AO229" s="55">
        <v>0</v>
      </c>
      <c r="AP229" s="55">
        <v>0</v>
      </c>
      <c r="AQ229" s="55">
        <v>0</v>
      </c>
      <c r="AR229" s="55">
        <v>0</v>
      </c>
      <c r="AS229" s="55">
        <f t="shared" si="680"/>
        <v>137952.6011273257</v>
      </c>
      <c r="AT229" s="55">
        <f t="shared" si="680"/>
        <v>170844.82931976437</v>
      </c>
      <c r="AU229" s="55">
        <f t="shared" si="680"/>
        <v>242474.70680289652</v>
      </c>
      <c r="AV229" s="55">
        <f t="shared" si="680"/>
        <v>285119.23061526305</v>
      </c>
      <c r="AW229" s="55">
        <f t="shared" si="680"/>
        <v>333988.08248140616</v>
      </c>
      <c r="AX229" s="55">
        <f t="shared" si="680"/>
        <v>362370.98293435911</v>
      </c>
      <c r="AY229" s="55">
        <f t="shared" si="680"/>
        <v>434650.4171832311</v>
      </c>
      <c r="AZ229" s="55">
        <f t="shared" si="680"/>
        <v>542651.99383175862</v>
      </c>
      <c r="BA229" s="55">
        <f t="shared" si="680"/>
        <v>680472.99791967205</v>
      </c>
      <c r="BB229" s="55">
        <f t="shared" si="680"/>
        <v>792391.92154085205</v>
      </c>
      <c r="BC229" s="206">
        <f>NA!BC276*(Prices!BC$20/100)</f>
        <v>610245.34792716429</v>
      </c>
      <c r="BD229" s="206">
        <f>NA!BD276*(Prices!BD$20/100)</f>
        <v>660258.25997841824</v>
      </c>
      <c r="BE229" s="206">
        <f>NA!BE276*(Prices!BE$20/100)</f>
        <v>709405.12538597919</v>
      </c>
      <c r="BF229" s="206">
        <f>NA!BF276*(Prices!BF$20/100)</f>
        <v>727984.67473225913</v>
      </c>
      <c r="BG229" s="206">
        <f>NA!BG276*(Prices!BG$20/100)</f>
        <v>804085.80610680301</v>
      </c>
      <c r="BH229" s="206">
        <f>NA!BH276*(Prices!BH$20/100)</f>
        <v>887701.76251532102</v>
      </c>
    </row>
    <row r="230" spans="5:61" x14ac:dyDescent="0.2">
      <c r="E230" s="205" t="s">
        <v>105</v>
      </c>
      <c r="I230" s="60">
        <f t="shared" si="675"/>
        <v>3305</v>
      </c>
      <c r="J230" s="60">
        <f t="shared" si="675"/>
        <v>3404.5</v>
      </c>
      <c r="K230" s="60">
        <f t="shared" si="676"/>
        <v>3596</v>
      </c>
      <c r="L230" s="60">
        <f t="shared" si="676"/>
        <v>1844</v>
      </c>
      <c r="M230" s="60">
        <f t="shared" si="676"/>
        <v>0</v>
      </c>
      <c r="N230" s="60">
        <f t="shared" si="676"/>
        <v>0</v>
      </c>
      <c r="O230" s="60">
        <f t="shared" si="676"/>
        <v>0</v>
      </c>
      <c r="P230" s="60">
        <f t="shared" si="676"/>
        <v>4461.8117190518969</v>
      </c>
      <c r="Q230" s="60">
        <f t="shared" si="676"/>
        <v>9594.4041800549421</v>
      </c>
      <c r="R230" s="60">
        <f t="shared" si="676"/>
        <v>10770.38711914068</v>
      </c>
      <c r="S230" s="60">
        <f t="shared" si="676"/>
        <v>13655.968608335384</v>
      </c>
      <c r="T230" s="60">
        <f t="shared" si="676"/>
        <v>20745.610009845612</v>
      </c>
      <c r="U230" s="60">
        <f t="shared" si="676"/>
        <v>24673.692444484779</v>
      </c>
      <c r="V230" s="60">
        <f t="shared" si="676"/>
        <v>26304.603276353784</v>
      </c>
      <c r="W230" s="60">
        <f t="shared" si="676"/>
        <v>32018.447770994189</v>
      </c>
      <c r="X230" s="60">
        <f t="shared" si="676"/>
        <v>43280.269683343759</v>
      </c>
      <c r="Y230" s="60">
        <f t="shared" si="676"/>
        <v>55816.555397783188</v>
      </c>
      <c r="Z230" s="60">
        <f t="shared" si="677"/>
        <v>45849.465867051025</v>
      </c>
      <c r="AA230" s="60">
        <f t="shared" si="677"/>
        <v>32351.594578126358</v>
      </c>
      <c r="AB230" s="60">
        <f t="shared" si="677"/>
        <v>34548.1660119273</v>
      </c>
      <c r="AC230" s="60">
        <f t="shared" si="677"/>
        <v>36001.138756662251</v>
      </c>
      <c r="AD230" s="60">
        <f t="shared" si="678"/>
        <v>38146.279110796531</v>
      </c>
      <c r="AE230" s="60">
        <f t="shared" si="679"/>
        <v>42242.494859094761</v>
      </c>
      <c r="AF230" s="60"/>
      <c r="AG230" s="60"/>
      <c r="AL230" s="223">
        <v>3305</v>
      </c>
      <c r="AM230" s="223">
        <v>3504</v>
      </c>
      <c r="AN230" s="207">
        <v>3688</v>
      </c>
      <c r="AO230" s="55">
        <v>0</v>
      </c>
      <c r="AP230" s="55">
        <v>0</v>
      </c>
      <c r="AQ230" s="55">
        <v>0</v>
      </c>
      <c r="AR230" s="55">
        <v>0</v>
      </c>
      <c r="AS230" s="685">
        <f t="shared" si="680"/>
        <v>8923.6234381037939</v>
      </c>
      <c r="AT230" s="685">
        <f t="shared" si="680"/>
        <v>10265.184922006089</v>
      </c>
      <c r="AU230" s="685">
        <f t="shared" si="680"/>
        <v>11275.589316275273</v>
      </c>
      <c r="AV230" s="685">
        <f t="shared" si="680"/>
        <v>16036.347900395494</v>
      </c>
      <c r="AW230" s="685">
        <f t="shared" si="680"/>
        <v>25454.872119295731</v>
      </c>
      <c r="AX230" s="685">
        <f t="shared" si="680"/>
        <v>23892.512769673827</v>
      </c>
      <c r="AY230" s="685">
        <f t="shared" si="680"/>
        <v>28716.693783033741</v>
      </c>
      <c r="AZ230" s="685">
        <f t="shared" si="680"/>
        <v>35320.201758954638</v>
      </c>
      <c r="BA230" s="685">
        <f t="shared" si="680"/>
        <v>51240.337607732879</v>
      </c>
      <c r="BB230" s="685">
        <f t="shared" si="680"/>
        <v>60392.773187833503</v>
      </c>
      <c r="BC230" s="206">
        <f>NA!BC277*(Prices!BC$20/100)</f>
        <v>31306.158546268547</v>
      </c>
      <c r="BD230" s="206">
        <f>NA!BD277*(Prices!BD$20/100)</f>
        <v>33397.030609984169</v>
      </c>
      <c r="BE230" s="206">
        <f>NA!BE277*(Prices!BE$20/100)</f>
        <v>35699.301413870424</v>
      </c>
      <c r="BF230" s="206">
        <f>NA!BF277*(Prices!BF$20/100)</f>
        <v>36302.976099454077</v>
      </c>
      <c r="BG230" s="206">
        <f>NA!BG277*(Prices!BG$20/100)</f>
        <v>39989.582122138992</v>
      </c>
      <c r="BH230" s="206">
        <f>NA!BH277*(Prices!BH$20/100)</f>
        <v>44495.407596050522</v>
      </c>
    </row>
    <row r="231" spans="5:61" x14ac:dyDescent="0.2">
      <c r="E231" s="202" t="s">
        <v>106</v>
      </c>
      <c r="I231" s="204">
        <f>I232+I233</f>
        <v>65057</v>
      </c>
      <c r="J231" s="204">
        <f>J232+J233</f>
        <v>69324.5</v>
      </c>
      <c r="K231" s="204">
        <f t="shared" ref="K231:X231" si="681">K232+K233</f>
        <v>78394.5</v>
      </c>
      <c r="L231" s="204">
        <f t="shared" si="681"/>
        <v>41598.5</v>
      </c>
      <c r="M231" s="204">
        <f t="shared" si="681"/>
        <v>0</v>
      </c>
      <c r="N231" s="204">
        <f t="shared" si="681"/>
        <v>0</v>
      </c>
      <c r="O231" s="204">
        <f t="shared" si="681"/>
        <v>0</v>
      </c>
      <c r="P231" s="204">
        <f t="shared" si="681"/>
        <v>148790.90705520642</v>
      </c>
      <c r="Q231" s="204">
        <f t="shared" si="681"/>
        <v>321522.27992829209</v>
      </c>
      <c r="R231" s="204">
        <f t="shared" si="681"/>
        <v>374216.15262927196</v>
      </c>
      <c r="S231" s="204">
        <f t="shared" si="681"/>
        <v>421308.06409559736</v>
      </c>
      <c r="T231" s="204">
        <f t="shared" si="681"/>
        <v>432162.52355924272</v>
      </c>
      <c r="U231" s="204">
        <f t="shared" si="681"/>
        <v>441847.60819820315</v>
      </c>
      <c r="V231" s="204">
        <f t="shared" si="681"/>
        <v>510063.37360883935</v>
      </c>
      <c r="W231" s="204">
        <f t="shared" si="681"/>
        <v>570832.50195127446</v>
      </c>
      <c r="X231" s="204">
        <f t="shared" si="681"/>
        <v>634068.01271832956</v>
      </c>
      <c r="Y231" s="204">
        <f>Y232+Y233</f>
        <v>706475.91337328753</v>
      </c>
      <c r="Z231" s="204">
        <f>Z232+Z233</f>
        <v>1099842.9561892536</v>
      </c>
      <c r="AA231" s="204">
        <f>AA232+AA233</f>
        <v>1534722.137777399</v>
      </c>
      <c r="AB231" s="204">
        <f>AB232+AB233</f>
        <v>1633030.066371575</v>
      </c>
      <c r="AC231" s="204">
        <f>AC232+AC233</f>
        <v>1684482.985337466</v>
      </c>
      <c r="AD231" s="204">
        <f t="shared" ref="AD231:AE231" si="682">AD232+AD233</f>
        <v>1779620.3805661493</v>
      </c>
      <c r="AE231" s="204">
        <f t="shared" si="682"/>
        <v>1961053.9102406157</v>
      </c>
      <c r="AF231" s="204"/>
      <c r="AG231" s="204"/>
      <c r="AL231" s="173">
        <f>AL232+AL233</f>
        <v>65057</v>
      </c>
      <c r="AM231" s="173">
        <f>AM232+AM233</f>
        <v>73592</v>
      </c>
      <c r="AN231" s="204">
        <f t="shared" ref="AN231:BF231" si="683">AN232+AN233</f>
        <v>83197</v>
      </c>
      <c r="AO231" s="204">
        <f t="shared" si="683"/>
        <v>0</v>
      </c>
      <c r="AP231" s="204">
        <f t="shared" si="683"/>
        <v>0</v>
      </c>
      <c r="AQ231" s="204">
        <f t="shared" si="683"/>
        <v>0</v>
      </c>
      <c r="AR231" s="204">
        <f t="shared" si="683"/>
        <v>0</v>
      </c>
      <c r="AS231" s="204">
        <f t="shared" si="683"/>
        <v>297581.81411041284</v>
      </c>
      <c r="AT231" s="204">
        <f t="shared" si="683"/>
        <v>345462.74574617133</v>
      </c>
      <c r="AU231" s="204">
        <f t="shared" si="683"/>
        <v>402969.55951237259</v>
      </c>
      <c r="AV231" s="204">
        <f t="shared" si="683"/>
        <v>439646.56867882202</v>
      </c>
      <c r="AW231" s="204">
        <f t="shared" si="683"/>
        <v>424678.47843966336</v>
      </c>
      <c r="AX231" s="204">
        <f t="shared" si="683"/>
        <v>459016.73795674299</v>
      </c>
      <c r="AY231" s="204">
        <f t="shared" si="683"/>
        <v>561110.00926093571</v>
      </c>
      <c r="AZ231" s="204">
        <f t="shared" si="683"/>
        <v>580554.99464161322</v>
      </c>
      <c r="BA231" s="204">
        <f t="shared" si="683"/>
        <v>687581.03079504601</v>
      </c>
      <c r="BB231" s="204">
        <f t="shared" si="683"/>
        <v>725370.79595152894</v>
      </c>
      <c r="BC231" s="204">
        <f t="shared" si="683"/>
        <v>1474315.1164269783</v>
      </c>
      <c r="BD231" s="204">
        <f t="shared" si="683"/>
        <v>1595129.1591278198</v>
      </c>
      <c r="BE231" s="204">
        <f t="shared" si="683"/>
        <v>1670930.9736153302</v>
      </c>
      <c r="BF231" s="204">
        <f t="shared" si="683"/>
        <v>1698034.9970596021</v>
      </c>
      <c r="BG231" s="204">
        <f t="shared" ref="BG231:BH231" si="684">BG232+BG233</f>
        <v>1861205.7640726962</v>
      </c>
      <c r="BH231" s="204">
        <f t="shared" si="684"/>
        <v>2060902.056408535</v>
      </c>
    </row>
    <row r="232" spans="5:61" x14ac:dyDescent="0.2">
      <c r="E232" s="205" t="s">
        <v>108</v>
      </c>
      <c r="I232" s="60">
        <f t="shared" ref="I232:R233" si="685">AVERAGE(AK232:AL232)</f>
        <v>12313</v>
      </c>
      <c r="J232" s="60">
        <f t="shared" si="685"/>
        <v>12571.5</v>
      </c>
      <c r="K232" s="60">
        <f t="shared" si="685"/>
        <v>13106</v>
      </c>
      <c r="L232" s="60">
        <f t="shared" si="685"/>
        <v>6691</v>
      </c>
      <c r="M232" s="60">
        <f t="shared" si="685"/>
        <v>0</v>
      </c>
      <c r="N232" s="60">
        <f t="shared" si="685"/>
        <v>0</v>
      </c>
      <c r="O232" s="60">
        <f t="shared" si="685"/>
        <v>0</v>
      </c>
      <c r="P232" s="60">
        <f t="shared" si="685"/>
        <v>35590.706255504461</v>
      </c>
      <c r="Q232" s="60">
        <f t="shared" si="685"/>
        <v>64615.850172252962</v>
      </c>
      <c r="R232" s="60">
        <f t="shared" si="685"/>
        <v>67528.824621950582</v>
      </c>
      <c r="S232" s="60">
        <f t="shared" ref="S232:Y233" si="686">AVERAGE(AU232:AV232)</f>
        <v>78085.952354807276</v>
      </c>
      <c r="T232" s="60">
        <f t="shared" si="686"/>
        <v>81861.546833724249</v>
      </c>
      <c r="U232" s="60">
        <f t="shared" si="686"/>
        <v>84043.012616813896</v>
      </c>
      <c r="V232" s="60">
        <f t="shared" si="686"/>
        <v>81374.576641249034</v>
      </c>
      <c r="W232" s="60">
        <f t="shared" si="686"/>
        <v>82195.043423476178</v>
      </c>
      <c r="X232" s="60">
        <f t="shared" si="686"/>
        <v>93109.364158329205</v>
      </c>
      <c r="Y232" s="60">
        <f t="shared" si="686"/>
        <v>105563.70413197723</v>
      </c>
      <c r="Z232" s="60">
        <f t="shared" ref="Z232:AC233" si="687">AVERAGE(BB232:BC232)</f>
        <v>144375.65803042083</v>
      </c>
      <c r="AA232" s="60">
        <f t="shared" si="687"/>
        <v>185572.91059921292</v>
      </c>
      <c r="AB232" s="60">
        <f t="shared" si="687"/>
        <v>200332.94630007935</v>
      </c>
      <c r="AC232" s="60">
        <f t="shared" si="687"/>
        <v>210908.14272344159</v>
      </c>
      <c r="AD232" s="60">
        <f t="shared" ref="AD232:AD233" si="688">AVERAGE(BF232:BG232)</f>
        <v>225883.64784574395</v>
      </c>
      <c r="AE232" s="60">
        <f t="shared" ref="AE232:AE233" si="689">AVERAGE(BG232:BH232)</f>
        <v>252108.18775157491</v>
      </c>
      <c r="AF232" s="60"/>
      <c r="AG232" s="60"/>
      <c r="AL232" s="221">
        <v>12313</v>
      </c>
      <c r="AM232" s="221">
        <v>12830</v>
      </c>
      <c r="AN232" s="55">
        <v>13382</v>
      </c>
      <c r="AO232" s="55">
        <v>0</v>
      </c>
      <c r="AP232" s="55">
        <v>0</v>
      </c>
      <c r="AQ232" s="55">
        <v>0</v>
      </c>
      <c r="AR232" s="55">
        <v>0</v>
      </c>
      <c r="AS232" s="55">
        <f t="shared" si="680"/>
        <v>71181.412511008923</v>
      </c>
      <c r="AT232" s="55">
        <f t="shared" ref="AT232:BB232" si="690">AT494</f>
        <v>58050.287833496994</v>
      </c>
      <c r="AU232" s="55">
        <f t="shared" si="690"/>
        <v>77007.361410404177</v>
      </c>
      <c r="AV232" s="55">
        <f t="shared" si="690"/>
        <v>79164.543299210374</v>
      </c>
      <c r="AW232" s="55">
        <f t="shared" si="690"/>
        <v>84558.550368238124</v>
      </c>
      <c r="AX232" s="55">
        <f t="shared" si="690"/>
        <v>83527.474865389668</v>
      </c>
      <c r="AY232" s="55">
        <f t="shared" si="690"/>
        <v>79221.6784171084</v>
      </c>
      <c r="AZ232" s="55">
        <f t="shared" si="690"/>
        <v>85168.408429843956</v>
      </c>
      <c r="BA232" s="55">
        <f t="shared" si="690"/>
        <v>101050.31988681445</v>
      </c>
      <c r="BB232" s="55">
        <f t="shared" si="690"/>
        <v>110077.08837714</v>
      </c>
      <c r="BC232" s="206">
        <f>NA!BC279*(Prices!BC$20/100)</f>
        <v>178674.22768370164</v>
      </c>
      <c r="BD232" s="206">
        <f>NA!BD279*(Prices!BD$20/100)</f>
        <v>192471.5935147242</v>
      </c>
      <c r="BE232" s="206">
        <f>NA!BE279*(Prices!BE$20/100)</f>
        <v>208194.29908543453</v>
      </c>
      <c r="BF232" s="206">
        <f>NA!BF279*(Prices!BF$20/100)</f>
        <v>213621.98636144868</v>
      </c>
      <c r="BG232" s="206">
        <f>NA!BG279*(Prices!BG$20/100)</f>
        <v>238145.30933003922</v>
      </c>
      <c r="BH232" s="206">
        <f>NA!BH279*(Prices!BH$20/100)</f>
        <v>266071.06617311062</v>
      </c>
    </row>
    <row r="233" spans="5:61" x14ac:dyDescent="0.2">
      <c r="E233" s="205" t="s">
        <v>109</v>
      </c>
      <c r="I233" s="60">
        <f t="shared" si="685"/>
        <v>52744</v>
      </c>
      <c r="J233" s="60">
        <f t="shared" si="685"/>
        <v>56753</v>
      </c>
      <c r="K233" s="60">
        <f t="shared" si="685"/>
        <v>65288.5</v>
      </c>
      <c r="L233" s="60">
        <f t="shared" si="685"/>
        <v>34907.5</v>
      </c>
      <c r="M233" s="60">
        <f t="shared" si="685"/>
        <v>0</v>
      </c>
      <c r="N233" s="60">
        <f t="shared" si="685"/>
        <v>0</v>
      </c>
      <c r="O233" s="60">
        <f t="shared" si="685"/>
        <v>0</v>
      </c>
      <c r="P233" s="60">
        <f t="shared" si="685"/>
        <v>113200.20079970195</v>
      </c>
      <c r="Q233" s="60">
        <f t="shared" si="685"/>
        <v>256906.42975603911</v>
      </c>
      <c r="R233" s="60">
        <f t="shared" si="685"/>
        <v>306687.3280073214</v>
      </c>
      <c r="S233" s="60">
        <f t="shared" si="686"/>
        <v>343222.11174079007</v>
      </c>
      <c r="T233" s="60">
        <f t="shared" si="686"/>
        <v>350300.97672551847</v>
      </c>
      <c r="U233" s="60">
        <f t="shared" si="686"/>
        <v>357804.59558138927</v>
      </c>
      <c r="V233" s="60">
        <f t="shared" si="686"/>
        <v>428688.79696759034</v>
      </c>
      <c r="W233" s="60">
        <f t="shared" si="686"/>
        <v>488637.4585277983</v>
      </c>
      <c r="X233" s="60">
        <f t="shared" si="686"/>
        <v>540958.64856000035</v>
      </c>
      <c r="Y233" s="60">
        <f t="shared" si="686"/>
        <v>600912.20924131025</v>
      </c>
      <c r="Z233" s="60">
        <f t="shared" si="687"/>
        <v>955467.29815883283</v>
      </c>
      <c r="AA233" s="60">
        <f t="shared" si="687"/>
        <v>1349149.2271781862</v>
      </c>
      <c r="AB233" s="60">
        <f t="shared" si="687"/>
        <v>1432697.1200714957</v>
      </c>
      <c r="AC233" s="60">
        <f t="shared" si="687"/>
        <v>1473574.8426140244</v>
      </c>
      <c r="AD233" s="60">
        <f t="shared" si="688"/>
        <v>1553736.7327204053</v>
      </c>
      <c r="AE233" s="60">
        <f t="shared" si="689"/>
        <v>1708945.7224890408</v>
      </c>
      <c r="AF233" s="60"/>
      <c r="AG233" s="60"/>
      <c r="AL233" s="221">
        <v>52744</v>
      </c>
      <c r="AM233" s="221">
        <v>60762</v>
      </c>
      <c r="AN233" s="55">
        <v>69815</v>
      </c>
      <c r="AO233" s="55">
        <v>0</v>
      </c>
      <c r="AP233" s="55">
        <v>0</v>
      </c>
      <c r="AQ233" s="55">
        <v>0</v>
      </c>
      <c r="AR233" s="55">
        <v>0</v>
      </c>
      <c r="AS233" s="55">
        <f t="shared" si="680"/>
        <v>226400.40159940391</v>
      </c>
      <c r="AT233" s="55">
        <f t="shared" ref="AT233:BB233" si="691">AT495</f>
        <v>287412.45791267435</v>
      </c>
      <c r="AU233" s="55">
        <f t="shared" si="691"/>
        <v>325962.19810196845</v>
      </c>
      <c r="AV233" s="55">
        <f t="shared" si="691"/>
        <v>360482.02537961164</v>
      </c>
      <c r="AW233" s="55">
        <f t="shared" si="691"/>
        <v>340119.92807142524</v>
      </c>
      <c r="AX233" s="55">
        <f t="shared" si="691"/>
        <v>375489.26309135329</v>
      </c>
      <c r="AY233" s="55">
        <f t="shared" si="691"/>
        <v>481888.33084382734</v>
      </c>
      <c r="AZ233" s="55">
        <f t="shared" si="691"/>
        <v>495386.5862117692</v>
      </c>
      <c r="BA233" s="55">
        <f t="shared" si="691"/>
        <v>586530.71090823156</v>
      </c>
      <c r="BB233" s="55">
        <f t="shared" si="691"/>
        <v>615293.70757438894</v>
      </c>
      <c r="BC233" s="206">
        <f>NA!BC280*(Prices!BC$20/100)</f>
        <v>1295640.8887432767</v>
      </c>
      <c r="BD233" s="206">
        <f>NA!BD280*(Prices!BD$20/100)</f>
        <v>1402657.5656130956</v>
      </c>
      <c r="BE233" s="206">
        <f>NA!BE280*(Prices!BE$20/100)</f>
        <v>1462736.6745298957</v>
      </c>
      <c r="BF233" s="206">
        <f>NA!BF280*(Prices!BF$20/100)</f>
        <v>1484413.0106981534</v>
      </c>
      <c r="BG233" s="206">
        <f>NA!BG280*(Prices!BG$20/100)</f>
        <v>1623060.454742657</v>
      </c>
      <c r="BH233" s="206">
        <f>NA!BH280*(Prices!BH$20/100)</f>
        <v>1794830.9902354244</v>
      </c>
    </row>
    <row r="234" spans="5:61" x14ac:dyDescent="0.2">
      <c r="E234" s="202" t="s">
        <v>110</v>
      </c>
      <c r="I234" s="204">
        <f t="shared" ref="I234:AE234" si="692">I235</f>
        <v>239725</v>
      </c>
      <c r="J234" s="204">
        <f t="shared" si="692"/>
        <v>254228.5</v>
      </c>
      <c r="K234" s="204">
        <f t="shared" si="692"/>
        <v>285796.5</v>
      </c>
      <c r="L234" s="204">
        <f t="shared" si="692"/>
        <v>151430.5</v>
      </c>
      <c r="M234" s="204">
        <f t="shared" si="692"/>
        <v>0</v>
      </c>
      <c r="N234" s="204">
        <f t="shared" si="692"/>
        <v>0</v>
      </c>
      <c r="O234" s="204">
        <f t="shared" si="692"/>
        <v>0</v>
      </c>
      <c r="P234" s="204">
        <f t="shared" si="692"/>
        <v>38290.399934545181</v>
      </c>
      <c r="Q234" s="204">
        <f t="shared" si="692"/>
        <v>80114.57740644952</v>
      </c>
      <c r="R234" s="204">
        <f t="shared" si="692"/>
        <v>87111.351619233013</v>
      </c>
      <c r="S234" s="204">
        <f t="shared" si="692"/>
        <v>99619.11660341057</v>
      </c>
      <c r="T234" s="204">
        <f t="shared" si="692"/>
        <v>107316.05080558622</v>
      </c>
      <c r="U234" s="204">
        <f t="shared" si="692"/>
        <v>108212.22310241239</v>
      </c>
      <c r="V234" s="204">
        <f t="shared" si="692"/>
        <v>117148.68996666957</v>
      </c>
      <c r="W234" s="204">
        <f t="shared" si="692"/>
        <v>127951.53808846988</v>
      </c>
      <c r="X234" s="204">
        <f t="shared" si="692"/>
        <v>141434.76832429506</v>
      </c>
      <c r="Y234" s="204">
        <f t="shared" si="692"/>
        <v>148487.73169779504</v>
      </c>
      <c r="Z234" s="204">
        <f t="shared" si="692"/>
        <v>166564.79652438784</v>
      </c>
      <c r="AA234" s="204">
        <f t="shared" si="692"/>
        <v>192112.11256757125</v>
      </c>
      <c r="AB234" s="204">
        <f t="shared" si="692"/>
        <v>203065.77639736666</v>
      </c>
      <c r="AC234" s="204">
        <f t="shared" si="692"/>
        <v>210518.67060270082</v>
      </c>
      <c r="AD234" s="204">
        <f t="shared" si="692"/>
        <v>223136.26481670805</v>
      </c>
      <c r="AE234" s="204">
        <f t="shared" si="692"/>
        <v>247129.0847081751</v>
      </c>
      <c r="AF234" s="204"/>
      <c r="AG234" s="204"/>
      <c r="AL234" s="173">
        <f>AL235</f>
        <v>239725</v>
      </c>
      <c r="AM234" s="173">
        <f>AM235</f>
        <v>268732</v>
      </c>
      <c r="AN234" s="204">
        <f t="shared" ref="AN234:BB234" si="693">AN235</f>
        <v>302861</v>
      </c>
      <c r="AO234" s="204">
        <f t="shared" si="693"/>
        <v>0</v>
      </c>
      <c r="AP234" s="204">
        <f t="shared" si="693"/>
        <v>0</v>
      </c>
      <c r="AQ234" s="204">
        <f t="shared" si="693"/>
        <v>0</v>
      </c>
      <c r="AR234" s="204">
        <f t="shared" si="693"/>
        <v>0</v>
      </c>
      <c r="AS234" s="204">
        <f t="shared" si="693"/>
        <v>76580.799869090362</v>
      </c>
      <c r="AT234" s="204">
        <f t="shared" si="693"/>
        <v>83648.354943808677</v>
      </c>
      <c r="AU234" s="204">
        <f t="shared" si="693"/>
        <v>90574.348294657349</v>
      </c>
      <c r="AV234" s="204">
        <f t="shared" si="693"/>
        <v>108663.88491216378</v>
      </c>
      <c r="AW234" s="204">
        <f t="shared" si="693"/>
        <v>105968.21669900866</v>
      </c>
      <c r="AX234" s="204">
        <f t="shared" si="693"/>
        <v>110456.22950581613</v>
      </c>
      <c r="AY234" s="204">
        <f t="shared" si="693"/>
        <v>123841.150427523</v>
      </c>
      <c r="AZ234" s="204">
        <f t="shared" si="693"/>
        <v>132061.92574941678</v>
      </c>
      <c r="BA234" s="204">
        <f t="shared" si="693"/>
        <v>150807.61089917333</v>
      </c>
      <c r="BB234" s="204">
        <f t="shared" si="693"/>
        <v>146167.85249641677</v>
      </c>
      <c r="BC234" s="206">
        <f>NA!BC281*(Prices!BC$20/100)</f>
        <v>186961.74055235891</v>
      </c>
      <c r="BD234" s="206">
        <f>NA!BD281*(Prices!BD$20/100)</f>
        <v>197262.4845827836</v>
      </c>
      <c r="BE234" s="206">
        <f>NA!BE281*(Prices!BE$20/100)</f>
        <v>208869.06821194975</v>
      </c>
      <c r="BF234" s="206">
        <f>NA!BF281*(Prices!BF$20/100)</f>
        <v>212168.27299345189</v>
      </c>
      <c r="BG234" s="206">
        <f>NA!BG281*(Prices!BG$20/100)</f>
        <v>234104.25663996424</v>
      </c>
      <c r="BH234" s="206">
        <f>NA!BH281*(Prices!BH$20/100)</f>
        <v>260153.91277638599</v>
      </c>
    </row>
    <row r="235" spans="5:61" x14ac:dyDescent="0.2">
      <c r="E235" s="205" t="s">
        <v>288</v>
      </c>
      <c r="I235" s="60">
        <f t="shared" ref="I235:Y235" si="694">AVERAGE(AK235:AL235)</f>
        <v>239725</v>
      </c>
      <c r="J235" s="60">
        <f t="shared" si="694"/>
        <v>254228.5</v>
      </c>
      <c r="K235" s="60">
        <f t="shared" si="694"/>
        <v>285796.5</v>
      </c>
      <c r="L235" s="60">
        <f t="shared" si="694"/>
        <v>151430.5</v>
      </c>
      <c r="M235" s="60">
        <f t="shared" si="694"/>
        <v>0</v>
      </c>
      <c r="N235" s="60">
        <f t="shared" si="694"/>
        <v>0</v>
      </c>
      <c r="O235" s="60">
        <f t="shared" si="694"/>
        <v>0</v>
      </c>
      <c r="P235" s="60">
        <f t="shared" si="694"/>
        <v>38290.399934545181</v>
      </c>
      <c r="Q235" s="60">
        <f t="shared" si="694"/>
        <v>80114.57740644952</v>
      </c>
      <c r="R235" s="60">
        <f t="shared" si="694"/>
        <v>87111.351619233013</v>
      </c>
      <c r="S235" s="60">
        <f t="shared" si="694"/>
        <v>99619.11660341057</v>
      </c>
      <c r="T235" s="60">
        <f t="shared" si="694"/>
        <v>107316.05080558622</v>
      </c>
      <c r="U235" s="60">
        <f t="shared" si="694"/>
        <v>108212.22310241239</v>
      </c>
      <c r="V235" s="60">
        <f t="shared" si="694"/>
        <v>117148.68996666957</v>
      </c>
      <c r="W235" s="60">
        <f t="shared" si="694"/>
        <v>127951.53808846988</v>
      </c>
      <c r="X235" s="60">
        <f t="shared" si="694"/>
        <v>141434.76832429506</v>
      </c>
      <c r="Y235" s="60">
        <f t="shared" si="694"/>
        <v>148487.73169779504</v>
      </c>
      <c r="Z235" s="60">
        <f>AVERAGE(BB235:BC235)</f>
        <v>166564.79652438784</v>
      </c>
      <c r="AA235" s="60">
        <f>AVERAGE(BC235:BD235)</f>
        <v>192112.11256757125</v>
      </c>
      <c r="AB235" s="60">
        <f>AVERAGE(BD235:BE235)</f>
        <v>203065.77639736666</v>
      </c>
      <c r="AC235" s="60">
        <f>AVERAGE(BE235:BF235)</f>
        <v>210518.67060270082</v>
      </c>
      <c r="AD235" s="60">
        <f t="shared" ref="AD235:AE235" si="695">AVERAGE(BF235:BG235)</f>
        <v>223136.26481670805</v>
      </c>
      <c r="AE235" s="60">
        <f t="shared" si="695"/>
        <v>247129.0847081751</v>
      </c>
      <c r="AF235" s="60"/>
      <c r="AG235" s="60"/>
      <c r="AL235" s="221">
        <v>239725</v>
      </c>
      <c r="AM235" s="221">
        <v>268732</v>
      </c>
      <c r="AN235" s="55">
        <v>302861</v>
      </c>
      <c r="AO235" s="55">
        <v>0</v>
      </c>
      <c r="AP235" s="55">
        <v>0</v>
      </c>
      <c r="AQ235" s="55">
        <v>0</v>
      </c>
      <c r="AR235" s="55">
        <v>0</v>
      </c>
      <c r="AS235" s="55">
        <f t="shared" si="680"/>
        <v>76580.799869090362</v>
      </c>
      <c r="AT235" s="55">
        <f t="shared" si="680"/>
        <v>83648.354943808677</v>
      </c>
      <c r="AU235" s="55">
        <f t="shared" si="680"/>
        <v>90574.348294657349</v>
      </c>
      <c r="AV235" s="55">
        <f t="shared" si="680"/>
        <v>108663.88491216378</v>
      </c>
      <c r="AW235" s="55">
        <f t="shared" si="680"/>
        <v>105968.21669900866</v>
      </c>
      <c r="AX235" s="55">
        <f t="shared" si="680"/>
        <v>110456.22950581613</v>
      </c>
      <c r="AY235" s="55">
        <f t="shared" si="680"/>
        <v>123841.150427523</v>
      </c>
      <c r="AZ235" s="55">
        <f t="shared" si="680"/>
        <v>132061.92574941678</v>
      </c>
      <c r="BA235" s="55">
        <f t="shared" si="680"/>
        <v>150807.61089917333</v>
      </c>
      <c r="BB235" s="55">
        <f t="shared" si="680"/>
        <v>146167.85249641677</v>
      </c>
      <c r="BC235" s="206">
        <f>NA!BC282*(Prices!BC$20/100)</f>
        <v>186961.74055235891</v>
      </c>
      <c r="BD235" s="206">
        <f>NA!BD282*(Prices!BD$20/100)</f>
        <v>197262.4845827836</v>
      </c>
      <c r="BE235" s="206">
        <f>NA!BE282*(Prices!BE$20/100)</f>
        <v>208869.06821194975</v>
      </c>
      <c r="BF235" s="206">
        <f>NA!BF282*(Prices!BF$20/100)</f>
        <v>212168.27299345189</v>
      </c>
      <c r="BG235" s="206">
        <f>NA!BG282*(Prices!BG$20/100)</f>
        <v>234104.25663996424</v>
      </c>
      <c r="BH235" s="206">
        <f>NA!BH282*(Prices!BH$20/100)</f>
        <v>260153.91277638599</v>
      </c>
    </row>
    <row r="236" spans="5:61" ht="13.5" thickBot="1" x14ac:dyDescent="0.25">
      <c r="E236" s="202" t="s">
        <v>289</v>
      </c>
      <c r="I236" s="210">
        <f>I197+I225</f>
        <v>6283970</v>
      </c>
      <c r="J236" s="210">
        <f>J197+J225</f>
        <v>6753265.5</v>
      </c>
      <c r="K236" s="210">
        <f t="shared" ref="K236:X236" si="696">K197+K225</f>
        <v>7687675</v>
      </c>
      <c r="L236" s="210">
        <f t="shared" si="696"/>
        <v>9584202.9750329293</v>
      </c>
      <c r="M236" s="210">
        <f t="shared" si="696"/>
        <v>11809719.60309658</v>
      </c>
      <c r="N236" s="210">
        <f t="shared" si="696"/>
        <v>13565856.273020916</v>
      </c>
      <c r="O236" s="210">
        <f t="shared" si="696"/>
        <v>15623387.681736451</v>
      </c>
      <c r="P236" s="210">
        <f t="shared" si="696"/>
        <v>17915857.331342056</v>
      </c>
      <c r="Q236" s="210">
        <f t="shared" si="696"/>
        <v>21205632.435987685</v>
      </c>
      <c r="R236" s="210">
        <f t="shared" si="696"/>
        <v>25034433.541357372</v>
      </c>
      <c r="S236" s="210">
        <f t="shared" si="696"/>
        <v>29767685.658443812</v>
      </c>
      <c r="T236" s="210">
        <f t="shared" si="696"/>
        <v>35245881.572414927</v>
      </c>
      <c r="U236" s="210">
        <f t="shared" si="696"/>
        <v>40781420.838859834</v>
      </c>
      <c r="V236" s="210">
        <f t="shared" si="696"/>
        <v>48299299.490353465</v>
      </c>
      <c r="W236" s="210">
        <f t="shared" si="696"/>
        <v>57098397.420132577</v>
      </c>
      <c r="X236" s="210">
        <f t="shared" si="696"/>
        <v>66193720.627851285</v>
      </c>
      <c r="Y236" s="210">
        <f>Y197+Y225</f>
        <v>75197863.338904887</v>
      </c>
      <c r="Z236" s="210">
        <f>Z197+Z225</f>
        <v>84279922.233707234</v>
      </c>
      <c r="AA236" s="210">
        <f>AA197+AA225</f>
        <v>94804704.534106925</v>
      </c>
      <c r="AB236" s="210">
        <f>AB197+AB225</f>
        <v>106888642.62564005</v>
      </c>
      <c r="AC236" s="210">
        <f>AC197+AC225</f>
        <v>117710378.66724801</v>
      </c>
      <c r="AD236" s="210">
        <f t="shared" ref="AD236:AE236" si="697">AD197+AD225</f>
        <v>133334547.65354589</v>
      </c>
      <c r="AE236" s="210">
        <f t="shared" si="697"/>
        <v>151711862.94885859</v>
      </c>
      <c r="AF236" s="210"/>
      <c r="AG236" s="210"/>
      <c r="AL236" s="210">
        <f t="shared" ref="AL236:BB236" si="698">AL197+AL225</f>
        <v>6404574</v>
      </c>
      <c r="AM236" s="210">
        <f t="shared" si="698"/>
        <v>7357102</v>
      </c>
      <c r="AN236" s="210">
        <f t="shared" si="698"/>
        <v>8290710</v>
      </c>
      <c r="AO236" s="666">
        <f>AO197+AO225</f>
        <v>11015616.950065861</v>
      </c>
      <c r="AP236" s="666">
        <f t="shared" si="698"/>
        <v>12603822.2561273</v>
      </c>
      <c r="AQ236" s="666">
        <f t="shared" si="698"/>
        <v>14527890.289914532</v>
      </c>
      <c r="AR236" s="666">
        <f t="shared" si="698"/>
        <v>16718885.07355837</v>
      </c>
      <c r="AS236" s="210">
        <f t="shared" si="698"/>
        <v>19112829.589125745</v>
      </c>
      <c r="AT236" s="210">
        <f t="shared" si="698"/>
        <v>23298435.282849621</v>
      </c>
      <c r="AU236" s="210">
        <f t="shared" si="698"/>
        <v>26770431.799865119</v>
      </c>
      <c r="AV236" s="210">
        <f t="shared" si="698"/>
        <v>32764939.517022502</v>
      </c>
      <c r="AW236" s="210">
        <f t="shared" si="698"/>
        <v>37726823.627807349</v>
      </c>
      <c r="AX236" s="210">
        <f t="shared" si="698"/>
        <v>43836018.049912304</v>
      </c>
      <c r="AY236" s="210">
        <f t="shared" si="698"/>
        <v>52762580.930794641</v>
      </c>
      <c r="AZ236" s="210">
        <f t="shared" si="698"/>
        <v>61434213.909470528</v>
      </c>
      <c r="BA236" s="210">
        <f t="shared" si="698"/>
        <v>70953227.346232057</v>
      </c>
      <c r="BB236" s="210">
        <f t="shared" si="698"/>
        <v>79442499.331577718</v>
      </c>
      <c r="BC236" s="210">
        <f>BC197+BC225</f>
        <v>89086038.977290481</v>
      </c>
      <c r="BD236" s="210">
        <f t="shared" ref="BD236:BF236" si="699">BD197+BD225</f>
        <v>100458666.90176712</v>
      </c>
      <c r="BE236" s="210">
        <f t="shared" si="699"/>
        <v>113249522.01748912</v>
      </c>
      <c r="BF236" s="210">
        <f t="shared" si="699"/>
        <v>122099233.03949361</v>
      </c>
      <c r="BG236" s="210">
        <f t="shared" ref="BG236:BH236" si="700">BG197+BG225</f>
        <v>144493569.7093766</v>
      </c>
      <c r="BH236" s="210">
        <f t="shared" si="700"/>
        <v>158845671.19862238</v>
      </c>
    </row>
    <row r="237" spans="5:61" x14ac:dyDescent="0.2">
      <c r="AO237" s="2"/>
      <c r="AP237" s="37">
        <f>(AP236/AO236-1)*100</f>
        <v>14.417760832287696</v>
      </c>
      <c r="AQ237" s="37">
        <f>(AQ236/AP236-1)*100</f>
        <v>15.265750299293956</v>
      </c>
      <c r="AR237" s="37"/>
      <c r="AS237" s="37"/>
      <c r="AT237" s="37"/>
      <c r="AU237" s="37"/>
      <c r="AV237" s="37"/>
      <c r="AW237" s="37"/>
      <c r="AX237" s="37"/>
      <c r="AY237" s="37"/>
      <c r="AZ237" s="37"/>
      <c r="BA237" s="37"/>
      <c r="BB237" s="37"/>
      <c r="BC237" s="37"/>
      <c r="BD237" s="37"/>
      <c r="BE237" s="37"/>
      <c r="BG237" s="2"/>
    </row>
    <row r="238" spans="5:61" x14ac:dyDescent="0.2">
      <c r="Y238" s="2"/>
      <c r="AV238" s="469"/>
      <c r="AW238" s="469"/>
      <c r="AX238" s="469"/>
      <c r="AY238" s="469"/>
      <c r="AZ238" s="469"/>
      <c r="BA238" s="469"/>
      <c r="BB238" s="334"/>
    </row>
    <row r="239" spans="5:61" x14ac:dyDescent="0.2">
      <c r="AQ239" s="211"/>
      <c r="AR239" s="211"/>
      <c r="AS239" s="29"/>
      <c r="AT239" s="29"/>
      <c r="AU239" s="211"/>
      <c r="AV239" s="29"/>
      <c r="AW239" s="29"/>
      <c r="AX239" s="29"/>
      <c r="AY239" s="29"/>
      <c r="AZ239" s="29"/>
      <c r="BA239" s="29"/>
      <c r="BC239" s="203"/>
    </row>
    <row r="240" spans="5:61" x14ac:dyDescent="0.2">
      <c r="E240" s="690" t="s">
        <v>550</v>
      </c>
      <c r="AN240" s="212"/>
      <c r="AO240" s="212"/>
      <c r="AP240" s="212"/>
      <c r="AQ240" s="212"/>
      <c r="AR240" s="212"/>
      <c r="AS240" s="212"/>
      <c r="AT240" s="212"/>
      <c r="AU240" s="212"/>
      <c r="AV240" s="212"/>
      <c r="AZ240" s="2"/>
      <c r="BA240" s="2"/>
    </row>
    <row r="241" spans="5:60" ht="13.5" thickBot="1" x14ac:dyDescent="0.25">
      <c r="E241" s="213"/>
      <c r="AN241" s="213"/>
      <c r="AO241" s="213"/>
      <c r="AP241" s="213"/>
      <c r="AQ241" s="213"/>
      <c r="AR241" s="213"/>
      <c r="AS241" s="213"/>
      <c r="AT241" s="213"/>
      <c r="AV241" s="214" t="s">
        <v>290</v>
      </c>
      <c r="BB241" s="29"/>
      <c r="BC241" s="29"/>
      <c r="BD241" s="29"/>
      <c r="BE241" s="29"/>
    </row>
    <row r="242" spans="5:60" ht="13.5" thickBot="1" x14ac:dyDescent="0.25">
      <c r="E242" s="212" t="s">
        <v>100</v>
      </c>
      <c r="AL242" s="215">
        <v>1998</v>
      </c>
      <c r="AM242" s="215">
        <v>1999</v>
      </c>
      <c r="AN242" s="215">
        <v>2000</v>
      </c>
      <c r="AO242" s="215">
        <v>2001</v>
      </c>
      <c r="AP242" s="215">
        <v>2002</v>
      </c>
      <c r="AQ242" s="215">
        <v>2003</v>
      </c>
      <c r="AR242" s="215">
        <v>2004</v>
      </c>
      <c r="AS242" s="215">
        <v>2005</v>
      </c>
      <c r="AT242" s="215">
        <v>2006</v>
      </c>
      <c r="AU242" s="216">
        <v>2007</v>
      </c>
      <c r="AV242" s="215">
        <v>2008</v>
      </c>
      <c r="AW242" s="335">
        <v>2009</v>
      </c>
      <c r="AX242" s="215">
        <v>2010</v>
      </c>
      <c r="AY242" s="215">
        <v>2011</v>
      </c>
      <c r="AZ242" s="215">
        <v>2012</v>
      </c>
      <c r="BA242" s="215">
        <v>2013</v>
      </c>
      <c r="BB242" s="215">
        <v>2014</v>
      </c>
      <c r="BC242" s="215">
        <v>2015</v>
      </c>
      <c r="BD242" s="215">
        <v>2016</v>
      </c>
      <c r="BE242" s="215">
        <v>2017</v>
      </c>
      <c r="BF242" s="215">
        <v>2018</v>
      </c>
      <c r="BG242" s="215">
        <v>2019</v>
      </c>
      <c r="BH242" s="215">
        <v>2020</v>
      </c>
    </row>
    <row r="243" spans="5:60" ht="15" x14ac:dyDescent="0.2">
      <c r="E243" s="350" t="s">
        <v>283</v>
      </c>
      <c r="AN243" s="218"/>
      <c r="AO243" s="218"/>
      <c r="AP243" s="218"/>
      <c r="AQ243" s="218"/>
      <c r="AR243" s="218"/>
      <c r="AS243" s="218"/>
      <c r="AT243" s="218"/>
      <c r="AU243" s="218"/>
    </row>
    <row r="244" spans="5:60" x14ac:dyDescent="0.2">
      <c r="E244" s="217" t="s">
        <v>181</v>
      </c>
      <c r="J244" s="173"/>
      <c r="K244" s="173">
        <f t="shared" ref="K244:V244" si="701">K269+K270</f>
        <v>7002635</v>
      </c>
      <c r="L244" s="173">
        <f t="shared" si="701"/>
        <v>12574107.350431938</v>
      </c>
      <c r="M244" s="173">
        <f t="shared" si="701"/>
        <v>18594845.151592694</v>
      </c>
      <c r="N244" s="173">
        <f t="shared" si="701"/>
        <v>19822247.149824832</v>
      </c>
      <c r="O244" s="173">
        <f t="shared" si="701"/>
        <v>21166633.976147514</v>
      </c>
      <c r="P244" s="173">
        <f t="shared" si="701"/>
        <v>21326948.112325743</v>
      </c>
      <c r="Q244" s="173">
        <f t="shared" si="701"/>
        <v>21240140.815253701</v>
      </c>
      <c r="R244" s="173">
        <f t="shared" si="701"/>
        <v>22740572.036188357</v>
      </c>
      <c r="S244" s="173">
        <f t="shared" si="701"/>
        <v>24379178.397095274</v>
      </c>
      <c r="T244" s="173">
        <f t="shared" si="701"/>
        <v>25682848.691996019</v>
      </c>
      <c r="U244" s="173">
        <f t="shared" si="701"/>
        <v>27269018.482787546</v>
      </c>
      <c r="V244" s="173">
        <f t="shared" si="701"/>
        <v>29283425.490604047</v>
      </c>
      <c r="W244" s="173">
        <f t="shared" ref="W244:AB244" si="702">W269+W270</f>
        <v>31205729.211544193</v>
      </c>
      <c r="X244" s="173">
        <f t="shared" si="702"/>
        <v>33253605.555861957</v>
      </c>
      <c r="Y244" s="173">
        <f t="shared" si="702"/>
        <v>35754447.868650749</v>
      </c>
      <c r="Z244" s="173">
        <f t="shared" si="702"/>
        <v>38429773.814992569</v>
      </c>
      <c r="AA244" s="173">
        <f t="shared" si="702"/>
        <v>41413464.806361504</v>
      </c>
      <c r="AB244" s="173">
        <f t="shared" si="702"/>
        <v>44737457.746236227</v>
      </c>
      <c r="AC244" s="173">
        <f>AC269+AC270</f>
        <v>48412699.950797446</v>
      </c>
      <c r="AD244" s="173">
        <f t="shared" ref="AD244:AE244" si="703">AD269+AD270</f>
        <v>52521876.123741515</v>
      </c>
      <c r="AE244" s="173">
        <f t="shared" si="703"/>
        <v>57117701.608923338</v>
      </c>
      <c r="AF244" s="173"/>
      <c r="AG244" s="173"/>
      <c r="AL244" s="173">
        <f>AL269+AL270</f>
        <v>6502739</v>
      </c>
      <c r="AM244" s="173">
        <f>AM269+AM270</f>
        <v>6832707</v>
      </c>
      <c r="AN244" s="173">
        <f>AN269+AN270</f>
        <v>7172563</v>
      </c>
      <c r="AO244" s="173">
        <f t="shared" ref="AO244:BA244" si="704">AO269+AO270</f>
        <v>17975651.700863875</v>
      </c>
      <c r="AP244" s="173">
        <f t="shared" si="704"/>
        <v>19214038.602321506</v>
      </c>
      <c r="AQ244" s="173">
        <f t="shared" si="704"/>
        <v>20430455.697328147</v>
      </c>
      <c r="AR244" s="173">
        <f t="shared" si="704"/>
        <v>21902812.254966881</v>
      </c>
      <c r="AS244" s="173">
        <f t="shared" si="704"/>
        <v>20751083.969684608</v>
      </c>
      <c r="AT244" s="173">
        <f t="shared" si="704"/>
        <v>24629342.968895249</v>
      </c>
      <c r="AU244" s="173">
        <f t="shared" si="704"/>
        <v>26770431.79979289</v>
      </c>
      <c r="AV244" s="173">
        <f t="shared" si="704"/>
        <v>28262759.896053199</v>
      </c>
      <c r="AW244" s="173">
        <f>AW269+AW270</f>
        <v>29786297.322501484</v>
      </c>
      <c r="AX244" s="173">
        <f>AX269+AX270</f>
        <v>31679203.800438955</v>
      </c>
      <c r="AY244" s="173">
        <f>AY269+AY270</f>
        <v>34186361.869178854</v>
      </c>
      <c r="AZ244" s="173">
        <f t="shared" si="704"/>
        <v>35946883.597191729</v>
      </c>
      <c r="BA244" s="173">
        <f t="shared" si="704"/>
        <v>38543368.653536819</v>
      </c>
      <c r="BB244" s="173">
        <f>BB269+BB270</f>
        <v>37025042.031677559</v>
      </c>
      <c r="BC244" s="173">
        <f>BC269+BC270</f>
        <v>39834505.598307565</v>
      </c>
      <c r="BD244" s="173">
        <f t="shared" ref="BD244:BH244" si="705">BD269+BD270</f>
        <v>42992424.01441545</v>
      </c>
      <c r="BE244" s="173">
        <f t="shared" si="705"/>
        <v>46482491.478057027</v>
      </c>
      <c r="BF244" s="173">
        <f t="shared" si="705"/>
        <v>50342908.423537873</v>
      </c>
      <c r="BG244" s="173">
        <f t="shared" si="705"/>
        <v>54700843.82394518</v>
      </c>
      <c r="BH244" s="173">
        <f t="shared" si="705"/>
        <v>59534559.39390149</v>
      </c>
    </row>
    <row r="245" spans="5:60" x14ac:dyDescent="0.2">
      <c r="E245" s="212" t="s">
        <v>291</v>
      </c>
      <c r="J245" s="173">
        <f t="shared" ref="J245:V245" si="706">SUM(J246:J249)</f>
        <v>0</v>
      </c>
      <c r="K245" s="173">
        <f t="shared" si="706"/>
        <v>1622525.5</v>
      </c>
      <c r="L245" s="173">
        <f t="shared" si="706"/>
        <v>3715213.7448123624</v>
      </c>
      <c r="M245" s="173">
        <f t="shared" si="706"/>
        <v>5906108.7711361535</v>
      </c>
      <c r="N245" s="173">
        <f t="shared" si="706"/>
        <v>6130383.2007311098</v>
      </c>
      <c r="O245" s="173">
        <f t="shared" si="706"/>
        <v>6393491.3727690401</v>
      </c>
      <c r="P245" s="173">
        <f t="shared" si="706"/>
        <v>5492544.4828547817</v>
      </c>
      <c r="Q245" s="173">
        <f t="shared" si="706"/>
        <v>4471209.9807258109</v>
      </c>
      <c r="R245" s="173">
        <f t="shared" si="706"/>
        <v>4586901.3333974089</v>
      </c>
      <c r="S245" s="173">
        <f t="shared" si="706"/>
        <v>4821601.4993651081</v>
      </c>
      <c r="T245" s="173">
        <f t="shared" si="706"/>
        <v>5096525.5646366887</v>
      </c>
      <c r="U245" s="173">
        <f t="shared" si="706"/>
        <v>5291377.0998281213</v>
      </c>
      <c r="V245" s="173">
        <f t="shared" si="706"/>
        <v>5431142.6173557686</v>
      </c>
      <c r="W245" s="173">
        <f t="shared" ref="W245:AB245" si="707">SUM(W246:W249)</f>
        <v>5568525.7340334281</v>
      </c>
      <c r="X245" s="173">
        <f t="shared" si="707"/>
        <v>5770063.2319006417</v>
      </c>
      <c r="Y245" s="173">
        <f t="shared" si="707"/>
        <v>5984217.8053896967</v>
      </c>
      <c r="Z245" s="173">
        <f t="shared" si="707"/>
        <v>6215055.1041002199</v>
      </c>
      <c r="AA245" s="173">
        <f t="shared" si="707"/>
        <v>6489861.2395341918</v>
      </c>
      <c r="AB245" s="173">
        <f t="shared" si="707"/>
        <v>6803754.8036369104</v>
      </c>
      <c r="AC245" s="173">
        <f>SUM(AC246:AC249)</f>
        <v>7170065.2986761071</v>
      </c>
      <c r="AD245" s="173">
        <f t="shared" ref="AD245:AE245" si="708">SUM(AD246:AD249)</f>
        <v>7590170.1133375447</v>
      </c>
      <c r="AE245" s="173">
        <f t="shared" si="708"/>
        <v>8060568.6763752028</v>
      </c>
      <c r="AF245" s="173"/>
      <c r="AG245" s="173"/>
      <c r="AL245" s="173">
        <f>SUM(AL246:AL249)</f>
        <v>1520667</v>
      </c>
      <c r="AM245" s="173">
        <f>SUM(AM246:AM249)</f>
        <v>1588638</v>
      </c>
      <c r="AN245" s="173">
        <f t="shared" ref="AN245:BC245" si="709">SUM(AN246:AN249)</f>
        <v>1656413</v>
      </c>
      <c r="AO245" s="173">
        <f t="shared" si="709"/>
        <v>5774014.4896247247</v>
      </c>
      <c r="AP245" s="173">
        <f t="shared" si="709"/>
        <v>6038203.0526475804</v>
      </c>
      <c r="AQ245" s="173">
        <f t="shared" si="709"/>
        <v>6222563.3488146374</v>
      </c>
      <c r="AR245" s="173">
        <f t="shared" si="709"/>
        <v>6564419.3967234436</v>
      </c>
      <c r="AS245" s="173">
        <f t="shared" si="709"/>
        <v>4420669.5689861206</v>
      </c>
      <c r="AT245" s="173">
        <f t="shared" si="709"/>
        <v>4521750.3924655011</v>
      </c>
      <c r="AU245" s="173">
        <f t="shared" si="709"/>
        <v>4652052.2743293168</v>
      </c>
      <c r="AV245" s="173">
        <f t="shared" si="709"/>
        <v>4991150.7244009003</v>
      </c>
      <c r="AW245" s="173">
        <f t="shared" si="709"/>
        <v>5201900.4048724789</v>
      </c>
      <c r="AX245" s="173">
        <f t="shared" si="709"/>
        <v>5380853.7947837627</v>
      </c>
      <c r="AY245" s="173">
        <f t="shared" si="709"/>
        <v>5481431.4399277736</v>
      </c>
      <c r="AZ245" s="173">
        <f t="shared" si="709"/>
        <v>5655620.0281390809</v>
      </c>
      <c r="BA245" s="173">
        <f t="shared" si="709"/>
        <v>5884506.4356622025</v>
      </c>
      <c r="BB245" s="173">
        <f t="shared" si="709"/>
        <v>6083929.1751171919</v>
      </c>
      <c r="BC245" s="173">
        <f t="shared" si="709"/>
        <v>6346181.033083247</v>
      </c>
      <c r="BD245" s="219">
        <f>SUM(BD246:BD249)</f>
        <v>6633541.4459851356</v>
      </c>
      <c r="BE245" s="219">
        <f>SUM(BE246:BE249)</f>
        <v>6973968.1612886852</v>
      </c>
      <c r="BF245" s="219">
        <f>SUM(BF246:BF249)</f>
        <v>7366162.4360635309</v>
      </c>
      <c r="BG245" s="219">
        <f t="shared" ref="BG245:BH245" si="710">SUM(BG246:BG249)</f>
        <v>7814177.7906115595</v>
      </c>
      <c r="BH245" s="219">
        <f t="shared" si="710"/>
        <v>8306959.5621388424</v>
      </c>
    </row>
    <row r="246" spans="5:60" x14ac:dyDescent="0.2">
      <c r="E246" s="220" t="s">
        <v>102</v>
      </c>
      <c r="K246" s="60">
        <f t="shared" ref="K246:Y249" si="711">AVERAGE(AM246:AN246)</f>
        <v>1041362</v>
      </c>
      <c r="L246" s="60">
        <f t="shared" si="711"/>
        <v>2064106.3812695846</v>
      </c>
      <c r="M246" s="60">
        <f t="shared" si="711"/>
        <v>3143849.1616848693</v>
      </c>
      <c r="N246" s="60">
        <f t="shared" si="711"/>
        <v>3282450.7721260972</v>
      </c>
      <c r="O246" s="60">
        <f t="shared" si="711"/>
        <v>3445152.2623984325</v>
      </c>
      <c r="P246" s="60">
        <f t="shared" si="711"/>
        <v>2877362.2361861565</v>
      </c>
      <c r="Q246" s="60">
        <f t="shared" si="711"/>
        <v>2176917.2931390684</v>
      </c>
      <c r="R246" s="60">
        <f t="shared" si="711"/>
        <v>2137025.0820695288</v>
      </c>
      <c r="S246" s="60">
        <f t="shared" si="711"/>
        <v>2202220.8255430963</v>
      </c>
      <c r="T246" s="60">
        <f t="shared" si="711"/>
        <v>2330619.1959827654</v>
      </c>
      <c r="U246" s="60">
        <f t="shared" si="711"/>
        <v>2444781.1780968234</v>
      </c>
      <c r="V246" s="60">
        <f t="shared" si="711"/>
        <v>2548351.0171482209</v>
      </c>
      <c r="W246" s="60">
        <f t="shared" si="711"/>
        <v>2637551.5991457896</v>
      </c>
      <c r="X246" s="60">
        <f t="shared" si="711"/>
        <v>2759528.251741752</v>
      </c>
      <c r="Y246" s="60">
        <f t="shared" si="711"/>
        <v>2872234.6991399843</v>
      </c>
      <c r="Z246" s="60">
        <f t="shared" ref="Z246:AC249" si="712">AVERAGE(BB246:BC246)</f>
        <v>2978626.6611030246</v>
      </c>
      <c r="AA246" s="60">
        <f t="shared" si="712"/>
        <v>3105135.6608206555</v>
      </c>
      <c r="AB246" s="60">
        <f t="shared" si="712"/>
        <v>3247631.9168407703</v>
      </c>
      <c r="AC246" s="60">
        <f t="shared" si="712"/>
        <v>3417007.0673688427</v>
      </c>
      <c r="AD246" s="60">
        <f t="shared" ref="AD246:AD249" si="713">AVERAGE(BF246:BG246)</f>
        <v>3623894.2800876433</v>
      </c>
      <c r="AE246" s="60">
        <f t="shared" ref="AE246:AE249" si="714">AVERAGE(BG246:BH246)</f>
        <v>3867577.2755468297</v>
      </c>
      <c r="AF246" s="60"/>
      <c r="AG246" s="60"/>
      <c r="AL246" s="221">
        <v>961993</v>
      </c>
      <c r="AM246" s="221">
        <v>1012183</v>
      </c>
      <c r="AN246" s="221">
        <v>1070541</v>
      </c>
      <c r="AO246" s="221">
        <v>3057671.7625391693</v>
      </c>
      <c r="AP246" s="221">
        <v>3230026.5608305694</v>
      </c>
      <c r="AQ246" s="221">
        <v>3334874.9834216246</v>
      </c>
      <c r="AR246" s="221">
        <v>3555429.5413752403</v>
      </c>
      <c r="AS246" s="221">
        <f>AS506</f>
        <v>2199294.9309970727</v>
      </c>
      <c r="AT246" s="221">
        <f t="shared" ref="AT246:BB246" si="715">AT506</f>
        <v>2154539.6552810636</v>
      </c>
      <c r="AU246" s="221">
        <f t="shared" si="715"/>
        <v>2119510.5088579939</v>
      </c>
      <c r="AV246" s="221">
        <f t="shared" si="715"/>
        <v>2284931.1422281987</v>
      </c>
      <c r="AW246" s="221">
        <f t="shared" si="715"/>
        <v>2376307.2497373321</v>
      </c>
      <c r="AX246" s="221">
        <f t="shared" si="715"/>
        <v>2513255.1064563142</v>
      </c>
      <c r="AY246" s="221">
        <f t="shared" si="715"/>
        <v>2583446.9278401276</v>
      </c>
      <c r="AZ246" s="221">
        <f t="shared" si="715"/>
        <v>2691656.2704514512</v>
      </c>
      <c r="BA246" s="221">
        <f t="shared" si="715"/>
        <v>2827400.2330320533</v>
      </c>
      <c r="BB246" s="221">
        <f t="shared" si="715"/>
        <v>2917069.1652479153</v>
      </c>
      <c r="BC246" s="222">
        <f>BB246*(1+'NA ASSUMPTIONS'!Q10/100)</f>
        <v>3040184.1569581339</v>
      </c>
      <c r="BD246" s="222">
        <f>BC246*(1+'NA ASSUMPTIONS'!R10/100)</f>
        <v>3170087.1646831776</v>
      </c>
      <c r="BE246" s="222">
        <f>BD246*(1+'NA ASSUMPTIONS'!S10/100)</f>
        <v>3325176.6689983634</v>
      </c>
      <c r="BF246" s="222">
        <f>BE246*(1+'NA ASSUMPTIONS'!T10/100)</f>
        <v>3508837.4657393219</v>
      </c>
      <c r="BG246" s="222">
        <f>BF246*(1+'NA ASSUMPTIONS'!U10/100)</f>
        <v>3738951.0944359652</v>
      </c>
      <c r="BH246" s="222">
        <f>BG246*(1+'NA ASSUMPTIONS'!V10/100)</f>
        <v>3996203.4566576942</v>
      </c>
    </row>
    <row r="247" spans="5:60" x14ac:dyDescent="0.2">
      <c r="E247" s="220" t="s">
        <v>103</v>
      </c>
      <c r="K247" s="60">
        <f t="shared" si="711"/>
        <v>297016.5</v>
      </c>
      <c r="L247" s="60">
        <f t="shared" si="711"/>
        <v>1097669.2031493885</v>
      </c>
      <c r="M247" s="60">
        <f t="shared" si="711"/>
        <v>1926774.0175398877</v>
      </c>
      <c r="N247" s="60">
        <f t="shared" si="711"/>
        <v>1975469.1254591243</v>
      </c>
      <c r="O247" s="60">
        <f t="shared" si="711"/>
        <v>2038526.9436367122</v>
      </c>
      <c r="P247" s="60">
        <f t="shared" si="711"/>
        <v>1766098.5618844971</v>
      </c>
      <c r="Q247" s="60">
        <f t="shared" si="711"/>
        <v>1505942.0854529883</v>
      </c>
      <c r="R247" s="60">
        <f t="shared" si="711"/>
        <v>1627738.4856539434</v>
      </c>
      <c r="S247" s="60">
        <f t="shared" si="711"/>
        <v>1760241.7419731864</v>
      </c>
      <c r="T247" s="60">
        <f t="shared" si="711"/>
        <v>1872885.3538321191</v>
      </c>
      <c r="U247" s="60">
        <f t="shared" si="711"/>
        <v>1932316.4678191261</v>
      </c>
      <c r="V247" s="60">
        <f t="shared" si="711"/>
        <v>1944560.6929287899</v>
      </c>
      <c r="W247" s="60">
        <f t="shared" si="711"/>
        <v>1963487.1718290576</v>
      </c>
      <c r="X247" s="60">
        <f t="shared" si="711"/>
        <v>2002791.5222851252</v>
      </c>
      <c r="Y247" s="60">
        <f t="shared" si="711"/>
        <v>2060581.8397486066</v>
      </c>
      <c r="Z247" s="60">
        <f t="shared" si="712"/>
        <v>2143773.950217139</v>
      </c>
      <c r="AA247" s="60">
        <f t="shared" si="712"/>
        <v>2243347.1003274242</v>
      </c>
      <c r="AB247" s="60">
        <f t="shared" si="712"/>
        <v>2360644.0619213008</v>
      </c>
      <c r="AC247" s="60">
        <f t="shared" si="712"/>
        <v>2498156.1324505433</v>
      </c>
      <c r="AD247" s="60">
        <f t="shared" si="713"/>
        <v>2648934.8791464954</v>
      </c>
      <c r="AE247" s="60">
        <f t="shared" si="714"/>
        <v>2811480.6456285417</v>
      </c>
      <c r="AF247" s="60"/>
      <c r="AG247" s="60"/>
      <c r="AL247" s="221">
        <v>288178</v>
      </c>
      <c r="AM247" s="221">
        <v>298484</v>
      </c>
      <c r="AN247" s="221">
        <v>295549</v>
      </c>
      <c r="AO247" s="221">
        <v>1899789.4062987769</v>
      </c>
      <c r="AP247" s="221">
        <v>1953758.6287809983</v>
      </c>
      <c r="AQ247" s="221">
        <v>1997179.6221372506</v>
      </c>
      <c r="AR247" s="221">
        <v>2079874.2651361739</v>
      </c>
      <c r="AS247" s="221">
        <f t="shared" ref="AS247:BB255" si="716">AS507</f>
        <v>1452322.8586328202</v>
      </c>
      <c r="AT247" s="221">
        <f t="shared" si="716"/>
        <v>1559561.3122731566</v>
      </c>
      <c r="AU247" s="221">
        <f t="shared" si="716"/>
        <v>1695915.6590347299</v>
      </c>
      <c r="AV247" s="221">
        <f t="shared" si="716"/>
        <v>1824567.8249116431</v>
      </c>
      <c r="AW247" s="221">
        <f t="shared" si="716"/>
        <v>1921202.882752595</v>
      </c>
      <c r="AX247" s="221">
        <f t="shared" si="716"/>
        <v>1943430.0528856572</v>
      </c>
      <c r="AY247" s="221">
        <f t="shared" si="716"/>
        <v>1945691.3329719226</v>
      </c>
      <c r="AZ247" s="221">
        <f t="shared" si="716"/>
        <v>1981283.0106861927</v>
      </c>
      <c r="BA247" s="221">
        <f t="shared" si="716"/>
        <v>2024300.0338840578</v>
      </c>
      <c r="BB247" s="221">
        <f t="shared" si="716"/>
        <v>2096863.6456131553</v>
      </c>
      <c r="BC247" s="222">
        <f>BB247*(1+'NA ASSUMPTIONS'!Q11/100)</f>
        <v>2190684.2548211222</v>
      </c>
      <c r="BD247" s="222">
        <f>BC247*(1+'NA ASSUMPTIONS'!R11/100)</f>
        <v>2296009.9458337263</v>
      </c>
      <c r="BE247" s="222">
        <f>BD247*(1+'NA ASSUMPTIONS'!S11/100)</f>
        <v>2425278.1780088753</v>
      </c>
      <c r="BF247" s="222">
        <f>BE247*(1+'NA ASSUMPTIONS'!T11/100)</f>
        <v>2571034.0868922118</v>
      </c>
      <c r="BG247" s="222">
        <f>BF247*(1+'NA ASSUMPTIONS'!U11/100)</f>
        <v>2726835.6714007789</v>
      </c>
      <c r="BH247" s="222">
        <f>BG247*(1+'NA ASSUMPTIONS'!V11/100)</f>
        <v>2896125.6198563045</v>
      </c>
    </row>
    <row r="248" spans="5:60" x14ac:dyDescent="0.2">
      <c r="E248" s="220" t="s">
        <v>104</v>
      </c>
      <c r="K248" s="60">
        <f t="shared" si="711"/>
        <v>143186.5</v>
      </c>
      <c r="L248" s="60">
        <f t="shared" si="711"/>
        <v>321987.38554938964</v>
      </c>
      <c r="M248" s="60">
        <f t="shared" si="711"/>
        <v>504768.6871905044</v>
      </c>
      <c r="N248" s="60">
        <f t="shared" si="711"/>
        <v>520686.04314292059</v>
      </c>
      <c r="O248" s="60">
        <f t="shared" si="711"/>
        <v>535660.88160079066</v>
      </c>
      <c r="P248" s="60">
        <f t="shared" si="711"/>
        <v>456411.94486757647</v>
      </c>
      <c r="Q248" s="60">
        <f t="shared" si="711"/>
        <v>383613.83977960364</v>
      </c>
      <c r="R248" s="60">
        <f t="shared" si="711"/>
        <v>409937.32302588271</v>
      </c>
      <c r="S248" s="60">
        <f t="shared" si="711"/>
        <v>430146.34423742513</v>
      </c>
      <c r="T248" s="60">
        <f t="shared" si="711"/>
        <v>449067.29126316635</v>
      </c>
      <c r="U248" s="60">
        <f t="shared" si="711"/>
        <v>468351.40627240721</v>
      </c>
      <c r="V248" s="60">
        <f t="shared" si="711"/>
        <v>484188.78388919623</v>
      </c>
      <c r="W248" s="60">
        <f t="shared" si="711"/>
        <v>500700.17758879252</v>
      </c>
      <c r="X248" s="60">
        <f t="shared" si="711"/>
        <v>521340.90404743527</v>
      </c>
      <c r="Y248" s="60">
        <f t="shared" si="711"/>
        <v>547033.31861964834</v>
      </c>
      <c r="Z248" s="60">
        <f t="shared" si="712"/>
        <v>576305.80034970981</v>
      </c>
      <c r="AA248" s="60">
        <f t="shared" si="712"/>
        <v>609087.23820761289</v>
      </c>
      <c r="AB248" s="60">
        <f t="shared" si="712"/>
        <v>644573.22774377279</v>
      </c>
      <c r="AC248" s="60">
        <f t="shared" si="712"/>
        <v>682953.33335504797</v>
      </c>
      <c r="AD248" s="60">
        <f t="shared" si="713"/>
        <v>724524.36199739249</v>
      </c>
      <c r="AE248" s="60">
        <f t="shared" si="714"/>
        <v>769405.98122333339</v>
      </c>
      <c r="AF248" s="60"/>
      <c r="AG248" s="60"/>
      <c r="AL248" s="221">
        <v>135836</v>
      </c>
      <c r="AM248" s="221">
        <v>139049</v>
      </c>
      <c r="AN248" s="221">
        <v>147324</v>
      </c>
      <c r="AO248" s="221">
        <v>496650.77109877934</v>
      </c>
      <c r="AP248" s="221">
        <v>512886.60328222945</v>
      </c>
      <c r="AQ248" s="221">
        <v>528485.48300361179</v>
      </c>
      <c r="AR248" s="221">
        <v>542836.28019796952</v>
      </c>
      <c r="AS248" s="221">
        <f t="shared" si="716"/>
        <v>369987.60953718337</v>
      </c>
      <c r="AT248" s="221">
        <f t="shared" si="716"/>
        <v>397240.07002202398</v>
      </c>
      <c r="AU248" s="221">
        <f t="shared" si="716"/>
        <v>422634.57602974144</v>
      </c>
      <c r="AV248" s="221">
        <f t="shared" si="716"/>
        <v>437658.11244510877</v>
      </c>
      <c r="AW248" s="221">
        <f t="shared" si="716"/>
        <v>460476.47008122393</v>
      </c>
      <c r="AX248" s="221">
        <f t="shared" si="716"/>
        <v>476226.3424635905</v>
      </c>
      <c r="AY248" s="221">
        <f t="shared" si="716"/>
        <v>492151.22531480202</v>
      </c>
      <c r="AZ248" s="221">
        <f t="shared" si="716"/>
        <v>509249.12986278301</v>
      </c>
      <c r="BA248" s="221">
        <f t="shared" si="716"/>
        <v>533432.67823208752</v>
      </c>
      <c r="BB248" s="221">
        <f t="shared" si="716"/>
        <v>560633.95900720917</v>
      </c>
      <c r="BC248" s="222">
        <f>BB248*(1+'NA ASSUMPTIONS'!Q12/100)</f>
        <v>591977.64169221045</v>
      </c>
      <c r="BD248" s="222">
        <f>BC248*(1+'NA ASSUMPTIONS'!R12/100)</f>
        <v>626196.8347230152</v>
      </c>
      <c r="BE248" s="222">
        <f>BD248*(1+'NA ASSUMPTIONS'!S12/100)</f>
        <v>662949.62076453026</v>
      </c>
      <c r="BF248" s="222">
        <f>BE248*(1+'NA ASSUMPTIONS'!T12/100)</f>
        <v>702957.04594556568</v>
      </c>
      <c r="BG248" s="222">
        <f>BF248*(1+'NA ASSUMPTIONS'!U12/100)</f>
        <v>746091.67804921919</v>
      </c>
      <c r="BH248" s="222">
        <f>BG248*(1+'NA ASSUMPTIONS'!V12/100)</f>
        <v>792720.28439744771</v>
      </c>
    </row>
    <row r="249" spans="5:60" x14ac:dyDescent="0.2">
      <c r="E249" s="220" t="s">
        <v>105</v>
      </c>
      <c r="K249" s="60">
        <f t="shared" si="711"/>
        <v>140960.5</v>
      </c>
      <c r="L249" s="60">
        <f t="shared" si="711"/>
        <v>231450.77484399945</v>
      </c>
      <c r="M249" s="60">
        <f t="shared" si="711"/>
        <v>330716.90472089173</v>
      </c>
      <c r="N249" s="60">
        <f t="shared" si="711"/>
        <v>351777.26000296767</v>
      </c>
      <c r="O249" s="60">
        <f t="shared" si="711"/>
        <v>374151.28513310518</v>
      </c>
      <c r="P249" s="60">
        <f t="shared" si="711"/>
        <v>392671.73991655197</v>
      </c>
      <c r="Q249" s="60">
        <f t="shared" si="711"/>
        <v>404736.76235415053</v>
      </c>
      <c r="R249" s="60">
        <f t="shared" si="711"/>
        <v>412200.4426480541</v>
      </c>
      <c r="S249" s="60">
        <f t="shared" si="711"/>
        <v>428992.58761140081</v>
      </c>
      <c r="T249" s="60">
        <f t="shared" si="711"/>
        <v>443953.72355863859</v>
      </c>
      <c r="U249" s="60">
        <f t="shared" si="711"/>
        <v>445928.04763976432</v>
      </c>
      <c r="V249" s="60">
        <f t="shared" si="711"/>
        <v>454042.12338956178</v>
      </c>
      <c r="W249" s="60">
        <f t="shared" si="711"/>
        <v>466786.78546978801</v>
      </c>
      <c r="X249" s="60">
        <f t="shared" si="711"/>
        <v>486402.55382632895</v>
      </c>
      <c r="Y249" s="60">
        <f t="shared" si="711"/>
        <v>504367.94788145809</v>
      </c>
      <c r="Z249" s="60">
        <f t="shared" si="712"/>
        <v>516348.69243034616</v>
      </c>
      <c r="AA249" s="60">
        <f t="shared" si="712"/>
        <v>532291.24017849821</v>
      </c>
      <c r="AB249" s="60">
        <f t="shared" si="712"/>
        <v>550905.59713106579</v>
      </c>
      <c r="AC249" s="60">
        <f t="shared" si="712"/>
        <v>571948.7655016738</v>
      </c>
      <c r="AD249" s="60">
        <f t="shared" si="713"/>
        <v>592816.59210601472</v>
      </c>
      <c r="AE249" s="60">
        <f t="shared" si="714"/>
        <v>612104.77397649689</v>
      </c>
      <c r="AF249" s="60"/>
      <c r="AG249" s="60"/>
      <c r="AL249" s="223">
        <v>134660</v>
      </c>
      <c r="AM249" s="223">
        <v>138922</v>
      </c>
      <c r="AN249" s="223">
        <v>142999</v>
      </c>
      <c r="AO249" s="223">
        <v>319902.54968799889</v>
      </c>
      <c r="AP249" s="223">
        <v>341531.25975378451</v>
      </c>
      <c r="AQ249" s="223">
        <v>362023.26025215088</v>
      </c>
      <c r="AR249" s="223">
        <v>386279.31001405948</v>
      </c>
      <c r="AS249" s="221">
        <f t="shared" si="716"/>
        <v>399064.16981904447</v>
      </c>
      <c r="AT249" s="221">
        <f t="shared" si="716"/>
        <v>410409.35488925653</v>
      </c>
      <c r="AU249" s="221">
        <f t="shared" si="716"/>
        <v>413991.53040685173</v>
      </c>
      <c r="AV249" s="221">
        <f t="shared" si="716"/>
        <v>443993.6448159499</v>
      </c>
      <c r="AW249" s="221">
        <f t="shared" si="716"/>
        <v>443913.80230132735</v>
      </c>
      <c r="AX249" s="221">
        <f t="shared" si="716"/>
        <v>447942.29297820129</v>
      </c>
      <c r="AY249" s="221">
        <f t="shared" si="716"/>
        <v>460141.95380092226</v>
      </c>
      <c r="AZ249" s="221">
        <f t="shared" si="716"/>
        <v>473431.61713865382</v>
      </c>
      <c r="BA249" s="221">
        <f t="shared" si="716"/>
        <v>499373.49051400408</v>
      </c>
      <c r="BB249" s="221">
        <f t="shared" si="716"/>
        <v>509362.40524891205</v>
      </c>
      <c r="BC249" s="222">
        <f>BB249*(1+'NA ASSUMPTIONS'!Q13/100)</f>
        <v>523334.97961178026</v>
      </c>
      <c r="BD249" s="222">
        <f>BC249*(1+'NA ASSUMPTIONS'!R13/100)</f>
        <v>541247.50074521615</v>
      </c>
      <c r="BE249" s="222">
        <f>BD249*(1+'NA ASSUMPTIONS'!S13/100)</f>
        <v>560563.69351691531</v>
      </c>
      <c r="BF249" s="222">
        <f>BE249*(1+'NA ASSUMPTIONS'!T13/100)</f>
        <v>583333.83748643228</v>
      </c>
      <c r="BG249" s="222">
        <f>BF249*(1+'NA ASSUMPTIONS'!U13/100)</f>
        <v>602299.34672559705</v>
      </c>
      <c r="BH249" s="222">
        <f>BG249*(1+'NA ASSUMPTIONS'!V13/100)</f>
        <v>621910.20122739684</v>
      </c>
    </row>
    <row r="250" spans="5:60" x14ac:dyDescent="0.2">
      <c r="E250" s="212" t="s">
        <v>106</v>
      </c>
      <c r="K250" s="173">
        <f t="shared" ref="K250:V250" si="717">SUM(K251:K255)</f>
        <v>1421752.5</v>
      </c>
      <c r="L250" s="173">
        <f t="shared" si="717"/>
        <v>2233056.5985656907</v>
      </c>
      <c r="M250" s="173">
        <f t="shared" si="717"/>
        <v>3166309.8922941382</v>
      </c>
      <c r="N250" s="173">
        <f t="shared" si="717"/>
        <v>3514704.4269082942</v>
      </c>
      <c r="O250" s="173">
        <f t="shared" si="717"/>
        <v>3923999.9219121537</v>
      </c>
      <c r="P250" s="173">
        <f t="shared" si="717"/>
        <v>4208719.0756251365</v>
      </c>
      <c r="Q250" s="173">
        <f t="shared" si="717"/>
        <v>4390326.4862025166</v>
      </c>
      <c r="R250" s="173">
        <f t="shared" si="717"/>
        <v>4754507.6724110832</v>
      </c>
      <c r="S250" s="173">
        <f t="shared" si="717"/>
        <v>5165891.9928644523</v>
      </c>
      <c r="T250" s="173">
        <f t="shared" si="717"/>
        <v>5426845.8416319732</v>
      </c>
      <c r="U250" s="173">
        <f t="shared" si="717"/>
        <v>5782379.4225880206</v>
      </c>
      <c r="V250" s="173">
        <f t="shared" si="717"/>
        <v>6373660.642606738</v>
      </c>
      <c r="W250" s="173">
        <f t="shared" ref="W250:AB250" si="718">SUM(W251:W255)</f>
        <v>6851174.6074582729</v>
      </c>
      <c r="X250" s="173">
        <f t="shared" si="718"/>
        <v>7304437.2163586495</v>
      </c>
      <c r="Y250" s="173">
        <f t="shared" si="718"/>
        <v>8031084.9690739326</v>
      </c>
      <c r="Z250" s="173">
        <f t="shared" si="718"/>
        <v>8856667.8488360718</v>
      </c>
      <c r="AA250" s="173">
        <f t="shared" si="718"/>
        <v>9729374.8633358702</v>
      </c>
      <c r="AB250" s="173">
        <f t="shared" si="718"/>
        <v>10700774.550924271</v>
      </c>
      <c r="AC250" s="173">
        <f>SUM(AC251:AC255)</f>
        <v>11790424.479952879</v>
      </c>
      <c r="AD250" s="173">
        <f t="shared" ref="AD250:AE250" si="719">SUM(AD251:AD255)</f>
        <v>13021181.330122944</v>
      </c>
      <c r="AE250" s="173">
        <f t="shared" si="719"/>
        <v>14410566.792012364</v>
      </c>
      <c r="AF250" s="173"/>
      <c r="AG250" s="173"/>
      <c r="AL250" s="173">
        <f>SUM(AL251:AL255)</f>
        <v>1300531</v>
      </c>
      <c r="AM250" s="173">
        <f>SUM(AM251:AM255)</f>
        <v>1390233</v>
      </c>
      <c r="AN250" s="173">
        <f t="shared" ref="AN250:BB250" si="720">SUM(AN251:AN255)</f>
        <v>1453272</v>
      </c>
      <c r="AO250" s="173">
        <f t="shared" si="720"/>
        <v>3012841.1971313814</v>
      </c>
      <c r="AP250" s="173">
        <f t="shared" si="720"/>
        <v>3319778.5874568941</v>
      </c>
      <c r="AQ250" s="173">
        <f t="shared" si="720"/>
        <v>3709630.2663596943</v>
      </c>
      <c r="AR250" s="173">
        <f t="shared" si="720"/>
        <v>4138369.5774646122</v>
      </c>
      <c r="AS250" s="173">
        <f t="shared" si="720"/>
        <v>4279068.5737856608</v>
      </c>
      <c r="AT250" s="173">
        <f t="shared" si="720"/>
        <v>4501584.3986193715</v>
      </c>
      <c r="AU250" s="173">
        <f t="shared" si="720"/>
        <v>5007430.946202795</v>
      </c>
      <c r="AV250" s="173">
        <f t="shared" si="720"/>
        <v>5324353.0395261105</v>
      </c>
      <c r="AW250" s="173">
        <f t="shared" si="720"/>
        <v>5529338.6437378367</v>
      </c>
      <c r="AX250" s="173">
        <f t="shared" si="720"/>
        <v>6035420.2014382035</v>
      </c>
      <c r="AY250" s="173">
        <f t="shared" si="720"/>
        <v>6711901.0837752707</v>
      </c>
      <c r="AZ250" s="173">
        <f t="shared" si="720"/>
        <v>6990448.1311412752</v>
      </c>
      <c r="BA250" s="173">
        <f t="shared" si="720"/>
        <v>7618426.3015760258</v>
      </c>
      <c r="BB250" s="173">
        <f t="shared" si="720"/>
        <v>8443743.6365718376</v>
      </c>
      <c r="BC250" s="173">
        <f>SUM(BC251:BC255)</f>
        <v>9269592.0611003041</v>
      </c>
      <c r="BD250" s="173">
        <f t="shared" ref="BD250:BH250" si="721">SUM(BD251:BD255)</f>
        <v>10189157.665571436</v>
      </c>
      <c r="BE250" s="173">
        <f t="shared" si="721"/>
        <v>11212391.436277106</v>
      </c>
      <c r="BF250" s="173">
        <f t="shared" si="721"/>
        <v>12368457.523628648</v>
      </c>
      <c r="BG250" s="173">
        <f t="shared" si="721"/>
        <v>13673905.13661724</v>
      </c>
      <c r="BH250" s="173">
        <f t="shared" si="721"/>
        <v>15147228.447407492</v>
      </c>
    </row>
    <row r="251" spans="5:60" x14ac:dyDescent="0.2">
      <c r="E251" s="220" t="s">
        <v>39</v>
      </c>
      <c r="K251" s="60">
        <f t="shared" ref="K251:Y255" si="722">AVERAGE(AM251:AN251)</f>
        <v>131602.5</v>
      </c>
      <c r="L251" s="60">
        <f t="shared" si="722"/>
        <v>339152.11894791265</v>
      </c>
      <c r="M251" s="60">
        <f t="shared" si="722"/>
        <v>583331.1702187648</v>
      </c>
      <c r="N251" s="60">
        <f t="shared" si="722"/>
        <v>682555.58725115506</v>
      </c>
      <c r="O251" s="60">
        <f t="shared" si="722"/>
        <v>795194.07086156728</v>
      </c>
      <c r="P251" s="60">
        <f t="shared" si="722"/>
        <v>922963.09704651253</v>
      </c>
      <c r="Q251" s="60">
        <f t="shared" si="722"/>
        <v>924099.12134310917</v>
      </c>
      <c r="R251" s="60">
        <f t="shared" si="722"/>
        <v>895859.50274032587</v>
      </c>
      <c r="S251" s="60">
        <f t="shared" si="722"/>
        <v>889680.28579213726</v>
      </c>
      <c r="T251" s="60">
        <f t="shared" si="722"/>
        <v>922800.64283036639</v>
      </c>
      <c r="U251" s="60">
        <f t="shared" si="722"/>
        <v>1037968.8598737917</v>
      </c>
      <c r="V251" s="60">
        <f t="shared" si="722"/>
        <v>1108041.6743473141</v>
      </c>
      <c r="W251" s="60">
        <f t="shared" si="722"/>
        <v>1179810.5950812353</v>
      </c>
      <c r="X251" s="60">
        <f t="shared" si="722"/>
        <v>1241333.8965476556</v>
      </c>
      <c r="Y251" s="60">
        <f t="shared" si="722"/>
        <v>1324096.9974998333</v>
      </c>
      <c r="Z251" s="60">
        <f t="shared" ref="Z251:AC255" si="723">AVERAGE(BB251:BC251)</f>
        <v>1439771.9417665624</v>
      </c>
      <c r="AA251" s="60">
        <f t="shared" si="723"/>
        <v>1558590.5776399481</v>
      </c>
      <c r="AB251" s="60">
        <f t="shared" si="723"/>
        <v>1688689.5240119463</v>
      </c>
      <c r="AC251" s="60">
        <f t="shared" si="723"/>
        <v>1831605.5674970471</v>
      </c>
      <c r="AD251" s="60">
        <f t="shared" ref="AD251:AD255" si="724">AVERAGE(BF251:BG251)</f>
        <v>1988400.8915205263</v>
      </c>
      <c r="AE251" s="60">
        <f t="shared" ref="AE251:AE255" si="725">AVERAGE(BG251:BH251)</f>
        <v>2150978.0243924409</v>
      </c>
      <c r="AF251" s="60"/>
      <c r="AG251" s="60"/>
      <c r="AL251" s="221">
        <v>112578</v>
      </c>
      <c r="AM251" s="221">
        <v>122805</v>
      </c>
      <c r="AN251" s="221">
        <v>140400</v>
      </c>
      <c r="AO251" s="221">
        <v>537904.2378958253</v>
      </c>
      <c r="AP251" s="221">
        <v>628758.10254170443</v>
      </c>
      <c r="AQ251" s="221">
        <v>736353.07196060568</v>
      </c>
      <c r="AR251" s="221">
        <v>854035.06976252887</v>
      </c>
      <c r="AS251" s="221">
        <f t="shared" si="716"/>
        <v>991891.12433049618</v>
      </c>
      <c r="AT251" s="221">
        <f t="shared" ref="AT251:BB251" si="726">AT511</f>
        <v>856307.11835572217</v>
      </c>
      <c r="AU251" s="221">
        <f t="shared" si="726"/>
        <v>935411.88712492958</v>
      </c>
      <c r="AV251" s="221">
        <f t="shared" si="726"/>
        <v>843948.68445934507</v>
      </c>
      <c r="AW251" s="221">
        <f t="shared" si="726"/>
        <v>1001652.6012013877</v>
      </c>
      <c r="AX251" s="221">
        <f t="shared" si="726"/>
        <v>1074285.1185461956</v>
      </c>
      <c r="AY251" s="221">
        <f t="shared" si="726"/>
        <v>1141798.2301484323</v>
      </c>
      <c r="AZ251" s="221">
        <f t="shared" si="726"/>
        <v>1217822.9600140383</v>
      </c>
      <c r="BA251" s="221">
        <f t="shared" si="726"/>
        <v>1264844.8330812729</v>
      </c>
      <c r="BB251" s="221">
        <f t="shared" si="726"/>
        <v>1383349.161918394</v>
      </c>
      <c r="BC251" s="222">
        <f>BB251*(1+'NA ASSUMPTIONS'!Q15/100)</f>
        <v>1496194.7216147305</v>
      </c>
      <c r="BD251" s="222">
        <f>BC251*(1+'NA ASSUMPTIONS'!R15/100)</f>
        <v>1620986.4336651659</v>
      </c>
      <c r="BE251" s="222">
        <f>BD251*(1+'NA ASSUMPTIONS'!S15/100)</f>
        <v>1756392.6143587269</v>
      </c>
      <c r="BF251" s="222">
        <f>BE251*(1+'NA ASSUMPTIONS'!T15/100)</f>
        <v>1906818.5206353671</v>
      </c>
      <c r="BG251" s="222">
        <f>BF251*(1+'NA ASSUMPTIONS'!U15/100)</f>
        <v>2069983.2624056856</v>
      </c>
      <c r="BH251" s="222">
        <f>BG251*(1+'NA ASSUMPTIONS'!V15/100)</f>
        <v>2231972.7863791967</v>
      </c>
    </row>
    <row r="252" spans="5:60" x14ac:dyDescent="0.2">
      <c r="E252" s="220" t="s">
        <v>40</v>
      </c>
      <c r="K252" s="60">
        <f t="shared" si="722"/>
        <v>709708</v>
      </c>
      <c r="L252" s="60">
        <f t="shared" si="722"/>
        <v>916603.90606252546</v>
      </c>
      <c r="M252" s="60">
        <f t="shared" si="722"/>
        <v>1148080.8387047355</v>
      </c>
      <c r="N252" s="60">
        <f t="shared" si="722"/>
        <v>1242883.1639037984</v>
      </c>
      <c r="O252" s="60">
        <f t="shared" si="722"/>
        <v>1357429.9243663726</v>
      </c>
      <c r="P252" s="60">
        <f t="shared" si="722"/>
        <v>1486639.8316055248</v>
      </c>
      <c r="Q252" s="60">
        <f t="shared" si="722"/>
        <v>1620450.7588119516</v>
      </c>
      <c r="R252" s="60">
        <f t="shared" si="722"/>
        <v>1783029.5809107283</v>
      </c>
      <c r="S252" s="60">
        <f t="shared" si="722"/>
        <v>1987033.6594635011</v>
      </c>
      <c r="T252" s="60">
        <f t="shared" si="722"/>
        <v>2143121.3070593709</v>
      </c>
      <c r="U252" s="60">
        <f t="shared" si="722"/>
        <v>2290299.1231308035</v>
      </c>
      <c r="V252" s="60">
        <f t="shared" si="722"/>
        <v>2471255.1795708369</v>
      </c>
      <c r="W252" s="60">
        <f t="shared" si="722"/>
        <v>2606659.4251485514</v>
      </c>
      <c r="X252" s="60">
        <f t="shared" si="722"/>
        <v>2745299.6913564764</v>
      </c>
      <c r="Y252" s="60">
        <f t="shared" si="722"/>
        <v>2927861.2583491178</v>
      </c>
      <c r="Z252" s="60">
        <f t="shared" si="723"/>
        <v>3129191.8237736425</v>
      </c>
      <c r="AA252" s="60">
        <f t="shared" si="723"/>
        <v>3347360.6330347159</v>
      </c>
      <c r="AB252" s="60">
        <f t="shared" si="723"/>
        <v>3582908.6413652366</v>
      </c>
      <c r="AC252" s="60">
        <f t="shared" si="723"/>
        <v>3839050.077410643</v>
      </c>
      <c r="AD252" s="60">
        <f t="shared" si="724"/>
        <v>4118663.2701740479</v>
      </c>
      <c r="AE252" s="60">
        <f t="shared" si="725"/>
        <v>4427955.1938181259</v>
      </c>
      <c r="AF252" s="60"/>
      <c r="AG252" s="60"/>
      <c r="AL252" s="221">
        <v>653575</v>
      </c>
      <c r="AM252" s="221">
        <v>693058</v>
      </c>
      <c r="AN252" s="221">
        <v>726358</v>
      </c>
      <c r="AO252" s="221">
        <v>1106849.8121250509</v>
      </c>
      <c r="AP252" s="221">
        <v>1189311.8652844199</v>
      </c>
      <c r="AQ252" s="221">
        <v>1296454.4625231773</v>
      </c>
      <c r="AR252" s="221">
        <v>1418405.386209568</v>
      </c>
      <c r="AS252" s="221">
        <f t="shared" si="716"/>
        <v>1554874.2770014815</v>
      </c>
      <c r="AT252" s="221">
        <f t="shared" ref="AT252:BB252" si="727">AT512</f>
        <v>1686027.2406224217</v>
      </c>
      <c r="AU252" s="221">
        <f t="shared" si="727"/>
        <v>1880031.9211990349</v>
      </c>
      <c r="AV252" s="221">
        <f t="shared" si="727"/>
        <v>2094035.3977279672</v>
      </c>
      <c r="AW252" s="221">
        <f t="shared" si="727"/>
        <v>2192207.2163907746</v>
      </c>
      <c r="AX252" s="221">
        <f t="shared" si="727"/>
        <v>2388391.0298708323</v>
      </c>
      <c r="AY252" s="221">
        <f t="shared" si="727"/>
        <v>2554119.3292708416</v>
      </c>
      <c r="AZ252" s="221">
        <f t="shared" si="727"/>
        <v>2659199.5210262612</v>
      </c>
      <c r="BA252" s="221">
        <f t="shared" si="727"/>
        <v>2831399.8616866916</v>
      </c>
      <c r="BB252" s="221">
        <f t="shared" si="727"/>
        <v>3024322.655011544</v>
      </c>
      <c r="BC252" s="222">
        <f>BB252*(1+'NA ASSUMPTIONS'!Q16/100)</f>
        <v>3234060.9925357411</v>
      </c>
      <c r="BD252" s="222">
        <f>BC252*(1+'NA ASSUMPTIONS'!R16/100)</f>
        <v>3460660.2735336907</v>
      </c>
      <c r="BE252" s="222">
        <f>BD252*(1+'NA ASSUMPTIONS'!S16/100)</f>
        <v>3705157.009196783</v>
      </c>
      <c r="BF252" s="222">
        <f>BE252*(1+'NA ASSUMPTIONS'!T16/100)</f>
        <v>3972943.1456245035</v>
      </c>
      <c r="BG252" s="222">
        <f>BF252*(1+'NA ASSUMPTIONS'!U16/100)</f>
        <v>4264383.3947235923</v>
      </c>
      <c r="BH252" s="222">
        <f>BG252*(1+'NA ASSUMPTIONS'!V16/100)</f>
        <v>4591526.9929126604</v>
      </c>
    </row>
    <row r="253" spans="5:60" x14ac:dyDescent="0.2">
      <c r="E253" s="220" t="s">
        <v>107</v>
      </c>
      <c r="K253" s="60">
        <f t="shared" si="722"/>
        <v>180442.5</v>
      </c>
      <c r="L253" s="60">
        <f t="shared" si="722"/>
        <v>173192.07322983103</v>
      </c>
      <c r="M253" s="60">
        <f t="shared" si="722"/>
        <v>165487.16413217119</v>
      </c>
      <c r="N253" s="60">
        <f t="shared" si="722"/>
        <v>176534.18462651141</v>
      </c>
      <c r="O253" s="60">
        <f t="shared" si="722"/>
        <v>189462.94577642245</v>
      </c>
      <c r="P253" s="60">
        <f t="shared" si="722"/>
        <v>205473.0317658023</v>
      </c>
      <c r="Q253" s="60">
        <f t="shared" si="722"/>
        <v>205296.46145498689</v>
      </c>
      <c r="R253" s="60">
        <f t="shared" si="722"/>
        <v>214281.91054734247</v>
      </c>
      <c r="S253" s="60">
        <f t="shared" si="722"/>
        <v>241991.45873422001</v>
      </c>
      <c r="T253" s="60">
        <f t="shared" si="722"/>
        <v>256730.103424253</v>
      </c>
      <c r="U253" s="60">
        <f t="shared" si="722"/>
        <v>279668.64896427694</v>
      </c>
      <c r="V253" s="60">
        <f t="shared" si="722"/>
        <v>290815.68367025803</v>
      </c>
      <c r="W253" s="60">
        <f t="shared" si="722"/>
        <v>289098.59303290839</v>
      </c>
      <c r="X253" s="60">
        <f t="shared" si="722"/>
        <v>312941.81159716402</v>
      </c>
      <c r="Y253" s="60">
        <f t="shared" si="722"/>
        <v>347594.78676728276</v>
      </c>
      <c r="Z253" s="60">
        <f t="shared" si="723"/>
        <v>380068.67030038359</v>
      </c>
      <c r="AA253" s="60">
        <f t="shared" si="723"/>
        <v>414793.57449884294</v>
      </c>
      <c r="AB253" s="60">
        <f t="shared" si="723"/>
        <v>451609.36471218895</v>
      </c>
      <c r="AC253" s="60">
        <f t="shared" si="723"/>
        <v>491662.14094642893</v>
      </c>
      <c r="AD253" s="60">
        <f t="shared" si="724"/>
        <v>536537.11673791218</v>
      </c>
      <c r="AE253" s="60">
        <f t="shared" si="725"/>
        <v>586818.72455009609</v>
      </c>
      <c r="AF253" s="60"/>
      <c r="AG253" s="60"/>
      <c r="AL253" s="221">
        <v>168323</v>
      </c>
      <c r="AM253" s="221">
        <v>175038</v>
      </c>
      <c r="AN253" s="221">
        <v>185847</v>
      </c>
      <c r="AO253" s="221">
        <v>160537.14645966206</v>
      </c>
      <c r="AP253" s="221">
        <v>170437.18180468032</v>
      </c>
      <c r="AQ253" s="221">
        <v>182631.18744834248</v>
      </c>
      <c r="AR253" s="221">
        <v>196294.70410450239</v>
      </c>
      <c r="AS253" s="221">
        <f t="shared" si="716"/>
        <v>214651.3594271022</v>
      </c>
      <c r="AT253" s="221">
        <f t="shared" ref="AT253:BB253" si="728">AT513</f>
        <v>195941.56348287157</v>
      </c>
      <c r="AU253" s="221">
        <f t="shared" si="728"/>
        <v>232622.25761181337</v>
      </c>
      <c r="AV253" s="221">
        <f t="shared" si="728"/>
        <v>251360.65985662665</v>
      </c>
      <c r="AW253" s="221">
        <f t="shared" si="728"/>
        <v>262099.54699187938</v>
      </c>
      <c r="AX253" s="221">
        <f t="shared" si="728"/>
        <v>297237.75093667454</v>
      </c>
      <c r="AY253" s="221">
        <f t="shared" si="728"/>
        <v>284393.61640384153</v>
      </c>
      <c r="AZ253" s="221">
        <f t="shared" si="728"/>
        <v>293803.56966197531</v>
      </c>
      <c r="BA253" s="221">
        <f t="shared" si="728"/>
        <v>332080.05353235267</v>
      </c>
      <c r="BB253" s="221">
        <f t="shared" si="728"/>
        <v>363109.52000221278</v>
      </c>
      <c r="BC253" s="222">
        <f>BB253*(1+'NA ASSUMPTIONS'!Q17/100)</f>
        <v>397027.82059855433</v>
      </c>
      <c r="BD253" s="222">
        <f>BC253*(1+'NA ASSUMPTIONS'!R17/100)</f>
        <v>432559.32839913154</v>
      </c>
      <c r="BE253" s="222">
        <f>BD253*(1+'NA ASSUMPTIONS'!S17/100)</f>
        <v>470659.4010252463</v>
      </c>
      <c r="BF253" s="222">
        <f>BE253*(1+'NA ASSUMPTIONS'!T17/100)</f>
        <v>512664.88086761156</v>
      </c>
      <c r="BG253" s="222">
        <f>BF253*(1+'NA ASSUMPTIONS'!U17/100)</f>
        <v>560409.35260821285</v>
      </c>
      <c r="BH253" s="222">
        <f>BG253*(1+'NA ASSUMPTIONS'!V17/100)</f>
        <v>613228.09649197932</v>
      </c>
    </row>
    <row r="254" spans="5:60" x14ac:dyDescent="0.2">
      <c r="E254" s="220" t="s">
        <v>108</v>
      </c>
      <c r="K254" s="60">
        <f t="shared" si="722"/>
        <v>28124</v>
      </c>
      <c r="L254" s="60">
        <f t="shared" si="722"/>
        <v>122125.91771951909</v>
      </c>
      <c r="M254" s="60">
        <f t="shared" si="722"/>
        <v>218656.72808600627</v>
      </c>
      <c r="N254" s="60">
        <f t="shared" si="722"/>
        <v>226741.64691497019</v>
      </c>
      <c r="O254" s="60">
        <f t="shared" si="722"/>
        <v>237740.38229269395</v>
      </c>
      <c r="P254" s="60">
        <f t="shared" si="722"/>
        <v>208944.0062568069</v>
      </c>
      <c r="Q254" s="60">
        <f t="shared" si="722"/>
        <v>176860.39284348246</v>
      </c>
      <c r="R254" s="60">
        <f t="shared" si="722"/>
        <v>173899.62341878549</v>
      </c>
      <c r="S254" s="60">
        <f t="shared" si="722"/>
        <v>170212.07169857813</v>
      </c>
      <c r="T254" s="60">
        <f t="shared" si="722"/>
        <v>175010.85160014039</v>
      </c>
      <c r="U254" s="60">
        <f t="shared" si="722"/>
        <v>181093.22487266874</v>
      </c>
      <c r="V254" s="60">
        <f t="shared" si="722"/>
        <v>183185.17326459489</v>
      </c>
      <c r="W254" s="60">
        <f t="shared" si="722"/>
        <v>184609.95535026013</v>
      </c>
      <c r="X254" s="60">
        <f t="shared" si="722"/>
        <v>189669.91883316453</v>
      </c>
      <c r="Y254" s="60">
        <f t="shared" si="722"/>
        <v>195741.66646498864</v>
      </c>
      <c r="Z254" s="60">
        <f t="shared" si="723"/>
        <v>203217.50353455826</v>
      </c>
      <c r="AA254" s="60">
        <f t="shared" si="723"/>
        <v>211165.77364517265</v>
      </c>
      <c r="AB254" s="60">
        <f t="shared" si="723"/>
        <v>219544.07266626242</v>
      </c>
      <c r="AC254" s="60">
        <f t="shared" si="723"/>
        <v>228581.27141885035</v>
      </c>
      <c r="AD254" s="60">
        <f t="shared" si="724"/>
        <v>238312.23863608899</v>
      </c>
      <c r="AE254" s="60">
        <f t="shared" si="725"/>
        <v>248596.991048378</v>
      </c>
      <c r="AF254" s="60"/>
      <c r="AG254" s="60"/>
      <c r="AL254" s="221">
        <v>26772</v>
      </c>
      <c r="AM254" s="221">
        <v>27594</v>
      </c>
      <c r="AN254" s="221">
        <v>28654</v>
      </c>
      <c r="AO254" s="221">
        <v>215597.83543903817</v>
      </c>
      <c r="AP254" s="221">
        <v>221715.62073297438</v>
      </c>
      <c r="AQ254" s="221">
        <v>231767.67309696603</v>
      </c>
      <c r="AR254" s="221">
        <v>243713.09148842187</v>
      </c>
      <c r="AS254" s="221">
        <f t="shared" si="716"/>
        <v>174174.92102519196</v>
      </c>
      <c r="AT254" s="221">
        <f t="shared" ref="AT254:BB254" si="729">AT514</f>
        <v>179545.86466177297</v>
      </c>
      <c r="AU254" s="221">
        <f t="shared" si="729"/>
        <v>168253.382175798</v>
      </c>
      <c r="AV254" s="221">
        <f t="shared" si="729"/>
        <v>172170.76122135826</v>
      </c>
      <c r="AW254" s="221">
        <f t="shared" si="729"/>
        <v>177850.94197892252</v>
      </c>
      <c r="AX254" s="221">
        <f t="shared" si="729"/>
        <v>184335.50776641496</v>
      </c>
      <c r="AY254" s="221">
        <f t="shared" si="729"/>
        <v>182034.83876277483</v>
      </c>
      <c r="AZ254" s="221">
        <f t="shared" si="729"/>
        <v>187185.07193774544</v>
      </c>
      <c r="BA254" s="221">
        <f t="shared" si="729"/>
        <v>192154.76572858362</v>
      </c>
      <c r="BB254" s="221">
        <f t="shared" si="729"/>
        <v>199328.56720139366</v>
      </c>
      <c r="BC254" s="222">
        <f>BB254*(1+'NA ASSUMPTIONS'!Q18/100)</f>
        <v>207106.43986772286</v>
      </c>
      <c r="BD254" s="222">
        <f>BC254*(1+'NA ASSUMPTIONS'!R18/100)</f>
        <v>215225.10742262242</v>
      </c>
      <c r="BE254" s="222">
        <f>BD254*(1+'NA ASSUMPTIONS'!S18/100)</f>
        <v>223863.03790990243</v>
      </c>
      <c r="BF254" s="222">
        <f>BE254*(1+'NA ASSUMPTIONS'!T18/100)</f>
        <v>233299.50492779826</v>
      </c>
      <c r="BG254" s="222">
        <f>BF254*(1+'NA ASSUMPTIONS'!U18/100)</f>
        <v>243324.97234437973</v>
      </c>
      <c r="BH254" s="222">
        <f>BG254*(1+'NA ASSUMPTIONS'!V18/100)</f>
        <v>253869.00975237627</v>
      </c>
    </row>
    <row r="255" spans="5:60" x14ac:dyDescent="0.2">
      <c r="E255" s="220" t="s">
        <v>109</v>
      </c>
      <c r="K255" s="60">
        <f t="shared" si="722"/>
        <v>371875.5</v>
      </c>
      <c r="L255" s="60">
        <f t="shared" si="722"/>
        <v>681982.58260590245</v>
      </c>
      <c r="M255" s="60">
        <f t="shared" si="722"/>
        <v>1050753.9911524602</v>
      </c>
      <c r="N255" s="60">
        <f t="shared" si="722"/>
        <v>1185989.8442118592</v>
      </c>
      <c r="O255" s="60">
        <f t="shared" si="722"/>
        <v>1344172.5986150973</v>
      </c>
      <c r="P255" s="60">
        <f t="shared" si="722"/>
        <v>1384699.1089504901</v>
      </c>
      <c r="Q255" s="60">
        <f t="shared" si="722"/>
        <v>1463619.7517489861</v>
      </c>
      <c r="R255" s="60">
        <f t="shared" si="722"/>
        <v>1687437.0547939008</v>
      </c>
      <c r="S255" s="60">
        <f t="shared" si="722"/>
        <v>1876974.5171760165</v>
      </c>
      <c r="T255" s="60">
        <f t="shared" si="722"/>
        <v>1929182.9367178432</v>
      </c>
      <c r="U255" s="60">
        <f t="shared" si="722"/>
        <v>1993349.5657464797</v>
      </c>
      <c r="V255" s="60">
        <f t="shared" si="722"/>
        <v>2320362.9317537341</v>
      </c>
      <c r="W255" s="60">
        <f t="shared" si="722"/>
        <v>2590996.0388453174</v>
      </c>
      <c r="X255" s="60">
        <f t="shared" si="722"/>
        <v>2815191.8980241893</v>
      </c>
      <c r="Y255" s="60">
        <f t="shared" si="722"/>
        <v>3235790.2599927089</v>
      </c>
      <c r="Z255" s="60">
        <f t="shared" si="723"/>
        <v>3704417.9094609246</v>
      </c>
      <c r="AA255" s="60">
        <f t="shared" si="723"/>
        <v>4197464.3045171909</v>
      </c>
      <c r="AB255" s="60">
        <f t="shared" si="723"/>
        <v>4758022.9481686372</v>
      </c>
      <c r="AC255" s="60">
        <f t="shared" si="723"/>
        <v>5399525.4226799086</v>
      </c>
      <c r="AD255" s="60">
        <f t="shared" si="724"/>
        <v>6139267.8130543679</v>
      </c>
      <c r="AE255" s="60">
        <f t="shared" si="725"/>
        <v>6996217.8582033236</v>
      </c>
      <c r="AF255" s="60"/>
      <c r="AG255" s="60"/>
      <c r="AL255" s="221">
        <v>339283</v>
      </c>
      <c r="AM255" s="221">
        <v>371738</v>
      </c>
      <c r="AN255" s="221">
        <v>372013</v>
      </c>
      <c r="AO255" s="221">
        <v>991952.16521180491</v>
      </c>
      <c r="AP255" s="221">
        <v>1109555.8170931153</v>
      </c>
      <c r="AQ255" s="221">
        <v>1262423.871330603</v>
      </c>
      <c r="AR255" s="221">
        <v>1425921.3258995914</v>
      </c>
      <c r="AS255" s="221">
        <f t="shared" si="716"/>
        <v>1343476.8920013891</v>
      </c>
      <c r="AT255" s="221">
        <f t="shared" ref="AT255:BB255" si="730">AT515</f>
        <v>1583762.6114965829</v>
      </c>
      <c r="AU255" s="221">
        <f t="shared" si="730"/>
        <v>1791111.498091219</v>
      </c>
      <c r="AV255" s="221">
        <f t="shared" si="730"/>
        <v>1962837.5362608139</v>
      </c>
      <c r="AW255" s="221">
        <f t="shared" si="730"/>
        <v>1895528.3371748724</v>
      </c>
      <c r="AX255" s="221">
        <f t="shared" si="730"/>
        <v>2091170.7943180869</v>
      </c>
      <c r="AY255" s="221">
        <f t="shared" si="730"/>
        <v>2549555.0691893809</v>
      </c>
      <c r="AZ255" s="221">
        <f t="shared" si="730"/>
        <v>2632437.0085012545</v>
      </c>
      <c r="BA255" s="221">
        <f t="shared" si="730"/>
        <v>2997946.7875471245</v>
      </c>
      <c r="BB255" s="221">
        <f t="shared" si="730"/>
        <v>3473633.7324382933</v>
      </c>
      <c r="BC255" s="222">
        <f>BB255*(1+'NA ASSUMPTIONS'!Q19/100)</f>
        <v>3935202.0864835554</v>
      </c>
      <c r="BD255" s="222">
        <f>BC255*(1+'NA ASSUMPTIONS'!R19/100)</f>
        <v>4459726.522550826</v>
      </c>
      <c r="BE255" s="222">
        <f>BD255*(1+'NA ASSUMPTIONS'!S19/100)</f>
        <v>5056319.3737864494</v>
      </c>
      <c r="BF255" s="222">
        <f>BE255*(1+'NA ASSUMPTIONS'!T19/100)</f>
        <v>5742731.4715733668</v>
      </c>
      <c r="BG255" s="222">
        <f>BF255*(1+'NA ASSUMPTIONS'!U19/100)</f>
        <v>6535804.1545353681</v>
      </c>
      <c r="BH255" s="222">
        <f>BG255*(1+'NA ASSUMPTIONS'!V19/100)</f>
        <v>7456631.561871279</v>
      </c>
    </row>
    <row r="256" spans="5:60" x14ac:dyDescent="0.2">
      <c r="E256" s="212" t="s">
        <v>110</v>
      </c>
      <c r="K256" s="173">
        <f t="shared" ref="K256:V256" si="731">SUM(K257:K266)</f>
        <v>3471819.5</v>
      </c>
      <c r="L256" s="173">
        <f t="shared" si="731"/>
        <v>5976733.2844979577</v>
      </c>
      <c r="M256" s="173">
        <f t="shared" si="731"/>
        <v>8695102.9670302663</v>
      </c>
      <c r="N256" s="173">
        <f t="shared" si="731"/>
        <v>9291753.2356155962</v>
      </c>
      <c r="O256" s="173">
        <f t="shared" si="731"/>
        <v>9898451.3962935451</v>
      </c>
      <c r="P256" s="173">
        <f t="shared" si="731"/>
        <v>10580865.78053786</v>
      </c>
      <c r="Q256" s="173">
        <f t="shared" si="731"/>
        <v>11280246.89409305</v>
      </c>
      <c r="R256" s="173">
        <f t="shared" si="731"/>
        <v>12107102.071113633</v>
      </c>
      <c r="S256" s="173">
        <f t="shared" si="731"/>
        <v>12868302.459292552</v>
      </c>
      <c r="T256" s="173">
        <f t="shared" si="731"/>
        <v>13516758.341946768</v>
      </c>
      <c r="U256" s="173">
        <f t="shared" si="731"/>
        <v>14442338.05319492</v>
      </c>
      <c r="V256" s="173">
        <f t="shared" si="731"/>
        <v>15618113.120275714</v>
      </c>
      <c r="W256" s="173">
        <f t="shared" ref="W256:AB256" si="732">SUM(W257:W266)</f>
        <v>16840011.243948571</v>
      </c>
      <c r="X256" s="173">
        <f t="shared" si="732"/>
        <v>18052819.828003861</v>
      </c>
      <c r="Y256" s="173">
        <f t="shared" si="732"/>
        <v>19351494.429921303</v>
      </c>
      <c r="Z256" s="173">
        <f t="shared" si="732"/>
        <v>20767687.029450022</v>
      </c>
      <c r="AA256" s="173">
        <f t="shared" si="732"/>
        <v>22321246.699524272</v>
      </c>
      <c r="AB256" s="173">
        <f t="shared" si="732"/>
        <v>24032370.516172331</v>
      </c>
      <c r="AC256" s="173">
        <f>SUM(AC257:AC266)</f>
        <v>25922089.048410952</v>
      </c>
      <c r="AD256" s="173">
        <f t="shared" ref="AD256:AE256" si="733">SUM(AD257:AD266)</f>
        <v>28050004.355879601</v>
      </c>
      <c r="AE256" s="173">
        <f t="shared" si="733"/>
        <v>30445569.511367805</v>
      </c>
      <c r="AF256" s="173"/>
      <c r="AG256" s="173"/>
      <c r="AL256" s="173">
        <f>SUM(AL257:AL266)</f>
        <v>3230772</v>
      </c>
      <c r="AM256" s="173">
        <f>SUM(AM257:AM266)</f>
        <v>3380254</v>
      </c>
      <c r="AN256" s="173">
        <f t="shared" ref="AN256:BB256" si="734">SUM(AN257:AN266)</f>
        <v>3563385</v>
      </c>
      <c r="AO256" s="173">
        <f t="shared" si="734"/>
        <v>8390081.5689959154</v>
      </c>
      <c r="AP256" s="173">
        <f t="shared" si="734"/>
        <v>9000124.3650646172</v>
      </c>
      <c r="AQ256" s="173">
        <f t="shared" si="734"/>
        <v>9583382.1061665751</v>
      </c>
      <c r="AR256" s="173">
        <f t="shared" si="734"/>
        <v>10213520.686420511</v>
      </c>
      <c r="AS256" s="173">
        <f t="shared" si="734"/>
        <v>10948210.874655209</v>
      </c>
      <c r="AT256" s="173">
        <f t="shared" si="734"/>
        <v>11612282.913530892</v>
      </c>
      <c r="AU256" s="173">
        <f t="shared" si="734"/>
        <v>12601921.228696372</v>
      </c>
      <c r="AV256" s="173">
        <f t="shared" si="734"/>
        <v>13134683.689888727</v>
      </c>
      <c r="AW256" s="173">
        <f t="shared" si="734"/>
        <v>13898832.994004814</v>
      </c>
      <c r="AX256" s="173">
        <f t="shared" si="734"/>
        <v>14985843.112385031</v>
      </c>
      <c r="AY256" s="173">
        <f t="shared" si="734"/>
        <v>16250383.128166402</v>
      </c>
      <c r="AZ256" s="173">
        <f t="shared" si="734"/>
        <v>17429639.359730747</v>
      </c>
      <c r="BA256" s="173">
        <f t="shared" si="734"/>
        <v>18676000.296276975</v>
      </c>
      <c r="BB256" s="173">
        <f t="shared" si="734"/>
        <v>20026988.56356563</v>
      </c>
      <c r="BC256" s="219">
        <f>SUM(BC257:BC266)</f>
        <v>21508385.495334405</v>
      </c>
      <c r="BD256" s="219">
        <f>SUM(BD257:BD266)</f>
        <v>23134107.90371415</v>
      </c>
      <c r="BE256" s="219">
        <f>SUM(BE257:BE266)</f>
        <v>24930633.128630519</v>
      </c>
      <c r="BF256" s="219">
        <f>SUM(BF257:BF266)</f>
        <v>26913544.968191389</v>
      </c>
      <c r="BG256" s="219">
        <f t="shared" ref="BG256:BH256" si="735">SUM(BG257:BG266)</f>
        <v>29186463.743567817</v>
      </c>
      <c r="BH256" s="219">
        <f t="shared" si="735"/>
        <v>31704675.279167786</v>
      </c>
    </row>
    <row r="257" spans="5:60" x14ac:dyDescent="0.2">
      <c r="E257" s="220" t="s">
        <v>111</v>
      </c>
      <c r="K257" s="60">
        <f t="shared" ref="K257:K266" si="736">AVERAGE(AM257:AN257)</f>
        <v>1088175.5</v>
      </c>
      <c r="L257" s="60">
        <f t="shared" ref="L257:L266" si="737">AVERAGE(AN257:AO257)</f>
        <v>1312925.7485943018</v>
      </c>
      <c r="M257" s="60">
        <f t="shared" ref="M257:M266" si="738">AVERAGE(AO257:AP257)</f>
        <v>1577914.0618247511</v>
      </c>
      <c r="N257" s="60">
        <f t="shared" ref="N257:N266" si="739">AVERAGE(AP257:AQ257)</f>
        <v>1720637.2573138489</v>
      </c>
      <c r="O257" s="60">
        <f t="shared" ref="O257:O266" si="740">AVERAGE(AQ257:AR257)</f>
        <v>1852146.2633385835</v>
      </c>
      <c r="P257" s="60">
        <f t="shared" ref="P257:P266" si="741">AVERAGE(AR257:AS257)</f>
        <v>2022498.2329926009</v>
      </c>
      <c r="Q257" s="60">
        <f t="shared" ref="Q257:Q266" si="742">AVERAGE(AS257:AT257)</f>
        <v>2241949.594111681</v>
      </c>
      <c r="R257" s="60">
        <f t="shared" ref="R257:R266" si="743">AVERAGE(AT257:AU257)</f>
        <v>2494204.538732531</v>
      </c>
      <c r="S257" s="60">
        <f t="shared" ref="S257:S266" si="744">AVERAGE(AU257:AV257)</f>
        <v>2731246.1306651495</v>
      </c>
      <c r="T257" s="60">
        <f t="shared" ref="T257:T266" si="745">AVERAGE(AV257:AW257)</f>
        <v>2855294.7519908845</v>
      </c>
      <c r="U257" s="60">
        <f t="shared" ref="U257:U266" si="746">AVERAGE(AW257:AX257)</f>
        <v>3037613.3802010315</v>
      </c>
      <c r="V257" s="60">
        <f t="shared" ref="V257:V266" si="747">AVERAGE(AX257:AY257)</f>
        <v>3361523.8479898358</v>
      </c>
      <c r="W257" s="60">
        <f t="shared" ref="W257:W266" si="748">AVERAGE(AY257:AZ257)</f>
        <v>3608230.9822381102</v>
      </c>
      <c r="X257" s="60">
        <f t="shared" ref="X257:X266" si="749">AVERAGE(AZ257:BA257)</f>
        <v>3757524.2955666892</v>
      </c>
      <c r="Y257" s="60">
        <f t="shared" ref="Y257:Y266" si="750">AVERAGE(BA257:BB257)</f>
        <v>4031844.0976829091</v>
      </c>
      <c r="Z257" s="60">
        <f t="shared" ref="Z257:Z266" si="751">AVERAGE(BB257:BC257)</f>
        <v>4435604.456308715</v>
      </c>
      <c r="AA257" s="60">
        <f t="shared" ref="AA257:AC266" si="752">AVERAGE(BC257:BD257)</f>
        <v>4882539.0441972744</v>
      </c>
      <c r="AB257" s="60">
        <f t="shared" si="752"/>
        <v>5376642.2910068482</v>
      </c>
      <c r="AC257" s="60">
        <f t="shared" si="752"/>
        <v>5920532.6151133245</v>
      </c>
      <c r="AD257" s="60">
        <f t="shared" ref="AD257:AD266" si="753">AVERAGE(BF257:BG257)</f>
        <v>6560657.7861098126</v>
      </c>
      <c r="AE257" s="60">
        <f t="shared" ref="AE257:AE266" si="754">AVERAGE(BG257:BH257)</f>
        <v>7313601.2825304456</v>
      </c>
      <c r="AF257" s="60"/>
      <c r="AG257" s="60"/>
      <c r="AL257" s="221">
        <v>1005241</v>
      </c>
      <c r="AM257" s="221">
        <v>1065186</v>
      </c>
      <c r="AN257" s="221">
        <v>1111165</v>
      </c>
      <c r="AO257" s="221">
        <v>1514686.4971886035</v>
      </c>
      <c r="AP257" s="221">
        <v>1641141.6264608987</v>
      </c>
      <c r="AQ257" s="221">
        <v>1800132.8881667992</v>
      </c>
      <c r="AR257" s="221">
        <v>1904159.6385103678</v>
      </c>
      <c r="AS257" s="221">
        <f t="shared" ref="AS257:BB257" si="755">AS517</f>
        <v>2140836.8274748339</v>
      </c>
      <c r="AT257" s="221">
        <f t="shared" si="755"/>
        <v>2343062.360748528</v>
      </c>
      <c r="AU257" s="221">
        <f t="shared" si="755"/>
        <v>2645346.716716534</v>
      </c>
      <c r="AV257" s="221">
        <f t="shared" si="755"/>
        <v>2817145.5446137651</v>
      </c>
      <c r="AW257" s="221">
        <f t="shared" si="755"/>
        <v>2893443.9593680045</v>
      </c>
      <c r="AX257" s="221">
        <f t="shared" si="755"/>
        <v>3181782.8010340589</v>
      </c>
      <c r="AY257" s="221">
        <f t="shared" si="755"/>
        <v>3541264.8949456131</v>
      </c>
      <c r="AZ257" s="221">
        <f t="shared" si="755"/>
        <v>3675197.0695306077</v>
      </c>
      <c r="BA257" s="221">
        <f t="shared" si="755"/>
        <v>3839851.5216027703</v>
      </c>
      <c r="BB257" s="221">
        <f t="shared" si="755"/>
        <v>4223836.6737630479</v>
      </c>
      <c r="BC257" s="222">
        <f>BB257*(1+'NA ASSUMPTIONS'!Q21/100)</f>
        <v>4647372.2388543813</v>
      </c>
      <c r="BD257" s="222">
        <f>BC257*(1+'NA ASSUMPTIONS'!R21/100)</f>
        <v>5117705.8495401684</v>
      </c>
      <c r="BE257" s="222">
        <f>BD257*(1+'NA ASSUMPTIONS'!S21/100)</f>
        <v>5635578.7324735289</v>
      </c>
      <c r="BF257" s="222">
        <f>BE257*(1+'NA ASSUMPTIONS'!T21/100)</f>
        <v>6205486.49775312</v>
      </c>
      <c r="BG257" s="222">
        <f>BF257*(1+'NA ASSUMPTIONS'!U21/100)</f>
        <v>6915829.0744665051</v>
      </c>
      <c r="BH257" s="222">
        <f>BG257*(1+'NA ASSUMPTIONS'!V21/100)</f>
        <v>7711373.4905943871</v>
      </c>
    </row>
    <row r="258" spans="5:60" x14ac:dyDescent="0.2">
      <c r="E258" s="220" t="s">
        <v>112</v>
      </c>
      <c r="K258" s="60">
        <f t="shared" si="736"/>
        <v>234764</v>
      </c>
      <c r="L258" s="60">
        <f t="shared" si="737"/>
        <v>305092.26935136685</v>
      </c>
      <c r="M258" s="60">
        <f t="shared" si="738"/>
        <v>382607.19856607832</v>
      </c>
      <c r="N258" s="60">
        <f t="shared" si="739"/>
        <v>400962.9513393743</v>
      </c>
      <c r="O258" s="60">
        <f t="shared" si="740"/>
        <v>414675.49172879045</v>
      </c>
      <c r="P258" s="60">
        <f t="shared" si="741"/>
        <v>433901.84682406398</v>
      </c>
      <c r="Q258" s="60">
        <f t="shared" si="742"/>
        <v>453509.94164477778</v>
      </c>
      <c r="R258" s="60">
        <f t="shared" si="743"/>
        <v>471598.21209381876</v>
      </c>
      <c r="S258" s="60">
        <f t="shared" si="744"/>
        <v>489947.26838204364</v>
      </c>
      <c r="T258" s="60">
        <f t="shared" si="745"/>
        <v>500444.7154282009</v>
      </c>
      <c r="U258" s="60">
        <f t="shared" si="746"/>
        <v>512266.08050995006</v>
      </c>
      <c r="V258" s="60">
        <f t="shared" si="747"/>
        <v>532356.38396137767</v>
      </c>
      <c r="W258" s="60">
        <f t="shared" si="748"/>
        <v>561385.33869249618</v>
      </c>
      <c r="X258" s="60">
        <f t="shared" si="749"/>
        <v>587661.11348190997</v>
      </c>
      <c r="Y258" s="60">
        <f t="shared" si="750"/>
        <v>602417.69301709416</v>
      </c>
      <c r="Z258" s="60">
        <f t="shared" si="751"/>
        <v>615785.55422779091</v>
      </c>
      <c r="AA258" s="60">
        <f t="shared" si="752"/>
        <v>629701.69712851383</v>
      </c>
      <c r="AB258" s="60">
        <f t="shared" si="752"/>
        <v>644885.74940190255</v>
      </c>
      <c r="AC258" s="60">
        <f t="shared" si="752"/>
        <v>661217.5945537861</v>
      </c>
      <c r="AD258" s="60">
        <f t="shared" si="753"/>
        <v>679136.13159631519</v>
      </c>
      <c r="AE258" s="60">
        <f t="shared" si="754"/>
        <v>698244.68290845829</v>
      </c>
      <c r="AF258" s="60"/>
      <c r="AG258" s="60"/>
      <c r="AL258" s="221">
        <v>217000</v>
      </c>
      <c r="AM258" s="221">
        <v>230000</v>
      </c>
      <c r="AN258" s="221">
        <v>239528</v>
      </c>
      <c r="AO258" s="221">
        <v>370656.5387027337</v>
      </c>
      <c r="AP258" s="221">
        <v>394557.85842942301</v>
      </c>
      <c r="AQ258" s="221">
        <v>407368.04424932558</v>
      </c>
      <c r="AR258" s="221">
        <v>421982.93920825527</v>
      </c>
      <c r="AS258" s="221">
        <f>AS519</f>
        <v>445820.75443987269</v>
      </c>
      <c r="AT258" s="221">
        <f t="shared" ref="AT258:BB258" si="756">AT519</f>
        <v>461199.12884968286</v>
      </c>
      <c r="AU258" s="221">
        <f t="shared" si="756"/>
        <v>481997.29533795465</v>
      </c>
      <c r="AV258" s="221">
        <f t="shared" si="756"/>
        <v>497897.24142613262</v>
      </c>
      <c r="AW258" s="221">
        <f t="shared" si="756"/>
        <v>502992.18943026918</v>
      </c>
      <c r="AX258" s="221">
        <f t="shared" si="756"/>
        <v>521539.97158963094</v>
      </c>
      <c r="AY258" s="221">
        <f t="shared" si="756"/>
        <v>543172.7963331244</v>
      </c>
      <c r="AZ258" s="221">
        <f t="shared" si="756"/>
        <v>579597.88105186797</v>
      </c>
      <c r="BA258" s="221">
        <f t="shared" si="756"/>
        <v>595724.34591195208</v>
      </c>
      <c r="BB258" s="221">
        <f t="shared" si="756"/>
        <v>609111.04012223636</v>
      </c>
      <c r="BC258" s="222">
        <f>BB258*(1+'NA ASSUMPTIONS'!Q22/100)</f>
        <v>622460.06833334547</v>
      </c>
      <c r="BD258" s="222">
        <f>BC258*(1+'NA ASSUMPTIONS'!R22/100)</f>
        <v>636943.32592368231</v>
      </c>
      <c r="BE258" s="222">
        <f>BD258*(1+'NA ASSUMPTIONS'!S22/100)</f>
        <v>652828.17288012279</v>
      </c>
      <c r="BF258" s="222">
        <f>BE258*(1+'NA ASSUMPTIONS'!T22/100)</f>
        <v>669607.01622744929</v>
      </c>
      <c r="BG258" s="222">
        <f>BF258*(1+'NA ASSUMPTIONS'!U22/100)</f>
        <v>688665.2469651812</v>
      </c>
      <c r="BH258" s="222">
        <f>BG258*(1+'NA ASSUMPTIONS'!V22/100)</f>
        <v>707824.11885173537</v>
      </c>
    </row>
    <row r="259" spans="5:60" x14ac:dyDescent="0.2">
      <c r="E259" s="220" t="s">
        <v>113</v>
      </c>
      <c r="K259" s="60">
        <f t="shared" si="736"/>
        <v>454823.5</v>
      </c>
      <c r="L259" s="60">
        <f t="shared" si="737"/>
        <v>780194.25097902201</v>
      </c>
      <c r="M259" s="60">
        <f t="shared" si="738"/>
        <v>1128463.2867366369</v>
      </c>
      <c r="N259" s="60">
        <f t="shared" si="739"/>
        <v>1190158.1751696055</v>
      </c>
      <c r="O259" s="60">
        <f t="shared" si="740"/>
        <v>1271805.2663480421</v>
      </c>
      <c r="P259" s="60">
        <f t="shared" si="741"/>
        <v>1368613.1065649851</v>
      </c>
      <c r="Q259" s="60">
        <f t="shared" si="742"/>
        <v>1477232.0671917507</v>
      </c>
      <c r="R259" s="60">
        <f t="shared" si="743"/>
        <v>1557202.3996936791</v>
      </c>
      <c r="S259" s="60">
        <f t="shared" si="744"/>
        <v>1587047.6791877891</v>
      </c>
      <c r="T259" s="60">
        <f t="shared" si="745"/>
        <v>1656858.5064639428</v>
      </c>
      <c r="U259" s="60">
        <f t="shared" si="746"/>
        <v>1804293.8447542465</v>
      </c>
      <c r="V259" s="60">
        <f t="shared" si="747"/>
        <v>1938144.7405422758</v>
      </c>
      <c r="W259" s="60">
        <f t="shared" si="748"/>
        <v>2021347.6682372489</v>
      </c>
      <c r="X259" s="60">
        <f t="shared" si="749"/>
        <v>2188369.8474733047</v>
      </c>
      <c r="Y259" s="60">
        <f t="shared" si="750"/>
        <v>2458860.2681660904</v>
      </c>
      <c r="Z259" s="60">
        <f t="shared" si="751"/>
        <v>2766992.5478291688</v>
      </c>
      <c r="AA259" s="60">
        <f t="shared" si="752"/>
        <v>3116647.6121759508</v>
      </c>
      <c r="AB259" s="60">
        <f t="shared" si="752"/>
        <v>3514755.6062900564</v>
      </c>
      <c r="AC259" s="60">
        <f t="shared" si="752"/>
        <v>3966533.0727470489</v>
      </c>
      <c r="AD259" s="60">
        <f t="shared" si="753"/>
        <v>4477514.0922438297</v>
      </c>
      <c r="AE259" s="60">
        <f t="shared" si="754"/>
        <v>5056419.061371618</v>
      </c>
      <c r="AF259" s="60"/>
      <c r="AG259" s="60"/>
      <c r="AL259" s="221">
        <v>428679</v>
      </c>
      <c r="AM259" s="221">
        <v>445166</v>
      </c>
      <c r="AN259" s="221">
        <v>464481</v>
      </c>
      <c r="AO259" s="221">
        <v>1095907.501958044</v>
      </c>
      <c r="AP259" s="221">
        <v>1161019.0715152295</v>
      </c>
      <c r="AQ259" s="221">
        <v>1219297.2788239815</v>
      </c>
      <c r="AR259" s="221">
        <v>1324313.2538721024</v>
      </c>
      <c r="AS259" s="221">
        <f>AS518</f>
        <v>1412912.9592578681</v>
      </c>
      <c r="AT259" s="221">
        <f t="shared" ref="AT259:BB259" si="757">AT518</f>
        <v>1541551.1751256331</v>
      </c>
      <c r="AU259" s="221">
        <f t="shared" si="757"/>
        <v>1572853.6242617252</v>
      </c>
      <c r="AV259" s="221">
        <f t="shared" si="757"/>
        <v>1601241.734113853</v>
      </c>
      <c r="AW259" s="221">
        <f t="shared" si="757"/>
        <v>1712475.2788140327</v>
      </c>
      <c r="AX259" s="221">
        <f t="shared" si="757"/>
        <v>1896112.4106944602</v>
      </c>
      <c r="AY259" s="221">
        <f t="shared" si="757"/>
        <v>1980177.0703900917</v>
      </c>
      <c r="AZ259" s="221">
        <f t="shared" si="757"/>
        <v>2062518.2660844061</v>
      </c>
      <c r="BA259" s="221">
        <f t="shared" si="757"/>
        <v>2314221.4288622029</v>
      </c>
      <c r="BB259" s="221">
        <f t="shared" si="757"/>
        <v>2603499.1074699783</v>
      </c>
      <c r="BC259" s="222">
        <f>BB259*(1+'NA ASSUMPTIONS'!Q23/100)</f>
        <v>2930485.9881883594</v>
      </c>
      <c r="BD259" s="222">
        <f>BC259*(1+'NA ASSUMPTIONS'!R23/100)</f>
        <v>3302809.2361635426</v>
      </c>
      <c r="BE259" s="222">
        <f>BD259*(1+'NA ASSUMPTIONS'!S23/100)</f>
        <v>3726701.9764165706</v>
      </c>
      <c r="BF259" s="222">
        <f>BE259*(1+'NA ASSUMPTIONS'!T23/100)</f>
        <v>4206364.1690775268</v>
      </c>
      <c r="BG259" s="222">
        <f>BF259*(1+'NA ASSUMPTIONS'!U23/100)</f>
        <v>4748664.0154101327</v>
      </c>
      <c r="BH259" s="222">
        <f>BG259*(1+'NA ASSUMPTIONS'!V23/100)</f>
        <v>5364174.1073331032</v>
      </c>
    </row>
    <row r="260" spans="5:60" x14ac:dyDescent="0.2">
      <c r="E260" s="220" t="s">
        <v>114</v>
      </c>
      <c r="K260" s="60">
        <f t="shared" si="736"/>
        <v>100982</v>
      </c>
      <c r="L260" s="60">
        <f t="shared" si="737"/>
        <v>192183.59032603275</v>
      </c>
      <c r="M260" s="60">
        <f t="shared" si="738"/>
        <v>295290.54026988114</v>
      </c>
      <c r="N260" s="60">
        <f t="shared" si="739"/>
        <v>334179.52753950935</v>
      </c>
      <c r="O260" s="60">
        <f t="shared" si="740"/>
        <v>389682.43364108494</v>
      </c>
      <c r="P260" s="60">
        <f t="shared" si="741"/>
        <v>460429.38479089073</v>
      </c>
      <c r="Q260" s="60">
        <f t="shared" si="742"/>
        <v>511248.93979663815</v>
      </c>
      <c r="R260" s="60">
        <f t="shared" si="743"/>
        <v>568820.33553553815</v>
      </c>
      <c r="S260" s="60">
        <f t="shared" si="744"/>
        <v>651585.99358842301</v>
      </c>
      <c r="T260" s="60">
        <f t="shared" si="745"/>
        <v>779758.7056932007</v>
      </c>
      <c r="U260" s="60">
        <f t="shared" si="746"/>
        <v>977917.32464202051</v>
      </c>
      <c r="V260" s="60">
        <f t="shared" si="747"/>
        <v>1130942.7053000634</v>
      </c>
      <c r="W260" s="60">
        <f t="shared" si="748"/>
        <v>1308393.8872180465</v>
      </c>
      <c r="X260" s="60">
        <f t="shared" si="749"/>
        <v>1535294.142388144</v>
      </c>
      <c r="Y260" s="60">
        <f t="shared" si="750"/>
        <v>1696689.1621501669</v>
      </c>
      <c r="Z260" s="60">
        <f t="shared" si="751"/>
        <v>1832869.7628401653</v>
      </c>
      <c r="AA260" s="60">
        <f t="shared" si="752"/>
        <v>1980562.6896774124</v>
      </c>
      <c r="AB260" s="60">
        <f t="shared" si="752"/>
        <v>2140442.591822763</v>
      </c>
      <c r="AC260" s="60">
        <f t="shared" si="752"/>
        <v>2316654.623790673</v>
      </c>
      <c r="AD260" s="60">
        <f t="shared" si="753"/>
        <v>2512946.7765578274</v>
      </c>
      <c r="AE260" s="60">
        <f t="shared" si="754"/>
        <v>2728164.3972614673</v>
      </c>
      <c r="AF260" s="60"/>
      <c r="AG260" s="60"/>
      <c r="AL260" s="221">
        <v>92158</v>
      </c>
      <c r="AM260" s="221">
        <v>98248</v>
      </c>
      <c r="AN260" s="221">
        <v>103716</v>
      </c>
      <c r="AO260" s="221">
        <v>280651.18065206549</v>
      </c>
      <c r="AP260" s="221">
        <v>309929.89988769678</v>
      </c>
      <c r="AQ260" s="221">
        <v>358429.15519132197</v>
      </c>
      <c r="AR260" s="221">
        <v>420935.7120908479</v>
      </c>
      <c r="AS260" s="221">
        <f t="shared" ref="AS260:BB261" si="758">AS520</f>
        <v>499923.05749093357</v>
      </c>
      <c r="AT260" s="221">
        <f t="shared" si="758"/>
        <v>522574.82210234273</v>
      </c>
      <c r="AU260" s="221">
        <f t="shared" si="758"/>
        <v>615065.84896873357</v>
      </c>
      <c r="AV260" s="221">
        <f t="shared" si="758"/>
        <v>688106.13820811245</v>
      </c>
      <c r="AW260" s="221">
        <f t="shared" si="758"/>
        <v>871411.27317828906</v>
      </c>
      <c r="AX260" s="221">
        <f t="shared" si="758"/>
        <v>1084423.3761057518</v>
      </c>
      <c r="AY260" s="221">
        <f t="shared" si="758"/>
        <v>1177462.0344943751</v>
      </c>
      <c r="AZ260" s="221">
        <f t="shared" si="758"/>
        <v>1439325.7399417178</v>
      </c>
      <c r="BA260" s="221">
        <f t="shared" si="758"/>
        <v>1631262.5448345705</v>
      </c>
      <c r="BB260" s="221">
        <f t="shared" si="758"/>
        <v>1762115.7794657636</v>
      </c>
      <c r="BC260" s="222">
        <f>BB260*(1+'NA ASSUMPTIONS'!Q24/100)</f>
        <v>1903623.746214567</v>
      </c>
      <c r="BD260" s="222">
        <f>BC260*(1+'NA ASSUMPTIONS'!R24/100)</f>
        <v>2057501.6331402578</v>
      </c>
      <c r="BE260" s="222">
        <f>BD260*(1+'NA ASSUMPTIONS'!S24/100)</f>
        <v>2223383.5505052679</v>
      </c>
      <c r="BF260" s="222">
        <f>BE260*(1+'NA ASSUMPTIONS'!T24/100)</f>
        <v>2409925.6970760785</v>
      </c>
      <c r="BG260" s="222">
        <f>BF260*(1+'NA ASSUMPTIONS'!U24/100)</f>
        <v>2615967.8560395767</v>
      </c>
      <c r="BH260" s="222">
        <f>BG260*(1+'NA ASSUMPTIONS'!V24/100)</f>
        <v>2840360.9384833579</v>
      </c>
    </row>
    <row r="261" spans="5:60" x14ac:dyDescent="0.2">
      <c r="E261" s="220" t="s">
        <v>115</v>
      </c>
      <c r="K261" s="60">
        <f t="shared" si="736"/>
        <v>128550</v>
      </c>
      <c r="L261" s="60">
        <f t="shared" si="737"/>
        <v>242819.03149843749</v>
      </c>
      <c r="M261" s="60">
        <f t="shared" si="738"/>
        <v>372506.75511387468</v>
      </c>
      <c r="N261" s="60">
        <f t="shared" si="739"/>
        <v>411318.0914153505</v>
      </c>
      <c r="O261" s="60">
        <f t="shared" si="740"/>
        <v>450159.82526508323</v>
      </c>
      <c r="P261" s="60">
        <f t="shared" si="741"/>
        <v>494740.85703144158</v>
      </c>
      <c r="Q261" s="60">
        <f t="shared" si="742"/>
        <v>571246.77304002387</v>
      </c>
      <c r="R261" s="60">
        <f t="shared" si="743"/>
        <v>688572.77592254803</v>
      </c>
      <c r="S261" s="60">
        <f t="shared" si="744"/>
        <v>827040.97493055253</v>
      </c>
      <c r="T261" s="60">
        <f t="shared" si="745"/>
        <v>980464.23664465651</v>
      </c>
      <c r="U261" s="60">
        <f t="shared" si="746"/>
        <v>1130042.8599809995</v>
      </c>
      <c r="V261" s="60">
        <f t="shared" si="747"/>
        <v>1285850.4467577171</v>
      </c>
      <c r="W261" s="60">
        <f t="shared" si="748"/>
        <v>1409838.0673146776</v>
      </c>
      <c r="X261" s="60">
        <f t="shared" si="749"/>
        <v>1489685.5573792285</v>
      </c>
      <c r="Y261" s="60">
        <f t="shared" si="750"/>
        <v>1616965.7238626322</v>
      </c>
      <c r="Z261" s="60">
        <f t="shared" si="751"/>
        <v>1791226.1269340378</v>
      </c>
      <c r="AA261" s="60">
        <f t="shared" si="752"/>
        <v>1984170.6614734309</v>
      </c>
      <c r="AB261" s="60">
        <f t="shared" si="752"/>
        <v>2199116.8741065348</v>
      </c>
      <c r="AC261" s="60">
        <f t="shared" si="752"/>
        <v>2444517.2685286636</v>
      </c>
      <c r="AD261" s="60">
        <f t="shared" si="753"/>
        <v>2727548.9673973294</v>
      </c>
      <c r="AE261" s="60">
        <f t="shared" si="754"/>
        <v>3046660.0569402706</v>
      </c>
      <c r="AF261" s="60"/>
      <c r="AG261" s="60"/>
      <c r="AL261" s="221">
        <v>121250</v>
      </c>
      <c r="AM261" s="221">
        <v>126100</v>
      </c>
      <c r="AN261" s="221">
        <v>131000</v>
      </c>
      <c r="AO261" s="221">
        <v>354638.06299687497</v>
      </c>
      <c r="AP261" s="221">
        <v>390375.44723087433</v>
      </c>
      <c r="AQ261" s="221">
        <v>432260.73559982667</v>
      </c>
      <c r="AR261" s="221">
        <v>468058.91493033979</v>
      </c>
      <c r="AS261" s="221">
        <f t="shared" si="758"/>
        <v>521422.79913254338</v>
      </c>
      <c r="AT261" s="221">
        <f t="shared" si="758"/>
        <v>621070.74694750435</v>
      </c>
      <c r="AU261" s="221">
        <f t="shared" si="758"/>
        <v>756074.80489759182</v>
      </c>
      <c r="AV261" s="221">
        <f t="shared" si="758"/>
        <v>898007.14496351313</v>
      </c>
      <c r="AW261" s="221">
        <f t="shared" si="758"/>
        <v>1062921.3283257999</v>
      </c>
      <c r="AX261" s="221">
        <f t="shared" si="758"/>
        <v>1197164.3916361993</v>
      </c>
      <c r="AY261" s="221">
        <f t="shared" si="758"/>
        <v>1374536.5018792348</v>
      </c>
      <c r="AZ261" s="221">
        <f t="shared" si="758"/>
        <v>1445139.6327501205</v>
      </c>
      <c r="BA261" s="221">
        <f t="shared" si="758"/>
        <v>1534231.4820083363</v>
      </c>
      <c r="BB261" s="221">
        <f t="shared" si="758"/>
        <v>1699699.9657169282</v>
      </c>
      <c r="BC261" s="222">
        <f>BB261*(1+'NA ASSUMPTIONS'!Q25/100)</f>
        <v>1882752.2881511473</v>
      </c>
      <c r="BD261" s="222">
        <f>BC261*(1+'NA ASSUMPTIONS'!R25/100)</f>
        <v>2085589.0347957145</v>
      </c>
      <c r="BE261" s="222">
        <f>BD261*(1+'NA ASSUMPTIONS'!S25/100)</f>
        <v>2312644.7134173545</v>
      </c>
      <c r="BF261" s="222">
        <f>BE261*(1+'NA ASSUMPTIONS'!T25/100)</f>
        <v>2576389.8236399726</v>
      </c>
      <c r="BG261" s="222">
        <f>BF261*(1+'NA ASSUMPTIONS'!U25/100)</f>
        <v>2878708.1111546862</v>
      </c>
      <c r="BH261" s="222">
        <f>BG261*(1+'NA ASSUMPTIONS'!V25/100)</f>
        <v>3214612.0027258554</v>
      </c>
    </row>
    <row r="262" spans="5:60" x14ac:dyDescent="0.2">
      <c r="E262" s="220" t="s">
        <v>116</v>
      </c>
      <c r="K262" s="60">
        <f t="shared" si="736"/>
        <v>558491</v>
      </c>
      <c r="L262" s="60">
        <f t="shared" si="737"/>
        <v>1257674</v>
      </c>
      <c r="M262" s="60">
        <f t="shared" si="738"/>
        <v>2012376</v>
      </c>
      <c r="N262" s="60">
        <f t="shared" si="739"/>
        <v>2149625</v>
      </c>
      <c r="O262" s="60">
        <f t="shared" si="740"/>
        <v>2292540</v>
      </c>
      <c r="P262" s="60">
        <f t="shared" si="741"/>
        <v>2042021.7187772444</v>
      </c>
      <c r="Q262" s="60">
        <f t="shared" si="742"/>
        <v>1742928.9572285977</v>
      </c>
      <c r="R262" s="60">
        <f t="shared" si="743"/>
        <v>1799356.4727664408</v>
      </c>
      <c r="S262" s="60">
        <f t="shared" si="744"/>
        <v>1891527.0647348815</v>
      </c>
      <c r="T262" s="60">
        <f t="shared" si="745"/>
        <v>2000807.188524161</v>
      </c>
      <c r="U262" s="60">
        <f t="shared" si="746"/>
        <v>2135160.1767969243</v>
      </c>
      <c r="V262" s="60">
        <f t="shared" si="747"/>
        <v>2253574.988504759</v>
      </c>
      <c r="W262" s="60">
        <f t="shared" si="748"/>
        <v>2282770.8057223745</v>
      </c>
      <c r="X262" s="60">
        <f t="shared" si="749"/>
        <v>2315565.451699934</v>
      </c>
      <c r="Y262" s="60">
        <f t="shared" si="750"/>
        <v>2371161.0882512433</v>
      </c>
      <c r="Z262" s="60">
        <f t="shared" si="751"/>
        <v>2414028.3091981392</v>
      </c>
      <c r="AA262" s="60">
        <f t="shared" si="752"/>
        <v>2459487.8004264738</v>
      </c>
      <c r="AB262" s="60">
        <f t="shared" si="752"/>
        <v>2504026.8872543359</v>
      </c>
      <c r="AC262" s="60">
        <f t="shared" si="752"/>
        <v>2546767.3475991525</v>
      </c>
      <c r="AD262" s="60">
        <f t="shared" si="753"/>
        <v>2592333.0121875033</v>
      </c>
      <c r="AE262" s="60">
        <f t="shared" si="754"/>
        <v>2641143.8441348886</v>
      </c>
      <c r="AF262" s="60"/>
      <c r="AG262" s="60"/>
      <c r="AL262" s="221">
        <v>525132</v>
      </c>
      <c r="AM262" s="221">
        <v>544686</v>
      </c>
      <c r="AN262" s="221">
        <v>572296</v>
      </c>
      <c r="AO262" s="221">
        <v>1943052</v>
      </c>
      <c r="AP262" s="221">
        <v>2081700</v>
      </c>
      <c r="AQ262" s="221">
        <v>2217550</v>
      </c>
      <c r="AR262" s="221">
        <v>2367530</v>
      </c>
      <c r="AS262" s="221">
        <f>AS522+AS523</f>
        <v>1716513.4375544889</v>
      </c>
      <c r="AT262" s="221">
        <f t="shared" ref="AT262:AZ262" si="759">AT522+AT523</f>
        <v>1769344.4769027063</v>
      </c>
      <c r="AU262" s="221">
        <f t="shared" si="759"/>
        <v>1829368.4686301751</v>
      </c>
      <c r="AV262" s="221">
        <f t="shared" si="759"/>
        <v>1953685.6608395879</v>
      </c>
      <c r="AW262" s="221">
        <f t="shared" si="759"/>
        <v>2047928.7162087343</v>
      </c>
      <c r="AX262" s="221">
        <f t="shared" si="759"/>
        <v>2222391.6373851141</v>
      </c>
      <c r="AY262" s="221">
        <f t="shared" si="759"/>
        <v>2284758.3396244035</v>
      </c>
      <c r="AZ262" s="221">
        <f t="shared" si="759"/>
        <v>2280783.2718203459</v>
      </c>
      <c r="BA262" s="221">
        <f>BA522+BA523</f>
        <v>2350347.6315795216</v>
      </c>
      <c r="BB262" s="221">
        <f>BB522+BB523</f>
        <v>2391974.5449229646</v>
      </c>
      <c r="BC262" s="222">
        <f>BB262*(1+'NA ASSUMPTIONS'!Q27/100)</f>
        <v>2436082.0734733138</v>
      </c>
      <c r="BD262" s="222">
        <f>BC262*(1+'NA ASSUMPTIONS'!R27/100)</f>
        <v>2482893.5273796334</v>
      </c>
      <c r="BE262" s="222">
        <f>BD262*(1+'NA ASSUMPTIONS'!S27/100)</f>
        <v>2525160.2471290384</v>
      </c>
      <c r="BF262" s="222">
        <f>BE262*(1+'NA ASSUMPTIONS'!T27/100)</f>
        <v>2568374.448069266</v>
      </c>
      <c r="BG262" s="222">
        <f>BF262*(1+'NA ASSUMPTIONS'!U27/100)</f>
        <v>2616291.57630574</v>
      </c>
      <c r="BH262" s="222">
        <f>BG262*(1+'NA ASSUMPTIONS'!V27/100)</f>
        <v>2665996.1119640367</v>
      </c>
    </row>
    <row r="263" spans="5:60" x14ac:dyDescent="0.2">
      <c r="E263" s="220" t="s">
        <v>117</v>
      </c>
      <c r="K263" s="60">
        <f t="shared" si="736"/>
        <v>552000</v>
      </c>
      <c r="L263" s="60">
        <f t="shared" si="737"/>
        <v>1132522.2902046659</v>
      </c>
      <c r="M263" s="60">
        <f t="shared" si="738"/>
        <v>1744269.7462475547</v>
      </c>
      <c r="N263" s="60">
        <f t="shared" si="739"/>
        <v>1828520.636039126</v>
      </c>
      <c r="O263" s="60">
        <f t="shared" si="740"/>
        <v>1890616.2158092079</v>
      </c>
      <c r="P263" s="60">
        <f t="shared" si="741"/>
        <v>2335284.9774589157</v>
      </c>
      <c r="Q263" s="60">
        <f t="shared" si="742"/>
        <v>2759131.8316254839</v>
      </c>
      <c r="R263" s="60">
        <f t="shared" si="743"/>
        <v>2873826.7578395065</v>
      </c>
      <c r="S263" s="60">
        <f t="shared" si="744"/>
        <v>2896751.782675494</v>
      </c>
      <c r="T263" s="60">
        <f t="shared" si="745"/>
        <v>2815170.4822433731</v>
      </c>
      <c r="U263" s="60">
        <f t="shared" si="746"/>
        <v>2792243.9265861278</v>
      </c>
      <c r="V263" s="60">
        <f t="shared" si="747"/>
        <v>2949669.1786075355</v>
      </c>
      <c r="W263" s="60">
        <f t="shared" si="748"/>
        <v>3331896.3977333247</v>
      </c>
      <c r="X263" s="60">
        <f t="shared" si="749"/>
        <v>3702303.2783176196</v>
      </c>
      <c r="Y263" s="60">
        <f t="shared" si="750"/>
        <v>3953287.9329393976</v>
      </c>
      <c r="Z263" s="60">
        <f t="shared" si="751"/>
        <v>4135866.7872773483</v>
      </c>
      <c r="AA263" s="60">
        <f t="shared" si="752"/>
        <v>4331185.1467406582</v>
      </c>
      <c r="AB263" s="60">
        <f t="shared" si="752"/>
        <v>4546981.9906442668</v>
      </c>
      <c r="AC263" s="60">
        <f t="shared" si="752"/>
        <v>4778859.8603400355</v>
      </c>
      <c r="AD263" s="60">
        <f t="shared" si="753"/>
        <v>5021350.8051552363</v>
      </c>
      <c r="AE263" s="60">
        <f t="shared" si="754"/>
        <v>5282091.3116095774</v>
      </c>
      <c r="AF263" s="60"/>
      <c r="AG263" s="60"/>
      <c r="AL263" s="221">
        <v>510027</v>
      </c>
      <c r="AM263" s="221">
        <v>524000</v>
      </c>
      <c r="AN263" s="221">
        <v>580000</v>
      </c>
      <c r="AO263" s="221">
        <v>1685044.5804093317</v>
      </c>
      <c r="AP263" s="221">
        <v>1803494.9120857774</v>
      </c>
      <c r="AQ263" s="221">
        <v>1853546.3599924746</v>
      </c>
      <c r="AR263" s="221">
        <v>1927686.0716259414</v>
      </c>
      <c r="AS263" s="221">
        <f>AS524+AS525</f>
        <v>2742883.8832918899</v>
      </c>
      <c r="AT263" s="221">
        <f t="shared" ref="AT263:BB263" si="760">AT524+AT525</f>
        <v>2775379.7799590775</v>
      </c>
      <c r="AU263" s="221">
        <f t="shared" si="760"/>
        <v>2972273.735719936</v>
      </c>
      <c r="AV263" s="221">
        <f t="shared" si="760"/>
        <v>2821229.829631052</v>
      </c>
      <c r="AW263" s="221">
        <f t="shared" si="760"/>
        <v>2809111.1348556941</v>
      </c>
      <c r="AX263" s="221">
        <f t="shared" si="760"/>
        <v>2775376.718316562</v>
      </c>
      <c r="AY263" s="221">
        <f t="shared" si="760"/>
        <v>3123961.6388985086</v>
      </c>
      <c r="AZ263" s="221">
        <f t="shared" si="760"/>
        <v>3539831.1565681407</v>
      </c>
      <c r="BA263" s="221">
        <f t="shared" si="760"/>
        <v>3864775.4000670984</v>
      </c>
      <c r="BB263" s="221">
        <f t="shared" si="760"/>
        <v>4041800.4658116968</v>
      </c>
      <c r="BC263" s="222">
        <f>BB263*(1+'NA ASSUMPTIONS'!Q28/100)</f>
        <v>4229933.1087429998</v>
      </c>
      <c r="BD263" s="222">
        <f>BC263*(1+'NA ASSUMPTIONS'!R28/100)</f>
        <v>4432437.1847383175</v>
      </c>
      <c r="BE263" s="222">
        <f>BD263*(1+'NA ASSUMPTIONS'!S28/100)</f>
        <v>4661526.7965502171</v>
      </c>
      <c r="BF263" s="222">
        <f>BE263*(1+'NA ASSUMPTIONS'!T28/100)</f>
        <v>4896192.924129854</v>
      </c>
      <c r="BG263" s="222">
        <f>BF263*(1+'NA ASSUMPTIONS'!U28/100)</f>
        <v>5146508.6861806195</v>
      </c>
      <c r="BH263" s="222">
        <f>BG263*(1+'NA ASSUMPTIONS'!V28/100)</f>
        <v>5417673.9370385353</v>
      </c>
    </row>
    <row r="264" spans="5:60" x14ac:dyDescent="0.2">
      <c r="E264" s="220" t="s">
        <v>118</v>
      </c>
      <c r="K264" s="60">
        <f t="shared" si="736"/>
        <v>166215.5</v>
      </c>
      <c r="L264" s="60">
        <f t="shared" si="737"/>
        <v>338536.17047658691</v>
      </c>
      <c r="M264" s="60">
        <f t="shared" si="738"/>
        <v>529491.78897101281</v>
      </c>
      <c r="N264" s="60">
        <f t="shared" si="739"/>
        <v>575283.47091533535</v>
      </c>
      <c r="O264" s="60">
        <f t="shared" si="740"/>
        <v>622517.27617642283</v>
      </c>
      <c r="P264" s="60">
        <f t="shared" si="741"/>
        <v>671871.60004233953</v>
      </c>
      <c r="Q264" s="60">
        <f t="shared" si="742"/>
        <v>724795.57942924532</v>
      </c>
      <c r="R264" s="60">
        <f t="shared" si="743"/>
        <v>801448.28796714684</v>
      </c>
      <c r="S264" s="60">
        <f t="shared" si="744"/>
        <v>891818.35336895392</v>
      </c>
      <c r="T264" s="60">
        <f t="shared" si="745"/>
        <v>975123.25978361536</v>
      </c>
      <c r="U264" s="60">
        <f t="shared" si="746"/>
        <v>1050179.0094668246</v>
      </c>
      <c r="V264" s="60">
        <f t="shared" si="747"/>
        <v>1112962.6924477767</v>
      </c>
      <c r="W264" s="60">
        <f t="shared" si="748"/>
        <v>1185742.1082931971</v>
      </c>
      <c r="X264" s="60">
        <f t="shared" si="749"/>
        <v>1254386.1114200428</v>
      </c>
      <c r="Y264" s="60">
        <f t="shared" si="750"/>
        <v>1311089.7663914387</v>
      </c>
      <c r="Z264" s="60">
        <f t="shared" si="751"/>
        <v>1374349.1846123177</v>
      </c>
      <c r="AA264" s="60">
        <f t="shared" si="752"/>
        <v>1437307.670851469</v>
      </c>
      <c r="AB264" s="60">
        <f t="shared" si="752"/>
        <v>1499403.2487963834</v>
      </c>
      <c r="AC264" s="60">
        <f t="shared" si="752"/>
        <v>1566115.2001408006</v>
      </c>
      <c r="AD264" s="60">
        <f t="shared" si="753"/>
        <v>1636710.7906749661</v>
      </c>
      <c r="AE264" s="60">
        <f t="shared" si="754"/>
        <v>1710535.7817939373</v>
      </c>
      <c r="AF264" s="60"/>
      <c r="AG264" s="60"/>
      <c r="AL264" s="221">
        <v>157368</v>
      </c>
      <c r="AM264" s="221">
        <v>162969</v>
      </c>
      <c r="AN264" s="221">
        <v>169462</v>
      </c>
      <c r="AO264" s="221">
        <v>507610.34095317376</v>
      </c>
      <c r="AP264" s="221">
        <v>551373.23698885192</v>
      </c>
      <c r="AQ264" s="221">
        <v>599193.70484181878</v>
      </c>
      <c r="AR264" s="221">
        <v>645840.84751102701</v>
      </c>
      <c r="AS264" s="221">
        <f>AS526</f>
        <v>697902.35257365205</v>
      </c>
      <c r="AT264" s="221">
        <f t="shared" ref="AT264:BB264" si="761">AT526</f>
        <v>751688.80628483847</v>
      </c>
      <c r="AU264" s="221">
        <f t="shared" si="761"/>
        <v>851207.76964945532</v>
      </c>
      <c r="AV264" s="221">
        <f t="shared" si="761"/>
        <v>932428.93708845251</v>
      </c>
      <c r="AW264" s="221">
        <f t="shared" si="761"/>
        <v>1017817.5824787783</v>
      </c>
      <c r="AX264" s="221">
        <f t="shared" si="761"/>
        <v>1082540.436454871</v>
      </c>
      <c r="AY264" s="221">
        <f t="shared" si="761"/>
        <v>1143384.9484406824</v>
      </c>
      <c r="AZ264" s="221">
        <f t="shared" si="761"/>
        <v>1228099.2681457116</v>
      </c>
      <c r="BA264" s="221">
        <f t="shared" si="761"/>
        <v>1280672.954694374</v>
      </c>
      <c r="BB264" s="221">
        <f t="shared" si="761"/>
        <v>1341506.5780885033</v>
      </c>
      <c r="BC264" s="222">
        <f>BB264*(1+'NA ASSUMPTIONS'!Q29/100)</f>
        <v>1407191.7911361321</v>
      </c>
      <c r="BD264" s="222">
        <f>BC264*(1+'NA ASSUMPTIONS'!R29/100)</f>
        <v>1467423.5505668062</v>
      </c>
      <c r="BE264" s="222">
        <f>BD264*(1+'NA ASSUMPTIONS'!S29/100)</f>
        <v>1531382.9470259608</v>
      </c>
      <c r="BF264" s="222">
        <f>BE264*(1+'NA ASSUMPTIONS'!T29/100)</f>
        <v>1600847.4532556403</v>
      </c>
      <c r="BG264" s="222">
        <f>BF264*(1+'NA ASSUMPTIONS'!U29/100)</f>
        <v>1672574.1280942918</v>
      </c>
      <c r="BH264" s="222">
        <f>BG264*(1+'NA ASSUMPTIONS'!V29/100)</f>
        <v>1748497.4354935829</v>
      </c>
    </row>
    <row r="265" spans="5:60" x14ac:dyDescent="0.2">
      <c r="E265" s="220" t="s">
        <v>119</v>
      </c>
      <c r="K265" s="60">
        <f t="shared" si="736"/>
        <v>109893.5</v>
      </c>
      <c r="L265" s="60">
        <f t="shared" si="737"/>
        <v>225576.88143574278</v>
      </c>
      <c r="M265" s="60">
        <f t="shared" si="738"/>
        <v>342132.18449967168</v>
      </c>
      <c r="N265" s="60">
        <f t="shared" si="739"/>
        <v>349162.29787980195</v>
      </c>
      <c r="O265" s="60">
        <f t="shared" si="740"/>
        <v>357827.9971304792</v>
      </c>
      <c r="P265" s="60">
        <f t="shared" si="741"/>
        <v>367853.22524563386</v>
      </c>
      <c r="Q265" s="60">
        <f t="shared" si="742"/>
        <v>391094.35486045829</v>
      </c>
      <c r="R265" s="60">
        <f t="shared" si="743"/>
        <v>423984.17535886011</v>
      </c>
      <c r="S265" s="60">
        <f t="shared" si="744"/>
        <v>450517.47740335308</v>
      </c>
      <c r="T265" s="60">
        <f t="shared" si="745"/>
        <v>479833.38197954255</v>
      </c>
      <c r="U265" s="60">
        <f t="shared" si="746"/>
        <v>505371.37754762976</v>
      </c>
      <c r="V265" s="60">
        <f t="shared" si="747"/>
        <v>527394.43895030837</v>
      </c>
      <c r="W265" s="60">
        <f t="shared" si="748"/>
        <v>571862.28676329809</v>
      </c>
      <c r="X265" s="60">
        <f t="shared" si="749"/>
        <v>629246.38515306567</v>
      </c>
      <c r="Y265" s="60">
        <f t="shared" si="750"/>
        <v>682585.50898778974</v>
      </c>
      <c r="Z265" s="60">
        <f t="shared" si="751"/>
        <v>737927.58919613378</v>
      </c>
      <c r="AA265" s="60">
        <f t="shared" si="752"/>
        <v>797480.43544520985</v>
      </c>
      <c r="AB265" s="60">
        <f t="shared" si="752"/>
        <v>861879.77649134607</v>
      </c>
      <c r="AC265" s="60">
        <f t="shared" si="752"/>
        <v>931861.10933063191</v>
      </c>
      <c r="AD265" s="60">
        <f t="shared" si="753"/>
        <v>1008202.7212067572</v>
      </c>
      <c r="AE265" s="60">
        <f t="shared" si="754"/>
        <v>1090938.8954277718</v>
      </c>
      <c r="AF265" s="60"/>
      <c r="AG265" s="60"/>
      <c r="AL265" s="221">
        <v>103837</v>
      </c>
      <c r="AM265" s="221">
        <v>107158</v>
      </c>
      <c r="AN265" s="221">
        <v>112629</v>
      </c>
      <c r="AO265" s="221">
        <v>338524.76287148555</v>
      </c>
      <c r="AP265" s="221">
        <v>345739.60612785781</v>
      </c>
      <c r="AQ265" s="221">
        <v>352584.98963174608</v>
      </c>
      <c r="AR265" s="221">
        <v>363071.00462921226</v>
      </c>
      <c r="AS265" s="221">
        <f>AS527</f>
        <v>372635.44586205552</v>
      </c>
      <c r="AT265" s="221">
        <f t="shared" ref="AT265:BB265" si="762">AT527</f>
        <v>409553.26385886106</v>
      </c>
      <c r="AU265" s="221">
        <f t="shared" si="762"/>
        <v>438415.08685885917</v>
      </c>
      <c r="AV265" s="221">
        <f t="shared" si="762"/>
        <v>462619.867947847</v>
      </c>
      <c r="AW265" s="221">
        <f t="shared" si="762"/>
        <v>497046.8960112381</v>
      </c>
      <c r="AX265" s="221">
        <f t="shared" si="762"/>
        <v>513695.85908402142</v>
      </c>
      <c r="AY265" s="221">
        <f t="shared" si="762"/>
        <v>541093.01881659543</v>
      </c>
      <c r="AZ265" s="221">
        <f t="shared" si="762"/>
        <v>602631.55471000075</v>
      </c>
      <c r="BA265" s="221">
        <f t="shared" si="762"/>
        <v>655861.21559613047</v>
      </c>
      <c r="BB265" s="221">
        <f t="shared" si="762"/>
        <v>709309.80237944901</v>
      </c>
      <c r="BC265" s="222">
        <f>BB265*(1+'NA ASSUMPTIONS'!Q30/100)</f>
        <v>766545.37601281854</v>
      </c>
      <c r="BD265" s="222">
        <f>BC265*(1+'NA ASSUMPTIONS'!R30/100)</f>
        <v>828415.49487760116</v>
      </c>
      <c r="BE265" s="222">
        <f>BD265*(1+'NA ASSUMPTIONS'!S30/100)</f>
        <v>895344.05810509098</v>
      </c>
      <c r="BF265" s="222">
        <f>BE265*(1+'NA ASSUMPTIONS'!T30/100)</f>
        <v>968378.16055617284</v>
      </c>
      <c r="BG265" s="222">
        <f>BF265*(1+'NA ASSUMPTIONS'!U30/100)</f>
        <v>1048027.2818573418</v>
      </c>
      <c r="BH265" s="222">
        <f>BG265*(1+'NA ASSUMPTIONS'!V30/100)</f>
        <v>1133850.5089982022</v>
      </c>
    </row>
    <row r="266" spans="5:60" x14ac:dyDescent="0.2">
      <c r="E266" s="220" t="s">
        <v>120</v>
      </c>
      <c r="K266" s="60">
        <f t="shared" si="736"/>
        <v>77924.5</v>
      </c>
      <c r="L266" s="60">
        <f t="shared" si="737"/>
        <v>189209.05163180176</v>
      </c>
      <c r="M266" s="60">
        <f t="shared" si="738"/>
        <v>310051.40480080585</v>
      </c>
      <c r="N266" s="60">
        <f t="shared" si="739"/>
        <v>331905.82800364448</v>
      </c>
      <c r="O266" s="60">
        <f t="shared" si="740"/>
        <v>356480.62685585022</v>
      </c>
      <c r="P266" s="60">
        <f t="shared" si="741"/>
        <v>383650.83080974605</v>
      </c>
      <c r="Q266" s="60">
        <f t="shared" si="742"/>
        <v>407108.85516439454</v>
      </c>
      <c r="R266" s="60">
        <f t="shared" si="743"/>
        <v>428088.11520356289</v>
      </c>
      <c r="S266" s="60">
        <f t="shared" si="744"/>
        <v>450819.73435590963</v>
      </c>
      <c r="T266" s="60">
        <f t="shared" si="745"/>
        <v>473003.11319519149</v>
      </c>
      <c r="U266" s="60">
        <f t="shared" si="746"/>
        <v>497250.07270916546</v>
      </c>
      <c r="V266" s="60">
        <f t="shared" si="747"/>
        <v>525693.69721406559</v>
      </c>
      <c r="W266" s="60">
        <f t="shared" si="748"/>
        <v>558543.70173579955</v>
      </c>
      <c r="X266" s="60">
        <f t="shared" si="749"/>
        <v>592783.64512392157</v>
      </c>
      <c r="Y266" s="60">
        <f t="shared" si="750"/>
        <v>626593.18847254023</v>
      </c>
      <c r="Z266" s="60">
        <f t="shared" si="751"/>
        <v>663036.71102620254</v>
      </c>
      <c r="AA266" s="60">
        <f t="shared" si="752"/>
        <v>702163.94140788156</v>
      </c>
      <c r="AB266" s="60">
        <f t="shared" si="752"/>
        <v>744235.5003578933</v>
      </c>
      <c r="AC266" s="60">
        <f t="shared" si="752"/>
        <v>789030.35626683524</v>
      </c>
      <c r="AD266" s="60">
        <f t="shared" si="753"/>
        <v>833603.27275002282</v>
      </c>
      <c r="AE266" s="60">
        <f t="shared" si="754"/>
        <v>877770.19738936739</v>
      </c>
      <c r="AF266" s="60"/>
      <c r="AG266" s="60"/>
      <c r="AL266" s="221">
        <v>70080</v>
      </c>
      <c r="AM266" s="221">
        <v>76741</v>
      </c>
      <c r="AN266" s="221">
        <v>79108</v>
      </c>
      <c r="AO266" s="221">
        <v>299310.10326360352</v>
      </c>
      <c r="AP266" s="221">
        <v>320792.70633800817</v>
      </c>
      <c r="AQ266" s="221">
        <v>343018.94966928085</v>
      </c>
      <c r="AR266" s="221">
        <v>369942.30404241954</v>
      </c>
      <c r="AS266" s="221">
        <f>AS528+AS529+AS530</f>
        <v>397359.35757707251</v>
      </c>
      <c r="AT266" s="221">
        <f t="shared" ref="AT266:BB266" si="763">AT528+AT529+AT530</f>
        <v>416858.35275171656</v>
      </c>
      <c r="AU266" s="221">
        <f t="shared" si="763"/>
        <v>439317.87765540916</v>
      </c>
      <c r="AV266" s="221">
        <f t="shared" si="763"/>
        <v>462321.59105641005</v>
      </c>
      <c r="AW266" s="221">
        <f t="shared" si="763"/>
        <v>483684.63533397287</v>
      </c>
      <c r="AX266" s="221">
        <f t="shared" si="763"/>
        <v>510815.51008435804</v>
      </c>
      <c r="AY266" s="221">
        <f t="shared" si="763"/>
        <v>540571.88434377301</v>
      </c>
      <c r="AZ266" s="221">
        <f t="shared" si="763"/>
        <v>576515.51912782609</v>
      </c>
      <c r="BA266" s="221">
        <f t="shared" si="763"/>
        <v>609051.77112001693</v>
      </c>
      <c r="BB266" s="221">
        <f t="shared" si="763"/>
        <v>644134.60582506354</v>
      </c>
      <c r="BC266" s="222">
        <f>BB266*(1+'NA ASSUMPTIONS'!Q31/100)</f>
        <v>681938.81622734154</v>
      </c>
      <c r="BD266" s="222">
        <f>BC266*(1+'NA ASSUMPTIONS'!R31/100)</f>
        <v>722389.06658842159</v>
      </c>
      <c r="BE266" s="222">
        <f>BD266*(1+'NA ASSUMPTIONS'!S31/100)</f>
        <v>766081.93412736501</v>
      </c>
      <c r="BF266" s="222">
        <f>BE266*(1+'NA ASSUMPTIONS'!T31/100)</f>
        <v>811978.77840630559</v>
      </c>
      <c r="BG266" s="222">
        <f>BF266*(1+'NA ASSUMPTIONS'!U31/100)</f>
        <v>855227.76709373994</v>
      </c>
      <c r="BH266" s="222">
        <f>BG266*(1+'NA ASSUMPTIONS'!V31/100)</f>
        <v>900312.62768499483</v>
      </c>
    </row>
    <row r="267" spans="5:60" x14ac:dyDescent="0.2">
      <c r="E267" s="224" t="s">
        <v>292</v>
      </c>
      <c r="K267" s="174">
        <f t="shared" ref="K267:V267" si="764">K245+K250+K256</f>
        <v>6516097.5</v>
      </c>
      <c r="L267" s="174">
        <f t="shared" si="764"/>
        <v>11925003.62787601</v>
      </c>
      <c r="M267" s="174">
        <f t="shared" si="764"/>
        <v>17767521.63046056</v>
      </c>
      <c r="N267" s="174">
        <f t="shared" si="764"/>
        <v>18936840.863255002</v>
      </c>
      <c r="O267" s="174">
        <f t="shared" si="764"/>
        <v>20215942.690974738</v>
      </c>
      <c r="P267" s="174">
        <f t="shared" si="764"/>
        <v>20282129.339017779</v>
      </c>
      <c r="Q267" s="174">
        <f t="shared" si="764"/>
        <v>20141783.361021377</v>
      </c>
      <c r="R267" s="174">
        <f t="shared" si="764"/>
        <v>21448511.076922126</v>
      </c>
      <c r="S267" s="174">
        <f t="shared" si="764"/>
        <v>22855795.951522112</v>
      </c>
      <c r="T267" s="174">
        <f t="shared" si="764"/>
        <v>24040129.748215429</v>
      </c>
      <c r="U267" s="174">
        <f t="shared" si="764"/>
        <v>25516094.575611062</v>
      </c>
      <c r="V267" s="174">
        <f t="shared" si="764"/>
        <v>27422916.38023822</v>
      </c>
      <c r="W267" s="174">
        <f t="shared" ref="W267:AB267" si="765">W245+W250+W256</f>
        <v>29259711.585440271</v>
      </c>
      <c r="X267" s="174">
        <f t="shared" si="765"/>
        <v>31127320.276263151</v>
      </c>
      <c r="Y267" s="174">
        <f t="shared" si="765"/>
        <v>33366797.20438493</v>
      </c>
      <c r="Z267" s="174">
        <f t="shared" si="765"/>
        <v>35839409.982386313</v>
      </c>
      <c r="AA267" s="174">
        <f t="shared" si="765"/>
        <v>38540482.802394331</v>
      </c>
      <c r="AB267" s="174">
        <f t="shared" si="765"/>
        <v>41536899.870733514</v>
      </c>
      <c r="AC267" s="174">
        <f>AC245+AC250+AC256</f>
        <v>44882578.827039942</v>
      </c>
      <c r="AD267" s="174">
        <f t="shared" ref="AD267:AE267" si="766">AD245+AD250+AD256</f>
        <v>48661355.799340084</v>
      </c>
      <c r="AE267" s="174">
        <f t="shared" si="766"/>
        <v>52916704.979755372</v>
      </c>
      <c r="AF267" s="174"/>
      <c r="AG267" s="174"/>
      <c r="AL267" s="174">
        <v>6051967</v>
      </c>
      <c r="AM267" s="174">
        <f>AM245+AM250+AM256</f>
        <v>6359125</v>
      </c>
      <c r="AN267" s="174">
        <f t="shared" ref="AN267:BB267" si="767">AN245+AN250+AN256</f>
        <v>6673070</v>
      </c>
      <c r="AO267" s="174">
        <f t="shared" si="767"/>
        <v>17176937.25575202</v>
      </c>
      <c r="AP267" s="174">
        <f t="shared" si="767"/>
        <v>18358106.005169094</v>
      </c>
      <c r="AQ267" s="174">
        <f t="shared" si="767"/>
        <v>19515575.721340906</v>
      </c>
      <c r="AR267" s="174">
        <f t="shared" si="767"/>
        <v>20916309.660608567</v>
      </c>
      <c r="AS267" s="174">
        <f t="shared" si="767"/>
        <v>19647949.01742699</v>
      </c>
      <c r="AT267" s="174">
        <f t="shared" si="767"/>
        <v>20635617.704615764</v>
      </c>
      <c r="AU267" s="174">
        <f t="shared" si="767"/>
        <v>22261404.449228484</v>
      </c>
      <c r="AV267" s="174">
        <f t="shared" si="767"/>
        <v>23450187.453815736</v>
      </c>
      <c r="AW267" s="174">
        <f t="shared" si="767"/>
        <v>24630072.042615131</v>
      </c>
      <c r="AX267" s="174">
        <f t="shared" si="767"/>
        <v>26402117.108606998</v>
      </c>
      <c r="AY267" s="174">
        <f t="shared" si="767"/>
        <v>28443715.651869446</v>
      </c>
      <c r="AZ267" s="174">
        <f t="shared" si="767"/>
        <v>30075707.519011103</v>
      </c>
      <c r="BA267" s="174">
        <f t="shared" si="767"/>
        <v>32178933.033515204</v>
      </c>
      <c r="BB267" s="174">
        <f t="shared" si="767"/>
        <v>34554661.375254661</v>
      </c>
      <c r="BC267" s="219">
        <f>BC245+BC250+BC256</f>
        <v>37124158.589517958</v>
      </c>
      <c r="BD267" s="219">
        <f>BD245+BD250+BD256</f>
        <v>39956807.015270725</v>
      </c>
      <c r="BE267" s="219">
        <f>BE245+BE250+BE256</f>
        <v>43116992.726196311</v>
      </c>
      <c r="BF267" s="219">
        <f>BF245+BF250+BF256</f>
        <v>46648164.927883565</v>
      </c>
      <c r="BG267" s="219">
        <f t="shared" ref="BG267:BH267" si="768">BG245+BG250+BG256</f>
        <v>50674546.670796618</v>
      </c>
      <c r="BH267" s="219">
        <f t="shared" si="768"/>
        <v>55158863.288714118</v>
      </c>
    </row>
    <row r="268" spans="5:60" x14ac:dyDescent="0.2">
      <c r="E268" s="225" t="s">
        <v>122</v>
      </c>
      <c r="K268" s="60">
        <f t="shared" ref="K268:Y268" si="769">AVERAGE(AM268:AN268)</f>
        <v>-77513.5</v>
      </c>
      <c r="L268" s="60">
        <f t="shared" si="769"/>
        <v>-129601.38523520478</v>
      </c>
      <c r="M268" s="60">
        <f t="shared" si="769"/>
        <v>-187641.38655757217</v>
      </c>
      <c r="N268" s="60">
        <f t="shared" si="769"/>
        <v>-200810.12346994603</v>
      </c>
      <c r="O268" s="60">
        <f t="shared" si="769"/>
        <v>-215611.21914476916</v>
      </c>
      <c r="P268" s="60">
        <f t="shared" si="769"/>
        <v>-231972.21868122814</v>
      </c>
      <c r="Q268" s="60">
        <f t="shared" si="769"/>
        <v>-268321.91012977221</v>
      </c>
      <c r="R268" s="60">
        <f t="shared" si="769"/>
        <v>-313716.34796697972</v>
      </c>
      <c r="S268" s="60">
        <f t="shared" si="769"/>
        <v>-342302.15801024658</v>
      </c>
      <c r="T268" s="60">
        <f t="shared" si="769"/>
        <v>-388889.42523394054</v>
      </c>
      <c r="U268" s="60">
        <f t="shared" si="769"/>
        <v>-441021.63129351137</v>
      </c>
      <c r="V268" s="60">
        <f t="shared" si="769"/>
        <v>-509571.01731161331</v>
      </c>
      <c r="W268" s="60">
        <f t="shared" si="769"/>
        <v>-564729.17289765598</v>
      </c>
      <c r="X268" s="60">
        <f t="shared" si="769"/>
        <v>-568381.24530133756</v>
      </c>
      <c r="Y268" s="60">
        <f t="shared" si="769"/>
        <v>-596068.84216996003</v>
      </c>
      <c r="Z268" s="60">
        <f>AVERAGE(BB268:BC268)</f>
        <v>-653726.91336493124</v>
      </c>
      <c r="AA268" s="60">
        <f>AVERAGE(BC268:BD268)</f>
        <v>-700389.63295936724</v>
      </c>
      <c r="AB268" s="60">
        <f>AVERAGE(BD268:BE268)</f>
        <v>-757160.78660291829</v>
      </c>
      <c r="AC268" s="60">
        <f>AVERAGE(BE268:BF268)</f>
        <v>-858078.93662351067</v>
      </c>
      <c r="AD268" s="60">
        <f t="shared" ref="AD268:AE268" si="770">AVERAGE(BF268:BG268)</f>
        <v>-995188.53356212028</v>
      </c>
      <c r="AE268" s="60">
        <f t="shared" si="770"/>
        <v>-1135230.6831233446</v>
      </c>
      <c r="AF268" s="60"/>
      <c r="AG268" s="60"/>
      <c r="AL268" s="226">
        <v>-74437</v>
      </c>
      <c r="AM268" s="226">
        <v>-76978</v>
      </c>
      <c r="AN268" s="226">
        <v>-78049</v>
      </c>
      <c r="AO268" s="226">
        <v>-181153.77047040957</v>
      </c>
      <c r="AP268" s="226">
        <v>-194129.00264473478</v>
      </c>
      <c r="AQ268" s="226">
        <v>-207491.24429515729</v>
      </c>
      <c r="AR268" s="226">
        <v>-223731.19399438103</v>
      </c>
      <c r="AS268" s="226">
        <f>AS531</f>
        <v>-240213.24336807526</v>
      </c>
      <c r="AT268" s="226">
        <f t="shared" ref="AT268:BB268" si="771">AT531</f>
        <v>-296430.57689146919</v>
      </c>
      <c r="AU268" s="226">
        <f t="shared" si="771"/>
        <v>-331002.1190424902</v>
      </c>
      <c r="AV268" s="226">
        <f t="shared" si="771"/>
        <v>-353602.19697800302</v>
      </c>
      <c r="AW268" s="226">
        <f t="shared" si="771"/>
        <v>-424176.65348987805</v>
      </c>
      <c r="AX268" s="226">
        <f t="shared" si="771"/>
        <v>-457866.60909714474</v>
      </c>
      <c r="AY268" s="226">
        <f t="shared" si="771"/>
        <v>-561275.42552608182</v>
      </c>
      <c r="AZ268" s="226">
        <f t="shared" si="771"/>
        <v>-568182.92026923015</v>
      </c>
      <c r="BA268" s="226">
        <f t="shared" si="771"/>
        <v>-568579.57033344498</v>
      </c>
      <c r="BB268" s="226">
        <f t="shared" si="771"/>
        <v>-623558.11400647496</v>
      </c>
      <c r="BC268" s="222">
        <f>BB268*(1+'NA ASSUMPTIONS'!Q33/100)</f>
        <v>-683895.71272338752</v>
      </c>
      <c r="BD268" s="222">
        <f>BC268*(1+'NA ASSUMPTIONS'!R33/100)</f>
        <v>-716883.55319534696</v>
      </c>
      <c r="BE268" s="222">
        <f>BD268*(1+'NA ASSUMPTIONS'!S33/100)</f>
        <v>-797438.02001048974</v>
      </c>
      <c r="BF268" s="222">
        <f>BE268*(1+'NA ASSUMPTIONS'!T33/100)</f>
        <v>-918719.85323653149</v>
      </c>
      <c r="BG268" s="222">
        <f>BF268*(1+'NA ASSUMPTIONS'!U33/100)</f>
        <v>-1071657.213887709</v>
      </c>
      <c r="BH268" s="222">
        <f>BG268*(1+'NA ASSUMPTIONS'!V33/100)</f>
        <v>-1198804.1523589804</v>
      </c>
    </row>
    <row r="269" spans="5:60" x14ac:dyDescent="0.2">
      <c r="E269" s="224" t="s">
        <v>293</v>
      </c>
      <c r="K269" s="174">
        <f t="shared" ref="K269:V269" si="772">K267+K268</f>
        <v>6438584</v>
      </c>
      <c r="L269" s="174">
        <f t="shared" si="772"/>
        <v>11795402.242640804</v>
      </c>
      <c r="M269" s="174">
        <f t="shared" si="772"/>
        <v>17579880.243902989</v>
      </c>
      <c r="N269" s="174">
        <f t="shared" si="772"/>
        <v>18736030.739785057</v>
      </c>
      <c r="O269" s="174">
        <f t="shared" si="772"/>
        <v>20000331.471829969</v>
      </c>
      <c r="P269" s="174">
        <f t="shared" si="772"/>
        <v>20050157.120336551</v>
      </c>
      <c r="Q269" s="174">
        <f t="shared" si="772"/>
        <v>19873461.450891607</v>
      </c>
      <c r="R269" s="174">
        <f t="shared" si="772"/>
        <v>21134794.728955146</v>
      </c>
      <c r="S269" s="174">
        <f t="shared" si="772"/>
        <v>22513493.793511864</v>
      </c>
      <c r="T269" s="174">
        <f t="shared" si="772"/>
        <v>23651240.322981488</v>
      </c>
      <c r="U269" s="174">
        <f t="shared" si="772"/>
        <v>25075072.944317549</v>
      </c>
      <c r="V269" s="174">
        <f t="shared" si="772"/>
        <v>26913345.362926606</v>
      </c>
      <c r="W269" s="174">
        <f t="shared" ref="W269:AB269" si="773">W267+W268</f>
        <v>28694982.412542615</v>
      </c>
      <c r="X269" s="174">
        <f t="shared" si="773"/>
        <v>30558939.030961815</v>
      </c>
      <c r="Y269" s="174">
        <f t="shared" si="773"/>
        <v>32770728.362214971</v>
      </c>
      <c r="Z269" s="174">
        <f t="shared" si="773"/>
        <v>35185683.069021381</v>
      </c>
      <c r="AA269" s="174">
        <f t="shared" si="773"/>
        <v>37840093.169434965</v>
      </c>
      <c r="AB269" s="174">
        <f t="shared" si="773"/>
        <v>40779739.084130593</v>
      </c>
      <c r="AC269" s="174">
        <f>AC267+AC268</f>
        <v>44024499.890416428</v>
      </c>
      <c r="AD269" s="174">
        <f t="shared" ref="AD269:AE269" si="774">AD267+AD268</f>
        <v>47666167.26577796</v>
      </c>
      <c r="AE269" s="174">
        <f t="shared" si="774"/>
        <v>51781474.296632029</v>
      </c>
      <c r="AF269" s="174"/>
      <c r="AG269" s="174"/>
      <c r="AL269" s="174">
        <f>AL267+AL268</f>
        <v>5977530</v>
      </c>
      <c r="AM269" s="174">
        <f>AM267+AM268</f>
        <v>6282147</v>
      </c>
      <c r="AN269" s="174">
        <f t="shared" ref="AN269:AS269" si="775">AN267+AN268</f>
        <v>6595021</v>
      </c>
      <c r="AO269" s="174">
        <f t="shared" si="775"/>
        <v>16995783.485281609</v>
      </c>
      <c r="AP269" s="174">
        <f t="shared" si="775"/>
        <v>18163977.002524357</v>
      </c>
      <c r="AQ269" s="174">
        <f t="shared" si="775"/>
        <v>19308084.477045748</v>
      </c>
      <c r="AR269" s="174">
        <f t="shared" si="775"/>
        <v>20692578.466614187</v>
      </c>
      <c r="AS269" s="174">
        <f t="shared" si="775"/>
        <v>19407735.774058916</v>
      </c>
      <c r="AT269" s="174">
        <v>23239332.435796756</v>
      </c>
      <c r="AU269" s="174">
        <v>24948887.718424965</v>
      </c>
      <c r="AV269" s="174">
        <v>26352934.770254306</v>
      </c>
      <c r="AW269" s="174">
        <v>27632905.710271318</v>
      </c>
      <c r="AX269" s="174">
        <v>29444704.33572913</v>
      </c>
      <c r="AY269" s="174">
        <v>31680701.078533798</v>
      </c>
      <c r="AZ269" s="219">
        <v>33431050.789833628</v>
      </c>
      <c r="BA269" s="219">
        <v>35669868.411094628</v>
      </c>
      <c r="BB269" s="219">
        <f>BB267+BB268</f>
        <v>33931103.261248186</v>
      </c>
      <c r="BC269" s="219">
        <f>BC267+BC268</f>
        <v>36440262.876794569</v>
      </c>
      <c r="BD269" s="219">
        <f>BD267+BD268</f>
        <v>39239923.462075375</v>
      </c>
      <c r="BE269" s="219">
        <f>BE267+BE268</f>
        <v>42319554.706185825</v>
      </c>
      <c r="BF269" s="219">
        <f>BF267+BF268</f>
        <v>45729445.074647032</v>
      </c>
      <c r="BG269" s="219">
        <f t="shared" ref="BG269:BH269" si="776">BG267+BG268</f>
        <v>49602889.456908911</v>
      </c>
      <c r="BH269" s="219">
        <f t="shared" si="776"/>
        <v>53960059.136355139</v>
      </c>
    </row>
    <row r="270" spans="5:60" x14ac:dyDescent="0.2">
      <c r="E270" s="225" t="s">
        <v>294</v>
      </c>
      <c r="K270" s="60">
        <f t="shared" ref="K270:Y270" si="777">AVERAGE(AM270:AN270)</f>
        <v>564051</v>
      </c>
      <c r="L270" s="60">
        <f t="shared" si="777"/>
        <v>778705.10779113229</v>
      </c>
      <c r="M270" s="60">
        <f t="shared" si="777"/>
        <v>1014964.9076897069</v>
      </c>
      <c r="N270" s="60">
        <f t="shared" si="777"/>
        <v>1086216.4100397737</v>
      </c>
      <c r="O270" s="60">
        <f t="shared" si="777"/>
        <v>1166302.504317546</v>
      </c>
      <c r="P270" s="60">
        <f t="shared" si="777"/>
        <v>1276790.9919891933</v>
      </c>
      <c r="Q270" s="60">
        <f t="shared" si="777"/>
        <v>1366679.3643620932</v>
      </c>
      <c r="R270" s="60">
        <f t="shared" si="777"/>
        <v>1605777.3072332095</v>
      </c>
      <c r="S270" s="60">
        <f t="shared" si="777"/>
        <v>1865684.6035834095</v>
      </c>
      <c r="T270" s="60">
        <f t="shared" si="777"/>
        <v>2031608.36901453</v>
      </c>
      <c r="U270" s="60">
        <f t="shared" si="777"/>
        <v>2193945.5384699954</v>
      </c>
      <c r="V270" s="60">
        <f t="shared" si="777"/>
        <v>2370080.1276774397</v>
      </c>
      <c r="W270" s="60">
        <f t="shared" si="777"/>
        <v>2510746.7990015764</v>
      </c>
      <c r="X270" s="60">
        <f t="shared" si="777"/>
        <v>2694666.524900144</v>
      </c>
      <c r="Y270" s="60">
        <f t="shared" si="777"/>
        <v>2983719.5064357817</v>
      </c>
      <c r="Z270" s="60">
        <f>AVERAGE(BB270:BC270)</f>
        <v>3244090.7459711861</v>
      </c>
      <c r="AA270" s="60">
        <f>AVERAGE(BC270:BD270)</f>
        <v>3573371.6369265374</v>
      </c>
      <c r="AB270" s="60">
        <f>AVERAGE(BD270:BE270)</f>
        <v>3957718.6621056376</v>
      </c>
      <c r="AC270" s="60">
        <f>AVERAGE(BE270:BF270)</f>
        <v>4388200.0603810195</v>
      </c>
      <c r="AD270" s="60">
        <f t="shared" ref="AD270:AE270" si="778">AVERAGE(BF270:BG270)</f>
        <v>4855708.8579635564</v>
      </c>
      <c r="AE270" s="60">
        <f t="shared" si="778"/>
        <v>5336227.3122913111</v>
      </c>
      <c r="AF270" s="60"/>
      <c r="AG270" s="60"/>
      <c r="AL270" s="226">
        <v>525209</v>
      </c>
      <c r="AM270" s="226">
        <v>550560</v>
      </c>
      <c r="AN270" s="226">
        <v>577542</v>
      </c>
      <c r="AO270" s="226">
        <v>979868.21558226459</v>
      </c>
      <c r="AP270" s="226">
        <v>1050061.5997971492</v>
      </c>
      <c r="AQ270" s="226">
        <v>1122371.2202823982</v>
      </c>
      <c r="AR270" s="226">
        <v>1210233.7883526939</v>
      </c>
      <c r="AS270" s="226">
        <f>AS533</f>
        <v>1343348.1956256926</v>
      </c>
      <c r="AT270" s="226">
        <f t="shared" ref="AT270:BB270" si="779">AT533</f>
        <v>1390010.5330984937</v>
      </c>
      <c r="AU270" s="226">
        <f t="shared" si="779"/>
        <v>1821544.0813679253</v>
      </c>
      <c r="AV270" s="226">
        <f>AV533</f>
        <v>1909825.1257988934</v>
      </c>
      <c r="AW270" s="226">
        <f t="shared" si="779"/>
        <v>2153391.6122301663</v>
      </c>
      <c r="AX270" s="226">
        <f>AX533</f>
        <v>2234499.4647098249</v>
      </c>
      <c r="AY270" s="226">
        <f t="shared" si="779"/>
        <v>2505660.7906450545</v>
      </c>
      <c r="AZ270" s="226">
        <f t="shared" si="779"/>
        <v>2515832.8073580987</v>
      </c>
      <c r="BA270" s="226">
        <f>BA533</f>
        <v>2873500.2424421897</v>
      </c>
      <c r="BB270" s="226">
        <f t="shared" si="779"/>
        <v>3093938.7704293737</v>
      </c>
      <c r="BC270" s="222">
        <f>BB270*(1+'NA ASSUMPTIONS'!Q35/100)</f>
        <v>3394242.7215129989</v>
      </c>
      <c r="BD270" s="222">
        <f>BC270*(1+'NA ASSUMPTIONS'!R35/100)</f>
        <v>3752500.5523400763</v>
      </c>
      <c r="BE270" s="222">
        <f>BD270*(1+'NA ASSUMPTIONS'!S35/100)</f>
        <v>4162936.7718711984</v>
      </c>
      <c r="BF270" s="222">
        <f>BE270*(1+'NA ASSUMPTIONS'!T35/100)</f>
        <v>4613463.348890841</v>
      </c>
      <c r="BG270" s="222">
        <f>BF270*(1+'NA ASSUMPTIONS'!U35/100)</f>
        <v>5097954.3670362718</v>
      </c>
      <c r="BH270" s="222">
        <f>BG270*(1+'NA ASSUMPTIONS'!V35/100)</f>
        <v>5574500.2575463504</v>
      </c>
    </row>
    <row r="271" spans="5:60" ht="15" x14ac:dyDescent="0.2">
      <c r="E271" s="351" t="s">
        <v>286</v>
      </c>
      <c r="AL271" s="226"/>
      <c r="AM271" s="226"/>
      <c r="AN271" s="226"/>
      <c r="AO271" s="226"/>
      <c r="AP271" s="226"/>
      <c r="AQ271" s="226"/>
      <c r="AR271" s="226"/>
      <c r="AS271" s="226"/>
      <c r="AT271" s="226"/>
      <c r="AU271" s="481"/>
      <c r="AV271" s="481"/>
      <c r="AW271" s="481"/>
      <c r="AX271" s="481"/>
      <c r="AY271" s="481"/>
      <c r="AZ271" s="482"/>
      <c r="BA271" s="482"/>
      <c r="BB271" s="29"/>
      <c r="BC271" s="29"/>
      <c r="BD271" s="29"/>
      <c r="BF271" s="2"/>
      <c r="BG271" s="2"/>
      <c r="BH271" s="173"/>
    </row>
    <row r="272" spans="5:60" x14ac:dyDescent="0.2">
      <c r="E272" s="224" t="s">
        <v>165</v>
      </c>
      <c r="K272" s="174">
        <f t="shared" ref="K272:V272" si="780">K273+K278+K281</f>
        <v>1380869</v>
      </c>
      <c r="L272" s="174">
        <f t="shared" si="780"/>
        <v>706387.5</v>
      </c>
      <c r="M272" s="174">
        <f t="shared" si="780"/>
        <v>378003.96357490093</v>
      </c>
      <c r="N272" s="174">
        <f t="shared" si="780"/>
        <v>0</v>
      </c>
      <c r="O272" s="174">
        <f t="shared" si="780"/>
        <v>0</v>
      </c>
      <c r="P272" s="174">
        <f t="shared" si="780"/>
        <v>1415580.1466075121</v>
      </c>
      <c r="Q272" s="174">
        <f t="shared" si="780"/>
        <v>2891637.0657518692</v>
      </c>
      <c r="R272" s="174">
        <f t="shared" si="780"/>
        <v>2985299.6132638426</v>
      </c>
      <c r="S272" s="174">
        <f t="shared" si="780"/>
        <v>3136354.2484783889</v>
      </c>
      <c r="T272" s="174">
        <f t="shared" si="780"/>
        <v>3338327.3613103474</v>
      </c>
      <c r="U272" s="174">
        <f t="shared" si="780"/>
        <v>3459592.9123976538</v>
      </c>
      <c r="V272" s="174">
        <f t="shared" si="780"/>
        <v>3643974.9975433145</v>
      </c>
      <c r="W272" s="174">
        <f t="shared" ref="W272:AB272" si="781">W273+W278+W281</f>
        <v>3852148.7416630033</v>
      </c>
      <c r="X272" s="174">
        <f t="shared" si="781"/>
        <v>3987896.848143246</v>
      </c>
      <c r="Y272" s="174">
        <f t="shared" si="781"/>
        <v>4134506.914266726</v>
      </c>
      <c r="Z272" s="174">
        <f t="shared" si="781"/>
        <v>4252881.8886988545</v>
      </c>
      <c r="AA272" s="174">
        <f t="shared" si="781"/>
        <v>4303553.4007868953</v>
      </c>
      <c r="AB272" s="174">
        <f t="shared" si="781"/>
        <v>4306631.3751908056</v>
      </c>
      <c r="AC272" s="174">
        <f>AC273+AC278+AC281</f>
        <v>4302486.0360361421</v>
      </c>
      <c r="AD272" s="174">
        <f t="shared" ref="AD272:AE272" si="782">AD273+AD278+AD281</f>
        <v>4283231.7066271938</v>
      </c>
      <c r="AE272" s="174">
        <f t="shared" si="782"/>
        <v>4252144.9318510462</v>
      </c>
      <c r="AF272" s="174"/>
      <c r="AG272" s="174"/>
      <c r="AL272" s="174">
        <f t="shared" ref="AL272:BB272" si="783">AL273+AL278+AL281</f>
        <v>1301188</v>
      </c>
      <c r="AM272" s="174">
        <f t="shared" si="783"/>
        <v>1348963</v>
      </c>
      <c r="AN272" s="174">
        <f t="shared" si="783"/>
        <v>1412775</v>
      </c>
      <c r="AO272" s="174">
        <f t="shared" si="783"/>
        <v>0</v>
      </c>
      <c r="AP272" s="174">
        <f t="shared" si="783"/>
        <v>0</v>
      </c>
      <c r="AQ272" s="174">
        <f t="shared" si="783"/>
        <v>0</v>
      </c>
      <c r="AR272" s="174">
        <f t="shared" si="783"/>
        <v>0</v>
      </c>
      <c r="AS272" s="174">
        <f t="shared" si="783"/>
        <v>2831160.2932150243</v>
      </c>
      <c r="AT272" s="174">
        <f t="shared" si="783"/>
        <v>2952113.8382887151</v>
      </c>
      <c r="AU272" s="174">
        <f t="shared" si="783"/>
        <v>3018485.3882389716</v>
      </c>
      <c r="AV272" s="174">
        <f t="shared" si="783"/>
        <v>3254223.1087178052</v>
      </c>
      <c r="AW272" s="174">
        <f t="shared" si="783"/>
        <v>3422431.6139028892</v>
      </c>
      <c r="AX272" s="174">
        <f t="shared" si="783"/>
        <v>3496754.2108924175</v>
      </c>
      <c r="AY272" s="174">
        <f t="shared" si="783"/>
        <v>3791195.784194211</v>
      </c>
      <c r="AZ272" s="174">
        <f t="shared" si="783"/>
        <v>3913101.6991317952</v>
      </c>
      <c r="BA272" s="174">
        <f t="shared" si="783"/>
        <v>4062691.9971546959</v>
      </c>
      <c r="BB272" s="174">
        <f t="shared" si="783"/>
        <v>4206321.831378757</v>
      </c>
      <c r="BC272" s="174">
        <f>BC273+BC278+BC281</f>
        <v>4299441.9460189538</v>
      </c>
      <c r="BD272" s="174">
        <f>BD273+BD278+BD281</f>
        <v>4307664.8555548387</v>
      </c>
      <c r="BE272" s="174">
        <f>BE273+BE278+BE281</f>
        <v>4305597.8948267726</v>
      </c>
      <c r="BF272" s="174">
        <f>BF273+BF278+BF281</f>
        <v>4299374.1772455145</v>
      </c>
      <c r="BG272" s="174">
        <f t="shared" ref="BG272:BH272" si="784">BG273+BG278+BG281</f>
        <v>4267089.2360088732</v>
      </c>
      <c r="BH272" s="174">
        <f t="shared" si="784"/>
        <v>4237200.62769322</v>
      </c>
    </row>
    <row r="273" spans="5:60" x14ac:dyDescent="0.2">
      <c r="E273" s="224" t="s">
        <v>295</v>
      </c>
      <c r="K273" s="174">
        <f t="shared" ref="K273:V273" si="785">SUM(K274:K277)</f>
        <v>979562</v>
      </c>
      <c r="L273" s="174">
        <f t="shared" si="785"/>
        <v>501215</v>
      </c>
      <c r="M273" s="174">
        <f t="shared" si="785"/>
        <v>378003.96357490093</v>
      </c>
      <c r="N273" s="174">
        <f t="shared" si="785"/>
        <v>0</v>
      </c>
      <c r="O273" s="174">
        <f t="shared" si="785"/>
        <v>0</v>
      </c>
      <c r="P273" s="174">
        <f t="shared" si="785"/>
        <v>1216885.6598015027</v>
      </c>
      <c r="Q273" s="174">
        <f t="shared" si="785"/>
        <v>2463778.7536754026</v>
      </c>
      <c r="R273" s="174">
        <f t="shared" si="785"/>
        <v>2511545.2800128991</v>
      </c>
      <c r="S273" s="174">
        <f t="shared" si="785"/>
        <v>2629093.4846411087</v>
      </c>
      <c r="T273" s="174">
        <f t="shared" si="785"/>
        <v>2820366.2677787286</v>
      </c>
      <c r="U273" s="174">
        <f t="shared" si="785"/>
        <v>2931716.0750503764</v>
      </c>
      <c r="V273" s="174">
        <f t="shared" si="785"/>
        <v>3045990.0718869683</v>
      </c>
      <c r="W273" s="174">
        <f t="shared" ref="W273:AB273" si="786">SUM(W274:W277)</f>
        <v>3193347.5534987696</v>
      </c>
      <c r="X273" s="174">
        <f t="shared" si="786"/>
        <v>3274260.6483706133</v>
      </c>
      <c r="Y273" s="174">
        <f t="shared" si="786"/>
        <v>3357881.5859087799</v>
      </c>
      <c r="Z273" s="174">
        <f t="shared" si="786"/>
        <v>3446245.6014731149</v>
      </c>
      <c r="AA273" s="174">
        <f t="shared" si="786"/>
        <v>3471203.8640522473</v>
      </c>
      <c r="AB273" s="174">
        <f t="shared" si="786"/>
        <v>3464518.0604654611</v>
      </c>
      <c r="AC273" s="174">
        <f>SUM(AC274:AC277)</f>
        <v>3459901.3736539632</v>
      </c>
      <c r="AD273" s="174">
        <f t="shared" ref="AD273:AE273" si="787">SUM(AD274:AD277)</f>
        <v>3439269.0070365616</v>
      </c>
      <c r="AE273" s="174">
        <f t="shared" si="787"/>
        <v>3410229.9658792382</v>
      </c>
      <c r="AF273" s="174"/>
      <c r="AG273" s="174"/>
      <c r="AL273" s="174">
        <f>SUM(AL274:AL277)</f>
        <v>925414</v>
      </c>
      <c r="AM273" s="174">
        <f>SUM(AM274:AM277)</f>
        <v>956694</v>
      </c>
      <c r="AN273" s="174">
        <f t="shared" ref="AN273:BB273" si="788">SUM(AN274:AN277)</f>
        <v>1002430</v>
      </c>
      <c r="AO273" s="174">
        <f t="shared" si="788"/>
        <v>0</v>
      </c>
      <c r="AP273" s="174">
        <f t="shared" si="788"/>
        <v>0</v>
      </c>
      <c r="AQ273" s="174">
        <f t="shared" si="788"/>
        <v>0</v>
      </c>
      <c r="AR273" s="174">
        <f t="shared" si="788"/>
        <v>0</v>
      </c>
      <c r="AS273" s="174">
        <f t="shared" si="788"/>
        <v>2433771.3196030054</v>
      </c>
      <c r="AT273" s="174">
        <f t="shared" si="788"/>
        <v>2493786.1877478003</v>
      </c>
      <c r="AU273" s="174">
        <f t="shared" si="788"/>
        <v>2529304.3722779984</v>
      </c>
      <c r="AV273" s="174">
        <f t="shared" si="788"/>
        <v>2728882.5970042185</v>
      </c>
      <c r="AW273" s="174">
        <f t="shared" si="788"/>
        <v>2911849.9385532388</v>
      </c>
      <c r="AX273" s="174">
        <f t="shared" si="788"/>
        <v>2951582.211547513</v>
      </c>
      <c r="AY273" s="174">
        <f t="shared" si="788"/>
        <v>3140397.9322264236</v>
      </c>
      <c r="AZ273" s="174">
        <f t="shared" si="788"/>
        <v>3246297.1747711161</v>
      </c>
      <c r="BA273" s="174">
        <f t="shared" si="788"/>
        <v>3302224.1219701106</v>
      </c>
      <c r="BB273" s="174">
        <f t="shared" si="788"/>
        <v>3413539.0498474492</v>
      </c>
      <c r="BC273" s="174">
        <f>SUM(BC274:BC277)</f>
        <v>3478952.1530987821</v>
      </c>
      <c r="BD273" s="174">
        <f>SUM(BD274:BD277)</f>
        <v>3463455.5750057134</v>
      </c>
      <c r="BE273" s="174">
        <f>SUM(BE274:BE277)</f>
        <v>3465580.5459252084</v>
      </c>
      <c r="BF273" s="174">
        <f>SUM(BF274:BF277)</f>
        <v>3454222.2013827185</v>
      </c>
      <c r="BG273" s="174">
        <f t="shared" ref="BG273:BH273" si="789">SUM(BG274:BG277)</f>
        <v>3424315.8126904047</v>
      </c>
      <c r="BH273" s="174">
        <f t="shared" si="789"/>
        <v>3396144.1190680722</v>
      </c>
    </row>
    <row r="274" spans="5:60" x14ac:dyDescent="0.2">
      <c r="E274" s="220" t="s">
        <v>102</v>
      </c>
      <c r="K274" s="60">
        <f t="shared" ref="K274:Y277" si="790">AVERAGE(AM274:AN274)</f>
        <v>764983</v>
      </c>
      <c r="L274" s="60">
        <f t="shared" si="790"/>
        <v>388515</v>
      </c>
      <c r="M274" s="60">
        <f>AVERAGE(AO274:AS274)</f>
        <v>378003.96357490093</v>
      </c>
      <c r="N274" s="60">
        <f t="shared" si="790"/>
        <v>0</v>
      </c>
      <c r="O274" s="60">
        <f t="shared" si="790"/>
        <v>0</v>
      </c>
      <c r="P274" s="60">
        <f>AVERAGE(AR274:AS274)</f>
        <v>756007.92714980186</v>
      </c>
      <c r="Q274" s="60">
        <f>AVERAGE(AS274:AT274)</f>
        <v>1508247.101502046</v>
      </c>
      <c r="R274" s="60">
        <f t="shared" si="790"/>
        <v>1494253.6456706391</v>
      </c>
      <c r="S274" s="60">
        <f t="shared" si="790"/>
        <v>1541940.6648492366</v>
      </c>
      <c r="T274" s="60">
        <f t="shared" si="790"/>
        <v>1661147.7841511872</v>
      </c>
      <c r="U274" s="60">
        <f t="shared" si="790"/>
        <v>1728815.4842351223</v>
      </c>
      <c r="V274" s="60">
        <f t="shared" si="790"/>
        <v>1802979.850246547</v>
      </c>
      <c r="W274" s="60">
        <f t="shared" si="790"/>
        <v>1909951.1580021232</v>
      </c>
      <c r="X274" s="60">
        <f t="shared" si="790"/>
        <v>1961756.6888315217</v>
      </c>
      <c r="Y274" s="60">
        <f t="shared" si="790"/>
        <v>2025584.1729734945</v>
      </c>
      <c r="Z274" s="60">
        <f t="shared" ref="Z274:AC277" si="791">AVERAGE(BB274:BC274)</f>
        <v>2100447.220939084</v>
      </c>
      <c r="AA274" s="60">
        <f t="shared" si="791"/>
        <v>2130114.855949943</v>
      </c>
      <c r="AB274" s="60">
        <f t="shared" si="791"/>
        <v>2140521.4028131319</v>
      </c>
      <c r="AC274" s="60">
        <f t="shared" si="791"/>
        <v>2145089.5882767541</v>
      </c>
      <c r="AD274" s="60">
        <f t="shared" ref="AD274:AD277" si="792">AVERAGE(BF274:BG274)</f>
        <v>2134686.8601860078</v>
      </c>
      <c r="AE274" s="60">
        <f t="shared" ref="AE274:AE277" si="793">AVERAGE(BG274:BH274)</f>
        <v>2115268.8517269157</v>
      </c>
      <c r="AF274" s="60"/>
      <c r="AG274" s="60"/>
      <c r="AL274" s="221">
        <v>727475</v>
      </c>
      <c r="AM274" s="221">
        <v>752936</v>
      </c>
      <c r="AN274" s="221">
        <v>777030</v>
      </c>
      <c r="AO274" s="221">
        <v>0</v>
      </c>
      <c r="AQ274" s="221">
        <v>0</v>
      </c>
      <c r="AR274" s="221">
        <v>0</v>
      </c>
      <c r="AS274" s="221">
        <f>AS537</f>
        <v>1512015.8542996037</v>
      </c>
      <c r="AT274" s="221">
        <f t="shared" ref="AT274:BB274" si="794">AT537</f>
        <v>1504478.348704488</v>
      </c>
      <c r="AU274" s="221">
        <f t="shared" si="794"/>
        <v>1484028.9426367902</v>
      </c>
      <c r="AV274" s="221">
        <f t="shared" si="794"/>
        <v>1599852.387061683</v>
      </c>
      <c r="AW274" s="221">
        <f t="shared" si="794"/>
        <v>1722443.1812406913</v>
      </c>
      <c r="AX274" s="221">
        <f t="shared" si="794"/>
        <v>1735187.7872295531</v>
      </c>
      <c r="AY274" s="221">
        <f t="shared" si="794"/>
        <v>1870771.9132635409</v>
      </c>
      <c r="AZ274" s="221">
        <f t="shared" si="794"/>
        <v>1949130.4027407053</v>
      </c>
      <c r="BA274" s="221">
        <f t="shared" si="794"/>
        <v>1974382.9749223378</v>
      </c>
      <c r="BB274" s="221">
        <f t="shared" si="794"/>
        <v>2076785.3710246515</v>
      </c>
      <c r="BC274" s="222">
        <f>BB274*(1+'NA ASSUMPTIONS'!Q105/100)</f>
        <v>2124109.0708535169</v>
      </c>
      <c r="BD274" s="222">
        <f>BC274*(1+'NA ASSUMPTIONS'!R105/100)</f>
        <v>2136120.641046369</v>
      </c>
      <c r="BE274" s="222">
        <f>BD274*(1+'NA ASSUMPTIONS'!S105/100)</f>
        <v>2144922.1645798944</v>
      </c>
      <c r="BF274" s="222">
        <f>BE274*(1+'NA ASSUMPTIONS'!T105/100)</f>
        <v>2145257.0119736139</v>
      </c>
      <c r="BG274" s="222">
        <f>BF274*(1+'NA ASSUMPTIONS'!U105/100)</f>
        <v>2124116.7083984017</v>
      </c>
      <c r="BH274" s="222">
        <f>BG274*(1+'NA ASSUMPTIONS'!V105/100)</f>
        <v>2106420.9950554296</v>
      </c>
    </row>
    <row r="275" spans="5:60" x14ac:dyDescent="0.2">
      <c r="E275" s="220" t="s">
        <v>103</v>
      </c>
      <c r="K275" s="60">
        <f t="shared" si="790"/>
        <v>136536.5</v>
      </c>
      <c r="L275" s="60">
        <f t="shared" si="790"/>
        <v>73155.5</v>
      </c>
      <c r="M275" s="60">
        <f t="shared" si="790"/>
        <v>0</v>
      </c>
      <c r="N275" s="60">
        <f t="shared" si="790"/>
        <v>0</v>
      </c>
      <c r="O275" s="60">
        <f t="shared" si="790"/>
        <v>0</v>
      </c>
      <c r="P275" s="60">
        <f t="shared" si="790"/>
        <v>359485.38528735837</v>
      </c>
      <c r="Q275" s="60">
        <f t="shared" si="790"/>
        <v>745513.88836656162</v>
      </c>
      <c r="R275" s="60">
        <f t="shared" si="790"/>
        <v>794712.64004398743</v>
      </c>
      <c r="S275" s="60">
        <f t="shared" si="790"/>
        <v>854313.3198417956</v>
      </c>
      <c r="T275" s="60">
        <f t="shared" si="790"/>
        <v>914860.33947896329</v>
      </c>
      <c r="U275" s="60">
        <f t="shared" si="790"/>
        <v>947837.06514841958</v>
      </c>
      <c r="V275" s="60">
        <f t="shared" si="790"/>
        <v>979768.82764529646</v>
      </c>
      <c r="W275" s="60">
        <f t="shared" si="790"/>
        <v>1011493.3915483026</v>
      </c>
      <c r="X275" s="60">
        <f t="shared" si="790"/>
        <v>1029421.0257677007</v>
      </c>
      <c r="Y275" s="60">
        <f t="shared" si="790"/>
        <v>1035482.3466408695</v>
      </c>
      <c r="Z275" s="60">
        <f t="shared" si="791"/>
        <v>1035385.0566773156</v>
      </c>
      <c r="AA275" s="60">
        <f t="shared" si="791"/>
        <v>1019306.299434287</v>
      </c>
      <c r="AB275" s="60">
        <f t="shared" si="791"/>
        <v>994161.58218147536</v>
      </c>
      <c r="AC275" s="60">
        <f t="shared" si="791"/>
        <v>979255.09838868259</v>
      </c>
      <c r="AD275" s="60">
        <f t="shared" si="792"/>
        <v>965754.54083494039</v>
      </c>
      <c r="AE275" s="60">
        <f t="shared" si="793"/>
        <v>956314.33483083174</v>
      </c>
      <c r="AF275" s="60"/>
      <c r="AG275" s="60"/>
      <c r="AL275" s="221">
        <v>122831</v>
      </c>
      <c r="AM275" s="221">
        <v>126762</v>
      </c>
      <c r="AN275" s="221">
        <v>146311</v>
      </c>
      <c r="AO275" s="221">
        <v>0</v>
      </c>
      <c r="AP275" s="221">
        <v>0</v>
      </c>
      <c r="AQ275" s="221">
        <v>0</v>
      </c>
      <c r="AR275" s="221">
        <v>0</v>
      </c>
      <c r="AS275" s="221">
        <f>AS538</f>
        <v>718970.77057471673</v>
      </c>
      <c r="AT275" s="221">
        <f t="shared" ref="AT275:BB275" si="795">AT538</f>
        <v>772057.00615840661</v>
      </c>
      <c r="AU275" s="221">
        <f t="shared" si="795"/>
        <v>817368.27392956812</v>
      </c>
      <c r="AV275" s="221">
        <f t="shared" si="795"/>
        <v>891258.36575402296</v>
      </c>
      <c r="AW275" s="221">
        <f t="shared" si="795"/>
        <v>938462.3132039035</v>
      </c>
      <c r="AX275" s="221">
        <f t="shared" si="795"/>
        <v>957211.81709293567</v>
      </c>
      <c r="AY275" s="221">
        <f t="shared" si="795"/>
        <v>1002325.8381976573</v>
      </c>
      <c r="AZ275" s="221">
        <f t="shared" si="795"/>
        <v>1020660.944898948</v>
      </c>
      <c r="BA275" s="221">
        <f t="shared" si="795"/>
        <v>1038181.1066364534</v>
      </c>
      <c r="BB275" s="221">
        <f t="shared" si="795"/>
        <v>1032783.5866452856</v>
      </c>
      <c r="BC275" s="222">
        <f>BB275*(1+'NA ASSUMPTIONS'!Q106/100)</f>
        <v>1037986.5267093455</v>
      </c>
      <c r="BD275" s="222">
        <f>BC275*(1+'NA ASSUMPTIONS'!R106/100)</f>
        <v>1000626.0721592284</v>
      </c>
      <c r="BE275" s="222">
        <f>BD275*(1+'NA ASSUMPTIONS'!S106/100)</f>
        <v>987697.09220372222</v>
      </c>
      <c r="BF275" s="222">
        <f>BE275*(1+'NA ASSUMPTIONS'!T106/100)</f>
        <v>970813.10457364284</v>
      </c>
      <c r="BG275" s="222">
        <f>BF275*(1+'NA ASSUMPTIONS'!U106/100)</f>
        <v>960695.97709623794</v>
      </c>
      <c r="BH275" s="222">
        <f>BG275*(1+'NA ASSUMPTIONS'!V106/100)</f>
        <v>951932.69256542565</v>
      </c>
    </row>
    <row r="276" spans="5:60" x14ac:dyDescent="0.2">
      <c r="E276" s="220" t="s">
        <v>104</v>
      </c>
      <c r="K276" s="60">
        <f t="shared" si="790"/>
        <v>74422</v>
      </c>
      <c r="L276" s="60">
        <f t="shared" si="790"/>
        <v>37706.5</v>
      </c>
      <c r="M276" s="60">
        <f t="shared" si="790"/>
        <v>0</v>
      </c>
      <c r="N276" s="60">
        <f t="shared" si="790"/>
        <v>0</v>
      </c>
      <c r="O276" s="60">
        <f t="shared" si="790"/>
        <v>0</v>
      </c>
      <c r="P276" s="60">
        <f t="shared" si="790"/>
        <v>96195.960770425823</v>
      </c>
      <c r="Q276" s="60">
        <f t="shared" si="790"/>
        <v>199477.89304747153</v>
      </c>
      <c r="R276" s="60">
        <f t="shared" si="790"/>
        <v>211845.48252649108</v>
      </c>
      <c r="S276" s="60">
        <f t="shared" si="790"/>
        <v>221668.77598251635</v>
      </c>
      <c r="T276" s="60">
        <f t="shared" si="790"/>
        <v>231712.80136005295</v>
      </c>
      <c r="U276" s="60">
        <f t="shared" si="790"/>
        <v>241271.93656457344</v>
      </c>
      <c r="V276" s="60">
        <f t="shared" si="790"/>
        <v>249430.585639889</v>
      </c>
      <c r="W276" s="60">
        <f t="shared" si="790"/>
        <v>257936.4551214992</v>
      </c>
      <c r="X276" s="60">
        <f t="shared" si="790"/>
        <v>268569.55663049698</v>
      </c>
      <c r="Y276" s="60">
        <f t="shared" si="790"/>
        <v>281805.04292527342</v>
      </c>
      <c r="Z276" s="60">
        <f t="shared" si="791"/>
        <v>295103.07851966441</v>
      </c>
      <c r="AA276" s="60">
        <f t="shared" si="791"/>
        <v>306186.85892225354</v>
      </c>
      <c r="AB276" s="60">
        <f t="shared" si="791"/>
        <v>313993.75274597143</v>
      </c>
      <c r="AC276" s="60">
        <f t="shared" si="791"/>
        <v>319549.338080424</v>
      </c>
      <c r="AD276" s="60">
        <f t="shared" si="792"/>
        <v>322754.36192650604</v>
      </c>
      <c r="AE276" s="60">
        <f t="shared" si="793"/>
        <v>322542.83002181572</v>
      </c>
      <c r="AF276" s="60"/>
      <c r="AG276" s="60"/>
      <c r="AL276" s="221">
        <v>71640</v>
      </c>
      <c r="AM276" s="221">
        <v>73431</v>
      </c>
      <c r="AN276" s="221">
        <v>75413</v>
      </c>
      <c r="AO276" s="221">
        <v>0</v>
      </c>
      <c r="AP276" s="221">
        <v>0</v>
      </c>
      <c r="AQ276" s="221">
        <v>0</v>
      </c>
      <c r="AR276" s="221">
        <v>0</v>
      </c>
      <c r="AS276" s="221">
        <f>AS539</f>
        <v>192391.92154085165</v>
      </c>
      <c r="AT276" s="221">
        <f t="shared" ref="AT276:BB276" si="796">AT539</f>
        <v>206563.86455409144</v>
      </c>
      <c r="AU276" s="221">
        <f t="shared" si="796"/>
        <v>217127.10049889071</v>
      </c>
      <c r="AV276" s="221">
        <f t="shared" si="796"/>
        <v>226210.45146614203</v>
      </c>
      <c r="AW276" s="221">
        <f t="shared" si="796"/>
        <v>237215.15125396388</v>
      </c>
      <c r="AX276" s="221">
        <f t="shared" si="796"/>
        <v>245328.72187518299</v>
      </c>
      <c r="AY276" s="221">
        <f t="shared" si="796"/>
        <v>253532.44940459498</v>
      </c>
      <c r="AZ276" s="221">
        <f t="shared" si="796"/>
        <v>262340.46083840344</v>
      </c>
      <c r="BA276" s="221">
        <f t="shared" si="796"/>
        <v>274798.65242259059</v>
      </c>
      <c r="BB276" s="221">
        <f t="shared" si="796"/>
        <v>288811.43342795625</v>
      </c>
      <c r="BC276" s="222">
        <f>BB276*(1+'NA ASSUMPTIONS'!Q107/100)</f>
        <v>301394.72361137258</v>
      </c>
      <c r="BD276" s="222">
        <f>BC276*(1+'NA ASSUMPTIONS'!R107/100)</f>
        <v>310978.99423313449</v>
      </c>
      <c r="BE276" s="222">
        <f>BD276*(1+'NA ASSUMPTIONS'!S107/100)</f>
        <v>317008.51125880837</v>
      </c>
      <c r="BF276" s="222">
        <f>BE276*(1+'NA ASSUMPTIONS'!T107/100)</f>
        <v>322090.16490203963</v>
      </c>
      <c r="BG276" s="222">
        <f>BF276*(1+'NA ASSUMPTIONS'!U107/100)</f>
        <v>323418.55895097245</v>
      </c>
      <c r="BH276" s="222">
        <f>BG276*(1+'NA ASSUMPTIONS'!V107/100)</f>
        <v>321667.101092659</v>
      </c>
    </row>
    <row r="277" spans="5:60" x14ac:dyDescent="0.2">
      <c r="E277" s="220" t="s">
        <v>105</v>
      </c>
      <c r="K277" s="60">
        <f t="shared" si="790"/>
        <v>3620.5</v>
      </c>
      <c r="L277" s="60">
        <f t="shared" si="790"/>
        <v>1838</v>
      </c>
      <c r="M277" s="60">
        <f t="shared" si="790"/>
        <v>0</v>
      </c>
      <c r="N277" s="60">
        <f t="shared" si="790"/>
        <v>0</v>
      </c>
      <c r="O277" s="60">
        <f t="shared" si="790"/>
        <v>0</v>
      </c>
      <c r="P277" s="60">
        <f t="shared" si="790"/>
        <v>5196.3865939167335</v>
      </c>
      <c r="Q277" s="60">
        <f t="shared" si="790"/>
        <v>10539.87075932371</v>
      </c>
      <c r="R277" s="60">
        <f t="shared" si="790"/>
        <v>10733.511771781767</v>
      </c>
      <c r="S277" s="60">
        <f t="shared" si="790"/>
        <v>11170.72396756001</v>
      </c>
      <c r="T277" s="60">
        <f t="shared" si="790"/>
        <v>12645.342788525333</v>
      </c>
      <c r="U277" s="60">
        <f t="shared" si="790"/>
        <v>13791.58910226075</v>
      </c>
      <c r="V277" s="60">
        <f t="shared" si="790"/>
        <v>13810.808355235935</v>
      </c>
      <c r="W277" s="60">
        <f t="shared" si="790"/>
        <v>13966.548826844801</v>
      </c>
      <c r="X277" s="60">
        <f t="shared" si="790"/>
        <v>14513.377140893997</v>
      </c>
      <c r="Y277" s="60">
        <f t="shared" si="790"/>
        <v>15010.023369142353</v>
      </c>
      <c r="Z277" s="60">
        <f t="shared" si="791"/>
        <v>15310.245337051274</v>
      </c>
      <c r="AA277" s="60">
        <f t="shared" si="791"/>
        <v>15595.849745764108</v>
      </c>
      <c r="AB277" s="60">
        <f t="shared" si="791"/>
        <v>15841.322724882322</v>
      </c>
      <c r="AC277" s="60">
        <f t="shared" si="791"/>
        <v>16007.348908102744</v>
      </c>
      <c r="AD277" s="60">
        <f t="shared" si="792"/>
        <v>16073.2440891073</v>
      </c>
      <c r="AE277" s="60">
        <f t="shared" si="793"/>
        <v>16103.949299675152</v>
      </c>
      <c r="AF277" s="60"/>
      <c r="AG277" s="60"/>
      <c r="AL277" s="223">
        <v>3468</v>
      </c>
      <c r="AM277" s="223">
        <v>3565</v>
      </c>
      <c r="AN277" s="223">
        <v>3676</v>
      </c>
      <c r="AO277" s="223">
        <v>0</v>
      </c>
      <c r="AP277" s="223">
        <v>0</v>
      </c>
      <c r="AQ277" s="223">
        <v>0</v>
      </c>
      <c r="AR277" s="223">
        <v>0</v>
      </c>
      <c r="AS277" s="221">
        <f>AS540</f>
        <v>10392.773187833467</v>
      </c>
      <c r="AT277" s="221">
        <f t="shared" ref="AT277:BB277" si="797">AT540</f>
        <v>10686.968330813954</v>
      </c>
      <c r="AU277" s="221">
        <f t="shared" si="797"/>
        <v>10780.055212749578</v>
      </c>
      <c r="AV277" s="221">
        <f t="shared" si="797"/>
        <v>11561.392722370441</v>
      </c>
      <c r="AW277" s="221">
        <f t="shared" si="797"/>
        <v>13729.292854680227</v>
      </c>
      <c r="AX277" s="221">
        <f t="shared" si="797"/>
        <v>13853.885349841275</v>
      </c>
      <c r="AY277" s="221">
        <f t="shared" si="797"/>
        <v>13767.731360630592</v>
      </c>
      <c r="AZ277" s="221">
        <f t="shared" si="797"/>
        <v>14165.366293059009</v>
      </c>
      <c r="BA277" s="221">
        <f t="shared" si="797"/>
        <v>14861.387988728986</v>
      </c>
      <c r="BB277" s="221">
        <f t="shared" si="797"/>
        <v>15158.658749555718</v>
      </c>
      <c r="BC277" s="222">
        <f>BB277*(1+'NA ASSUMPTIONS'!Q108/100)</f>
        <v>15461.831924546832</v>
      </c>
      <c r="BD277" s="222">
        <f>BC277*(1+'NA ASSUMPTIONS'!R108/100)</f>
        <v>15729.867566981384</v>
      </c>
      <c r="BE277" s="222">
        <f>BD277*(1+'NA ASSUMPTIONS'!S108/100)</f>
        <v>15952.777882783261</v>
      </c>
      <c r="BF277" s="222">
        <f>BE277*(1+'NA ASSUMPTIONS'!T108/100)</f>
        <v>16061.919933422225</v>
      </c>
      <c r="BG277" s="222">
        <f>BF277*(1+'NA ASSUMPTIONS'!U108/100)</f>
        <v>16084.568244792375</v>
      </c>
      <c r="BH277" s="222">
        <f>BG277*(1+'NA ASSUMPTIONS'!V108/100)</f>
        <v>16123.330354557929</v>
      </c>
    </row>
    <row r="278" spans="5:60" x14ac:dyDescent="0.2">
      <c r="E278" s="212" t="s">
        <v>106</v>
      </c>
      <c r="K278" s="173">
        <f t="shared" ref="K278:V278" si="798">K279+K280</f>
        <v>81974</v>
      </c>
      <c r="L278" s="173">
        <f t="shared" si="798"/>
        <v>41840</v>
      </c>
      <c r="M278" s="173">
        <f t="shared" si="798"/>
        <v>0</v>
      </c>
      <c r="N278" s="173">
        <f t="shared" si="798"/>
        <v>0</v>
      </c>
      <c r="O278" s="173">
        <f t="shared" si="798"/>
        <v>0</v>
      </c>
      <c r="P278" s="173">
        <f t="shared" si="798"/>
        <v>153238.74498827243</v>
      </c>
      <c r="Q278" s="173">
        <f t="shared" si="798"/>
        <v>337053.01261839562</v>
      </c>
      <c r="R278" s="173">
        <f t="shared" si="798"/>
        <v>383117.60144835548</v>
      </c>
      <c r="S278" s="173">
        <f t="shared" si="798"/>
        <v>416712.25795366924</v>
      </c>
      <c r="T278" s="173">
        <f t="shared" si="798"/>
        <v>427420.91136931331</v>
      </c>
      <c r="U278" s="173">
        <f t="shared" si="798"/>
        <v>437257.08472949907</v>
      </c>
      <c r="V278" s="173">
        <f t="shared" si="798"/>
        <v>507196.72836670245</v>
      </c>
      <c r="W278" s="173">
        <f t="shared" ref="W278:AB278" si="799">W279+W280</f>
        <v>567756.01082076691</v>
      </c>
      <c r="X278" s="173">
        <f t="shared" si="799"/>
        <v>622245.75663135655</v>
      </c>
      <c r="Y278" s="173">
        <f t="shared" si="799"/>
        <v>684801.49486916256</v>
      </c>
      <c r="Z278" s="173">
        <f t="shared" si="799"/>
        <v>714435.64825168392</v>
      </c>
      <c r="AA278" s="173">
        <f t="shared" si="799"/>
        <v>739725.25051882723</v>
      </c>
      <c r="AB278" s="173">
        <f t="shared" si="799"/>
        <v>748990.22886569682</v>
      </c>
      <c r="AC278" s="173">
        <f>AC279+AC280</f>
        <v>748980.53985369334</v>
      </c>
      <c r="AD278" s="173">
        <f t="shared" ref="AD278:AE278" si="800">AD279+AD280</f>
        <v>749946.15745307098</v>
      </c>
      <c r="AE278" s="173">
        <f t="shared" si="800"/>
        <v>747699.76907498657</v>
      </c>
      <c r="AF278" s="173"/>
      <c r="AG278" s="173"/>
      <c r="AL278" s="173">
        <v>77208</v>
      </c>
      <c r="AM278" s="173">
        <f>AM279+AM280</f>
        <v>80268</v>
      </c>
      <c r="AN278" s="173">
        <f t="shared" ref="AN278:AR278" si="801">AN279+AN280</f>
        <v>83680</v>
      </c>
      <c r="AO278" s="173">
        <f t="shared" si="801"/>
        <v>0</v>
      </c>
      <c r="AP278" s="173">
        <f t="shared" si="801"/>
        <v>0</v>
      </c>
      <c r="AQ278" s="173">
        <f t="shared" si="801"/>
        <v>0</v>
      </c>
      <c r="AR278" s="173">
        <f t="shared" si="801"/>
        <v>0</v>
      </c>
      <c r="AS278" s="221">
        <f t="shared" ref="AS278:BB282" si="802">AS541</f>
        <v>306477.48997654486</v>
      </c>
      <c r="AT278" s="221">
        <f t="shared" si="802"/>
        <v>367628.53526024643</v>
      </c>
      <c r="AU278" s="221">
        <f t="shared" si="802"/>
        <v>398606.66763646458</v>
      </c>
      <c r="AV278" s="221">
        <f t="shared" si="802"/>
        <v>434817.84827087383</v>
      </c>
      <c r="AW278" s="221">
        <f t="shared" si="802"/>
        <v>420023.97446775273</v>
      </c>
      <c r="AX278" s="221">
        <f t="shared" si="802"/>
        <v>454490.1949912454</v>
      </c>
      <c r="AY278" s="221">
        <f t="shared" si="802"/>
        <v>559903.26174215937</v>
      </c>
      <c r="AZ278" s="221">
        <f t="shared" si="802"/>
        <v>575608.75989937433</v>
      </c>
      <c r="BA278" s="221">
        <f t="shared" si="802"/>
        <v>668882.75336333876</v>
      </c>
      <c r="BB278" s="221">
        <f t="shared" si="802"/>
        <v>700720.23637498624</v>
      </c>
      <c r="BC278" s="174">
        <f>BC279+BC280</f>
        <v>728151.06012838148</v>
      </c>
      <c r="BD278" s="174">
        <f t="shared" ref="BD278:BF278" si="803">BD279+BD280</f>
        <v>751299.44090927287</v>
      </c>
      <c r="BE278" s="174">
        <f t="shared" si="803"/>
        <v>746681.01682212076</v>
      </c>
      <c r="BF278" s="174">
        <f t="shared" si="803"/>
        <v>751280.06288526603</v>
      </c>
      <c r="BG278" s="174">
        <f t="shared" ref="BG278:BH278" si="804">BG279+BG280</f>
        <v>748612.25202087569</v>
      </c>
      <c r="BH278" s="174">
        <f t="shared" si="804"/>
        <v>746787.28612909734</v>
      </c>
    </row>
    <row r="279" spans="5:60" x14ac:dyDescent="0.2">
      <c r="E279" s="220" t="s">
        <v>108</v>
      </c>
      <c r="K279" s="60">
        <f t="shared" ref="K279:Y280" si="805">AVERAGE(AM279:AN279)</f>
        <v>13541.5</v>
      </c>
      <c r="L279" s="60">
        <f t="shared" si="805"/>
        <v>6854.5</v>
      </c>
      <c r="M279" s="60">
        <f t="shared" si="805"/>
        <v>0</v>
      </c>
      <c r="N279" s="60">
        <f t="shared" si="805"/>
        <v>0</v>
      </c>
      <c r="O279" s="60">
        <f t="shared" si="805"/>
        <v>0</v>
      </c>
      <c r="P279" s="60">
        <f t="shared" si="805"/>
        <v>40038.544188570471</v>
      </c>
      <c r="Q279" s="60">
        <f t="shared" si="805"/>
        <v>80146.582862356518</v>
      </c>
      <c r="R279" s="60">
        <f t="shared" si="805"/>
        <v>76430.273441034107</v>
      </c>
      <c r="S279" s="60">
        <f t="shared" si="805"/>
        <v>73490.146212879161</v>
      </c>
      <c r="T279" s="60">
        <f t="shared" si="805"/>
        <v>77119.934643794841</v>
      </c>
      <c r="U279" s="60">
        <f t="shared" si="805"/>
        <v>79452.489148109817</v>
      </c>
      <c r="V279" s="60">
        <f t="shared" si="805"/>
        <v>78507.931399112087</v>
      </c>
      <c r="W279" s="60">
        <f t="shared" si="805"/>
        <v>79118.552292968612</v>
      </c>
      <c r="X279" s="60">
        <f t="shared" si="805"/>
        <v>81287.108071356226</v>
      </c>
      <c r="Y279" s="60">
        <f t="shared" si="805"/>
        <v>83889.285627852281</v>
      </c>
      <c r="Z279" s="60">
        <f t="shared" ref="Z279:AC280" si="806">AVERAGE(BB279:BC279)</f>
        <v>86836.066525807139</v>
      </c>
      <c r="AA279" s="60">
        <f t="shared" si="806"/>
        <v>89449.476699495717</v>
      </c>
      <c r="AB279" s="60">
        <f t="shared" si="806"/>
        <v>91844.075170532946</v>
      </c>
      <c r="AC279" s="60">
        <f t="shared" si="806"/>
        <v>93774.948181023254</v>
      </c>
      <c r="AD279" s="60">
        <f t="shared" ref="AD279:AD280" si="807">AVERAGE(BF279:BG279)</f>
        <v>95150.827244126544</v>
      </c>
      <c r="AE279" s="60">
        <f t="shared" ref="AE279:AE280" si="808">AVERAGE(BG279:BH279)</f>
        <v>96099.959061764312</v>
      </c>
      <c r="AF279" s="60"/>
      <c r="AG279" s="60"/>
      <c r="AL279" s="221">
        <v>13010</v>
      </c>
      <c r="AM279" s="221">
        <v>13374</v>
      </c>
      <c r="AN279" s="221">
        <v>13709</v>
      </c>
      <c r="AO279" s="221">
        <v>0</v>
      </c>
      <c r="AP279" s="221">
        <v>0</v>
      </c>
      <c r="AQ279" s="221">
        <v>0</v>
      </c>
      <c r="AR279" s="221">
        <v>0</v>
      </c>
      <c r="AS279" s="221">
        <f t="shared" si="802"/>
        <v>80077.088377140943</v>
      </c>
      <c r="AT279" s="221">
        <f t="shared" ref="AT279:BB279" si="809">AT542</f>
        <v>80216.077347572093</v>
      </c>
      <c r="AU279" s="221">
        <f t="shared" si="809"/>
        <v>72644.469534496136</v>
      </c>
      <c r="AV279" s="221">
        <f t="shared" si="809"/>
        <v>74335.822891262185</v>
      </c>
      <c r="AW279" s="221">
        <f t="shared" si="809"/>
        <v>79904.046396327511</v>
      </c>
      <c r="AX279" s="221">
        <f t="shared" si="809"/>
        <v>79000.931899892123</v>
      </c>
      <c r="AY279" s="221">
        <f t="shared" si="809"/>
        <v>78014.930898332052</v>
      </c>
      <c r="AZ279" s="221">
        <f t="shared" si="809"/>
        <v>80222.173687605187</v>
      </c>
      <c r="BA279" s="221">
        <f t="shared" si="809"/>
        <v>82352.042455107265</v>
      </c>
      <c r="BB279" s="221">
        <f t="shared" si="809"/>
        <v>85426.528800597283</v>
      </c>
      <c r="BC279" s="222">
        <f>BB279*(1+'NA ASSUMPTIONS'!Q110/100)</f>
        <v>88245.604251016994</v>
      </c>
      <c r="BD279" s="222">
        <f>BC279*(1+'NA ASSUMPTIONS'!R110/100)</f>
        <v>90653.349147974441</v>
      </c>
      <c r="BE279" s="222">
        <f>BD279*(1+'NA ASSUMPTIONS'!S110/100)</f>
        <v>93034.801193091451</v>
      </c>
      <c r="BF279" s="222">
        <f>BE279*(1+'NA ASSUMPTIONS'!T110/100)</f>
        <v>94515.095168955057</v>
      </c>
      <c r="BG279" s="222">
        <f>BF279*(1+'NA ASSUMPTIONS'!U110/100)</f>
        <v>95786.55931929803</v>
      </c>
      <c r="BH279" s="222">
        <f>BG279*(1+'NA ASSUMPTIONS'!V110/100)</f>
        <v>96413.358804230593</v>
      </c>
    </row>
    <row r="280" spans="5:60" x14ac:dyDescent="0.2">
      <c r="E280" s="220" t="s">
        <v>109</v>
      </c>
      <c r="K280" s="60">
        <f t="shared" si="805"/>
        <v>68432.5</v>
      </c>
      <c r="L280" s="60">
        <f t="shared" si="805"/>
        <v>34985.5</v>
      </c>
      <c r="M280" s="60">
        <f t="shared" si="805"/>
        <v>0</v>
      </c>
      <c r="N280" s="60">
        <f t="shared" si="805"/>
        <v>0</v>
      </c>
      <c r="O280" s="60">
        <f t="shared" si="805"/>
        <v>0</v>
      </c>
      <c r="P280" s="60">
        <f t="shared" si="805"/>
        <v>113200.20079970195</v>
      </c>
      <c r="Q280" s="60">
        <f t="shared" si="805"/>
        <v>256906.42975603911</v>
      </c>
      <c r="R280" s="60">
        <f t="shared" si="805"/>
        <v>306687.3280073214</v>
      </c>
      <c r="S280" s="60">
        <f t="shared" si="805"/>
        <v>343222.11174079007</v>
      </c>
      <c r="T280" s="60">
        <f t="shared" si="805"/>
        <v>350300.97672551847</v>
      </c>
      <c r="U280" s="60">
        <f t="shared" si="805"/>
        <v>357804.59558138927</v>
      </c>
      <c r="V280" s="60">
        <f t="shared" si="805"/>
        <v>428688.79696759034</v>
      </c>
      <c r="W280" s="60">
        <f t="shared" si="805"/>
        <v>488637.4585277983</v>
      </c>
      <c r="X280" s="60">
        <f t="shared" si="805"/>
        <v>540958.64856000035</v>
      </c>
      <c r="Y280" s="60">
        <f t="shared" si="805"/>
        <v>600912.20924131025</v>
      </c>
      <c r="Z280" s="60">
        <f t="shared" si="806"/>
        <v>627599.58172587678</v>
      </c>
      <c r="AA280" s="60">
        <f t="shared" si="806"/>
        <v>650275.77381933155</v>
      </c>
      <c r="AB280" s="60">
        <f t="shared" si="806"/>
        <v>657146.1536951639</v>
      </c>
      <c r="AC280" s="60">
        <f t="shared" si="806"/>
        <v>655205.5916726701</v>
      </c>
      <c r="AD280" s="60">
        <f t="shared" si="807"/>
        <v>654795.33020894439</v>
      </c>
      <c r="AE280" s="60">
        <f t="shared" si="808"/>
        <v>651599.81001322228</v>
      </c>
      <c r="AF280" s="60"/>
      <c r="AG280" s="60"/>
      <c r="AL280" s="221">
        <v>64197</v>
      </c>
      <c r="AM280" s="221">
        <v>66894</v>
      </c>
      <c r="AN280" s="221">
        <v>69971</v>
      </c>
      <c r="AO280" s="221">
        <v>0</v>
      </c>
      <c r="AP280" s="221">
        <v>0</v>
      </c>
      <c r="AQ280" s="221">
        <v>0</v>
      </c>
      <c r="AR280" s="221">
        <v>0</v>
      </c>
      <c r="AS280" s="221">
        <f t="shared" si="802"/>
        <v>226400.40159940391</v>
      </c>
      <c r="AT280" s="221">
        <f t="shared" ref="AT280:BB280" si="810">AT543</f>
        <v>287412.45791267435</v>
      </c>
      <c r="AU280" s="221">
        <f t="shared" si="810"/>
        <v>325962.19810196845</v>
      </c>
      <c r="AV280" s="221">
        <f t="shared" si="810"/>
        <v>360482.02537961164</v>
      </c>
      <c r="AW280" s="221">
        <f t="shared" si="810"/>
        <v>340119.92807142524</v>
      </c>
      <c r="AX280" s="221">
        <f t="shared" si="810"/>
        <v>375489.26309135329</v>
      </c>
      <c r="AY280" s="221">
        <f t="shared" si="810"/>
        <v>481888.33084382734</v>
      </c>
      <c r="AZ280" s="221">
        <f t="shared" si="810"/>
        <v>495386.5862117692</v>
      </c>
      <c r="BA280" s="221">
        <f t="shared" si="810"/>
        <v>586530.71090823156</v>
      </c>
      <c r="BB280" s="221">
        <f t="shared" si="810"/>
        <v>615293.70757438894</v>
      </c>
      <c r="BC280" s="222">
        <f>BB280*(1+'NA ASSUMPTIONS'!Q111/100)</f>
        <v>639905.4558773645</v>
      </c>
      <c r="BD280" s="222">
        <f>BC280*(1+'NA ASSUMPTIONS'!R111/100)</f>
        <v>660646.09176129848</v>
      </c>
      <c r="BE280" s="222">
        <f>BD280*(1+'NA ASSUMPTIONS'!S111/100)</f>
        <v>653646.21562902932</v>
      </c>
      <c r="BF280" s="222">
        <f>BE280*(1+'NA ASSUMPTIONS'!T111/100)</f>
        <v>656764.96771631099</v>
      </c>
      <c r="BG280" s="222">
        <f>BF280*(1+'NA ASSUMPTIONS'!U111/100)</f>
        <v>652825.69270157767</v>
      </c>
      <c r="BH280" s="222">
        <f>BG280*(1+'NA ASSUMPTIONS'!V111/100)</f>
        <v>650373.92732486676</v>
      </c>
    </row>
    <row r="281" spans="5:60" x14ac:dyDescent="0.2">
      <c r="E281" s="212" t="s">
        <v>110</v>
      </c>
      <c r="K281" s="173">
        <f t="shared" ref="K281:V281" si="811">K282</f>
        <v>319333</v>
      </c>
      <c r="L281" s="173">
        <f t="shared" si="811"/>
        <v>163332.5</v>
      </c>
      <c r="M281" s="173">
        <f t="shared" si="811"/>
        <v>0</v>
      </c>
      <c r="N281" s="173">
        <f t="shared" si="811"/>
        <v>0</v>
      </c>
      <c r="O281" s="173">
        <f t="shared" si="811"/>
        <v>0</v>
      </c>
      <c r="P281" s="173">
        <f t="shared" si="811"/>
        <v>45455.741817737078</v>
      </c>
      <c r="Q281" s="173">
        <f t="shared" si="811"/>
        <v>90805.299458071095</v>
      </c>
      <c r="R281" s="173">
        <f t="shared" si="811"/>
        <v>90636.731802588518</v>
      </c>
      <c r="S281" s="173">
        <f t="shared" si="811"/>
        <v>90548.505883610982</v>
      </c>
      <c r="T281" s="173">
        <f t="shared" si="811"/>
        <v>90540.18216230518</v>
      </c>
      <c r="U281" s="173">
        <f t="shared" si="811"/>
        <v>90619.752617778257</v>
      </c>
      <c r="V281" s="173">
        <f t="shared" si="811"/>
        <v>90788.197289643635</v>
      </c>
      <c r="W281" s="173">
        <f t="shared" ref="W281:AE281" si="812">W282</f>
        <v>91045.177343466567</v>
      </c>
      <c r="X281" s="173">
        <f t="shared" si="812"/>
        <v>91390.443141275813</v>
      </c>
      <c r="Y281" s="173">
        <f t="shared" si="812"/>
        <v>91823.833488783872</v>
      </c>
      <c r="Z281" s="173">
        <f t="shared" si="812"/>
        <v>92200.638974055546</v>
      </c>
      <c r="AA281" s="173">
        <f t="shared" si="812"/>
        <v>92624.286215821543</v>
      </c>
      <c r="AB281" s="173">
        <f t="shared" si="812"/>
        <v>93123.085859648039</v>
      </c>
      <c r="AC281" s="173">
        <f t="shared" si="812"/>
        <v>93604.122528486361</v>
      </c>
      <c r="AD281" s="173">
        <f t="shared" si="812"/>
        <v>94016.542137561351</v>
      </c>
      <c r="AE281" s="173">
        <f t="shared" si="812"/>
        <v>94215.196896821522</v>
      </c>
      <c r="AF281" s="173"/>
      <c r="AG281" s="173"/>
      <c r="AL281" s="173">
        <v>298566</v>
      </c>
      <c r="AM281" s="173">
        <f>AM282</f>
        <v>312001</v>
      </c>
      <c r="AN281" s="173">
        <f t="shared" ref="AN281:BH281" si="813">AN282</f>
        <v>326665</v>
      </c>
      <c r="AO281" s="173">
        <f t="shared" si="813"/>
        <v>0</v>
      </c>
      <c r="AP281" s="173">
        <f t="shared" si="813"/>
        <v>0</v>
      </c>
      <c r="AQ281" s="173">
        <f t="shared" si="813"/>
        <v>0</v>
      </c>
      <c r="AR281" s="173">
        <f t="shared" si="813"/>
        <v>0</v>
      </c>
      <c r="AS281" s="173">
        <f t="shared" si="813"/>
        <v>90911.483635474156</v>
      </c>
      <c r="AT281" s="173">
        <f t="shared" si="813"/>
        <v>90699.115280668047</v>
      </c>
      <c r="AU281" s="173">
        <f t="shared" si="813"/>
        <v>90574.348324508988</v>
      </c>
      <c r="AV281" s="173">
        <f t="shared" si="813"/>
        <v>90522.663442712961</v>
      </c>
      <c r="AW281" s="173">
        <f t="shared" si="813"/>
        <v>90557.700881897399</v>
      </c>
      <c r="AX281" s="173">
        <f t="shared" si="813"/>
        <v>90681.804353659099</v>
      </c>
      <c r="AY281" s="173">
        <f t="shared" si="813"/>
        <v>90894.59022562817</v>
      </c>
      <c r="AZ281" s="173">
        <f t="shared" si="813"/>
        <v>91195.764461304963</v>
      </c>
      <c r="BA281" s="173">
        <f t="shared" si="813"/>
        <v>91585.121821246677</v>
      </c>
      <c r="BB281" s="173">
        <f t="shared" si="813"/>
        <v>92062.545156321066</v>
      </c>
      <c r="BC281" s="222">
        <f>BC282</f>
        <v>92338.732791790026</v>
      </c>
      <c r="BD281" s="173">
        <f t="shared" si="813"/>
        <v>92909.839639853046</v>
      </c>
      <c r="BE281" s="173">
        <f t="shared" si="813"/>
        <v>93336.332079443033</v>
      </c>
      <c r="BF281" s="173">
        <f t="shared" si="813"/>
        <v>93871.912977529675</v>
      </c>
      <c r="BG281" s="173">
        <f t="shared" si="813"/>
        <v>94161.171297593028</v>
      </c>
      <c r="BH281" s="173">
        <f t="shared" si="813"/>
        <v>94269.222496050003</v>
      </c>
    </row>
    <row r="282" spans="5:60" x14ac:dyDescent="0.2">
      <c r="E282" s="220" t="s">
        <v>116</v>
      </c>
      <c r="K282" s="60">
        <f t="shared" ref="K282:Y282" si="814">AVERAGE(AM282:AN282)</f>
        <v>319333</v>
      </c>
      <c r="L282" s="60">
        <f t="shared" si="814"/>
        <v>163332.5</v>
      </c>
      <c r="M282" s="60">
        <f t="shared" si="814"/>
        <v>0</v>
      </c>
      <c r="N282" s="60">
        <f t="shared" si="814"/>
        <v>0</v>
      </c>
      <c r="O282" s="60">
        <f t="shared" si="814"/>
        <v>0</v>
      </c>
      <c r="P282" s="60">
        <f t="shared" si="814"/>
        <v>45455.741817737078</v>
      </c>
      <c r="Q282" s="60">
        <f t="shared" si="814"/>
        <v>90805.299458071095</v>
      </c>
      <c r="R282" s="60">
        <f t="shared" si="814"/>
        <v>90636.731802588518</v>
      </c>
      <c r="S282" s="60">
        <f t="shared" si="814"/>
        <v>90548.505883610982</v>
      </c>
      <c r="T282" s="60">
        <f t="shared" si="814"/>
        <v>90540.18216230518</v>
      </c>
      <c r="U282" s="60">
        <f t="shared" si="814"/>
        <v>90619.752617778257</v>
      </c>
      <c r="V282" s="60">
        <f t="shared" si="814"/>
        <v>90788.197289643635</v>
      </c>
      <c r="W282" s="60">
        <f t="shared" si="814"/>
        <v>91045.177343466567</v>
      </c>
      <c r="X282" s="60">
        <f t="shared" si="814"/>
        <v>91390.443141275813</v>
      </c>
      <c r="Y282" s="60">
        <f t="shared" si="814"/>
        <v>91823.833488783872</v>
      </c>
      <c r="Z282" s="60">
        <f>AVERAGE(BB282:BC282)</f>
        <v>92200.638974055546</v>
      </c>
      <c r="AA282" s="60">
        <f>AVERAGE(BC282:BD282)</f>
        <v>92624.286215821543</v>
      </c>
      <c r="AB282" s="60">
        <f>AVERAGE(BD282:BE282)</f>
        <v>93123.085859648039</v>
      </c>
      <c r="AC282" s="60">
        <f>AVERAGE(BE282:BF282)</f>
        <v>93604.122528486361</v>
      </c>
      <c r="AD282" s="60">
        <f t="shared" ref="AD282:AE282" si="815">AVERAGE(BF282:BG282)</f>
        <v>94016.542137561351</v>
      </c>
      <c r="AE282" s="60">
        <f t="shared" si="815"/>
        <v>94215.196896821522</v>
      </c>
      <c r="AF282" s="60"/>
      <c r="AG282" s="60"/>
      <c r="AL282" s="221">
        <v>298566</v>
      </c>
      <c r="AM282" s="221">
        <v>312001</v>
      </c>
      <c r="AN282" s="221">
        <v>326665</v>
      </c>
      <c r="AO282" s="383">
        <v>0</v>
      </c>
      <c r="AP282" s="383">
        <v>0</v>
      </c>
      <c r="AQ282" s="383">
        <v>0</v>
      </c>
      <c r="AR282" s="383">
        <v>0</v>
      </c>
      <c r="AS282" s="221">
        <f t="shared" si="802"/>
        <v>90911.483635474156</v>
      </c>
      <c r="AT282" s="221">
        <f t="shared" si="802"/>
        <v>90699.115280668047</v>
      </c>
      <c r="AU282" s="221">
        <f t="shared" si="802"/>
        <v>90574.348324508988</v>
      </c>
      <c r="AV282" s="221">
        <f t="shared" si="802"/>
        <v>90522.663442712961</v>
      </c>
      <c r="AW282" s="221">
        <f t="shared" si="802"/>
        <v>90557.700881897399</v>
      </c>
      <c r="AX282" s="221">
        <f t="shared" si="802"/>
        <v>90681.804353659099</v>
      </c>
      <c r="AY282" s="221">
        <f t="shared" si="802"/>
        <v>90894.59022562817</v>
      </c>
      <c r="AZ282" s="221">
        <f t="shared" si="802"/>
        <v>91195.764461304963</v>
      </c>
      <c r="BA282" s="221">
        <f t="shared" si="802"/>
        <v>91585.121821246677</v>
      </c>
      <c r="BB282" s="221">
        <f t="shared" si="802"/>
        <v>92062.545156321066</v>
      </c>
      <c r="BC282" s="222">
        <f>BB282*(1+'NA ASSUMPTIONS'!Q113/100)</f>
        <v>92338.732791790026</v>
      </c>
      <c r="BD282" s="222">
        <f>BC282*(1+'NA ASSUMPTIONS'!R113/100)</f>
        <v>92909.839639853046</v>
      </c>
      <c r="BE282" s="222">
        <f>BD282*(1+'NA ASSUMPTIONS'!S113/100)</f>
        <v>93336.332079443033</v>
      </c>
      <c r="BF282" s="222">
        <f>BE282*(1+'NA ASSUMPTIONS'!T113/100)</f>
        <v>93871.912977529675</v>
      </c>
      <c r="BG282" s="222">
        <f>BF282*(1+'NA ASSUMPTIONS'!U113/100)</f>
        <v>94161.171297593028</v>
      </c>
      <c r="BH282" s="222">
        <f>BG282*(1+'NA ASSUMPTIONS'!V113/100)</f>
        <v>94269.222496050003</v>
      </c>
    </row>
    <row r="283" spans="5:60" ht="13.5" thickBot="1" x14ac:dyDescent="0.25">
      <c r="E283" s="227" t="s">
        <v>296</v>
      </c>
      <c r="K283" s="175">
        <f t="shared" ref="K283:V283" si="816">K244+K272</f>
        <v>8383504</v>
      </c>
      <c r="L283" s="175">
        <f t="shared" si="816"/>
        <v>13280494.850431938</v>
      </c>
      <c r="M283" s="175">
        <f t="shared" si="816"/>
        <v>18972849.115167595</v>
      </c>
      <c r="N283" s="175">
        <f t="shared" si="816"/>
        <v>19822247.149824832</v>
      </c>
      <c r="O283" s="175">
        <f t="shared" si="816"/>
        <v>21166633.976147514</v>
      </c>
      <c r="P283" s="175">
        <f t="shared" si="816"/>
        <v>22742528.258933254</v>
      </c>
      <c r="Q283" s="175">
        <f t="shared" si="816"/>
        <v>24131777.88100557</v>
      </c>
      <c r="R283" s="175">
        <f t="shared" si="816"/>
        <v>25725871.649452198</v>
      </c>
      <c r="S283" s="175">
        <f t="shared" si="816"/>
        <v>27515532.645573664</v>
      </c>
      <c r="T283" s="175">
        <f t="shared" si="816"/>
        <v>29021176.053306367</v>
      </c>
      <c r="U283" s="175">
        <f t="shared" si="816"/>
        <v>30728611.395185199</v>
      </c>
      <c r="V283" s="175">
        <f t="shared" si="816"/>
        <v>32927400.488147363</v>
      </c>
      <c r="W283" s="175">
        <f t="shared" ref="W283:AB283" si="817">W244+W272</f>
        <v>35057877.953207195</v>
      </c>
      <c r="X283" s="175">
        <f t="shared" si="817"/>
        <v>37241502.4040052</v>
      </c>
      <c r="Y283" s="175">
        <f t="shared" si="817"/>
        <v>39888954.782917477</v>
      </c>
      <c r="Z283" s="175">
        <f t="shared" si="817"/>
        <v>42682655.703691423</v>
      </c>
      <c r="AA283" s="175">
        <f t="shared" si="817"/>
        <v>45717018.207148403</v>
      </c>
      <c r="AB283" s="175">
        <f t="shared" si="817"/>
        <v>49044089.121427029</v>
      </c>
      <c r="AC283" s="175">
        <f>AC244+AC272</f>
        <v>52715185.986833587</v>
      </c>
      <c r="AD283" s="175">
        <f t="shared" ref="AD283:AE283" si="818">AD244+AD272</f>
        <v>56805107.830368713</v>
      </c>
      <c r="AE283" s="175">
        <f t="shared" si="818"/>
        <v>61369846.540774383</v>
      </c>
      <c r="AF283" s="175"/>
      <c r="AG283" s="175"/>
      <c r="AL283" s="175">
        <f t="shared" ref="AL283:BA283" si="819">AL244+AL272</f>
        <v>7803927</v>
      </c>
      <c r="AM283" s="175">
        <f t="shared" si="819"/>
        <v>8181670</v>
      </c>
      <c r="AN283" s="175">
        <f t="shared" si="819"/>
        <v>8585338</v>
      </c>
      <c r="AO283" s="175">
        <f t="shared" si="819"/>
        <v>17975651.700863875</v>
      </c>
      <c r="AP283" s="175">
        <f t="shared" si="819"/>
        <v>19214038.602321506</v>
      </c>
      <c r="AQ283" s="175">
        <f t="shared" si="819"/>
        <v>20430455.697328147</v>
      </c>
      <c r="AR283" s="175">
        <f t="shared" si="819"/>
        <v>21902812.254966881</v>
      </c>
      <c r="AS283" s="175">
        <f t="shared" si="819"/>
        <v>23582244.262899633</v>
      </c>
      <c r="AT283" s="175">
        <f t="shared" si="819"/>
        <v>27581456.807183966</v>
      </c>
      <c r="AU283" s="175">
        <f t="shared" si="819"/>
        <v>29788917.18803186</v>
      </c>
      <c r="AV283" s="175">
        <f t="shared" si="819"/>
        <v>31516983.004771005</v>
      </c>
      <c r="AW283" s="175">
        <f t="shared" si="819"/>
        <v>33208728.936404373</v>
      </c>
      <c r="AX283" s="175">
        <f t="shared" si="819"/>
        <v>35175958.011331372</v>
      </c>
      <c r="AY283" s="175">
        <f t="shared" si="819"/>
        <v>37977557.653373063</v>
      </c>
      <c r="AZ283" s="175">
        <f t="shared" si="819"/>
        <v>39859985.296323523</v>
      </c>
      <c r="BA283" s="175">
        <f t="shared" si="819"/>
        <v>42606060.650691517</v>
      </c>
      <c r="BB283" s="175">
        <f>BB244+BB272</f>
        <v>41231363.863056317</v>
      </c>
      <c r="BC283" s="175">
        <f>BC244+BC272</f>
        <v>44133947.544326521</v>
      </c>
      <c r="BD283" s="175">
        <f>BD244+BD272</f>
        <v>47300088.869970292</v>
      </c>
      <c r="BE283" s="175">
        <f>BE244+BE272</f>
        <v>50788089.372883797</v>
      </c>
      <c r="BF283" s="175">
        <f>BF244+BF272</f>
        <v>54642282.600783385</v>
      </c>
      <c r="BG283" s="175">
        <f t="shared" ref="BG283:BH283" si="820">BG244+BG272</f>
        <v>58967933.059954055</v>
      </c>
      <c r="BH283" s="175">
        <f t="shared" si="820"/>
        <v>63771760.021594711</v>
      </c>
    </row>
    <row r="284" spans="5:60" x14ac:dyDescent="0.2">
      <c r="AN284" s="2"/>
      <c r="AO284" s="2"/>
      <c r="AP284" s="2"/>
      <c r="AQ284" s="2"/>
      <c r="AR284" s="2"/>
      <c r="AS284" s="2"/>
      <c r="AT284" s="2"/>
      <c r="AU284" s="2"/>
      <c r="AV284" s="2"/>
      <c r="AW284" s="60"/>
    </row>
    <row r="285" spans="5:60" x14ac:dyDescent="0.2">
      <c r="AN285" s="2"/>
      <c r="AO285" s="2"/>
      <c r="AP285" s="2"/>
      <c r="AQ285" s="2"/>
      <c r="AR285" s="2"/>
      <c r="AS285" s="2"/>
      <c r="AT285" s="29"/>
      <c r="AU285" s="29"/>
      <c r="AV285" s="29"/>
      <c r="AW285" s="60"/>
      <c r="AY285" s="228"/>
    </row>
    <row r="286" spans="5:60" x14ac:dyDescent="0.2">
      <c r="E286" s="608" t="s">
        <v>313</v>
      </c>
      <c r="S286" s="229"/>
      <c r="T286" s="229"/>
      <c r="AN286" s="230"/>
      <c r="AO286" s="231"/>
      <c r="AP286" s="231"/>
      <c r="AQ286" s="230"/>
      <c r="AR286" s="230"/>
      <c r="AS286" s="689" t="s">
        <v>610</v>
      </c>
      <c r="AT286" s="230"/>
      <c r="AU286" s="230"/>
      <c r="AV286" s="188"/>
      <c r="AW286" s="237"/>
      <c r="AX286" s="229"/>
      <c r="AY286" s="229"/>
      <c r="AZ286" s="229"/>
      <c r="BA286" s="229"/>
    </row>
    <row r="287" spans="5:60" ht="14.25" x14ac:dyDescent="0.2">
      <c r="E287" s="609" t="s">
        <v>165</v>
      </c>
      <c r="I287" s="60"/>
      <c r="J287" s="7">
        <f t="shared" ref="J287:Y287" si="821">J288+J291+J294+J297</f>
        <v>6753266</v>
      </c>
      <c r="K287" s="7">
        <f t="shared" si="821"/>
        <v>7687674.5</v>
      </c>
      <c r="L287" s="7">
        <f t="shared" si="821"/>
        <v>8626531.5</v>
      </c>
      <c r="M287" s="7">
        <f t="shared" si="821"/>
        <v>9772391</v>
      </c>
      <c r="N287" s="7">
        <f t="shared" si="821"/>
        <v>11275784.5</v>
      </c>
      <c r="O287" s="7">
        <f t="shared" si="821"/>
        <v>13039327</v>
      </c>
      <c r="P287" s="7">
        <f t="shared" si="821"/>
        <v>20603208.074419361</v>
      </c>
      <c r="Q287" s="7">
        <f t="shared" si="821"/>
        <v>30908811.072291583</v>
      </c>
      <c r="R287" s="7">
        <f t="shared" si="821"/>
        <v>38827930.423016682</v>
      </c>
      <c r="S287" s="7">
        <f t="shared" si="821"/>
        <v>47987338.339828685</v>
      </c>
      <c r="T287" s="7">
        <f t="shared" si="821"/>
        <v>55193431.714879736</v>
      </c>
      <c r="U287" s="7">
        <f t="shared" si="821"/>
        <v>62760602.137926847</v>
      </c>
      <c r="V287" s="7">
        <f t="shared" si="821"/>
        <v>78691372.178144678</v>
      </c>
      <c r="W287" s="7">
        <f t="shared" si="821"/>
        <v>95077093.508913606</v>
      </c>
      <c r="X287" s="7">
        <f t="shared" si="821"/>
        <v>108737264.2068615</v>
      </c>
      <c r="Y287" s="511">
        <f t="shared" si="821"/>
        <v>121369301.50289036</v>
      </c>
      <c r="AL287" s="131">
        <f t="shared" ref="AL287:AS287" si="822">AL288+AL291+AL294+AL297</f>
        <v>6283972</v>
      </c>
      <c r="AM287" s="131">
        <f t="shared" si="822"/>
        <v>7222560</v>
      </c>
      <c r="AN287" s="131">
        <f t="shared" si="822"/>
        <v>8152789</v>
      </c>
      <c r="AO287" s="131">
        <f t="shared" si="822"/>
        <v>9100274</v>
      </c>
      <c r="AP287" s="131">
        <f t="shared" si="822"/>
        <v>10444508</v>
      </c>
      <c r="AQ287" s="131">
        <f t="shared" si="822"/>
        <v>12107061</v>
      </c>
      <c r="AR287" s="131">
        <f t="shared" si="822"/>
        <v>13971593</v>
      </c>
      <c r="AS287" s="131">
        <f t="shared" si="822"/>
        <v>27234823.148838721</v>
      </c>
      <c r="AT287" s="131">
        <f t="shared" ref="AT287:BA287" si="823">AT288+AT291+AT294-AT297+AT300</f>
        <v>23298435.282849617</v>
      </c>
      <c r="AU287" s="131">
        <f t="shared" si="823"/>
        <v>27417588.050585113</v>
      </c>
      <c r="AV287" s="131">
        <f t="shared" si="823"/>
        <v>32764939.517022505</v>
      </c>
      <c r="AW287" s="131">
        <f t="shared" si="823"/>
        <v>37726823.627807364</v>
      </c>
      <c r="AX287" s="131">
        <f t="shared" si="823"/>
        <v>43836018.049912326</v>
      </c>
      <c r="AY287" s="131">
        <f t="shared" si="823"/>
        <v>52762580.930794634</v>
      </c>
      <c r="AZ287" s="131">
        <f t="shared" si="823"/>
        <v>61434213.909470506</v>
      </c>
      <c r="BA287" s="131">
        <f t="shared" si="823"/>
        <v>70953227.346232057</v>
      </c>
      <c r="BB287" s="131">
        <f>BB288+BB291+BB294-BB297+BB300</f>
        <v>79442498.970628023</v>
      </c>
      <c r="BF287" s="2"/>
    </row>
    <row r="288" spans="5:60" ht="15" x14ac:dyDescent="0.25">
      <c r="E288" s="610" t="s">
        <v>166</v>
      </c>
      <c r="I288" s="60"/>
      <c r="J288" s="60">
        <f t="shared" ref="J288:K299" si="824">AVERAGE(AL288:AM288)</f>
        <v>6260302.5</v>
      </c>
      <c r="K288" s="60">
        <f t="shared" si="824"/>
        <v>7017268.5</v>
      </c>
      <c r="L288" s="60">
        <f t="shared" ref="L288:L299" si="825">AVERAGE(AN288:AO288)</f>
        <v>7617412.5</v>
      </c>
      <c r="M288" s="60">
        <f t="shared" ref="M288:M299" si="826">AVERAGE(AO288:AP288)</f>
        <v>8393429.5</v>
      </c>
      <c r="N288" s="60">
        <f t="shared" ref="N288:N299" si="827">AVERAGE(AP288:AQ288)</f>
        <v>9592990</v>
      </c>
      <c r="O288" s="60">
        <f t="shared" ref="O288:O299" si="828">AVERAGE(AQ288:AR288)</f>
        <v>11007660</v>
      </c>
      <c r="P288" s="60">
        <f t="shared" ref="P288:P299" si="829">AVERAGE(AR288:AS288)</f>
        <v>13687823.592829835</v>
      </c>
      <c r="Q288" s="60">
        <f t="shared" ref="Q288:Q299" si="830">AVERAGE(AS288:AT288)</f>
        <v>17183554.636048798</v>
      </c>
      <c r="R288" s="60">
        <f t="shared" ref="R288:R299" si="831">AVERAGE(AT288:AU288)</f>
        <v>20042710.793078154</v>
      </c>
      <c r="S288" s="60">
        <f t="shared" ref="S288:S299" si="832">AVERAGE(AU288:AV288)</f>
        <v>23786571.532846622</v>
      </c>
      <c r="T288" s="60">
        <f t="shared" ref="T288:T299" si="833">AVERAGE(AV288:AW288)</f>
        <v>28865744.742817804</v>
      </c>
      <c r="U288" s="60">
        <f t="shared" ref="U288:U299" si="834">AVERAGE(AW288:AX288)</f>
        <v>33310613.046217799</v>
      </c>
      <c r="V288" s="60">
        <f t="shared" ref="V288:V299" si="835">AVERAGE(AX288:AY288)</f>
        <v>38462541.161273137</v>
      </c>
      <c r="W288" s="60">
        <f t="shared" ref="W288:W299" si="836">AVERAGE(AY288:AZ288)</f>
        <v>45860093.778858274</v>
      </c>
      <c r="X288" s="60">
        <f t="shared" ref="X288:X299" si="837">AVERAGE(AZ288:BA288)</f>
        <v>55230325.306909814</v>
      </c>
      <c r="Y288" s="512">
        <f t="shared" ref="Y288:Y299" si="838">AVERAGE(BA288:BB288)</f>
        <v>61402734.162769675</v>
      </c>
      <c r="AL288" s="76">
        <f t="shared" ref="AL288:AR288" si="839">AL289+AL290</f>
        <v>5819132</v>
      </c>
      <c r="AM288" s="76">
        <f t="shared" si="839"/>
        <v>6701473</v>
      </c>
      <c r="AN288" s="76">
        <f t="shared" si="839"/>
        <v>7333064</v>
      </c>
      <c r="AO288" s="76">
        <f t="shared" si="839"/>
        <v>7901761</v>
      </c>
      <c r="AP288" s="76">
        <f t="shared" si="839"/>
        <v>8885098</v>
      </c>
      <c r="AQ288" s="76">
        <f t="shared" si="839"/>
        <v>10300882</v>
      </c>
      <c r="AR288" s="76">
        <f t="shared" si="839"/>
        <v>11714438</v>
      </c>
      <c r="AS288" s="76">
        <v>15661209.185659667</v>
      </c>
      <c r="AT288" s="76">
        <v>18705900.086437929</v>
      </c>
      <c r="AU288" s="76">
        <v>21379521.499718376</v>
      </c>
      <c r="AV288" s="76">
        <v>26193621.565974869</v>
      </c>
      <c r="AW288" s="76">
        <v>31537867.919660736</v>
      </c>
      <c r="AX288" s="76">
        <v>35083358.172774866</v>
      </c>
      <c r="AY288" s="76">
        <v>41841724.149771415</v>
      </c>
      <c r="AZ288" s="76">
        <v>49878463.407945141</v>
      </c>
      <c r="BA288" s="76">
        <v>60582187.205874488</v>
      </c>
      <c r="BB288" s="76">
        <v>62223281.119664863</v>
      </c>
      <c r="BF288" s="2"/>
    </row>
    <row r="289" spans="5:58" ht="15" x14ac:dyDescent="0.25">
      <c r="E289" s="611" t="s">
        <v>167</v>
      </c>
      <c r="I289" s="60"/>
      <c r="J289" s="60">
        <f t="shared" si="824"/>
        <v>5459959.5</v>
      </c>
      <c r="K289" s="60">
        <f t="shared" si="824"/>
        <v>6120952.5</v>
      </c>
      <c r="L289" s="60">
        <f t="shared" si="825"/>
        <v>6601628</v>
      </c>
      <c r="M289" s="60">
        <f t="shared" si="826"/>
        <v>7167410</v>
      </c>
      <c r="N289" s="60">
        <f t="shared" si="827"/>
        <v>7977233.5</v>
      </c>
      <c r="O289" s="60">
        <f t="shared" si="828"/>
        <v>8897415</v>
      </c>
      <c r="P289" s="60">
        <f t="shared" si="829"/>
        <v>10884063.335377323</v>
      </c>
      <c r="Q289" s="60">
        <f t="shared" si="830"/>
        <v>13481510.779502921</v>
      </c>
      <c r="R289" s="60">
        <f t="shared" si="831"/>
        <v>15479449.829171624</v>
      </c>
      <c r="S289" s="60">
        <f t="shared" si="832"/>
        <v>18664615.976909786</v>
      </c>
      <c r="T289" s="60">
        <f t="shared" si="833"/>
        <v>22928329.838353842</v>
      </c>
      <c r="U289" s="60">
        <f t="shared" si="834"/>
        <v>26785118.787092268</v>
      </c>
      <c r="V289" s="60">
        <f t="shared" si="835"/>
        <v>31589727.355775986</v>
      </c>
      <c r="W289" s="60">
        <f t="shared" si="836"/>
        <v>37685606.973748296</v>
      </c>
      <c r="X289" s="60">
        <f t="shared" si="837"/>
        <v>44912492.294309281</v>
      </c>
      <c r="Y289" s="512">
        <f t="shared" si="838"/>
        <v>50114171.796169631</v>
      </c>
      <c r="AL289" s="254">
        <v>5058804</v>
      </c>
      <c r="AM289" s="254">
        <v>5861115</v>
      </c>
      <c r="AN289" s="254">
        <v>6380790</v>
      </c>
      <c r="AO289" s="254">
        <v>6822466</v>
      </c>
      <c r="AP289" s="254">
        <v>7512354</v>
      </c>
      <c r="AQ289" s="254">
        <v>8442113</v>
      </c>
      <c r="AR289" s="254">
        <v>9352717</v>
      </c>
      <c r="AS289" s="254">
        <f>AS557+AS556</f>
        <v>12415409.670754645</v>
      </c>
      <c r="AT289" s="254">
        <f t="shared" ref="AT289:BB289" si="840">AT557+AT556</f>
        <v>14547611.888251195</v>
      </c>
      <c r="AU289" s="254">
        <f t="shared" si="840"/>
        <v>16411287.770092053</v>
      </c>
      <c r="AV289" s="254">
        <f t="shared" si="840"/>
        <v>20917944.183727518</v>
      </c>
      <c r="AW289" s="254">
        <f t="shared" si="840"/>
        <v>24938715.492980164</v>
      </c>
      <c r="AX289" s="254">
        <f t="shared" si="840"/>
        <v>28631522.081204377</v>
      </c>
      <c r="AY289" s="254">
        <f t="shared" si="840"/>
        <v>34547932.630347595</v>
      </c>
      <c r="AZ289" s="254">
        <f t="shared" si="840"/>
        <v>40823281.317148998</v>
      </c>
      <c r="BA289" s="254">
        <f t="shared" si="840"/>
        <v>49001703.271469563</v>
      </c>
      <c r="BB289" s="254">
        <f t="shared" si="840"/>
        <v>51226640.320869699</v>
      </c>
      <c r="BF289" s="2"/>
    </row>
    <row r="290" spans="5:58" ht="15" x14ac:dyDescent="0.25">
      <c r="E290" s="611" t="s">
        <v>168</v>
      </c>
      <c r="I290" s="60"/>
      <c r="J290" s="60">
        <f t="shared" si="824"/>
        <v>800343</v>
      </c>
      <c r="K290" s="60">
        <f t="shared" si="824"/>
        <v>896316</v>
      </c>
      <c r="L290" s="60">
        <f t="shared" si="825"/>
        <v>1015784.5</v>
      </c>
      <c r="M290" s="60">
        <f t="shared" si="826"/>
        <v>1226019.5</v>
      </c>
      <c r="N290" s="60">
        <f t="shared" si="827"/>
        <v>1615756.5</v>
      </c>
      <c r="O290" s="60">
        <f t="shared" si="828"/>
        <v>2110245</v>
      </c>
      <c r="P290" s="60">
        <f t="shared" si="829"/>
        <v>2803760.2574525112</v>
      </c>
      <c r="Q290" s="60">
        <f t="shared" si="830"/>
        <v>3702043.8565458786</v>
      </c>
      <c r="R290" s="60">
        <f t="shared" si="831"/>
        <v>4563260.9639065303</v>
      </c>
      <c r="S290" s="60">
        <f t="shared" si="832"/>
        <v>5121955.5559368385</v>
      </c>
      <c r="T290" s="60">
        <f t="shared" si="833"/>
        <v>5937414.9044639627</v>
      </c>
      <c r="U290" s="60">
        <f t="shared" si="834"/>
        <v>6525494.2591255326</v>
      </c>
      <c r="V290" s="60">
        <f t="shared" si="835"/>
        <v>6872813.8054971546</v>
      </c>
      <c r="W290" s="60">
        <f t="shared" si="836"/>
        <v>8174486.8051099814</v>
      </c>
      <c r="X290" s="60">
        <f t="shared" si="837"/>
        <v>10317833.012600534</v>
      </c>
      <c r="Y290" s="512">
        <f t="shared" si="838"/>
        <v>11288562.36660004</v>
      </c>
      <c r="AL290" s="254">
        <v>760328</v>
      </c>
      <c r="AM290" s="254">
        <v>840358</v>
      </c>
      <c r="AN290" s="254">
        <v>952274</v>
      </c>
      <c r="AO290" s="254">
        <v>1079295</v>
      </c>
      <c r="AP290" s="254">
        <v>1372744</v>
      </c>
      <c r="AQ290" s="254">
        <v>1858769</v>
      </c>
      <c r="AR290" s="254">
        <v>2361721</v>
      </c>
      <c r="AS290" s="254">
        <v>3245799.514905022</v>
      </c>
      <c r="AT290" s="254">
        <v>4158288.1981867356</v>
      </c>
      <c r="AU290" s="254">
        <v>4968233.729626325</v>
      </c>
      <c r="AV290" s="254">
        <v>5275677.382247352</v>
      </c>
      <c r="AW290" s="254">
        <v>6599152.4266805733</v>
      </c>
      <c r="AX290" s="254">
        <v>6451836.091570491</v>
      </c>
      <c r="AY290" s="254">
        <v>7293791.5194238173</v>
      </c>
      <c r="AZ290" s="254">
        <v>9055182.0907961465</v>
      </c>
      <c r="BA290" s="254">
        <v>11580483.934404923</v>
      </c>
      <c r="BB290" s="254">
        <v>10996640.79879516</v>
      </c>
      <c r="BF290" s="2"/>
    </row>
    <row r="291" spans="5:58" ht="15" x14ac:dyDescent="0.25">
      <c r="E291" s="610" t="s">
        <v>169</v>
      </c>
      <c r="I291" s="60"/>
      <c r="J291" s="60">
        <f t="shared" si="824"/>
        <v>1257827.5</v>
      </c>
      <c r="K291" s="60">
        <f t="shared" si="824"/>
        <v>1318865.5</v>
      </c>
      <c r="L291" s="60">
        <f t="shared" si="825"/>
        <v>1479340.5</v>
      </c>
      <c r="M291" s="60">
        <f t="shared" si="826"/>
        <v>1691577.5</v>
      </c>
      <c r="N291" s="60">
        <f t="shared" si="827"/>
        <v>2057975</v>
      </c>
      <c r="O291" s="60">
        <f t="shared" si="828"/>
        <v>2736952.5</v>
      </c>
      <c r="P291" s="60">
        <f t="shared" si="829"/>
        <v>3628618.0086561553</v>
      </c>
      <c r="Q291" s="60">
        <f t="shared" si="830"/>
        <v>5085338.1621388653</v>
      </c>
      <c r="R291" s="60">
        <f t="shared" si="831"/>
        <v>7430361.1287482977</v>
      </c>
      <c r="S291" s="60">
        <f t="shared" si="832"/>
        <v>9651824.1861525066</v>
      </c>
      <c r="T291" s="60">
        <f t="shared" si="833"/>
        <v>9994329.3724760637</v>
      </c>
      <c r="U291" s="60">
        <f t="shared" si="834"/>
        <v>10722208.378943749</v>
      </c>
      <c r="V291" s="60">
        <f t="shared" si="835"/>
        <v>14751982.959950455</v>
      </c>
      <c r="W291" s="60">
        <f t="shared" si="836"/>
        <v>17524495.595286183</v>
      </c>
      <c r="X291" s="60">
        <f t="shared" si="837"/>
        <v>19513290.910528056</v>
      </c>
      <c r="Y291" s="512">
        <f t="shared" si="838"/>
        <v>23070394.550483562</v>
      </c>
      <c r="AL291" s="76">
        <f t="shared" ref="AL291:BB291" si="841">AL292+AL293</f>
        <v>1248862</v>
      </c>
      <c r="AM291" s="76">
        <f t="shared" si="841"/>
        <v>1266793</v>
      </c>
      <c r="AN291" s="76">
        <f t="shared" si="841"/>
        <v>1370938</v>
      </c>
      <c r="AO291" s="76">
        <f t="shared" si="841"/>
        <v>1587743</v>
      </c>
      <c r="AP291" s="76">
        <f t="shared" si="841"/>
        <v>1795412</v>
      </c>
      <c r="AQ291" s="76">
        <f t="shared" si="841"/>
        <v>2320538</v>
      </c>
      <c r="AR291" s="76">
        <f t="shared" si="841"/>
        <v>3153367</v>
      </c>
      <c r="AS291" s="76">
        <f t="shared" si="841"/>
        <v>4103869.0173123111</v>
      </c>
      <c r="AT291" s="76">
        <f t="shared" si="841"/>
        <v>6066807.3069654191</v>
      </c>
      <c r="AU291" s="76">
        <f t="shared" si="841"/>
        <v>8793914.9505311772</v>
      </c>
      <c r="AV291" s="76">
        <f t="shared" si="841"/>
        <v>10509733.421773834</v>
      </c>
      <c r="AW291" s="76">
        <f t="shared" si="841"/>
        <v>9478925.323178295</v>
      </c>
      <c r="AX291" s="76">
        <f t="shared" si="841"/>
        <v>11965491.434709204</v>
      </c>
      <c r="AY291" s="76">
        <f t="shared" si="841"/>
        <v>17538474.485191703</v>
      </c>
      <c r="AZ291" s="76">
        <f t="shared" si="841"/>
        <v>17510516.70538066</v>
      </c>
      <c r="BA291" s="76">
        <f t="shared" si="841"/>
        <v>21516065.115675453</v>
      </c>
      <c r="BB291" s="76">
        <f t="shared" si="841"/>
        <v>24624723.985291671</v>
      </c>
      <c r="BC291" s="725"/>
      <c r="BF291" s="2"/>
    </row>
    <row r="292" spans="5:58" x14ac:dyDescent="0.2">
      <c r="E292" s="611" t="s">
        <v>55</v>
      </c>
      <c r="I292" s="60"/>
      <c r="J292" s="60">
        <f t="shared" si="824"/>
        <v>1223006</v>
      </c>
      <c r="K292" s="60">
        <f t="shared" si="824"/>
        <v>1282439.5</v>
      </c>
      <c r="L292" s="60">
        <f t="shared" si="825"/>
        <v>1440231</v>
      </c>
      <c r="M292" s="60">
        <f t="shared" si="826"/>
        <v>1648958</v>
      </c>
      <c r="N292" s="60">
        <f t="shared" si="827"/>
        <v>2013983.5</v>
      </c>
      <c r="O292" s="60">
        <f t="shared" si="828"/>
        <v>2686336.5</v>
      </c>
      <c r="P292" s="60">
        <f t="shared" si="829"/>
        <v>3951487.7741431072</v>
      </c>
      <c r="Q292" s="60">
        <f t="shared" si="830"/>
        <v>5634423.3313841093</v>
      </c>
      <c r="R292" s="60">
        <f t="shared" si="831"/>
        <v>7444539.9143278785</v>
      </c>
      <c r="S292" s="60">
        <f t="shared" si="832"/>
        <v>9729107.9427559711</v>
      </c>
      <c r="T292" s="60">
        <f t="shared" si="833"/>
        <v>10957134.37134134</v>
      </c>
      <c r="U292" s="60">
        <f t="shared" si="834"/>
        <v>11727972.380664621</v>
      </c>
      <c r="V292" s="60">
        <f t="shared" si="835"/>
        <v>14948485.958663866</v>
      </c>
      <c r="W292" s="60">
        <f t="shared" si="836"/>
        <v>18055452.580847602</v>
      </c>
      <c r="X292" s="60">
        <f t="shared" si="837"/>
        <v>20205734.629602134</v>
      </c>
      <c r="Y292" s="512">
        <f t="shared" si="838"/>
        <v>23784613.781292647</v>
      </c>
      <c r="AL292" s="221">
        <v>1214495</v>
      </c>
      <c r="AM292" s="221">
        <v>1231517</v>
      </c>
      <c r="AN292" s="221">
        <v>1333362</v>
      </c>
      <c r="AO292" s="221">
        <v>1547100</v>
      </c>
      <c r="AP292" s="221">
        <v>1750816</v>
      </c>
      <c r="AQ292" s="221">
        <v>2277151</v>
      </c>
      <c r="AR292" s="221">
        <v>3095522</v>
      </c>
      <c r="AS292" s="221">
        <f>AS559</f>
        <v>4807453.5482862145</v>
      </c>
      <c r="AT292" s="221">
        <f t="shared" ref="AT292:BB292" si="842">AT559</f>
        <v>6461393.1144820033</v>
      </c>
      <c r="AU292" s="221">
        <f t="shared" si="842"/>
        <v>8427686.7141737547</v>
      </c>
      <c r="AV292" s="221">
        <f t="shared" si="842"/>
        <v>11030529.171338188</v>
      </c>
      <c r="AW292" s="221">
        <f t="shared" si="842"/>
        <v>10883739.571344491</v>
      </c>
      <c r="AX292" s="221">
        <f t="shared" si="842"/>
        <v>12572205.189984748</v>
      </c>
      <c r="AY292" s="221">
        <f t="shared" si="842"/>
        <v>17324766.727342982</v>
      </c>
      <c r="AZ292" s="221">
        <f t="shared" si="842"/>
        <v>18786138.434352223</v>
      </c>
      <c r="BA292" s="221">
        <f t="shared" si="842"/>
        <v>21625330.824852049</v>
      </c>
      <c r="BB292" s="221">
        <f t="shared" si="842"/>
        <v>25943896.737733245</v>
      </c>
      <c r="BC292" s="725"/>
      <c r="BF292" s="2"/>
    </row>
    <row r="293" spans="5:58" x14ac:dyDescent="0.2">
      <c r="E293" s="611" t="s">
        <v>170</v>
      </c>
      <c r="I293" s="60"/>
      <c r="J293" s="60">
        <f t="shared" si="824"/>
        <v>34821.5</v>
      </c>
      <c r="K293" s="60">
        <f t="shared" si="824"/>
        <v>36426</v>
      </c>
      <c r="L293" s="60">
        <f t="shared" si="825"/>
        <v>39109.5</v>
      </c>
      <c r="M293" s="60">
        <f t="shared" si="826"/>
        <v>42619.5</v>
      </c>
      <c r="N293" s="60">
        <f t="shared" si="827"/>
        <v>43991.5</v>
      </c>
      <c r="O293" s="60">
        <f t="shared" si="828"/>
        <v>50616</v>
      </c>
      <c r="P293" s="60">
        <f t="shared" si="829"/>
        <v>-322869.76548695168</v>
      </c>
      <c r="Q293" s="60">
        <f t="shared" si="830"/>
        <v>-549085.16924524389</v>
      </c>
      <c r="R293" s="60">
        <f t="shared" si="831"/>
        <v>-14178.785579580872</v>
      </c>
      <c r="S293" s="60">
        <f t="shared" si="832"/>
        <v>-77283.756603465648</v>
      </c>
      <c r="T293" s="60">
        <f t="shared" si="833"/>
        <v>-962804.9988652746</v>
      </c>
      <c r="U293" s="60">
        <f t="shared" si="834"/>
        <v>-1005764.0017208699</v>
      </c>
      <c r="V293" s="60">
        <f t="shared" si="835"/>
        <v>-196502.99871341247</v>
      </c>
      <c r="W293" s="60">
        <f t="shared" si="836"/>
        <v>-530956.98556142114</v>
      </c>
      <c r="X293" s="60">
        <f t="shared" si="837"/>
        <v>-692443.71907407884</v>
      </c>
      <c r="Y293" s="512">
        <f t="shared" si="838"/>
        <v>-714219.23080908495</v>
      </c>
      <c r="AL293" s="221">
        <v>34367</v>
      </c>
      <c r="AM293" s="221">
        <v>35276</v>
      </c>
      <c r="AN293" s="221">
        <v>37576</v>
      </c>
      <c r="AO293" s="221">
        <v>40643</v>
      </c>
      <c r="AP293" s="221">
        <v>44596</v>
      </c>
      <c r="AQ293" s="221">
        <v>43387</v>
      </c>
      <c r="AR293" s="221">
        <v>57845</v>
      </c>
      <c r="AS293" s="221">
        <f>AS560</f>
        <v>-703584.53097390337</v>
      </c>
      <c r="AT293" s="221">
        <f t="shared" ref="AT293:BB293" si="843">AT560</f>
        <v>-394585.80751658435</v>
      </c>
      <c r="AU293" s="221">
        <f t="shared" si="843"/>
        <v>366228.2363574226</v>
      </c>
      <c r="AV293" s="221">
        <f t="shared" si="843"/>
        <v>-520795.7495643539</v>
      </c>
      <c r="AW293" s="221">
        <f t="shared" si="843"/>
        <v>-1404814.2481661953</v>
      </c>
      <c r="AX293" s="221">
        <f t="shared" si="843"/>
        <v>-606713.75527554448</v>
      </c>
      <c r="AY293" s="221">
        <f t="shared" si="843"/>
        <v>213707.75784871954</v>
      </c>
      <c r="AZ293" s="221">
        <f t="shared" si="843"/>
        <v>-1275621.7289715619</v>
      </c>
      <c r="BA293" s="221">
        <f t="shared" si="843"/>
        <v>-109265.70917659585</v>
      </c>
      <c r="BB293" s="221">
        <f t="shared" si="843"/>
        <v>-1319172.7524415741</v>
      </c>
      <c r="BC293" s="725"/>
      <c r="BF293" s="2"/>
    </row>
    <row r="294" spans="5:58" ht="15" x14ac:dyDescent="0.25">
      <c r="E294" s="610" t="s">
        <v>171</v>
      </c>
      <c r="I294" s="60"/>
      <c r="J294" s="60">
        <f t="shared" si="824"/>
        <v>837521.5</v>
      </c>
      <c r="K294" s="60">
        <f t="shared" si="824"/>
        <v>997287.5</v>
      </c>
      <c r="L294" s="60">
        <f t="shared" si="825"/>
        <v>1318628.5</v>
      </c>
      <c r="M294" s="60">
        <f t="shared" si="826"/>
        <v>1691933.5</v>
      </c>
      <c r="N294" s="60">
        <f t="shared" si="827"/>
        <v>2041804</v>
      </c>
      <c r="O294" s="60">
        <f t="shared" si="828"/>
        <v>2496490.5</v>
      </c>
      <c r="P294" s="60">
        <f t="shared" si="829"/>
        <v>2989199.9740998289</v>
      </c>
      <c r="Q294" s="60">
        <f t="shared" si="830"/>
        <v>3608515.340396638</v>
      </c>
      <c r="R294" s="60">
        <f t="shared" si="831"/>
        <v>4524477.8267743951</v>
      </c>
      <c r="S294" s="60">
        <f t="shared" si="832"/>
        <v>5587477.3046000907</v>
      </c>
      <c r="T294" s="60">
        <f t="shared" si="833"/>
        <v>6332412.9544689739</v>
      </c>
      <c r="U294" s="60">
        <f t="shared" si="834"/>
        <v>7386140.6632530112</v>
      </c>
      <c r="V294" s="60">
        <f t="shared" si="835"/>
        <v>9584651.5649751872</v>
      </c>
      <c r="W294" s="60">
        <f t="shared" si="836"/>
        <v>12014042.407256495</v>
      </c>
      <c r="X294" s="60">
        <f t="shared" si="837"/>
        <v>12800288.801771259</v>
      </c>
      <c r="Y294" s="512">
        <f t="shared" si="838"/>
        <v>14000396.054081447</v>
      </c>
      <c r="AL294" s="76">
        <f t="shared" ref="AL294:BB294" si="844">AL295+AL296</f>
        <v>770081</v>
      </c>
      <c r="AM294" s="76">
        <f t="shared" si="844"/>
        <v>904962</v>
      </c>
      <c r="AN294" s="76">
        <f t="shared" si="844"/>
        <v>1089613</v>
      </c>
      <c r="AO294" s="76">
        <f t="shared" si="844"/>
        <v>1547644</v>
      </c>
      <c r="AP294" s="76">
        <f t="shared" si="844"/>
        <v>1836223</v>
      </c>
      <c r="AQ294" s="76">
        <f t="shared" si="844"/>
        <v>2247385</v>
      </c>
      <c r="AR294" s="76">
        <f t="shared" si="844"/>
        <v>2745596</v>
      </c>
      <c r="AS294" s="76">
        <f t="shared" si="844"/>
        <v>3232803.9481996577</v>
      </c>
      <c r="AT294" s="76">
        <f t="shared" si="844"/>
        <v>3984226.7325936179</v>
      </c>
      <c r="AU294" s="76">
        <f t="shared" si="844"/>
        <v>5064728.9209551718</v>
      </c>
      <c r="AV294" s="76">
        <f t="shared" si="844"/>
        <v>6110225.6882450096</v>
      </c>
      <c r="AW294" s="76">
        <f t="shared" si="844"/>
        <v>6554600.2206929382</v>
      </c>
      <c r="AX294" s="76">
        <f t="shared" si="844"/>
        <v>8217681.1058130851</v>
      </c>
      <c r="AY294" s="76">
        <f t="shared" si="844"/>
        <v>10951622.024137288</v>
      </c>
      <c r="AZ294" s="76">
        <f t="shared" si="844"/>
        <v>13076462.7903757</v>
      </c>
      <c r="BA294" s="76">
        <f t="shared" si="844"/>
        <v>12524114.813166818</v>
      </c>
      <c r="BB294" s="76">
        <f t="shared" si="844"/>
        <v>15476677.294996079</v>
      </c>
      <c r="BF294" s="2"/>
    </row>
    <row r="295" spans="5:58" ht="15" x14ac:dyDescent="0.25">
      <c r="E295" s="611" t="s">
        <v>172</v>
      </c>
      <c r="I295" s="60"/>
      <c r="J295" s="60">
        <f t="shared" si="824"/>
        <v>439540.5</v>
      </c>
      <c r="K295" s="60">
        <f t="shared" si="824"/>
        <v>521549.5</v>
      </c>
      <c r="L295" s="60">
        <f t="shared" si="825"/>
        <v>666761</v>
      </c>
      <c r="M295" s="60">
        <f t="shared" si="826"/>
        <v>846457</v>
      </c>
      <c r="N295" s="60">
        <f t="shared" si="827"/>
        <v>1104949</v>
      </c>
      <c r="O295" s="60">
        <f t="shared" si="828"/>
        <v>1407309</v>
      </c>
      <c r="P295" s="60">
        <f t="shared" si="829"/>
        <v>1721629.4999999995</v>
      </c>
      <c r="Q295" s="60">
        <f t="shared" si="830"/>
        <v>2034345.9999999991</v>
      </c>
      <c r="R295" s="60">
        <f t="shared" si="831"/>
        <v>2434437.7880555578</v>
      </c>
      <c r="S295" s="60">
        <f t="shared" si="832"/>
        <v>3193260.1788475579</v>
      </c>
      <c r="T295" s="60">
        <f t="shared" si="833"/>
        <v>3901456.956531499</v>
      </c>
      <c r="U295" s="60">
        <f t="shared" si="834"/>
        <v>4725988.1688439995</v>
      </c>
      <c r="V295" s="60">
        <f t="shared" si="835"/>
        <v>6337357.4793380015</v>
      </c>
      <c r="W295" s="60">
        <f t="shared" si="836"/>
        <v>7992176.2630790006</v>
      </c>
      <c r="X295" s="60">
        <f t="shared" si="837"/>
        <v>8045025.5441084001</v>
      </c>
      <c r="Y295" s="512">
        <f t="shared" si="838"/>
        <v>8430804.7372132502</v>
      </c>
      <c r="AL295" s="254">
        <v>423424</v>
      </c>
      <c r="AM295" s="254">
        <v>455657</v>
      </c>
      <c r="AN295" s="254">
        <v>587442</v>
      </c>
      <c r="AO295" s="254">
        <v>746080</v>
      </c>
      <c r="AP295" s="254">
        <v>946834</v>
      </c>
      <c r="AQ295" s="254">
        <v>1263064</v>
      </c>
      <c r="AR295" s="254">
        <v>1551554</v>
      </c>
      <c r="AS295" s="221">
        <f>AS562</f>
        <v>1891704.9999999993</v>
      </c>
      <c r="AT295" s="221">
        <f t="shared" ref="AT295:BB295" si="845">AT562</f>
        <v>2176986.9999999991</v>
      </c>
      <c r="AU295" s="221">
        <f t="shared" si="845"/>
        <v>2691888.5761111169</v>
      </c>
      <c r="AV295" s="221">
        <f t="shared" si="845"/>
        <v>3694631.7815839993</v>
      </c>
      <c r="AW295" s="221">
        <f t="shared" si="845"/>
        <v>4108282.1314789988</v>
      </c>
      <c r="AX295" s="221">
        <f t="shared" si="845"/>
        <v>5343694.2062090002</v>
      </c>
      <c r="AY295" s="221">
        <f t="shared" si="845"/>
        <v>7331020.7524670018</v>
      </c>
      <c r="AZ295" s="221">
        <f t="shared" si="845"/>
        <v>8653331.7736910004</v>
      </c>
      <c r="BA295" s="221">
        <f t="shared" si="845"/>
        <v>7436719.3145257998</v>
      </c>
      <c r="BB295" s="221">
        <f t="shared" si="845"/>
        <v>9424890.1599006988</v>
      </c>
      <c r="BF295" s="2"/>
    </row>
    <row r="296" spans="5:58" ht="15" x14ac:dyDescent="0.25">
      <c r="E296" s="611" t="s">
        <v>173</v>
      </c>
      <c r="I296" s="60"/>
      <c r="J296" s="60">
        <f t="shared" si="824"/>
        <v>397981</v>
      </c>
      <c r="K296" s="60">
        <f t="shared" si="824"/>
        <v>475738</v>
      </c>
      <c r="L296" s="60">
        <f t="shared" si="825"/>
        <v>651867.5</v>
      </c>
      <c r="M296" s="60">
        <f t="shared" si="826"/>
        <v>845476.5</v>
      </c>
      <c r="N296" s="60">
        <f t="shared" si="827"/>
        <v>936855</v>
      </c>
      <c r="O296" s="60">
        <f t="shared" si="828"/>
        <v>1089181.5</v>
      </c>
      <c r="P296" s="60">
        <f t="shared" si="829"/>
        <v>1267570.4740998291</v>
      </c>
      <c r="Q296" s="60">
        <f t="shared" si="830"/>
        <v>1574169.3403966385</v>
      </c>
      <c r="R296" s="60">
        <f t="shared" si="831"/>
        <v>2090040.0387188366</v>
      </c>
      <c r="S296" s="60">
        <f t="shared" si="832"/>
        <v>2394217.1257525319</v>
      </c>
      <c r="T296" s="60">
        <f t="shared" si="833"/>
        <v>2430955.9979374744</v>
      </c>
      <c r="U296" s="60">
        <f t="shared" si="834"/>
        <v>2660152.4944090117</v>
      </c>
      <c r="V296" s="60">
        <f t="shared" si="835"/>
        <v>3247294.0856371853</v>
      </c>
      <c r="W296" s="60">
        <f t="shared" si="836"/>
        <v>4021866.1441774927</v>
      </c>
      <c r="X296" s="60">
        <f t="shared" si="837"/>
        <v>4755263.2576628588</v>
      </c>
      <c r="Y296" s="512">
        <f t="shared" si="838"/>
        <v>5569591.316868199</v>
      </c>
      <c r="AL296" s="254">
        <v>346657</v>
      </c>
      <c r="AM296" s="254">
        <v>449305</v>
      </c>
      <c r="AN296" s="254">
        <v>502171</v>
      </c>
      <c r="AO296" s="254">
        <v>801564</v>
      </c>
      <c r="AP296" s="254">
        <v>889389</v>
      </c>
      <c r="AQ296" s="254">
        <v>984321</v>
      </c>
      <c r="AR296" s="254">
        <v>1194042</v>
      </c>
      <c r="AS296" s="221">
        <f>AS563</f>
        <v>1341098.9481996582</v>
      </c>
      <c r="AT296" s="221">
        <f t="shared" ref="AT296:BB296" si="846">AT563</f>
        <v>1807239.7325936188</v>
      </c>
      <c r="AU296" s="221">
        <f t="shared" si="846"/>
        <v>2372840.3448440544</v>
      </c>
      <c r="AV296" s="221">
        <f t="shared" si="846"/>
        <v>2415593.9066610099</v>
      </c>
      <c r="AW296" s="221">
        <f t="shared" si="846"/>
        <v>2446318.0892139389</v>
      </c>
      <c r="AX296" s="221">
        <f t="shared" si="846"/>
        <v>2873986.8996040849</v>
      </c>
      <c r="AY296" s="221">
        <f t="shared" si="846"/>
        <v>3620601.2716702856</v>
      </c>
      <c r="AZ296" s="221">
        <f t="shared" si="846"/>
        <v>4423131.0166846998</v>
      </c>
      <c r="BA296" s="221">
        <f t="shared" si="846"/>
        <v>5087395.4986410178</v>
      </c>
      <c r="BB296" s="221">
        <f t="shared" si="846"/>
        <v>6051787.1350953802</v>
      </c>
      <c r="BF296" s="2"/>
    </row>
    <row r="297" spans="5:58" ht="15" x14ac:dyDescent="0.25">
      <c r="E297" s="610" t="s">
        <v>174</v>
      </c>
      <c r="I297" s="60"/>
      <c r="J297" s="60">
        <f t="shared" si="824"/>
        <v>-1602385.5</v>
      </c>
      <c r="K297" s="60">
        <f t="shared" si="824"/>
        <v>-1645747</v>
      </c>
      <c r="L297" s="60">
        <f t="shared" si="825"/>
        <v>-1788850</v>
      </c>
      <c r="M297" s="60">
        <f t="shared" si="826"/>
        <v>-2004549.5</v>
      </c>
      <c r="N297" s="60">
        <f t="shared" si="827"/>
        <v>-2416984.5</v>
      </c>
      <c r="O297" s="60">
        <f t="shared" si="828"/>
        <v>-3201776</v>
      </c>
      <c r="P297" s="60">
        <f t="shared" si="829"/>
        <v>297566.49883354036</v>
      </c>
      <c r="Q297" s="60">
        <f t="shared" si="830"/>
        <v>5031402.9337072801</v>
      </c>
      <c r="R297" s="60">
        <f t="shared" si="831"/>
        <v>6830380.674415838</v>
      </c>
      <c r="S297" s="60">
        <f t="shared" si="832"/>
        <v>8961465.3162294626</v>
      </c>
      <c r="T297" s="60">
        <f t="shared" si="833"/>
        <v>10000944.645116892</v>
      </c>
      <c r="U297" s="60">
        <f t="shared" si="834"/>
        <v>11341640.049512289</v>
      </c>
      <c r="V297" s="60">
        <f t="shared" si="835"/>
        <v>15892196.491945898</v>
      </c>
      <c r="W297" s="60">
        <f t="shared" si="836"/>
        <v>19678461.727512654</v>
      </c>
      <c r="X297" s="60">
        <f t="shared" si="837"/>
        <v>21193359.187652379</v>
      </c>
      <c r="Y297" s="512">
        <f t="shared" si="838"/>
        <v>22895776.735555694</v>
      </c>
      <c r="AL297" s="76">
        <f t="shared" ref="AL297:BB297" si="847">AL299+AL298</f>
        <v>-1554103</v>
      </c>
      <c r="AM297" s="76">
        <f t="shared" si="847"/>
        <v>-1650668</v>
      </c>
      <c r="AN297" s="76">
        <f t="shared" si="847"/>
        <v>-1640826</v>
      </c>
      <c r="AO297" s="76">
        <f t="shared" si="847"/>
        <v>-1936874</v>
      </c>
      <c r="AP297" s="76">
        <f t="shared" si="847"/>
        <v>-2072225</v>
      </c>
      <c r="AQ297" s="76">
        <f t="shared" si="847"/>
        <v>-2761744</v>
      </c>
      <c r="AR297" s="76">
        <f t="shared" si="847"/>
        <v>-3641808</v>
      </c>
      <c r="AS297" s="76">
        <f t="shared" si="847"/>
        <v>4236940.9976670807</v>
      </c>
      <c r="AT297" s="76">
        <f t="shared" si="847"/>
        <v>5825864.8697474785</v>
      </c>
      <c r="AU297" s="76">
        <f t="shared" si="847"/>
        <v>7834896.4790841974</v>
      </c>
      <c r="AV297" s="76">
        <f t="shared" si="847"/>
        <v>10088034.153374728</v>
      </c>
      <c r="AW297" s="76">
        <f t="shared" si="847"/>
        <v>9913855.1368590575</v>
      </c>
      <c r="AX297" s="76">
        <f t="shared" si="847"/>
        <v>12769424.96216552</v>
      </c>
      <c r="AY297" s="76">
        <f t="shared" si="847"/>
        <v>19014968.021726277</v>
      </c>
      <c r="AZ297" s="76">
        <f t="shared" si="847"/>
        <v>20341955.433299031</v>
      </c>
      <c r="BA297" s="76">
        <f t="shared" si="847"/>
        <v>22044762.942005731</v>
      </c>
      <c r="BB297" s="76">
        <f t="shared" si="847"/>
        <v>23746790.52910566</v>
      </c>
      <c r="BF297" s="2"/>
    </row>
    <row r="298" spans="5:58" ht="15" x14ac:dyDescent="0.25">
      <c r="E298" s="611" t="s">
        <v>175</v>
      </c>
      <c r="I298" s="60"/>
      <c r="J298" s="60">
        <f t="shared" si="824"/>
        <v>-989813.5</v>
      </c>
      <c r="K298" s="60">
        <f t="shared" si="824"/>
        <v>-1077945</v>
      </c>
      <c r="L298" s="60">
        <f t="shared" si="825"/>
        <v>-1231056</v>
      </c>
      <c r="M298" s="60">
        <f t="shared" si="826"/>
        <v>-1414149.5</v>
      </c>
      <c r="N298" s="60">
        <f t="shared" si="827"/>
        <v>-1734438.5</v>
      </c>
      <c r="O298" s="60">
        <f t="shared" si="828"/>
        <v>-2311600.5</v>
      </c>
      <c r="P298" s="60">
        <f t="shared" si="829"/>
        <v>356416.75659587025</v>
      </c>
      <c r="Q298" s="60">
        <f t="shared" si="830"/>
        <v>3915353.7648484856</v>
      </c>
      <c r="R298" s="60">
        <f t="shared" si="831"/>
        <v>5523096.8868926149</v>
      </c>
      <c r="S298" s="60">
        <f t="shared" si="832"/>
        <v>7400402.8334530843</v>
      </c>
      <c r="T298" s="60">
        <f t="shared" si="833"/>
        <v>7959720.3317071442</v>
      </c>
      <c r="U298" s="60">
        <f t="shared" si="834"/>
        <v>8896073.8342630714</v>
      </c>
      <c r="V298" s="60">
        <f t="shared" si="835"/>
        <v>12851328.722928606</v>
      </c>
      <c r="W298" s="60">
        <f t="shared" si="836"/>
        <v>16101825.055657703</v>
      </c>
      <c r="X298" s="60">
        <f t="shared" si="837"/>
        <v>17372049.76100821</v>
      </c>
      <c r="Y298" s="512">
        <f t="shared" si="838"/>
        <v>18598925.181753427</v>
      </c>
      <c r="AL298" s="254">
        <v>-918375</v>
      </c>
      <c r="AM298" s="254">
        <v>-1061252</v>
      </c>
      <c r="AN298" s="254">
        <v>-1094638</v>
      </c>
      <c r="AO298" s="254">
        <v>-1367474</v>
      </c>
      <c r="AP298" s="254">
        <v>-1460825</v>
      </c>
      <c r="AQ298" s="254">
        <v>-2008052</v>
      </c>
      <c r="AR298" s="254">
        <v>-2615149</v>
      </c>
      <c r="AS298" s="221">
        <f>AS565</f>
        <v>3327982.5131917405</v>
      </c>
      <c r="AT298" s="221">
        <f t="shared" ref="AT298:BB298" si="848">AT565</f>
        <v>4502725.0165052311</v>
      </c>
      <c r="AU298" s="221">
        <f t="shared" si="848"/>
        <v>6543468.7572799996</v>
      </c>
      <c r="AV298" s="221">
        <f t="shared" si="848"/>
        <v>8257336.9096261691</v>
      </c>
      <c r="AW298" s="221">
        <f t="shared" si="848"/>
        <v>7662103.7537881201</v>
      </c>
      <c r="AX298" s="221">
        <f t="shared" si="848"/>
        <v>10130043.914738022</v>
      </c>
      <c r="AY298" s="221">
        <f t="shared" si="848"/>
        <v>15572613.53111919</v>
      </c>
      <c r="AZ298" s="221">
        <f t="shared" si="848"/>
        <v>16631036.580196217</v>
      </c>
      <c r="BA298" s="221">
        <f t="shared" si="848"/>
        <v>18113062.941820208</v>
      </c>
      <c r="BB298" s="221">
        <f t="shared" si="848"/>
        <v>19084787.421686642</v>
      </c>
      <c r="BF298" s="2"/>
    </row>
    <row r="299" spans="5:58" ht="15" x14ac:dyDescent="0.25">
      <c r="E299" s="611" t="s">
        <v>176</v>
      </c>
      <c r="I299" s="237"/>
      <c r="J299" s="237">
        <f t="shared" si="824"/>
        <v>-612572</v>
      </c>
      <c r="K299" s="237">
        <f t="shared" si="824"/>
        <v>-567802</v>
      </c>
      <c r="L299" s="237">
        <f t="shared" si="825"/>
        <v>-557794</v>
      </c>
      <c r="M299" s="237">
        <f t="shared" si="826"/>
        <v>-590400</v>
      </c>
      <c r="N299" s="237">
        <f t="shared" si="827"/>
        <v>-682546</v>
      </c>
      <c r="O299" s="237">
        <f t="shared" si="828"/>
        <v>-890175.5</v>
      </c>
      <c r="P299" s="237">
        <f t="shared" si="829"/>
        <v>-58850.257762329769</v>
      </c>
      <c r="Q299" s="237">
        <f t="shared" si="830"/>
        <v>1116049.168858794</v>
      </c>
      <c r="R299" s="237">
        <f t="shared" si="831"/>
        <v>1307283.7875232224</v>
      </c>
      <c r="S299" s="237">
        <f t="shared" si="832"/>
        <v>1561062.4827763783</v>
      </c>
      <c r="T299" s="237">
        <f t="shared" si="833"/>
        <v>2041224.3134097485</v>
      </c>
      <c r="U299" s="237">
        <f t="shared" si="834"/>
        <v>2445566.215249218</v>
      </c>
      <c r="V299" s="237">
        <f t="shared" si="835"/>
        <v>3040867.7690172922</v>
      </c>
      <c r="W299" s="237">
        <f t="shared" si="836"/>
        <v>3576636.6718549496</v>
      </c>
      <c r="X299" s="237">
        <f t="shared" si="837"/>
        <v>3821309.4266441679</v>
      </c>
      <c r="Y299" s="513">
        <f t="shared" si="838"/>
        <v>4296851.5538022704</v>
      </c>
      <c r="Z299" s="188"/>
      <c r="AA299" s="188"/>
      <c r="AB299" s="188"/>
      <c r="AC299" s="188"/>
      <c r="AD299" s="188"/>
      <c r="AE299" s="188"/>
      <c r="AF299" s="188"/>
      <c r="AG299" s="188"/>
      <c r="AH299" s="188"/>
      <c r="AI299" s="188"/>
      <c r="AJ299" s="188"/>
      <c r="AK299" s="188"/>
      <c r="AL299" s="254">
        <v>-635728</v>
      </c>
      <c r="AM299" s="254">
        <v>-589416</v>
      </c>
      <c r="AN299" s="254">
        <v>-546188</v>
      </c>
      <c r="AO299" s="254">
        <v>-569400</v>
      </c>
      <c r="AP299" s="254">
        <v>-611400</v>
      </c>
      <c r="AQ299" s="254">
        <v>-753692</v>
      </c>
      <c r="AR299" s="254">
        <v>-1026659</v>
      </c>
      <c r="AS299" s="221">
        <f>AS566</f>
        <v>908958.48447534046</v>
      </c>
      <c r="AT299" s="221">
        <f t="shared" ref="AT299:BB299" si="849">AT566</f>
        <v>1323139.8532422474</v>
      </c>
      <c r="AU299" s="221">
        <f t="shared" si="849"/>
        <v>1291427.7218041974</v>
      </c>
      <c r="AV299" s="221">
        <f t="shared" si="849"/>
        <v>1830697.2437485589</v>
      </c>
      <c r="AW299" s="221">
        <f t="shared" si="849"/>
        <v>2251751.3830709378</v>
      </c>
      <c r="AX299" s="221">
        <f t="shared" si="849"/>
        <v>2639381.0474274983</v>
      </c>
      <c r="AY299" s="221">
        <f t="shared" si="849"/>
        <v>3442354.4906070861</v>
      </c>
      <c r="AZ299" s="221">
        <f t="shared" si="849"/>
        <v>3710918.8531028135</v>
      </c>
      <c r="BA299" s="221">
        <f t="shared" si="849"/>
        <v>3931700.0001855223</v>
      </c>
      <c r="BB299" s="221">
        <f t="shared" si="849"/>
        <v>4662003.1074190177</v>
      </c>
      <c r="BF299" s="2"/>
    </row>
    <row r="300" spans="5:58" ht="15.75" x14ac:dyDescent="0.25">
      <c r="E300" s="687" t="s">
        <v>607</v>
      </c>
      <c r="AQ300" s="188"/>
      <c r="AS300" s="190">
        <f>AS567</f>
        <v>351888.43562119082</v>
      </c>
      <c r="AT300" s="190">
        <f>AT567</f>
        <v>367366.0266001299</v>
      </c>
      <c r="AU300" s="190">
        <f t="shared" ref="AU300:BB300" si="850">AU567</f>
        <v>14319.1584645845</v>
      </c>
      <c r="AV300" s="190">
        <f t="shared" si="850"/>
        <v>39392.994403522462</v>
      </c>
      <c r="AW300" s="190">
        <f t="shared" si="850"/>
        <v>69285.301134452224</v>
      </c>
      <c r="AX300" s="190">
        <f t="shared" si="850"/>
        <v>1338912.2987806872</v>
      </c>
      <c r="AY300" s="190">
        <f t="shared" si="850"/>
        <v>1445728.2934205011</v>
      </c>
      <c r="AZ300" s="190">
        <f t="shared" si="850"/>
        <v>1310726.4390680417</v>
      </c>
      <c r="BA300" s="190">
        <f t="shared" si="850"/>
        <v>-1624376.8464789689</v>
      </c>
      <c r="BB300" s="190">
        <f t="shared" si="850"/>
        <v>864607.09978106595</v>
      </c>
    </row>
    <row r="301" spans="5:58" x14ac:dyDescent="0.2">
      <c r="E301" s="612" t="s">
        <v>404</v>
      </c>
      <c r="AQ301" s="188"/>
      <c r="AR301" s="188"/>
      <c r="AS301" s="688" t="s">
        <v>610</v>
      </c>
      <c r="AT301" s="188"/>
      <c r="AU301" s="188"/>
      <c r="AV301" s="188"/>
    </row>
    <row r="302" spans="5:58" ht="14.25" x14ac:dyDescent="0.2">
      <c r="E302" s="609" t="s">
        <v>165</v>
      </c>
      <c r="J302" s="7">
        <f t="shared" ref="J302:Y302" si="851">J303+J306+J309+J312</f>
        <v>7992799.5</v>
      </c>
      <c r="K302" s="7">
        <f t="shared" si="851"/>
        <v>8383505.5</v>
      </c>
      <c r="L302" s="7">
        <f t="shared" si="851"/>
        <v>8842806.5</v>
      </c>
      <c r="M302" s="7">
        <f t="shared" si="851"/>
        <v>9426226</v>
      </c>
      <c r="N302" s="7">
        <f t="shared" si="851"/>
        <v>10087956.5</v>
      </c>
      <c r="O302" s="7">
        <f t="shared" si="851"/>
        <v>10831734.5</v>
      </c>
      <c r="P302" s="7">
        <f t="shared" si="851"/>
        <v>22223852.998461526</v>
      </c>
      <c r="Q302" s="7">
        <f t="shared" si="851"/>
        <v>34859200.018739998</v>
      </c>
      <c r="R302" s="7">
        <f t="shared" si="851"/>
        <v>39740790.415849529</v>
      </c>
      <c r="S302" s="7">
        <f t="shared" si="851"/>
        <v>44407472.167392746</v>
      </c>
      <c r="T302" s="7">
        <f t="shared" si="851"/>
        <v>46182117.544924565</v>
      </c>
      <c r="U302" s="7">
        <f t="shared" si="851"/>
        <v>48623580.953328647</v>
      </c>
      <c r="V302" s="7">
        <f t="shared" si="851"/>
        <v>54713927.536806658</v>
      </c>
      <c r="W302" s="7">
        <f t="shared" si="851"/>
        <v>59472871.490743406</v>
      </c>
      <c r="X302" s="7">
        <f t="shared" si="851"/>
        <v>62978410.0582157</v>
      </c>
      <c r="Y302" s="7">
        <f t="shared" si="851"/>
        <v>67249270.620826513</v>
      </c>
      <c r="AL302" s="228">
        <f>AL303+AL306+AL309+AL312</f>
        <v>7803927</v>
      </c>
      <c r="AM302" s="228">
        <f t="shared" ref="AM302:BB302" si="852">AM303+AM306+AM309+AM312</f>
        <v>8181672</v>
      </c>
      <c r="AN302" s="228">
        <f t="shared" si="852"/>
        <v>8585339</v>
      </c>
      <c r="AO302" s="228">
        <f t="shared" si="852"/>
        <v>9100274</v>
      </c>
      <c r="AP302" s="228">
        <f t="shared" si="852"/>
        <v>9752178</v>
      </c>
      <c r="AQ302" s="228">
        <f t="shared" si="852"/>
        <v>10423735</v>
      </c>
      <c r="AR302" s="228">
        <f t="shared" si="852"/>
        <v>11239734</v>
      </c>
      <c r="AS302" s="228">
        <f t="shared" si="852"/>
        <v>33207971.996923048</v>
      </c>
      <c r="AT302" s="228">
        <f t="shared" si="852"/>
        <v>36510428.040556945</v>
      </c>
      <c r="AU302" s="228">
        <f t="shared" si="852"/>
        <v>42971152.791142114</v>
      </c>
      <c r="AV302" s="228">
        <f t="shared" si="852"/>
        <v>45843791.5436434</v>
      </c>
      <c r="AW302" s="228">
        <f t="shared" si="852"/>
        <v>46520443.546205744</v>
      </c>
      <c r="AX302" s="228">
        <f t="shared" si="852"/>
        <v>50726718.360451549</v>
      </c>
      <c r="AY302" s="228">
        <f t="shared" si="852"/>
        <v>58701136.713161759</v>
      </c>
      <c r="AZ302" s="228">
        <f t="shared" si="852"/>
        <v>60244606.268325053</v>
      </c>
      <c r="BA302" s="228">
        <f t="shared" si="852"/>
        <v>65712213.848106354</v>
      </c>
      <c r="BB302" s="228">
        <f t="shared" si="852"/>
        <v>68786327.393546686</v>
      </c>
    </row>
    <row r="303" spans="5:58" ht="15" x14ac:dyDescent="0.25">
      <c r="E303" s="610" t="s">
        <v>166</v>
      </c>
      <c r="J303" s="60">
        <f t="shared" ref="J303:J314" si="853">AVERAGE(AL303:AM303)</f>
        <v>7369100</v>
      </c>
      <c r="K303" s="60">
        <f t="shared" ref="K303:K314" si="854">AVERAGE(AM303:AN303)</f>
        <v>7564743.5</v>
      </c>
      <c r="L303" s="60">
        <f t="shared" ref="L303:L314" si="855">AVERAGE(AN303:AO303)</f>
        <v>7766010</v>
      </c>
      <c r="M303" s="60">
        <f t="shared" ref="M303:M314" si="856">AVERAGE(AO303:AP303)</f>
        <v>8194040.5</v>
      </c>
      <c r="N303" s="60">
        <f t="shared" ref="N303:N314" si="857">AVERAGE(AP303:AQ303)</f>
        <v>8769200</v>
      </c>
      <c r="O303" s="60">
        <f t="shared" ref="O303:O314" si="858">AVERAGE(AQ303:AR303)</f>
        <v>9400312</v>
      </c>
      <c r="P303" s="60">
        <f t="shared" ref="P303:P314" si="859">AVERAGE(AR303:AS303)</f>
        <v>14403498.609708307</v>
      </c>
      <c r="Q303" s="60">
        <f t="shared" ref="Q303:Q314" si="860">AVERAGE(AS303:AT303)</f>
        <v>19428795.809113018</v>
      </c>
      <c r="R303" s="60">
        <f t="shared" ref="R303:R314" si="861">AVERAGE(AT303:AU303)</f>
        <v>20596489.425743759</v>
      </c>
      <c r="S303" s="60">
        <f t="shared" ref="S303:S314" si="862">AVERAGE(AU303:AV303)</f>
        <v>22049926.456319757</v>
      </c>
      <c r="T303" s="60">
        <f t="shared" ref="T303:T314" si="863">AVERAGE(AV303:AW303)</f>
        <v>23500709.625082366</v>
      </c>
      <c r="U303" s="60">
        <f t="shared" ref="U303:U314" si="864">AVERAGE(AW303:AX303)</f>
        <v>24661604.816910096</v>
      </c>
      <c r="V303" s="60">
        <f t="shared" ref="V303:V314" si="865">AVERAGE(AX303:AY303)</f>
        <v>25966731.056531213</v>
      </c>
      <c r="W303" s="60">
        <f t="shared" ref="W303:W314" si="866">AVERAGE(AY303:AZ303)</f>
        <v>27585255.304992869</v>
      </c>
      <c r="X303" s="60">
        <f t="shared" ref="X303:X314" si="867">AVERAGE(AZ303:BA303)</f>
        <v>29730763.816348962</v>
      </c>
      <c r="Y303" s="60">
        <f t="shared" ref="Y303:Y314" si="868">AVERAGE(BA303:BB303)</f>
        <v>31730078.281648487</v>
      </c>
      <c r="AL303" s="508">
        <f>AL304+AL305</f>
        <v>7238972</v>
      </c>
      <c r="AM303" s="508">
        <f t="shared" ref="AM303:BB303" si="869">AM304+AM305</f>
        <v>7499228</v>
      </c>
      <c r="AN303" s="508">
        <f t="shared" si="869"/>
        <v>7630259</v>
      </c>
      <c r="AO303" s="508">
        <f t="shared" si="869"/>
        <v>7901761</v>
      </c>
      <c r="AP303" s="508">
        <f t="shared" si="869"/>
        <v>8486320</v>
      </c>
      <c r="AQ303" s="508">
        <f t="shared" si="869"/>
        <v>9052080</v>
      </c>
      <c r="AR303" s="508">
        <f t="shared" si="869"/>
        <v>9748544</v>
      </c>
      <c r="AS303" s="508">
        <f t="shared" si="869"/>
        <v>19058453.219416615</v>
      </c>
      <c r="AT303" s="508">
        <f t="shared" si="869"/>
        <v>19799138.398809422</v>
      </c>
      <c r="AU303" s="508">
        <f t="shared" si="869"/>
        <v>21393840.452678096</v>
      </c>
      <c r="AV303" s="508">
        <f t="shared" si="869"/>
        <v>22706012.459961418</v>
      </c>
      <c r="AW303" s="508">
        <f t="shared" si="869"/>
        <v>24295406.790203318</v>
      </c>
      <c r="AX303" s="508">
        <f t="shared" si="869"/>
        <v>25027802.843616877</v>
      </c>
      <c r="AY303" s="508">
        <f t="shared" si="869"/>
        <v>26905659.269445546</v>
      </c>
      <c r="AZ303" s="508">
        <f t="shared" si="869"/>
        <v>28264851.340540197</v>
      </c>
      <c r="BA303" s="508">
        <f t="shared" si="869"/>
        <v>31196676.292157728</v>
      </c>
      <c r="BB303" s="508">
        <f t="shared" si="869"/>
        <v>32263480.271139249</v>
      </c>
      <c r="BC303" s="228"/>
    </row>
    <row r="304" spans="5:58" ht="14.25" x14ac:dyDescent="0.2">
      <c r="E304" s="611" t="s">
        <v>167</v>
      </c>
      <c r="J304" s="60">
        <f t="shared" si="853"/>
        <v>6368580</v>
      </c>
      <c r="K304" s="60">
        <f t="shared" si="854"/>
        <v>6561122.5</v>
      </c>
      <c r="L304" s="60">
        <f t="shared" si="855"/>
        <v>6721080.5</v>
      </c>
      <c r="M304" s="60">
        <f t="shared" si="856"/>
        <v>7020002</v>
      </c>
      <c r="N304" s="60">
        <f t="shared" si="857"/>
        <v>7311946</v>
      </c>
      <c r="O304" s="60">
        <f t="shared" si="858"/>
        <v>7638402.5</v>
      </c>
      <c r="P304" s="60">
        <f t="shared" si="859"/>
        <v>11288378.456158947</v>
      </c>
      <c r="Q304" s="60">
        <f t="shared" si="860"/>
        <v>14947332.283723492</v>
      </c>
      <c r="R304" s="60">
        <f t="shared" si="861"/>
        <v>15805017.689090431</v>
      </c>
      <c r="S304" s="60">
        <f t="shared" si="862"/>
        <v>17216169.950021401</v>
      </c>
      <c r="T304" s="60">
        <f t="shared" si="863"/>
        <v>18501055.229752615</v>
      </c>
      <c r="U304" s="60">
        <f t="shared" si="864"/>
        <v>19619640.372339725</v>
      </c>
      <c r="V304" s="60">
        <f t="shared" si="865"/>
        <v>21055962.390859351</v>
      </c>
      <c r="W304" s="60">
        <f t="shared" si="866"/>
        <v>22212654.22557836</v>
      </c>
      <c r="X304" s="60">
        <f t="shared" si="867"/>
        <v>23507262.224227391</v>
      </c>
      <c r="Y304" s="60">
        <f t="shared" si="868"/>
        <v>25008072.11391053</v>
      </c>
      <c r="AL304" s="509">
        <v>6230680</v>
      </c>
      <c r="AM304" s="509">
        <v>6506480</v>
      </c>
      <c r="AN304" s="509">
        <v>6615765</v>
      </c>
      <c r="AO304" s="509">
        <v>6826396</v>
      </c>
      <c r="AP304" s="509">
        <v>7213608</v>
      </c>
      <c r="AQ304" s="509">
        <v>7410284</v>
      </c>
      <c r="AR304" s="509">
        <v>7866521</v>
      </c>
      <c r="AS304" s="741">
        <f>AS576+AS577</f>
        <v>14710235.912317893</v>
      </c>
      <c r="AT304" s="741">
        <f t="shared" ref="AT304:BB304" si="870">AT576+AT577</f>
        <v>15184428.655129094</v>
      </c>
      <c r="AU304" s="741">
        <f t="shared" si="870"/>
        <v>16425606.72305177</v>
      </c>
      <c r="AV304" s="741">
        <f t="shared" si="870"/>
        <v>18006733.176991031</v>
      </c>
      <c r="AW304" s="741">
        <f t="shared" si="870"/>
        <v>18995377.2825142</v>
      </c>
      <c r="AX304" s="741">
        <f t="shared" si="870"/>
        <v>20243903.462165248</v>
      </c>
      <c r="AY304" s="741">
        <f t="shared" si="870"/>
        <v>21868021.319553453</v>
      </c>
      <c r="AZ304" s="741">
        <f t="shared" si="870"/>
        <v>22557287.131603263</v>
      </c>
      <c r="BA304" s="741">
        <f t="shared" si="870"/>
        <v>24457237.316851515</v>
      </c>
      <c r="BB304" s="741">
        <f t="shared" si="870"/>
        <v>25558906.910969544</v>
      </c>
      <c r="BC304" s="228"/>
    </row>
    <row r="305" spans="5:55" ht="14.25" x14ac:dyDescent="0.2">
      <c r="E305" s="611" t="s">
        <v>168</v>
      </c>
      <c r="J305" s="60">
        <f t="shared" si="853"/>
        <v>1000520</v>
      </c>
      <c r="K305" s="60">
        <f t="shared" si="854"/>
        <v>1003621</v>
      </c>
      <c r="L305" s="60">
        <f t="shared" si="855"/>
        <v>1044929.5</v>
      </c>
      <c r="M305" s="60">
        <f t="shared" si="856"/>
        <v>1174038.5</v>
      </c>
      <c r="N305" s="60">
        <f t="shared" si="857"/>
        <v>1457254</v>
      </c>
      <c r="O305" s="60">
        <f t="shared" si="858"/>
        <v>1761909.5</v>
      </c>
      <c r="P305" s="60">
        <f t="shared" si="859"/>
        <v>3115120.1535493606</v>
      </c>
      <c r="Q305" s="60">
        <f t="shared" si="860"/>
        <v>4481463.5253895251</v>
      </c>
      <c r="R305" s="60">
        <f t="shared" si="861"/>
        <v>4791471.736653327</v>
      </c>
      <c r="S305" s="60">
        <f t="shared" si="862"/>
        <v>4833756.5062983567</v>
      </c>
      <c r="T305" s="60">
        <f t="shared" si="863"/>
        <v>4999654.3953297529</v>
      </c>
      <c r="U305" s="60">
        <f t="shared" si="864"/>
        <v>5041964.4445703737</v>
      </c>
      <c r="V305" s="60">
        <f t="shared" si="865"/>
        <v>4910768.6656718608</v>
      </c>
      <c r="W305" s="60">
        <f t="shared" si="866"/>
        <v>5372601.0794145139</v>
      </c>
      <c r="X305" s="60">
        <f t="shared" si="867"/>
        <v>6223501.5921215732</v>
      </c>
      <c r="Y305" s="60">
        <f t="shared" si="868"/>
        <v>6722006.167737959</v>
      </c>
      <c r="AL305" s="509">
        <v>1008292</v>
      </c>
      <c r="AM305" s="509">
        <v>992748</v>
      </c>
      <c r="AN305" s="509">
        <v>1014494</v>
      </c>
      <c r="AO305" s="509">
        <v>1075365</v>
      </c>
      <c r="AP305" s="509">
        <v>1272712</v>
      </c>
      <c r="AQ305" s="509">
        <v>1641796</v>
      </c>
      <c r="AR305" s="509">
        <v>1882023</v>
      </c>
      <c r="AS305" s="741">
        <f>AS575</f>
        <v>4348217.3070987212</v>
      </c>
      <c r="AT305" s="741">
        <f t="shared" ref="AT305:BB305" si="871">AT575</f>
        <v>4614709.7436803291</v>
      </c>
      <c r="AU305" s="741">
        <f t="shared" si="871"/>
        <v>4968233.729626325</v>
      </c>
      <c r="AV305" s="741">
        <f t="shared" si="871"/>
        <v>4699279.2829703884</v>
      </c>
      <c r="AW305" s="741">
        <f t="shared" si="871"/>
        <v>5300029.5076891175</v>
      </c>
      <c r="AX305" s="741">
        <f t="shared" si="871"/>
        <v>4783899.3814516291</v>
      </c>
      <c r="AY305" s="741">
        <f t="shared" si="871"/>
        <v>5037637.9498920934</v>
      </c>
      <c r="AZ305" s="741">
        <f t="shared" si="871"/>
        <v>5707564.2089369344</v>
      </c>
      <c r="BA305" s="741">
        <f t="shared" si="871"/>
        <v>6739438.975306212</v>
      </c>
      <c r="BB305" s="741">
        <f t="shared" si="871"/>
        <v>6704573.3601697069</v>
      </c>
      <c r="BC305" s="228"/>
    </row>
    <row r="306" spans="5:55" ht="15" x14ac:dyDescent="0.25">
      <c r="E306" s="610" t="s">
        <v>169</v>
      </c>
      <c r="J306" s="60">
        <f t="shared" si="853"/>
        <v>1305263</v>
      </c>
      <c r="K306" s="60">
        <f t="shared" si="854"/>
        <v>1382594</v>
      </c>
      <c r="L306" s="60">
        <f t="shared" si="855"/>
        <v>1504602</v>
      </c>
      <c r="M306" s="60">
        <f t="shared" si="856"/>
        <v>1649502.5</v>
      </c>
      <c r="N306" s="60">
        <f t="shared" si="857"/>
        <v>1828459.5</v>
      </c>
      <c r="O306" s="60">
        <f t="shared" si="858"/>
        <v>2044927.5</v>
      </c>
      <c r="P306" s="60">
        <f t="shared" si="859"/>
        <v>3748133.2619129326</v>
      </c>
      <c r="Q306" s="60">
        <f t="shared" si="860"/>
        <v>6161273.2108874479</v>
      </c>
      <c r="R306" s="60">
        <f t="shared" si="861"/>
        <v>7882196.4242401039</v>
      </c>
      <c r="S306" s="60">
        <f t="shared" si="862"/>
        <v>8945751.7244662009</v>
      </c>
      <c r="T306" s="60">
        <f t="shared" si="863"/>
        <v>8651527.9240862653</v>
      </c>
      <c r="U306" s="60">
        <f t="shared" si="864"/>
        <v>9132202.8798993807</v>
      </c>
      <c r="V306" s="60">
        <f t="shared" si="865"/>
        <v>11554836.955346186</v>
      </c>
      <c r="W306" s="60">
        <f t="shared" si="866"/>
        <v>12663776.210029878</v>
      </c>
      <c r="X306" s="60">
        <f t="shared" si="867"/>
        <v>12856243.294363761</v>
      </c>
      <c r="Y306" s="60">
        <f t="shared" si="868"/>
        <v>13565864.02220872</v>
      </c>
      <c r="AL306" s="508">
        <f t="shared" ref="AL306:BB306" si="872">AL307+AL308</f>
        <v>1266799</v>
      </c>
      <c r="AM306" s="508">
        <f t="shared" si="872"/>
        <v>1343727</v>
      </c>
      <c r="AN306" s="508">
        <f t="shared" si="872"/>
        <v>1421461</v>
      </c>
      <c r="AO306" s="508">
        <f t="shared" si="872"/>
        <v>1587743</v>
      </c>
      <c r="AP306" s="508">
        <f t="shared" si="872"/>
        <v>1711262</v>
      </c>
      <c r="AQ306" s="508">
        <f t="shared" si="872"/>
        <v>1945657</v>
      </c>
      <c r="AR306" s="508">
        <f t="shared" si="872"/>
        <v>2144198</v>
      </c>
      <c r="AS306" s="508">
        <f t="shared" si="872"/>
        <v>5352068.5238258652</v>
      </c>
      <c r="AT306" s="508">
        <f t="shared" si="872"/>
        <v>6970477.8979490306</v>
      </c>
      <c r="AU306" s="508">
        <f t="shared" si="872"/>
        <v>8793914.9505311772</v>
      </c>
      <c r="AV306" s="508">
        <f t="shared" si="872"/>
        <v>9097588.4984012265</v>
      </c>
      <c r="AW306" s="508">
        <f t="shared" si="872"/>
        <v>8205467.3497713022</v>
      </c>
      <c r="AX306" s="508">
        <f t="shared" si="872"/>
        <v>10058938.410027459</v>
      </c>
      <c r="AY306" s="508">
        <f t="shared" si="872"/>
        <v>13050735.50066491</v>
      </c>
      <c r="AZ306" s="508">
        <f t="shared" si="872"/>
        <v>12276816.919394843</v>
      </c>
      <c r="BA306" s="508">
        <f t="shared" si="872"/>
        <v>13435669.669332679</v>
      </c>
      <c r="BB306" s="508">
        <f t="shared" si="872"/>
        <v>13696058.375084763</v>
      </c>
      <c r="BC306" s="228"/>
    </row>
    <row r="307" spans="5:55" ht="14.25" x14ac:dyDescent="0.2">
      <c r="E307" s="611" t="s">
        <v>55</v>
      </c>
      <c r="J307" s="60">
        <f t="shared" si="853"/>
        <v>1266451.5</v>
      </c>
      <c r="K307" s="60">
        <f t="shared" si="854"/>
        <v>1343008.5</v>
      </c>
      <c r="L307" s="60">
        <f t="shared" si="855"/>
        <v>1464293</v>
      </c>
      <c r="M307" s="60">
        <f t="shared" si="856"/>
        <v>1608461.5</v>
      </c>
      <c r="N307" s="60">
        <f t="shared" si="857"/>
        <v>1786559</v>
      </c>
      <c r="O307" s="60">
        <f t="shared" si="858"/>
        <v>2002104.5</v>
      </c>
      <c r="P307" s="60">
        <f t="shared" si="859"/>
        <v>4132545.4095968455</v>
      </c>
      <c r="Q307" s="60">
        <f t="shared" si="860"/>
        <v>6689673.2679029778</v>
      </c>
      <c r="R307" s="60">
        <f t="shared" si="861"/>
        <v>7821428.2153930096</v>
      </c>
      <c r="S307" s="60">
        <f t="shared" si="862"/>
        <v>8956690.6748563386</v>
      </c>
      <c r="T307" s="60">
        <f t="shared" si="863"/>
        <v>9447971.3238851242</v>
      </c>
      <c r="U307" s="60">
        <f t="shared" si="864"/>
        <v>9950958.7998635359</v>
      </c>
      <c r="V307" s="60">
        <f t="shared" si="865"/>
        <v>11631256.885423943</v>
      </c>
      <c r="W307" s="60">
        <f t="shared" si="866"/>
        <v>12834552.165490663</v>
      </c>
      <c r="X307" s="60">
        <f t="shared" si="867"/>
        <v>13185173.871351637</v>
      </c>
      <c r="Y307" s="60">
        <f t="shared" si="868"/>
        <v>13941227.918892434</v>
      </c>
      <c r="AL307" s="509">
        <v>1228372</v>
      </c>
      <c r="AM307" s="509">
        <v>1304531</v>
      </c>
      <c r="AN307" s="509">
        <v>1381486</v>
      </c>
      <c r="AO307" s="509">
        <v>1547100</v>
      </c>
      <c r="AP307" s="509">
        <v>1669823</v>
      </c>
      <c r="AQ307" s="509">
        <v>1903295</v>
      </c>
      <c r="AR307" s="509">
        <v>2100914</v>
      </c>
      <c r="AS307" s="741">
        <f>AS579</f>
        <v>6164176.819193691</v>
      </c>
      <c r="AT307" s="741">
        <f t="shared" ref="AT307:BB307" si="873">AT579</f>
        <v>7215169.7166122645</v>
      </c>
      <c r="AU307" s="741">
        <f t="shared" si="873"/>
        <v>8427686.7141737547</v>
      </c>
      <c r="AV307" s="741">
        <f t="shared" si="873"/>
        <v>9485694.6355389226</v>
      </c>
      <c r="AW307" s="741">
        <f t="shared" si="873"/>
        <v>9410248.0122313239</v>
      </c>
      <c r="AX307" s="741">
        <f t="shared" si="873"/>
        <v>10491669.58749575</v>
      </c>
      <c r="AY307" s="741">
        <f t="shared" si="873"/>
        <v>12770844.183352139</v>
      </c>
      <c r="AZ307" s="741">
        <f t="shared" si="873"/>
        <v>12898260.147629187</v>
      </c>
      <c r="BA307" s="741">
        <f t="shared" si="873"/>
        <v>13472087.595074086</v>
      </c>
      <c r="BB307" s="741">
        <f t="shared" si="873"/>
        <v>14410368.242710782</v>
      </c>
      <c r="BC307" s="228"/>
    </row>
    <row r="308" spans="5:55" ht="14.25" x14ac:dyDescent="0.2">
      <c r="E308" s="611" t="s">
        <v>170</v>
      </c>
      <c r="J308" s="60">
        <f t="shared" si="853"/>
        <v>38811.5</v>
      </c>
      <c r="K308" s="60">
        <f t="shared" si="854"/>
        <v>39585.5</v>
      </c>
      <c r="L308" s="60">
        <f t="shared" si="855"/>
        <v>40309</v>
      </c>
      <c r="M308" s="60">
        <f t="shared" si="856"/>
        <v>41041</v>
      </c>
      <c r="N308" s="60">
        <f t="shared" si="857"/>
        <v>41900.5</v>
      </c>
      <c r="O308" s="60">
        <f t="shared" si="858"/>
        <v>42823</v>
      </c>
      <c r="P308" s="60">
        <f t="shared" si="859"/>
        <v>-384412.14768391266</v>
      </c>
      <c r="Q308" s="60">
        <f t="shared" si="860"/>
        <v>-528400.05701552948</v>
      </c>
      <c r="R308" s="60">
        <f t="shared" si="861"/>
        <v>60768.208847094502</v>
      </c>
      <c r="S308" s="60">
        <f t="shared" si="862"/>
        <v>-10938.950390136975</v>
      </c>
      <c r="T308" s="60">
        <f t="shared" si="863"/>
        <v>-796443.39979885926</v>
      </c>
      <c r="U308" s="60">
        <f t="shared" si="864"/>
        <v>-818755.91996415658</v>
      </c>
      <c r="V308" s="60">
        <f t="shared" si="865"/>
        <v>-76419.930077759724</v>
      </c>
      <c r="W308" s="60">
        <f t="shared" si="866"/>
        <v>-170775.95546078574</v>
      </c>
      <c r="X308" s="60">
        <f t="shared" si="867"/>
        <v>-328930.57698787493</v>
      </c>
      <c r="Y308" s="60">
        <f t="shared" si="868"/>
        <v>-375363.89668371261</v>
      </c>
      <c r="AL308" s="509">
        <v>38427</v>
      </c>
      <c r="AM308" s="509">
        <v>39196</v>
      </c>
      <c r="AN308" s="509">
        <v>39975</v>
      </c>
      <c r="AO308" s="509">
        <v>40643</v>
      </c>
      <c r="AP308" s="509">
        <v>41439</v>
      </c>
      <c r="AQ308" s="509">
        <v>42362</v>
      </c>
      <c r="AR308" s="509">
        <v>43284</v>
      </c>
      <c r="AS308" s="741">
        <f>AS580</f>
        <v>-812108.29536782531</v>
      </c>
      <c r="AT308" s="741">
        <f t="shared" ref="AT308:BB308" si="874">AT580</f>
        <v>-244691.8186632336</v>
      </c>
      <c r="AU308" s="741">
        <f t="shared" si="874"/>
        <v>366228.2363574226</v>
      </c>
      <c r="AV308" s="741">
        <f t="shared" si="874"/>
        <v>-388106.13713769655</v>
      </c>
      <c r="AW308" s="741">
        <f t="shared" si="874"/>
        <v>-1204780.6624600219</v>
      </c>
      <c r="AX308" s="741">
        <f t="shared" si="874"/>
        <v>-432731.17746829119</v>
      </c>
      <c r="AY308" s="741">
        <f t="shared" si="874"/>
        <v>279891.31731277175</v>
      </c>
      <c r="AZ308" s="741">
        <f t="shared" si="874"/>
        <v>-621443.22823434323</v>
      </c>
      <c r="BA308" s="741">
        <f t="shared" si="874"/>
        <v>-36417.925741406681</v>
      </c>
      <c r="BB308" s="741">
        <f t="shared" si="874"/>
        <v>-714309.86762601859</v>
      </c>
      <c r="BC308" s="228"/>
    </row>
    <row r="309" spans="5:55" ht="15" x14ac:dyDescent="0.25">
      <c r="E309" s="610" t="s">
        <v>171</v>
      </c>
      <c r="J309" s="60">
        <f t="shared" si="853"/>
        <v>1030282</v>
      </c>
      <c r="K309" s="60">
        <f t="shared" si="854"/>
        <v>1222474.5</v>
      </c>
      <c r="L309" s="60">
        <f t="shared" si="855"/>
        <v>1434386.5</v>
      </c>
      <c r="M309" s="60">
        <f t="shared" si="856"/>
        <v>1607252</v>
      </c>
      <c r="N309" s="60">
        <f t="shared" si="857"/>
        <v>1829169.5</v>
      </c>
      <c r="O309" s="60">
        <f t="shared" si="858"/>
        <v>2074547</v>
      </c>
      <c r="P309" s="60">
        <f t="shared" si="859"/>
        <v>3059559.1979196332</v>
      </c>
      <c r="Q309" s="60">
        <f t="shared" si="860"/>
        <v>3983748.0497741108</v>
      </c>
      <c r="R309" s="60">
        <f t="shared" si="861"/>
        <v>4535360.8922057841</v>
      </c>
      <c r="S309" s="60">
        <f t="shared" si="862"/>
        <v>5230749.1951710172</v>
      </c>
      <c r="T309" s="60">
        <f t="shared" si="863"/>
        <v>5491710.3198169395</v>
      </c>
      <c r="U309" s="60">
        <f t="shared" si="864"/>
        <v>5776115.926846154</v>
      </c>
      <c r="V309" s="60">
        <f t="shared" si="865"/>
        <v>6267122.9705076665</v>
      </c>
      <c r="W309" s="60">
        <f t="shared" si="866"/>
        <v>7095648.6856943686</v>
      </c>
      <c r="X309" s="60">
        <f t="shared" si="867"/>
        <v>7646309.4133024551</v>
      </c>
      <c r="Y309" s="60">
        <f t="shared" si="868"/>
        <v>8348975.6226405231</v>
      </c>
      <c r="AL309" s="508">
        <f>AL310+AL311</f>
        <v>936744</v>
      </c>
      <c r="AM309" s="508">
        <f t="shared" ref="AM309:BB309" si="875">AM310+AM311</f>
        <v>1123820</v>
      </c>
      <c r="AN309" s="508">
        <f t="shared" si="875"/>
        <v>1321129</v>
      </c>
      <c r="AO309" s="508">
        <f t="shared" si="875"/>
        <v>1547644</v>
      </c>
      <c r="AP309" s="508">
        <f t="shared" si="875"/>
        <v>1666860</v>
      </c>
      <c r="AQ309" s="508">
        <f t="shared" si="875"/>
        <v>1991479</v>
      </c>
      <c r="AR309" s="508">
        <f t="shared" si="875"/>
        <v>2157615</v>
      </c>
      <c r="AS309" s="508">
        <f t="shared" si="875"/>
        <v>3961503.395839266</v>
      </c>
      <c r="AT309" s="508">
        <f t="shared" si="875"/>
        <v>4005992.7037089556</v>
      </c>
      <c r="AU309" s="508">
        <f t="shared" si="875"/>
        <v>5064729.0807026122</v>
      </c>
      <c r="AV309" s="508">
        <f t="shared" si="875"/>
        <v>5396769.3096394213</v>
      </c>
      <c r="AW309" s="508">
        <f t="shared" si="875"/>
        <v>5586651.3299944587</v>
      </c>
      <c r="AX309" s="508">
        <f t="shared" si="875"/>
        <v>5965580.5236978503</v>
      </c>
      <c r="AY309" s="508">
        <f t="shared" si="875"/>
        <v>6568665.4173174817</v>
      </c>
      <c r="AZ309" s="508">
        <f t="shared" si="875"/>
        <v>7622631.9540712554</v>
      </c>
      <c r="BA309" s="508">
        <f t="shared" si="875"/>
        <v>7669986.8725336548</v>
      </c>
      <c r="BB309" s="508">
        <f t="shared" si="875"/>
        <v>9027964.3727473915</v>
      </c>
      <c r="BC309" s="228"/>
    </row>
    <row r="310" spans="5:55" ht="14.25" x14ac:dyDescent="0.2">
      <c r="E310" s="611" t="s">
        <v>172</v>
      </c>
      <c r="J310" s="60">
        <f t="shared" si="853"/>
        <v>455669.5</v>
      </c>
      <c r="K310" s="60">
        <f t="shared" si="854"/>
        <v>531333</v>
      </c>
      <c r="L310" s="60">
        <f t="shared" si="855"/>
        <v>671438</v>
      </c>
      <c r="M310" s="60">
        <f t="shared" si="856"/>
        <v>780287</v>
      </c>
      <c r="N310" s="60">
        <f t="shared" si="857"/>
        <v>932088.5</v>
      </c>
      <c r="O310" s="60">
        <f t="shared" si="858"/>
        <v>1084866</v>
      </c>
      <c r="P310" s="60">
        <f t="shared" si="859"/>
        <v>1772779.4137661899</v>
      </c>
      <c r="Q310" s="60">
        <f t="shared" si="860"/>
        <v>2290628.13710625</v>
      </c>
      <c r="R310" s="60">
        <f t="shared" si="861"/>
        <v>2423817.6741805393</v>
      </c>
      <c r="S310" s="60">
        <f t="shared" si="862"/>
        <v>2913995.2059823386</v>
      </c>
      <c r="T310" s="60">
        <f t="shared" si="863"/>
        <v>3283851.3910229495</v>
      </c>
      <c r="U310" s="60">
        <f t="shared" si="864"/>
        <v>3505421.9922491498</v>
      </c>
      <c r="V310" s="60">
        <f t="shared" si="865"/>
        <v>3704195.9465323109</v>
      </c>
      <c r="W310" s="60">
        <f t="shared" si="866"/>
        <v>4052645.1493847845</v>
      </c>
      <c r="X310" s="60">
        <f t="shared" si="867"/>
        <v>4087625.0612544417</v>
      </c>
      <c r="Y310" s="60">
        <f t="shared" si="868"/>
        <v>4406608.3488433007</v>
      </c>
      <c r="AL310" s="509">
        <v>445469</v>
      </c>
      <c r="AM310" s="509">
        <v>465870</v>
      </c>
      <c r="AN310" s="509">
        <v>596796</v>
      </c>
      <c r="AO310" s="509">
        <v>746080</v>
      </c>
      <c r="AP310" s="509">
        <v>814494</v>
      </c>
      <c r="AQ310" s="509">
        <v>1049683</v>
      </c>
      <c r="AR310" s="509">
        <v>1120049</v>
      </c>
      <c r="AS310" s="741">
        <f>AS582</f>
        <v>2425509.8275323799</v>
      </c>
      <c r="AT310" s="741">
        <f t="shared" ref="AT310:BB310" si="876">AT582</f>
        <v>2155746.4466801202</v>
      </c>
      <c r="AU310" s="741">
        <f t="shared" si="876"/>
        <v>2691888.901680958</v>
      </c>
      <c r="AV310" s="741">
        <f t="shared" si="876"/>
        <v>3136101.5102837188</v>
      </c>
      <c r="AW310" s="741">
        <f t="shared" si="876"/>
        <v>3431601.2717621806</v>
      </c>
      <c r="AX310" s="741">
        <f t="shared" si="876"/>
        <v>3579242.7127361186</v>
      </c>
      <c r="AY310" s="741">
        <f t="shared" si="876"/>
        <v>3829149.1803285033</v>
      </c>
      <c r="AZ310" s="741">
        <f t="shared" si="876"/>
        <v>4276141.1184410658</v>
      </c>
      <c r="BA310" s="741">
        <f t="shared" si="876"/>
        <v>3899109.0040678172</v>
      </c>
      <c r="BB310" s="741">
        <f t="shared" si="876"/>
        <v>4914107.6936187847</v>
      </c>
      <c r="BC310" s="228"/>
    </row>
    <row r="311" spans="5:55" ht="14.25" x14ac:dyDescent="0.2">
      <c r="E311" s="611" t="s">
        <v>173</v>
      </c>
      <c r="J311" s="60">
        <f t="shared" si="853"/>
        <v>574612.5</v>
      </c>
      <c r="K311" s="60">
        <f t="shared" si="854"/>
        <v>691141.5</v>
      </c>
      <c r="L311" s="60">
        <f t="shared" si="855"/>
        <v>762948.5</v>
      </c>
      <c r="M311" s="60">
        <f t="shared" si="856"/>
        <v>826965</v>
      </c>
      <c r="N311" s="60">
        <f t="shared" si="857"/>
        <v>897081</v>
      </c>
      <c r="O311" s="60">
        <f t="shared" si="858"/>
        <v>989681</v>
      </c>
      <c r="P311" s="60">
        <f t="shared" si="859"/>
        <v>1286779.7841534431</v>
      </c>
      <c r="Q311" s="60">
        <f t="shared" si="860"/>
        <v>1693119.9126678607</v>
      </c>
      <c r="R311" s="60">
        <f t="shared" si="861"/>
        <v>2111543.2180252448</v>
      </c>
      <c r="S311" s="60">
        <f t="shared" si="862"/>
        <v>2316753.9891886786</v>
      </c>
      <c r="T311" s="60">
        <f t="shared" si="863"/>
        <v>2207858.9287939901</v>
      </c>
      <c r="U311" s="60">
        <f t="shared" si="864"/>
        <v>2270693.9345970051</v>
      </c>
      <c r="V311" s="60">
        <f t="shared" si="865"/>
        <v>2562927.0239753551</v>
      </c>
      <c r="W311" s="60">
        <f t="shared" si="866"/>
        <v>3043003.536309584</v>
      </c>
      <c r="X311" s="60">
        <f t="shared" si="867"/>
        <v>3558684.3520480138</v>
      </c>
      <c r="Y311" s="60">
        <f t="shared" si="868"/>
        <v>3942367.2737972224</v>
      </c>
      <c r="AL311" s="509">
        <v>491275</v>
      </c>
      <c r="AM311" s="509">
        <v>657950</v>
      </c>
      <c r="AN311" s="509">
        <v>724333</v>
      </c>
      <c r="AO311" s="509">
        <v>801564</v>
      </c>
      <c r="AP311" s="509">
        <v>852366</v>
      </c>
      <c r="AQ311" s="509">
        <v>941796</v>
      </c>
      <c r="AR311" s="509">
        <v>1037566</v>
      </c>
      <c r="AS311" s="741">
        <f>AS583</f>
        <v>1535993.5683068861</v>
      </c>
      <c r="AT311" s="741">
        <f t="shared" ref="AT311:BB311" si="877">AT583</f>
        <v>1850246.2570288354</v>
      </c>
      <c r="AU311" s="741">
        <f t="shared" si="877"/>
        <v>2372840.1790216547</v>
      </c>
      <c r="AV311" s="741">
        <f t="shared" si="877"/>
        <v>2260667.7993557025</v>
      </c>
      <c r="AW311" s="741">
        <f t="shared" si="877"/>
        <v>2155050.0582322781</v>
      </c>
      <c r="AX311" s="741">
        <f t="shared" si="877"/>
        <v>2386337.8109617317</v>
      </c>
      <c r="AY311" s="741">
        <f t="shared" si="877"/>
        <v>2739516.2369889785</v>
      </c>
      <c r="AZ311" s="741">
        <f t="shared" si="877"/>
        <v>3346490.8356301896</v>
      </c>
      <c r="BA311" s="741">
        <f t="shared" si="877"/>
        <v>3770877.868465838</v>
      </c>
      <c r="BB311" s="741">
        <f t="shared" si="877"/>
        <v>4113856.6791286068</v>
      </c>
      <c r="BC311" s="228"/>
    </row>
    <row r="312" spans="5:55" ht="15" x14ac:dyDescent="0.25">
      <c r="E312" s="610" t="s">
        <v>174</v>
      </c>
      <c r="J312" s="60">
        <f t="shared" si="853"/>
        <v>-1711845.5</v>
      </c>
      <c r="K312" s="60">
        <f t="shared" si="854"/>
        <v>-1786306.5</v>
      </c>
      <c r="L312" s="60">
        <f t="shared" si="855"/>
        <v>-1862192</v>
      </c>
      <c r="M312" s="60">
        <f t="shared" si="856"/>
        <v>-2024569</v>
      </c>
      <c r="N312" s="60">
        <f t="shared" si="857"/>
        <v>-2338872.5</v>
      </c>
      <c r="O312" s="60">
        <f t="shared" si="858"/>
        <v>-2688052</v>
      </c>
      <c r="P312" s="60">
        <f t="shared" si="859"/>
        <v>1012661.9289206513</v>
      </c>
      <c r="Q312" s="60">
        <f t="shared" si="860"/>
        <v>5285382.9489654209</v>
      </c>
      <c r="R312" s="60">
        <f t="shared" si="861"/>
        <v>6726743.6736598816</v>
      </c>
      <c r="S312" s="60">
        <f t="shared" si="862"/>
        <v>8181044.7914357744</v>
      </c>
      <c r="T312" s="60">
        <f t="shared" si="863"/>
        <v>8538169.6759389937</v>
      </c>
      <c r="U312" s="60">
        <f t="shared" si="864"/>
        <v>9053657.3296730127</v>
      </c>
      <c r="V312" s="60">
        <f t="shared" si="865"/>
        <v>10925236.554421593</v>
      </c>
      <c r="W312" s="60">
        <f t="shared" si="866"/>
        <v>12128191.290026292</v>
      </c>
      <c r="X312" s="60">
        <f t="shared" si="867"/>
        <v>12745093.534200525</v>
      </c>
      <c r="Y312" s="60">
        <f t="shared" si="868"/>
        <v>13604352.694328783</v>
      </c>
      <c r="AL312" s="508">
        <f>AL313+AL314</f>
        <v>-1638588</v>
      </c>
      <c r="AM312" s="508">
        <f t="shared" ref="AM312:BB312" si="878">AM313+AM314</f>
        <v>-1785103</v>
      </c>
      <c r="AN312" s="508">
        <f t="shared" si="878"/>
        <v>-1787510</v>
      </c>
      <c r="AO312" s="508">
        <f t="shared" si="878"/>
        <v>-1936874</v>
      </c>
      <c r="AP312" s="508">
        <f t="shared" si="878"/>
        <v>-2112264</v>
      </c>
      <c r="AQ312" s="508">
        <f t="shared" si="878"/>
        <v>-2565481</v>
      </c>
      <c r="AR312" s="508">
        <f t="shared" si="878"/>
        <v>-2810623</v>
      </c>
      <c r="AS312" s="508">
        <f t="shared" si="878"/>
        <v>4835946.8578413026</v>
      </c>
      <c r="AT312" s="508">
        <f t="shared" si="878"/>
        <v>5734819.0400895402</v>
      </c>
      <c r="AU312" s="508">
        <f t="shared" si="878"/>
        <v>7718668.3072302239</v>
      </c>
      <c r="AV312" s="508">
        <f t="shared" si="878"/>
        <v>8643421.2756413259</v>
      </c>
      <c r="AW312" s="508">
        <f t="shared" si="878"/>
        <v>8432918.0762366615</v>
      </c>
      <c r="AX312" s="508">
        <f t="shared" si="878"/>
        <v>9674396.5831093639</v>
      </c>
      <c r="AY312" s="508">
        <f t="shared" si="878"/>
        <v>12176076.525733821</v>
      </c>
      <c r="AZ312" s="508">
        <f t="shared" si="878"/>
        <v>12080306.054318763</v>
      </c>
      <c r="BA312" s="508">
        <f t="shared" si="878"/>
        <v>13409881.014082287</v>
      </c>
      <c r="BB312" s="508">
        <f t="shared" si="878"/>
        <v>13798824.37457528</v>
      </c>
    </row>
    <row r="313" spans="5:55" ht="14.25" x14ac:dyDescent="0.2">
      <c r="E313" s="611" t="s">
        <v>175</v>
      </c>
      <c r="J313" s="60">
        <f t="shared" si="853"/>
        <v>-1049004.5</v>
      </c>
      <c r="K313" s="60">
        <f t="shared" si="854"/>
        <v>-1143952.5</v>
      </c>
      <c r="L313" s="60">
        <f t="shared" si="855"/>
        <v>-1262457</v>
      </c>
      <c r="M313" s="60">
        <f t="shared" si="856"/>
        <v>-1428262.5</v>
      </c>
      <c r="N313" s="60">
        <f t="shared" si="857"/>
        <v>-1677200.5</v>
      </c>
      <c r="O313" s="60">
        <f t="shared" si="858"/>
        <v>-1941816.5</v>
      </c>
      <c r="P313" s="60">
        <f t="shared" si="859"/>
        <v>954286.84197156155</v>
      </c>
      <c r="Q313" s="60">
        <f t="shared" si="860"/>
        <v>4234352.7743687043</v>
      </c>
      <c r="R313" s="60">
        <f t="shared" si="861"/>
        <v>5542658.9725913452</v>
      </c>
      <c r="S313" s="60">
        <f t="shared" si="862"/>
        <v>6793967.2107070349</v>
      </c>
      <c r="T313" s="60">
        <f t="shared" si="863"/>
        <v>6816236.8950177711</v>
      </c>
      <c r="U313" s="60">
        <f t="shared" si="864"/>
        <v>7122977.6377434637</v>
      </c>
      <c r="V313" s="60">
        <f t="shared" si="865"/>
        <v>8743889.1339573357</v>
      </c>
      <c r="W313" s="60">
        <f t="shared" si="866"/>
        <v>9695428.4213573392</v>
      </c>
      <c r="X313" s="60">
        <f t="shared" si="867"/>
        <v>10155985.40976426</v>
      </c>
      <c r="Y313" s="60">
        <f t="shared" si="868"/>
        <v>10838663.286508597</v>
      </c>
      <c r="AL313" s="509">
        <v>-967544</v>
      </c>
      <c r="AM313" s="509">
        <v>-1130465</v>
      </c>
      <c r="AN313" s="509">
        <v>-1157440</v>
      </c>
      <c r="AO313" s="509">
        <v>-1367474</v>
      </c>
      <c r="AP313" s="509">
        <v>-1489051</v>
      </c>
      <c r="AQ313" s="509">
        <v>-1865350</v>
      </c>
      <c r="AR313" s="509">
        <v>-2018283</v>
      </c>
      <c r="AS313" s="741">
        <f>AS585</f>
        <v>3926856.6839431231</v>
      </c>
      <c r="AT313" s="741">
        <f t="shared" ref="AT313:BB313" si="879">AT585</f>
        <v>4541848.864794286</v>
      </c>
      <c r="AU313" s="741">
        <f t="shared" si="879"/>
        <v>6543469.0803884044</v>
      </c>
      <c r="AV313" s="741">
        <f t="shared" si="879"/>
        <v>7044465.3410256663</v>
      </c>
      <c r="AW313" s="741">
        <f t="shared" si="879"/>
        <v>6588008.4490098767</v>
      </c>
      <c r="AX313" s="741">
        <f t="shared" si="879"/>
        <v>7657946.8264770517</v>
      </c>
      <c r="AY313" s="741">
        <f t="shared" si="879"/>
        <v>9829831.4414376207</v>
      </c>
      <c r="AZ313" s="741">
        <f t="shared" si="879"/>
        <v>9561025.4012770578</v>
      </c>
      <c r="BA313" s="741">
        <f t="shared" si="879"/>
        <v>10750945.418251462</v>
      </c>
      <c r="BB313" s="741">
        <f t="shared" si="879"/>
        <v>10926381.154765734</v>
      </c>
    </row>
    <row r="314" spans="5:55" ht="15" thickBot="1" x14ac:dyDescent="0.25">
      <c r="E314" s="613" t="s">
        <v>176</v>
      </c>
      <c r="J314" s="237">
        <f t="shared" si="853"/>
        <v>-662841</v>
      </c>
      <c r="K314" s="237">
        <f t="shared" si="854"/>
        <v>-642354</v>
      </c>
      <c r="L314" s="237">
        <f t="shared" si="855"/>
        <v>-599735</v>
      </c>
      <c r="M314" s="237">
        <f t="shared" si="856"/>
        <v>-596306.5</v>
      </c>
      <c r="N314" s="237">
        <f t="shared" si="857"/>
        <v>-661672</v>
      </c>
      <c r="O314" s="237">
        <f t="shared" si="858"/>
        <v>-746235.5</v>
      </c>
      <c r="P314" s="237">
        <f t="shared" si="859"/>
        <v>58375.086949089891</v>
      </c>
      <c r="Q314" s="237">
        <f t="shared" si="860"/>
        <v>1051030.1745967171</v>
      </c>
      <c r="R314" s="237">
        <f t="shared" si="861"/>
        <v>1184084.7010685371</v>
      </c>
      <c r="S314" s="237">
        <f t="shared" si="862"/>
        <v>1387077.5807287395</v>
      </c>
      <c r="T314" s="237">
        <f t="shared" si="863"/>
        <v>1721932.7809212224</v>
      </c>
      <c r="U314" s="237">
        <f t="shared" si="864"/>
        <v>1930679.6919295485</v>
      </c>
      <c r="V314" s="237">
        <f t="shared" si="865"/>
        <v>2181347.4204642563</v>
      </c>
      <c r="W314" s="237">
        <f t="shared" si="866"/>
        <v>2432762.868668953</v>
      </c>
      <c r="X314" s="237">
        <f t="shared" si="867"/>
        <v>2589108.1244362639</v>
      </c>
      <c r="Y314" s="237">
        <f t="shared" si="868"/>
        <v>2765689.4078201842</v>
      </c>
      <c r="AL314" s="510">
        <v>-671044</v>
      </c>
      <c r="AM314" s="510">
        <v>-654638</v>
      </c>
      <c r="AN314" s="510">
        <v>-630070</v>
      </c>
      <c r="AO314" s="510">
        <v>-569400</v>
      </c>
      <c r="AP314" s="510">
        <v>-623213</v>
      </c>
      <c r="AQ314" s="510">
        <v>-700131</v>
      </c>
      <c r="AR314" s="510">
        <v>-792340</v>
      </c>
      <c r="AS314" s="742">
        <f>AS586</f>
        <v>909090.17389817978</v>
      </c>
      <c r="AT314" s="742">
        <f t="shared" ref="AT314:BB314" si="880">AT586</f>
        <v>1192970.1752952544</v>
      </c>
      <c r="AU314" s="742">
        <f t="shared" si="880"/>
        <v>1175199.2268418197</v>
      </c>
      <c r="AV314" s="742">
        <f t="shared" si="880"/>
        <v>1598955.9346156593</v>
      </c>
      <c r="AW314" s="742">
        <f t="shared" si="880"/>
        <v>1844909.6272267855</v>
      </c>
      <c r="AX314" s="742">
        <f t="shared" si="880"/>
        <v>2016449.7566323113</v>
      </c>
      <c r="AY314" s="742">
        <f t="shared" si="880"/>
        <v>2346245.0842962014</v>
      </c>
      <c r="AZ314" s="742">
        <f t="shared" si="880"/>
        <v>2519280.6530417046</v>
      </c>
      <c r="BA314" s="742">
        <f t="shared" si="880"/>
        <v>2658935.5958308238</v>
      </c>
      <c r="BB314" s="742">
        <f t="shared" si="880"/>
        <v>2872443.2198095447</v>
      </c>
    </row>
    <row r="315" spans="5:55" ht="15.75" x14ac:dyDescent="0.25">
      <c r="E315" s="687" t="s">
        <v>607</v>
      </c>
      <c r="AS315" s="618">
        <f>AS587</f>
        <v>46165.981659188867</v>
      </c>
      <c r="AT315" s="618">
        <f>AT587</f>
        <v>-359478.4612663649</v>
      </c>
      <c r="AU315" s="618">
        <f t="shared" ref="AU315:BB315" si="881">AU587</f>
        <v>0.40074937418103218</v>
      </c>
      <c r="AV315" s="618">
        <f t="shared" si="881"/>
        <v>-296315.50100630522</v>
      </c>
      <c r="AW315" s="618">
        <f t="shared" si="881"/>
        <v>127111.22152590007</v>
      </c>
      <c r="AX315" s="618">
        <f t="shared" si="881"/>
        <v>297578.98087926954</v>
      </c>
      <c r="AY315" s="618">
        <f t="shared" si="881"/>
        <v>-169686.86051148176</v>
      </c>
      <c r="AZ315" s="618">
        <f t="shared" si="881"/>
        <v>-147535.05445575714</v>
      </c>
      <c r="BA315" s="618">
        <f t="shared" si="881"/>
        <v>-345906.1171631366</v>
      </c>
      <c r="BB315" s="618">
        <f t="shared" si="881"/>
        <v>-19097.277353666723</v>
      </c>
    </row>
    <row r="333" spans="5:39" x14ac:dyDescent="0.2">
      <c r="E333" s="9" t="s">
        <v>277</v>
      </c>
      <c r="AL333" s="172">
        <f>AL334+AL338+AL339+AL342</f>
        <v>1301187</v>
      </c>
      <c r="AM333" s="172">
        <f>AM334+AM338+AM339+AM342</f>
        <v>1348963</v>
      </c>
    </row>
    <row r="334" spans="5:39" x14ac:dyDescent="0.2">
      <c r="E334" s="9" t="s">
        <v>101</v>
      </c>
      <c r="AL334" s="172">
        <f>SUM(AL335:AL337)</f>
        <v>921946</v>
      </c>
      <c r="AM334" s="172">
        <f>SUM(AM335:AM337)</f>
        <v>953129</v>
      </c>
    </row>
    <row r="335" spans="5:39" x14ac:dyDescent="0.2">
      <c r="E335" s="183" t="s">
        <v>102</v>
      </c>
      <c r="AL335" s="168">
        <v>727475</v>
      </c>
      <c r="AM335" s="168">
        <v>752936</v>
      </c>
    </row>
    <row r="336" spans="5:39" x14ac:dyDescent="0.2">
      <c r="E336" s="183" t="s">
        <v>103</v>
      </c>
      <c r="AL336" s="168">
        <v>122831</v>
      </c>
      <c r="AM336" s="168">
        <v>126762</v>
      </c>
    </row>
    <row r="337" spans="5:54" x14ac:dyDescent="0.2">
      <c r="E337" s="183" t="s">
        <v>278</v>
      </c>
      <c r="AL337" s="168">
        <v>71640</v>
      </c>
      <c r="AM337" s="168">
        <v>73431</v>
      </c>
    </row>
    <row r="338" spans="5:54" x14ac:dyDescent="0.2">
      <c r="E338" s="170" t="s">
        <v>105</v>
      </c>
      <c r="AL338" s="172">
        <v>3468</v>
      </c>
      <c r="AM338" s="172">
        <v>3565</v>
      </c>
    </row>
    <row r="339" spans="5:54" x14ac:dyDescent="0.2">
      <c r="E339" s="170" t="s">
        <v>279</v>
      </c>
      <c r="AL339" s="172">
        <f>SUM(AL340:AL341)</f>
        <v>77207</v>
      </c>
      <c r="AM339" s="172">
        <f>SUM(AM340:AM341)</f>
        <v>80268</v>
      </c>
    </row>
    <row r="340" spans="5:54" x14ac:dyDescent="0.2">
      <c r="E340" s="183" t="s">
        <v>280</v>
      </c>
      <c r="AL340" s="168">
        <v>13010</v>
      </c>
      <c r="AM340" s="168">
        <v>13374</v>
      </c>
    </row>
    <row r="341" spans="5:54" x14ac:dyDescent="0.2">
      <c r="E341" s="183" t="s">
        <v>109</v>
      </c>
      <c r="AL341" s="168">
        <v>64197</v>
      </c>
      <c r="AM341" s="168">
        <v>66894</v>
      </c>
    </row>
    <row r="342" spans="5:54" x14ac:dyDescent="0.2">
      <c r="E342" s="170" t="s">
        <v>110</v>
      </c>
      <c r="AL342" s="172">
        <f>AL343</f>
        <v>298566</v>
      </c>
      <c r="AM342" s="172">
        <f>AM343</f>
        <v>312001</v>
      </c>
    </row>
    <row r="343" spans="5:54" x14ac:dyDescent="0.2">
      <c r="E343" s="183" t="s">
        <v>281</v>
      </c>
      <c r="AL343" s="168">
        <v>298566</v>
      </c>
      <c r="AM343" s="168">
        <v>312001</v>
      </c>
    </row>
    <row r="345" spans="5:54" x14ac:dyDescent="0.2">
      <c r="E345" s="170" t="s">
        <v>282</v>
      </c>
      <c r="AL345" s="169">
        <f>AL116-AL333</f>
        <v>6502739</v>
      </c>
      <c r="AM345" s="169">
        <f>AM116-AM333</f>
        <v>6832708</v>
      </c>
    </row>
    <row r="348" spans="5:54" x14ac:dyDescent="0.2">
      <c r="E348" s="177" t="s">
        <v>101</v>
      </c>
      <c r="AM348" s="29">
        <f t="shared" ref="AM348:BB348" si="882">AM55/AL55-1</f>
        <v>0.14534103485169925</v>
      </c>
      <c r="AN348" s="29">
        <f t="shared" si="882"/>
        <v>0.17060622028022854</v>
      </c>
      <c r="AO348" s="29">
        <f t="shared" si="882"/>
        <v>0.2883229033745347</v>
      </c>
      <c r="AP348" s="29">
        <f t="shared" si="882"/>
        <v>0.12644759966246055</v>
      </c>
      <c r="AQ348" s="29">
        <f t="shared" si="882"/>
        <v>0.15136541910354517</v>
      </c>
      <c r="AR348" s="29">
        <f t="shared" si="882"/>
        <v>0.17818675947259366</v>
      </c>
      <c r="AS348" s="29">
        <f t="shared" si="882"/>
        <v>8.8363389089952449E-2</v>
      </c>
      <c r="AT348" s="29">
        <f t="shared" si="882"/>
        <v>0.23705483069601141</v>
      </c>
      <c r="AU348" s="29">
        <f t="shared" si="882"/>
        <v>6.1447030620173981E-2</v>
      </c>
      <c r="AV348" s="29">
        <f t="shared" si="882"/>
        <v>0.31350179885039742</v>
      </c>
      <c r="AW348" s="29">
        <f t="shared" si="882"/>
        <v>0.20937666478749084</v>
      </c>
      <c r="AX348" s="29">
        <f t="shared" si="882"/>
        <v>0.1492327984128623</v>
      </c>
      <c r="AY348" s="29">
        <f t="shared" si="882"/>
        <v>0.18139490504143896</v>
      </c>
      <c r="AZ348" s="29">
        <f t="shared" si="882"/>
        <v>0.23290708435696006</v>
      </c>
      <c r="BA348" s="29">
        <f t="shared" si="882"/>
        <v>0.15886750505772551</v>
      </c>
      <c r="BB348" s="29">
        <f t="shared" si="882"/>
        <v>3.7959346708849484E-2</v>
      </c>
    </row>
    <row r="349" spans="5:54" x14ac:dyDescent="0.2">
      <c r="E349" s="191" t="s">
        <v>102</v>
      </c>
      <c r="AM349" s="29">
        <f t="shared" ref="AM349:BB349" si="883">AM56/AL56-1</f>
        <v>0.1329363522959115</v>
      </c>
      <c r="AN349" s="29">
        <f t="shared" si="883"/>
        <v>8.6341073957178827E-2</v>
      </c>
      <c r="AO349" s="29">
        <f t="shared" si="883"/>
        <v>4.6981465850537862E-2</v>
      </c>
      <c r="AP349" s="29">
        <f t="shared" si="883"/>
        <v>0.14916351695448737</v>
      </c>
      <c r="AQ349" s="29">
        <f t="shared" si="883"/>
        <v>0.18127867296840305</v>
      </c>
      <c r="AR349" s="29">
        <f t="shared" si="883"/>
        <v>0.18220493294558637</v>
      </c>
      <c r="AS349" s="29">
        <f t="shared" si="883"/>
        <v>4.7791216870494591E-2</v>
      </c>
      <c r="AT349" s="29">
        <f t="shared" si="883"/>
        <v>0.24914850474947547</v>
      </c>
      <c r="AU349" s="29">
        <f t="shared" si="883"/>
        <v>-7.5774880108008924E-2</v>
      </c>
      <c r="AV349" s="29">
        <f t="shared" si="883"/>
        <v>0.39128793315779586</v>
      </c>
      <c r="AW349" s="29">
        <f t="shared" si="883"/>
        <v>0.20394588502552824</v>
      </c>
      <c r="AX349" s="29">
        <f t="shared" si="883"/>
        <v>0.2069174117754542</v>
      </c>
      <c r="AY349" s="29">
        <f t="shared" si="883"/>
        <v>0.19240049520395752</v>
      </c>
      <c r="AZ349" s="29">
        <f t="shared" si="883"/>
        <v>0.27034327626630872</v>
      </c>
      <c r="BA349" s="29">
        <f t="shared" si="883"/>
        <v>0.12495993158379859</v>
      </c>
      <c r="BB349" s="29">
        <f t="shared" si="883"/>
        <v>3.5257175210528624E-2</v>
      </c>
    </row>
    <row r="350" spans="5:54" x14ac:dyDescent="0.2">
      <c r="E350" s="191" t="s">
        <v>103</v>
      </c>
      <c r="AM350" s="29">
        <f t="shared" ref="AM350:BB350" si="884">AM57/AL57-1</f>
        <v>0.23697815690836244</v>
      </c>
      <c r="AN350" s="29">
        <f t="shared" si="884"/>
        <v>0.20552449947465878</v>
      </c>
      <c r="AO350" s="29">
        <f t="shared" si="884"/>
        <v>1.2253735346118604</v>
      </c>
      <c r="AP350" s="29">
        <f t="shared" si="884"/>
        <v>9.4356706308439842E-2</v>
      </c>
      <c r="AQ350" s="29">
        <f t="shared" si="884"/>
        <v>0.12000000000000011</v>
      </c>
      <c r="AR350" s="29">
        <f t="shared" si="884"/>
        <v>0.18802740368223669</v>
      </c>
      <c r="AS350" s="29">
        <f t="shared" si="884"/>
        <v>0.1835547763074703</v>
      </c>
      <c r="AT350" s="29">
        <f t="shared" si="884"/>
        <v>0.24328639488597759</v>
      </c>
      <c r="AU350" s="29">
        <f t="shared" si="884"/>
        <v>0.26900267747535245</v>
      </c>
      <c r="AV350" s="29">
        <f t="shared" si="884"/>
        <v>0.21863198195699041</v>
      </c>
      <c r="AW350" s="29">
        <f t="shared" si="884"/>
        <v>0.18968145280909043</v>
      </c>
      <c r="AX350" s="29">
        <f t="shared" si="884"/>
        <v>8.9250994395016825E-2</v>
      </c>
      <c r="AY350" s="29">
        <f t="shared" si="884"/>
        <v>0.15218869302368421</v>
      </c>
      <c r="AZ350" s="29">
        <f t="shared" si="884"/>
        <v>0.13581775527690132</v>
      </c>
      <c r="BA350" s="29">
        <f t="shared" si="884"/>
        <v>0.12421997653328498</v>
      </c>
      <c r="BB350" s="29">
        <f t="shared" si="884"/>
        <v>7.6628667432854236E-4</v>
      </c>
    </row>
    <row r="351" spans="5:54" x14ac:dyDescent="0.2">
      <c r="E351" s="191" t="s">
        <v>126</v>
      </c>
      <c r="AM351" s="29">
        <f t="shared" ref="AM351:BB351" si="885">AM58/AL58-1</f>
        <v>0.10391999826836074</v>
      </c>
      <c r="AN351" s="29">
        <f t="shared" si="885"/>
        <v>7.3529411764705843E-2</v>
      </c>
      <c r="AO351" s="29">
        <f t="shared" si="885"/>
        <v>0.22642785509026919</v>
      </c>
      <c r="AP351" s="29">
        <f t="shared" si="885"/>
        <v>8.0476603119584045E-2</v>
      </c>
      <c r="AQ351" s="29">
        <f t="shared" si="885"/>
        <v>0.10245655120421526</v>
      </c>
      <c r="AR351" s="29">
        <f t="shared" si="885"/>
        <v>0.18042440820008432</v>
      </c>
      <c r="AS351" s="29">
        <f t="shared" si="885"/>
        <v>6.7744748510909725E-2</v>
      </c>
      <c r="AT351" s="29">
        <f t="shared" si="885"/>
        <v>0.23843577246147607</v>
      </c>
      <c r="AU351" s="29">
        <f t="shared" si="885"/>
        <v>0.28107966497200798</v>
      </c>
      <c r="AV351" s="29">
        <f t="shared" si="885"/>
        <v>0.17587205022184649</v>
      </c>
      <c r="AW351" s="29">
        <f t="shared" si="885"/>
        <v>0.17139795081758713</v>
      </c>
      <c r="AX351" s="29">
        <f t="shared" si="885"/>
        <v>8.4981776122305286E-2</v>
      </c>
      <c r="AY351" s="29">
        <f t="shared" si="885"/>
        <v>0.199462533295512</v>
      </c>
      <c r="AZ351" s="29">
        <f t="shared" si="885"/>
        <v>0.31477010361250368</v>
      </c>
      <c r="BA351" s="29">
        <f t="shared" si="885"/>
        <v>0.43785033312196697</v>
      </c>
      <c r="BB351" s="29">
        <f t="shared" si="885"/>
        <v>0.14947673138513773</v>
      </c>
    </row>
    <row r="352" spans="5:54" x14ac:dyDescent="0.2">
      <c r="E352" s="177" t="s">
        <v>105</v>
      </c>
      <c r="AM352" s="29">
        <f t="shared" ref="AM352:BB352" si="886">AM59/AL59-1</f>
        <v>0.11406666128641763</v>
      </c>
      <c r="AN352" s="29">
        <f t="shared" si="886"/>
        <v>5.254121874185036E-2</v>
      </c>
      <c r="AO352" s="29">
        <f t="shared" si="886"/>
        <v>0.6478521155404422</v>
      </c>
      <c r="AP352" s="29">
        <f t="shared" si="886"/>
        <v>0.12579070675517379</v>
      </c>
      <c r="AQ352" s="29">
        <f t="shared" si="886"/>
        <v>8.4999624253565109E-2</v>
      </c>
      <c r="AR352" s="29">
        <f t="shared" si="886"/>
        <v>0.10299798074515287</v>
      </c>
      <c r="AS352" s="29">
        <f t="shared" si="886"/>
        <v>9.0003622750875367E-2</v>
      </c>
      <c r="AT352" s="29">
        <f t="shared" si="886"/>
        <v>9.9882072064112704E-2</v>
      </c>
      <c r="AU352" s="29">
        <f t="shared" si="886"/>
        <v>9.8359592828447084E-2</v>
      </c>
      <c r="AV352" s="29">
        <f t="shared" si="886"/>
        <v>0.4222181608945712</v>
      </c>
      <c r="AW352" s="29">
        <f t="shared" si="886"/>
        <v>0.40159074616608859</v>
      </c>
      <c r="AX352" s="29">
        <f t="shared" si="886"/>
        <v>6.3004580385023878E-2</v>
      </c>
      <c r="AY352" s="29">
        <f t="shared" si="886"/>
        <v>0.20191183153758208</v>
      </c>
      <c r="AZ352" s="29">
        <f t="shared" si="886"/>
        <v>0.25593109887086141</v>
      </c>
      <c r="BA352" s="29">
        <f t="shared" si="886"/>
        <v>0.25711285680842422</v>
      </c>
      <c r="BB352" s="29">
        <f t="shared" si="886"/>
        <v>4.3203106161665561E-2</v>
      </c>
    </row>
    <row r="353" spans="5:54" x14ac:dyDescent="0.2">
      <c r="E353" s="177" t="s">
        <v>106</v>
      </c>
      <c r="AM353" s="29">
        <f t="shared" ref="AM353:BB353" si="887">AM60/AL60-1</f>
        <v>0.1374937788440298</v>
      </c>
      <c r="AN353" s="29">
        <f t="shared" si="887"/>
        <v>0.10500141688549669</v>
      </c>
      <c r="AO353" s="29">
        <f t="shared" si="887"/>
        <v>0.29268756894317938</v>
      </c>
      <c r="AP353" s="29">
        <f t="shared" si="887"/>
        <v>0.25631373410727454</v>
      </c>
      <c r="AQ353" s="29">
        <f t="shared" si="887"/>
        <v>0.2392170396721145</v>
      </c>
      <c r="AR353" s="29">
        <f t="shared" si="887"/>
        <v>0.14599140477559369</v>
      </c>
      <c r="AS353" s="29">
        <f t="shared" si="887"/>
        <v>0.11909861123204846</v>
      </c>
      <c r="AT353" s="29">
        <f t="shared" si="887"/>
        <v>0.27846578470007399</v>
      </c>
      <c r="AU353" s="29">
        <f t="shared" si="887"/>
        <v>0.12039671758989412</v>
      </c>
      <c r="AV353" s="29">
        <f t="shared" si="887"/>
        <v>0.23943042775213774</v>
      </c>
      <c r="AW353" s="29">
        <f t="shared" si="887"/>
        <v>4.7475945537564845E-2</v>
      </c>
      <c r="AX353" s="29">
        <f t="shared" si="887"/>
        <v>0.26809247933246083</v>
      </c>
      <c r="AY353" s="29">
        <f t="shared" si="887"/>
        <v>0.35128680183781191</v>
      </c>
      <c r="AZ353" s="29">
        <f t="shared" si="887"/>
        <v>0.11366475559291467</v>
      </c>
      <c r="BA353" s="29">
        <f t="shared" si="887"/>
        <v>0.20270758359792063</v>
      </c>
      <c r="BB353" s="29">
        <f t="shared" si="887"/>
        <v>0.13233040482900083</v>
      </c>
    </row>
    <row r="354" spans="5:54" x14ac:dyDescent="0.2">
      <c r="E354" s="191" t="s">
        <v>39</v>
      </c>
      <c r="AM354" s="29">
        <f t="shared" ref="AM354:BB354" si="888">AM61/AL61-1</f>
        <v>9.3695193695193746E-2</v>
      </c>
      <c r="AN354" s="29">
        <f t="shared" si="888"/>
        <v>0.20951781672773029</v>
      </c>
      <c r="AO354" s="29">
        <f t="shared" si="888"/>
        <v>0.7864155287237653</v>
      </c>
      <c r="AP354" s="29">
        <f t="shared" si="888"/>
        <v>0.3751804924396327</v>
      </c>
      <c r="AQ354" s="29">
        <f t="shared" si="888"/>
        <v>0.31000000000000005</v>
      </c>
      <c r="AR354" s="29">
        <f t="shared" si="888"/>
        <v>0.24</v>
      </c>
      <c r="AS354" s="29">
        <f t="shared" si="888"/>
        <v>0.27999988807056031</v>
      </c>
      <c r="AT354" s="29">
        <f t="shared" si="888"/>
        <v>0.53388805297494302</v>
      </c>
      <c r="AU354" s="29">
        <f t="shared" si="888"/>
        <v>1.7952272962034055E-3</v>
      </c>
      <c r="AV354" s="29">
        <f t="shared" si="888"/>
        <v>5.9444221635081895E-2</v>
      </c>
      <c r="AW354" s="29">
        <f t="shared" si="888"/>
        <v>8.2745556286144994E-2</v>
      </c>
      <c r="AX354" s="29">
        <f t="shared" si="888"/>
        <v>0.6586016339765266</v>
      </c>
      <c r="AY354" s="29">
        <f t="shared" si="888"/>
        <v>0.51068548955191395</v>
      </c>
      <c r="AZ354" s="29">
        <f t="shared" si="888"/>
        <v>0.11626779544629584</v>
      </c>
      <c r="BA354" s="29">
        <f t="shared" si="888"/>
        <v>-4.9026229150296308E-3</v>
      </c>
      <c r="BB354" s="29">
        <f t="shared" si="888"/>
        <v>-2.1110333741553577E-2</v>
      </c>
    </row>
    <row r="355" spans="5:54" x14ac:dyDescent="0.2">
      <c r="E355" s="191" t="s">
        <v>40</v>
      </c>
      <c r="AM355" s="29">
        <f t="shared" ref="AM355:BB355" si="889">AM62/AL62-1</f>
        <v>7.6593161319038039E-2</v>
      </c>
      <c r="AN355" s="29">
        <f t="shared" si="889"/>
        <v>8.7746363914098957E-2</v>
      </c>
      <c r="AO355" s="29">
        <f t="shared" si="889"/>
        <v>0.17026794532206435</v>
      </c>
      <c r="AP355" s="29">
        <f t="shared" si="889"/>
        <v>0.13618572927597072</v>
      </c>
      <c r="AQ355" s="29">
        <f t="shared" si="889"/>
        <v>0.15769404821825206</v>
      </c>
      <c r="AR355" s="29">
        <f t="shared" si="889"/>
        <v>0.12637374143296909</v>
      </c>
      <c r="AS355" s="29">
        <f t="shared" si="889"/>
        <v>0.12357665564760723</v>
      </c>
      <c r="AT355" s="29">
        <f t="shared" si="889"/>
        <v>0.25273773006135447</v>
      </c>
      <c r="AU355" s="29">
        <f t="shared" si="889"/>
        <v>7.6443728275037426E-2</v>
      </c>
      <c r="AV355" s="29">
        <f t="shared" si="889"/>
        <v>0.21465698993134974</v>
      </c>
      <c r="AW355" s="29">
        <f t="shared" si="889"/>
        <v>0.13738091688602982</v>
      </c>
      <c r="AX355" s="29">
        <f t="shared" si="889"/>
        <v>0.16332996637304609</v>
      </c>
      <c r="AY355" s="29">
        <f t="shared" si="889"/>
        <v>0.33426891287114935</v>
      </c>
      <c r="AZ355" s="29">
        <f t="shared" si="889"/>
        <v>0.14098279735388686</v>
      </c>
      <c r="BA355" s="29">
        <f t="shared" si="889"/>
        <v>-5.3446612628800239E-3</v>
      </c>
      <c r="BB355" s="29">
        <f t="shared" si="889"/>
        <v>-2.8362051379040243E-2</v>
      </c>
    </row>
    <row r="356" spans="5:54" x14ac:dyDescent="0.2">
      <c r="E356" s="191" t="s">
        <v>107</v>
      </c>
      <c r="AM356" s="29">
        <f t="shared" ref="AM356:BB356" si="890">AM63/AL63-1</f>
        <v>0.20672683984222306</v>
      </c>
      <c r="AN356" s="29">
        <f t="shared" si="890"/>
        <v>0.25314722381730648</v>
      </c>
      <c r="AO356" s="29">
        <f t="shared" si="890"/>
        <v>-0.13223979165323052</v>
      </c>
      <c r="AP356" s="29">
        <f t="shared" si="890"/>
        <v>6.4919231941481303E-2</v>
      </c>
      <c r="AQ356" s="29">
        <f t="shared" si="890"/>
        <v>8.3195000954016551E-2</v>
      </c>
      <c r="AR356" s="29">
        <f t="shared" si="890"/>
        <v>7.8808883173845601E-2</v>
      </c>
      <c r="AS356" s="29">
        <f t="shared" si="890"/>
        <v>0.11000216346840719</v>
      </c>
      <c r="AT356" s="29">
        <f t="shared" si="890"/>
        <v>8.715177557228948E-3</v>
      </c>
      <c r="AU356" s="29">
        <f t="shared" si="890"/>
        <v>0.13026619041480192</v>
      </c>
      <c r="AV356" s="29">
        <f t="shared" si="890"/>
        <v>0.31813676530414847</v>
      </c>
      <c r="AW356" s="29">
        <f t="shared" si="890"/>
        <v>0.15730377616558999</v>
      </c>
      <c r="AX356" s="357">
        <f t="shared" si="890"/>
        <v>0.14487390560314251</v>
      </c>
      <c r="AY356" s="29">
        <f t="shared" si="890"/>
        <v>-0.2531008884608632</v>
      </c>
      <c r="AZ356" s="29">
        <f t="shared" si="890"/>
        <v>0.75743363047343837</v>
      </c>
      <c r="BA356" s="29">
        <f t="shared" si="890"/>
        <v>2.5102987675718946E-2</v>
      </c>
      <c r="BB356" s="29">
        <f t="shared" si="890"/>
        <v>9.4608543265797707E-2</v>
      </c>
    </row>
    <row r="357" spans="5:54" x14ac:dyDescent="0.2">
      <c r="E357" s="191" t="s">
        <v>108</v>
      </c>
      <c r="AM357" s="29">
        <f t="shared" ref="AM357:BB357" si="891">AM64/AL64-1</f>
        <v>0.30164644714038125</v>
      </c>
      <c r="AN357" s="29">
        <f t="shared" si="891"/>
        <v>0.23933160242327411</v>
      </c>
      <c r="AO357" s="29">
        <f t="shared" si="891"/>
        <v>3.0085519720899239</v>
      </c>
      <c r="AP357" s="29">
        <f t="shared" si="891"/>
        <v>0.11008211678832103</v>
      </c>
      <c r="AQ357" s="29">
        <f t="shared" si="891"/>
        <v>0.10806312415238573</v>
      </c>
      <c r="AR357" s="29">
        <f t="shared" si="891"/>
        <v>0.13999072786277234</v>
      </c>
      <c r="AS357" s="29">
        <f t="shared" si="891"/>
        <v>0.11600026027263555</v>
      </c>
      <c r="AT357" s="29">
        <f t="shared" si="891"/>
        <v>-0.10004336240736333</v>
      </c>
      <c r="AU357" s="29">
        <f t="shared" si="891"/>
        <v>0.14609926693775588</v>
      </c>
      <c r="AV357" s="29">
        <f t="shared" si="891"/>
        <v>2.8012671117371157E-2</v>
      </c>
      <c r="AW357" s="29">
        <f t="shared" si="891"/>
        <v>6.8136653661230229E-2</v>
      </c>
      <c r="AX357" s="357">
        <f t="shared" si="891"/>
        <v>-1.2193627946059826E-2</v>
      </c>
      <c r="AY357" s="29">
        <f t="shared" si="891"/>
        <v>-5.154946267944005E-2</v>
      </c>
      <c r="AZ357" s="29">
        <f t="shared" si="891"/>
        <v>0.10987047708015263</v>
      </c>
      <c r="BA357" s="29">
        <f t="shared" si="891"/>
        <v>0.18511085557805029</v>
      </c>
      <c r="BB357" s="29">
        <f t="shared" si="891"/>
        <v>0.1459654580175318</v>
      </c>
    </row>
    <row r="358" spans="5:54" x14ac:dyDescent="0.2">
      <c r="E358" s="191" t="s">
        <v>109</v>
      </c>
      <c r="AM358" s="29">
        <f t="shared" ref="AM358:BB358" si="892">AM65/AL65-1</f>
        <v>0.22809112987446523</v>
      </c>
      <c r="AN358" s="29">
        <f t="shared" si="892"/>
        <v>4.7381546134663388E-2</v>
      </c>
      <c r="AO358" s="29">
        <f t="shared" si="892"/>
        <v>0.29264833913541111</v>
      </c>
      <c r="AP358" s="29">
        <f t="shared" si="892"/>
        <v>0.48728385712482636</v>
      </c>
      <c r="AQ358" s="29">
        <f t="shared" si="892"/>
        <v>0.36692761924967288</v>
      </c>
      <c r="AR358" s="29">
        <f t="shared" si="892"/>
        <v>0.14427410776738014</v>
      </c>
      <c r="AS358" s="29">
        <f t="shared" si="892"/>
        <v>5.5949256989116458E-2</v>
      </c>
      <c r="AT358" s="29">
        <f t="shared" si="892"/>
        <v>0.29633016256287092</v>
      </c>
      <c r="AU358" s="29">
        <f t="shared" si="892"/>
        <v>0.22455462919740188</v>
      </c>
      <c r="AV358" s="29">
        <f t="shared" si="892"/>
        <v>0.35636415968763702</v>
      </c>
      <c r="AW358" s="29">
        <f t="shared" si="892"/>
        <v>-4.9703166644484376E-2</v>
      </c>
      <c r="AX358" s="29">
        <f t="shared" si="892"/>
        <v>0.25744472728162227</v>
      </c>
      <c r="AY358" s="29">
        <f t="shared" si="892"/>
        <v>0.38583366393698881</v>
      </c>
      <c r="AZ358" s="29">
        <f t="shared" si="892"/>
        <v>4.8149560358458521E-2</v>
      </c>
      <c r="BA358" s="29">
        <f t="shared" si="892"/>
        <v>0.53970347091044291</v>
      </c>
      <c r="BB358" s="29">
        <f t="shared" si="892"/>
        <v>0.28995560168115708</v>
      </c>
    </row>
    <row r="359" spans="5:54" s="9" customFormat="1" x14ac:dyDescent="0.2">
      <c r="E359" s="358" t="s">
        <v>110</v>
      </c>
      <c r="AM359" s="56">
        <f t="shared" ref="AM359:BB359" si="893">AM66/AL66-1</f>
        <v>0.17131970385831985</v>
      </c>
      <c r="AN359" s="56">
        <f t="shared" si="893"/>
        <v>0.13961748861477763</v>
      </c>
      <c r="AO359" s="56">
        <f t="shared" si="893"/>
        <v>0.46823216326315542</v>
      </c>
      <c r="AP359" s="56">
        <f t="shared" si="893"/>
        <v>0.11488943522813533</v>
      </c>
      <c r="AQ359" s="56">
        <f t="shared" si="893"/>
        <v>0.11696439106594636</v>
      </c>
      <c r="AR359" s="56">
        <f t="shared" si="893"/>
        <v>0.13023361970709169</v>
      </c>
      <c r="AS359" s="56">
        <f t="shared" si="893"/>
        <v>0.16553277939430089</v>
      </c>
      <c r="AT359" s="56">
        <f t="shared" si="893"/>
        <v>0.18851452430095783</v>
      </c>
      <c r="AU359" s="56">
        <f t="shared" si="893"/>
        <v>0.20035740248343914</v>
      </c>
      <c r="AV359" s="56">
        <f t="shared" si="893"/>
        <v>0.16196733178737177</v>
      </c>
      <c r="AW359" s="56">
        <f t="shared" si="893"/>
        <v>0.16266993765365001</v>
      </c>
      <c r="AX359" s="56">
        <f t="shared" si="893"/>
        <v>0.13060303500277715</v>
      </c>
      <c r="AY359" s="56">
        <f t="shared" si="893"/>
        <v>0.16285813910279523</v>
      </c>
      <c r="AZ359" s="56">
        <f t="shared" si="893"/>
        <v>0.14054496810715622</v>
      </c>
      <c r="BA359" s="56">
        <f t="shared" si="893"/>
        <v>0.13182339563249124</v>
      </c>
      <c r="BB359" s="56">
        <f t="shared" si="893"/>
        <v>0.12039103921271965</v>
      </c>
    </row>
    <row r="360" spans="5:54" x14ac:dyDescent="0.2">
      <c r="E360" s="191" t="s">
        <v>111</v>
      </c>
      <c r="AM360" s="29">
        <f t="shared" ref="AM360:BB360" si="894">AM67/AL67-1</f>
        <v>0.15672739825296711</v>
      </c>
      <c r="AN360" s="29">
        <f t="shared" si="894"/>
        <v>0.10775554175137025</v>
      </c>
      <c r="AO360" s="29">
        <f t="shared" si="894"/>
        <v>0.219205824366</v>
      </c>
      <c r="AP360" s="29">
        <f t="shared" si="894"/>
        <v>9.7693856173121763E-2</v>
      </c>
      <c r="AQ360" s="29">
        <f t="shared" si="894"/>
        <v>0.12028969098447329</v>
      </c>
      <c r="AR360" s="29">
        <f t="shared" si="894"/>
        <v>9.5694339121927596E-2</v>
      </c>
      <c r="AS360" s="29">
        <f t="shared" si="894"/>
        <v>0.15988449099920876</v>
      </c>
      <c r="AT360" s="29">
        <f t="shared" si="894"/>
        <v>0.12876176124367578</v>
      </c>
      <c r="AU360" s="29">
        <f t="shared" si="894"/>
        <v>0.17497551522914367</v>
      </c>
      <c r="AV360" s="29">
        <f t="shared" si="894"/>
        <v>0.20728869929568616</v>
      </c>
      <c r="AW360" s="29">
        <f t="shared" si="894"/>
        <v>0.172585463442676</v>
      </c>
      <c r="AX360" s="357">
        <f t="shared" si="894"/>
        <v>0.18200406526748636</v>
      </c>
      <c r="AY360" s="29">
        <f t="shared" si="894"/>
        <v>0.25864994834478394</v>
      </c>
      <c r="AZ360" s="29">
        <f t="shared" si="894"/>
        <v>0.14680529470479642</v>
      </c>
      <c r="BA360" s="29">
        <f t="shared" si="894"/>
        <v>0.13811210036471944</v>
      </c>
      <c r="BB360" s="29">
        <f t="shared" si="894"/>
        <v>0.15219693652480348</v>
      </c>
    </row>
    <row r="361" spans="5:54" x14ac:dyDescent="0.2">
      <c r="E361" s="191" t="s">
        <v>112</v>
      </c>
      <c r="AM361" s="29">
        <f t="shared" ref="AM361:BB361" si="895">AM68/AL68-1</f>
        <v>0.18238078521521506</v>
      </c>
      <c r="AN361" s="29">
        <f t="shared" si="895"/>
        <v>7.7457201005626697E-2</v>
      </c>
      <c r="AO361" s="29">
        <f t="shared" si="895"/>
        <v>-1.6793066981281801E-2</v>
      </c>
      <c r="AP361" s="29">
        <f t="shared" si="895"/>
        <v>7.2285220218505142E-2</v>
      </c>
      <c r="AQ361" s="29">
        <f t="shared" si="895"/>
        <v>6.6004013079667079E-2</v>
      </c>
      <c r="AR361" s="29">
        <f t="shared" si="895"/>
        <v>0.11322385780962962</v>
      </c>
      <c r="AS361" s="29">
        <f t="shared" si="895"/>
        <v>0.23500383573653982</v>
      </c>
      <c r="AT361" s="29">
        <f t="shared" si="895"/>
        <v>4.5479130000592116E-2</v>
      </c>
      <c r="AU361" s="29">
        <f t="shared" si="895"/>
        <v>0.3261169062404603</v>
      </c>
      <c r="AV361" s="29">
        <f t="shared" si="895"/>
        <v>0.1614024943326009</v>
      </c>
      <c r="AW361" s="29">
        <f t="shared" si="895"/>
        <v>0.21593018416724297</v>
      </c>
      <c r="AX361" s="29">
        <f t="shared" si="895"/>
        <v>5.89176971898977E-2</v>
      </c>
      <c r="AY361" s="29">
        <f t="shared" si="895"/>
        <v>1.8293455022595717E-2</v>
      </c>
      <c r="AZ361" s="29">
        <f t="shared" si="895"/>
        <v>0.20984018374070712</v>
      </c>
      <c r="BA361" s="29">
        <f t="shared" si="895"/>
        <v>1.6710001237550509E-2</v>
      </c>
      <c r="BB361" s="29">
        <f t="shared" si="895"/>
        <v>-3.3749153230406725E-2</v>
      </c>
    </row>
    <row r="362" spans="5:54" x14ac:dyDescent="0.2">
      <c r="E362" s="191" t="s">
        <v>113</v>
      </c>
      <c r="AM362" s="29">
        <f t="shared" ref="AM362:BB362" si="896">AM69/AL69-1</f>
        <v>0.17823514097752602</v>
      </c>
      <c r="AN362" s="29">
        <f t="shared" si="896"/>
        <v>0.11052520512916009</v>
      </c>
      <c r="AO362" s="29">
        <f t="shared" si="896"/>
        <v>0.88081739899124911</v>
      </c>
      <c r="AP362" s="29">
        <f t="shared" si="896"/>
        <v>8.1402367665718067E-2</v>
      </c>
      <c r="AQ362" s="29">
        <f t="shared" si="896"/>
        <v>9.7334396536993717E-2</v>
      </c>
      <c r="AR362" s="29">
        <f t="shared" si="896"/>
        <v>0.10336570486368823</v>
      </c>
      <c r="AS362" s="29">
        <f t="shared" si="896"/>
        <v>0.10752524618955039</v>
      </c>
      <c r="AT362" s="29">
        <f t="shared" si="896"/>
        <v>0.13688579632103592</v>
      </c>
      <c r="AU362" s="29">
        <f t="shared" si="896"/>
        <v>0.13399964257922048</v>
      </c>
      <c r="AV362" s="29">
        <f t="shared" si="896"/>
        <v>0.25218215749038997</v>
      </c>
      <c r="AW362" s="29">
        <f t="shared" si="896"/>
        <v>0.17839116462191251</v>
      </c>
      <c r="AX362" s="29">
        <f t="shared" si="896"/>
        <v>9.3313678288124535E-2</v>
      </c>
      <c r="AY362" s="29">
        <f t="shared" si="896"/>
        <v>7.5495859947145139E-2</v>
      </c>
      <c r="AZ362" s="29">
        <f t="shared" si="896"/>
        <v>1.7030064857872507E-3</v>
      </c>
      <c r="BA362" s="29">
        <f t="shared" si="896"/>
        <v>9.245220997649306E-2</v>
      </c>
      <c r="BB362" s="29">
        <f t="shared" si="896"/>
        <v>0.15126494038409577</v>
      </c>
    </row>
    <row r="363" spans="5:54" x14ac:dyDescent="0.2">
      <c r="E363" s="191" t="s">
        <v>114</v>
      </c>
      <c r="AM363" s="29">
        <f t="shared" ref="AM363:BB363" si="897">AM70/AL70-1</f>
        <v>0.18869945047203052</v>
      </c>
      <c r="AN363" s="29">
        <f t="shared" si="897"/>
        <v>0.15150186102747676</v>
      </c>
      <c r="AO363" s="29">
        <f t="shared" si="897"/>
        <v>0.96843511931463033</v>
      </c>
      <c r="AP363" s="29">
        <f t="shared" si="897"/>
        <v>0.15705381130134866</v>
      </c>
      <c r="AQ363" s="29">
        <f t="shared" si="897"/>
        <v>0.23852838401177046</v>
      </c>
      <c r="AR363" s="29">
        <f t="shared" si="897"/>
        <v>0.27999727761519089</v>
      </c>
      <c r="AS363" s="29">
        <f t="shared" si="897"/>
        <v>0.34000396370790376</v>
      </c>
      <c r="AT363" s="29">
        <f t="shared" si="897"/>
        <v>0.12175986294740038</v>
      </c>
      <c r="AU363" s="29">
        <f t="shared" si="897"/>
        <v>0.16657979653341015</v>
      </c>
      <c r="AV363" s="29">
        <f t="shared" si="897"/>
        <v>0.17474822567237758</v>
      </c>
      <c r="AW363" s="29">
        <f t="shared" si="897"/>
        <v>0.26321431971496878</v>
      </c>
      <c r="AX363" s="357">
        <f t="shared" si="897"/>
        <v>0.26186860414778601</v>
      </c>
      <c r="AY363" s="29">
        <f t="shared" si="897"/>
        <v>8.087331025557476E-2</v>
      </c>
      <c r="AZ363" s="29">
        <f t="shared" si="897"/>
        <v>0.16850533270679402</v>
      </c>
      <c r="BA363" s="29">
        <f t="shared" si="897"/>
        <v>0.1166721518632583</v>
      </c>
      <c r="BB363" s="29">
        <f t="shared" si="897"/>
        <v>4.6803610546382268E-2</v>
      </c>
    </row>
    <row r="364" spans="5:54" x14ac:dyDescent="0.2">
      <c r="E364" s="191" t="s">
        <v>115</v>
      </c>
      <c r="AM364" s="29">
        <f t="shared" ref="AM364:BB364" si="898">AM71/AL71-1</f>
        <v>8.9427353595255665E-2</v>
      </c>
      <c r="AN364" s="29">
        <f t="shared" si="898"/>
        <v>8.2724481377210335E-2</v>
      </c>
      <c r="AO364" s="29">
        <f t="shared" si="898"/>
        <v>0.87991460219656603</v>
      </c>
      <c r="AP364" s="29">
        <f t="shared" si="898"/>
        <v>0.28367857142857145</v>
      </c>
      <c r="AQ364" s="29">
        <f t="shared" si="898"/>
        <v>0.13939292769106637</v>
      </c>
      <c r="AR364" s="29">
        <f t="shared" si="898"/>
        <v>0.12015666663410918</v>
      </c>
      <c r="AS364" s="29">
        <f t="shared" si="898"/>
        <v>0.15312992939519843</v>
      </c>
      <c r="AT364" s="29">
        <f t="shared" si="898"/>
        <v>0.27106314467960169</v>
      </c>
      <c r="AU364" s="29">
        <f t="shared" si="898"/>
        <v>0.31569288615468327</v>
      </c>
      <c r="AV364" s="29">
        <f t="shared" si="898"/>
        <v>0.26876244317776288</v>
      </c>
      <c r="AW364" s="29">
        <f t="shared" si="898"/>
        <v>0.22889397008825885</v>
      </c>
      <c r="AX364" s="357">
        <f t="shared" si="898"/>
        <v>0.1947859950951234</v>
      </c>
      <c r="AY364" s="29">
        <f t="shared" si="898"/>
        <v>0.25865311564990545</v>
      </c>
      <c r="AZ364" s="29">
        <f t="shared" si="898"/>
        <v>0.16774703809284586</v>
      </c>
      <c r="BA364" s="29">
        <f t="shared" si="898"/>
        <v>0.11522894378277115</v>
      </c>
      <c r="BB364" s="29">
        <f t="shared" si="898"/>
        <v>0.16708025043608132</v>
      </c>
    </row>
    <row r="365" spans="5:54" x14ac:dyDescent="0.2">
      <c r="E365" s="191"/>
      <c r="AM365" s="29"/>
      <c r="AN365" s="29"/>
      <c r="AO365" s="29"/>
      <c r="AP365" s="29"/>
      <c r="AQ365" s="29"/>
      <c r="AR365" s="29"/>
      <c r="AS365" s="29"/>
      <c r="AT365" s="29"/>
      <c r="AU365" s="29"/>
      <c r="AV365" s="29"/>
      <c r="AW365" s="29"/>
      <c r="AX365" s="29"/>
      <c r="AY365" s="29"/>
      <c r="AZ365" s="29"/>
      <c r="BA365" s="29"/>
      <c r="BB365" s="29"/>
    </row>
    <row r="366" spans="5:54" x14ac:dyDescent="0.2">
      <c r="E366" s="191" t="s">
        <v>116</v>
      </c>
      <c r="AM366" s="29">
        <f t="shared" ref="AM366:BB366" si="899">AM72/AL72-1</f>
        <v>0.20918446709116734</v>
      </c>
      <c r="AN366" s="29">
        <f t="shared" si="899"/>
        <v>0.2013386891967035</v>
      </c>
      <c r="AO366" s="29">
        <f t="shared" si="899"/>
        <v>0.39822794970930997</v>
      </c>
      <c r="AP366" s="29">
        <f t="shared" si="899"/>
        <v>7.6512109692025154E-2</v>
      </c>
      <c r="AQ366" s="29">
        <f t="shared" si="899"/>
        <v>0.12614263224774791</v>
      </c>
      <c r="AR366" s="29">
        <f t="shared" si="899"/>
        <v>0.11878948462544003</v>
      </c>
      <c r="AS366" s="29">
        <f t="shared" si="899"/>
        <v>-0.13103423134313463</v>
      </c>
      <c r="AT366" s="29">
        <f t="shared" si="899"/>
        <v>0.15579600199279664</v>
      </c>
      <c r="AU366" s="29">
        <f t="shared" si="899"/>
        <v>0.16063173244148965</v>
      </c>
      <c r="AV366" s="29">
        <f t="shared" si="899"/>
        <v>0.12846869581809206</v>
      </c>
      <c r="AW366" s="29">
        <f t="shared" si="899"/>
        <v>0.14186439691297914</v>
      </c>
      <c r="AX366" s="357">
        <f t="shared" si="899"/>
        <v>0.11768841942678754</v>
      </c>
      <c r="AY366" s="29">
        <f t="shared" si="899"/>
        <v>0.11795737051333544</v>
      </c>
      <c r="AZ366" s="29">
        <f t="shared" si="899"/>
        <v>0.10727289850888844</v>
      </c>
      <c r="BA366" s="29">
        <f t="shared" si="899"/>
        <v>4.4392849973786452E-2</v>
      </c>
      <c r="BB366" s="29">
        <f t="shared" si="899"/>
        <v>0.10733352359366499</v>
      </c>
    </row>
    <row r="367" spans="5:54" x14ac:dyDescent="0.2">
      <c r="E367" s="191" t="s">
        <v>117</v>
      </c>
      <c r="AM367" s="29">
        <f t="shared" ref="AM367:BB367" si="900">AM73/AL73-1</f>
        <v>0.10700395619956082</v>
      </c>
      <c r="AN367" s="29">
        <f t="shared" si="900"/>
        <v>0.16727022086626597</v>
      </c>
      <c r="AO367" s="29">
        <f t="shared" si="900"/>
        <v>0.16382408175213681</v>
      </c>
      <c r="AP367" s="29">
        <f t="shared" si="900"/>
        <v>0.17795235768728257</v>
      </c>
      <c r="AQ367" s="29">
        <f t="shared" si="900"/>
        <v>0.14876088909619489</v>
      </c>
      <c r="AR367" s="29">
        <f t="shared" si="900"/>
        <v>0.24142795677094808</v>
      </c>
      <c r="AS367" s="29">
        <f t="shared" si="900"/>
        <v>0.6996019088165879</v>
      </c>
      <c r="AT367" s="29">
        <f t="shared" si="900"/>
        <v>0.31230533718929032</v>
      </c>
      <c r="AU367" s="29">
        <f t="shared" si="900"/>
        <v>0.26171880862311037</v>
      </c>
      <c r="AV367" s="29">
        <f t="shared" si="900"/>
        <v>5.4003672935990732E-2</v>
      </c>
      <c r="AW367" s="29">
        <f t="shared" si="900"/>
        <v>8.753121461053559E-2</v>
      </c>
      <c r="AX367" s="29">
        <f t="shared" si="900"/>
        <v>7.0618645981845196E-2</v>
      </c>
      <c r="AY367" s="29">
        <f t="shared" si="900"/>
        <v>0.21636381719936248</v>
      </c>
      <c r="AZ367" s="29">
        <f t="shared" si="900"/>
        <v>0.22727546499092988</v>
      </c>
      <c r="BA367" s="29">
        <f t="shared" si="900"/>
        <v>0.22085746152966834</v>
      </c>
      <c r="BB367" s="29">
        <f t="shared" si="900"/>
        <v>8.7683709310523383E-2</v>
      </c>
    </row>
    <row r="368" spans="5:54" x14ac:dyDescent="0.2">
      <c r="E368" s="191" t="s">
        <v>118</v>
      </c>
      <c r="AM368" s="29">
        <f t="shared" ref="AM368:BB368" si="901">AM74/AL74-1</f>
        <v>0.29751508788103842</v>
      </c>
      <c r="AN368" s="29">
        <f t="shared" si="901"/>
        <v>0.11184210526315796</v>
      </c>
      <c r="AO368" s="29">
        <f t="shared" si="901"/>
        <v>1.2643371233012743</v>
      </c>
      <c r="AP368" s="29">
        <f t="shared" si="901"/>
        <v>0.11995252552547786</v>
      </c>
      <c r="AQ368" s="29">
        <f t="shared" si="901"/>
        <v>5.6946993925401701E-2</v>
      </c>
      <c r="AR368" s="29">
        <f t="shared" si="901"/>
        <v>5.9997582908477343E-2</v>
      </c>
      <c r="AS368" s="29">
        <f t="shared" si="901"/>
        <v>6.0000929003052983E-2</v>
      </c>
      <c r="AT368" s="29">
        <f t="shared" si="901"/>
        <v>0.2386938142390016</v>
      </c>
      <c r="AU368" s="29">
        <f t="shared" si="901"/>
        <v>0.35014333452200419</v>
      </c>
      <c r="AV368" s="29">
        <f t="shared" si="901"/>
        <v>0.18338619260646594</v>
      </c>
      <c r="AW368" s="29">
        <f t="shared" si="901"/>
        <v>0.18457153426591955</v>
      </c>
      <c r="AX368" s="357">
        <f t="shared" si="901"/>
        <v>0.15666915707192519</v>
      </c>
      <c r="AY368" s="29">
        <f t="shared" si="901"/>
        <v>6.0570066093079467E-2</v>
      </c>
      <c r="AZ368" s="29">
        <f t="shared" si="901"/>
        <v>9.806936146684242E-2</v>
      </c>
      <c r="BA368" s="29">
        <f t="shared" si="901"/>
        <v>0.17815226623195879</v>
      </c>
      <c r="BB368" s="29">
        <f t="shared" si="901"/>
        <v>0.14702479595837681</v>
      </c>
    </row>
    <row r="369" spans="5:57" x14ac:dyDescent="0.2">
      <c r="E369" s="191" t="s">
        <v>119</v>
      </c>
      <c r="AM369" s="29">
        <f t="shared" ref="AM369:BB369" si="902">AM75/AL75-1</f>
        <v>0.25143817891110487</v>
      </c>
      <c r="AN369" s="29">
        <f t="shared" si="902"/>
        <v>0.28255686832365212</v>
      </c>
      <c r="AO369" s="29">
        <f t="shared" si="902"/>
        <v>0.80222024338229247</v>
      </c>
      <c r="AP369" s="29">
        <f t="shared" si="902"/>
        <v>0.27755270147597755</v>
      </c>
      <c r="AQ369" s="29">
        <f t="shared" si="902"/>
        <v>0.14998059121143736</v>
      </c>
      <c r="AR369" s="29">
        <f t="shared" si="902"/>
        <v>0.14957462998243587</v>
      </c>
      <c r="AS369" s="29">
        <f t="shared" si="902"/>
        <v>0.15974976733538049</v>
      </c>
      <c r="AT369" s="29">
        <f t="shared" si="902"/>
        <v>0.30971774500312077</v>
      </c>
      <c r="AU369" s="29">
        <f t="shared" si="902"/>
        <v>-2.6153371877714049E-2</v>
      </c>
      <c r="AV369" s="29">
        <f t="shared" si="902"/>
        <v>0.21383363327323002</v>
      </c>
      <c r="AW369" s="29">
        <f t="shared" si="902"/>
        <v>0.24702015974618341</v>
      </c>
      <c r="AX369" s="29">
        <f t="shared" si="902"/>
        <v>0.10856725379830268</v>
      </c>
      <c r="AY369" s="29">
        <f t="shared" si="902"/>
        <v>0.11585327482465924</v>
      </c>
      <c r="AZ369" s="29">
        <f t="shared" si="902"/>
        <v>0.11988489457842588</v>
      </c>
      <c r="BA369" s="29">
        <f t="shared" si="902"/>
        <v>0.10951688307088636</v>
      </c>
      <c r="BB369" s="29">
        <f t="shared" si="902"/>
        <v>0.12940431227465199</v>
      </c>
    </row>
    <row r="370" spans="5:57" x14ac:dyDescent="0.2">
      <c r="E370" s="191" t="s">
        <v>120</v>
      </c>
      <c r="AM370" s="29">
        <f t="shared" ref="AM370:BB370" si="903">AM76/AL76-1</f>
        <v>0.1682114948750042</v>
      </c>
      <c r="AN370" s="29">
        <f t="shared" si="903"/>
        <v>8.81173353410456E-2</v>
      </c>
      <c r="AO370" s="29">
        <f t="shared" si="903"/>
        <v>2.3635914450253095</v>
      </c>
      <c r="AP370" s="29">
        <f t="shared" si="903"/>
        <v>6.5679109236277844E-2</v>
      </c>
      <c r="AQ370" s="29">
        <f t="shared" si="903"/>
        <v>2.147196906931792E-2</v>
      </c>
      <c r="AR370" s="29">
        <f t="shared" si="903"/>
        <v>0.11894784273966419</v>
      </c>
      <c r="AS370" s="29">
        <f t="shared" si="903"/>
        <v>8.2684815109383969E-2</v>
      </c>
      <c r="AT370" s="29">
        <f t="shared" si="903"/>
        <v>0.13859476659714254</v>
      </c>
      <c r="AU370" s="29">
        <f t="shared" si="903"/>
        <v>0.15743160724008121</v>
      </c>
      <c r="AV370" s="29">
        <f t="shared" si="903"/>
        <v>0.14858923468305996</v>
      </c>
      <c r="AW370" s="29">
        <f t="shared" si="903"/>
        <v>0.13274668312891502</v>
      </c>
      <c r="AX370" s="29">
        <f t="shared" si="903"/>
        <v>7.3237434341008267E-2</v>
      </c>
      <c r="AY370" s="29">
        <f t="shared" si="903"/>
        <v>0.10759049751478367</v>
      </c>
      <c r="AZ370" s="29">
        <f t="shared" si="903"/>
        <v>0.15129897213394239</v>
      </c>
      <c r="BA370" s="29">
        <f t="shared" si="903"/>
        <v>0.11463591555338404</v>
      </c>
      <c r="BB370" s="29">
        <f t="shared" si="903"/>
        <v>0.15697709167757701</v>
      </c>
    </row>
    <row r="371" spans="5:57" x14ac:dyDescent="0.2">
      <c r="E371" s="177"/>
      <c r="AM371" s="29"/>
      <c r="AN371" s="29"/>
      <c r="AO371" s="29"/>
      <c r="AP371" s="29"/>
      <c r="AQ371" s="29"/>
      <c r="AR371" s="29"/>
      <c r="AS371" s="29"/>
      <c r="AT371" s="29"/>
      <c r="AU371" s="29"/>
      <c r="AV371" s="29"/>
      <c r="AW371" s="29"/>
      <c r="AX371" s="29"/>
      <c r="AY371" s="29"/>
      <c r="AZ371" s="29"/>
      <c r="BA371" s="29"/>
      <c r="BB371" s="29"/>
    </row>
    <row r="372" spans="5:57" x14ac:dyDescent="0.2">
      <c r="E372" s="177" t="s">
        <v>121</v>
      </c>
      <c r="AM372" s="29">
        <f t="shared" ref="AM372:BB372" si="904">AM77/AL77-1</f>
        <v>0.15522409452038111</v>
      </c>
      <c r="AN372" s="29">
        <f t="shared" si="904"/>
        <v>0.11992397153014767</v>
      </c>
      <c r="AO372" s="29">
        <f t="shared" si="904"/>
        <v>0.37535878748657869</v>
      </c>
      <c r="AP372" s="29">
        <f t="shared" si="904"/>
        <v>0.14368908275364678</v>
      </c>
      <c r="AQ372" s="29">
        <f t="shared" si="904"/>
        <v>0.15141682371462117</v>
      </c>
      <c r="AR372" s="29">
        <f t="shared" si="904"/>
        <v>0.14820420392344835</v>
      </c>
      <c r="AS372" s="29">
        <f t="shared" si="904"/>
        <v>0.13157422910677008</v>
      </c>
      <c r="AT372" s="29">
        <f t="shared" si="904"/>
        <v>0.22186408811740632</v>
      </c>
      <c r="AU372" s="29">
        <f t="shared" si="904"/>
        <v>0.14054892482848569</v>
      </c>
      <c r="AV372" s="29">
        <f t="shared" si="904"/>
        <v>0.22157959562189578</v>
      </c>
      <c r="AW372" s="29">
        <f t="shared" si="904"/>
        <v>0.15194260634657519</v>
      </c>
      <c r="AX372" s="29">
        <f t="shared" si="904"/>
        <v>0.16370328282740254</v>
      </c>
      <c r="AY372" s="29">
        <f t="shared" si="904"/>
        <v>0.20923959407453752</v>
      </c>
      <c r="AZ372" s="29">
        <f t="shared" si="904"/>
        <v>0.16266381003224439</v>
      </c>
      <c r="BA372" s="29">
        <f t="shared" si="904"/>
        <v>0.15700849464726319</v>
      </c>
      <c r="BB372" s="29">
        <f t="shared" si="904"/>
        <v>9.6158459554971154E-2</v>
      </c>
    </row>
    <row r="373" spans="5:57" x14ac:dyDescent="0.2">
      <c r="E373" s="177" t="s">
        <v>122</v>
      </c>
      <c r="AM373" s="29">
        <f t="shared" ref="AM373:BB373" si="905">AM78/AL78-1</f>
        <v>-5.6529781724010353E-2</v>
      </c>
      <c r="AN373" s="29">
        <f t="shared" si="905"/>
        <v>-4.7301612198483056E-2</v>
      </c>
      <c r="AO373" s="29">
        <f t="shared" si="905"/>
        <v>0.24399813398253167</v>
      </c>
      <c r="AP373" s="29">
        <f t="shared" si="905"/>
        <v>0.12999999999999989</v>
      </c>
      <c r="AQ373" s="29">
        <f t="shared" si="905"/>
        <v>0.16573008849557525</v>
      </c>
      <c r="AR373" s="29">
        <f t="shared" si="905"/>
        <v>0.14429409197016585</v>
      </c>
      <c r="AS373" s="29">
        <f t="shared" si="905"/>
        <v>0.17526619564135726</v>
      </c>
      <c r="AT373" s="29">
        <f t="shared" si="905"/>
        <v>0.68621270346892471</v>
      </c>
      <c r="AU373" s="29">
        <f t="shared" si="905"/>
        <v>4.7491777024469384E-2</v>
      </c>
      <c r="AV373" s="29">
        <f t="shared" si="905"/>
        <v>-0.12681360191472435</v>
      </c>
      <c r="AW373" s="29">
        <f t="shared" si="905"/>
        <v>0.13256768007624142</v>
      </c>
      <c r="AX373" s="29">
        <f t="shared" si="905"/>
        <v>0.14925724586564248</v>
      </c>
      <c r="AY373" s="29">
        <f t="shared" si="905"/>
        <v>0.48304345644740754</v>
      </c>
      <c r="AZ373" s="29">
        <f t="shared" si="905"/>
        <v>0.14412506804884861</v>
      </c>
      <c r="BA373" s="29">
        <f t="shared" si="905"/>
        <v>0.35847437771333746</v>
      </c>
      <c r="BB373" s="29">
        <f t="shared" si="905"/>
        <v>-4.7006087249239048E-2</v>
      </c>
    </row>
    <row r="374" spans="5:57" x14ac:dyDescent="0.2">
      <c r="E374" s="177" t="s">
        <v>127</v>
      </c>
      <c r="AM374" s="29">
        <f t="shared" ref="AM374:BB374" si="906">AM79/AL79-1</f>
        <v>0.15864051698159987</v>
      </c>
      <c r="AN374" s="29">
        <f t="shared" si="906"/>
        <v>0.12212093281761982</v>
      </c>
      <c r="AO374" s="29">
        <f t="shared" si="906"/>
        <v>0.37682400044274433</v>
      </c>
      <c r="AP374" s="29">
        <f t="shared" si="906"/>
        <v>0.14382704209104591</v>
      </c>
      <c r="AQ374" s="29">
        <f t="shared" si="906"/>
        <v>0.15127431758667842</v>
      </c>
      <c r="AR374" s="29">
        <f t="shared" si="906"/>
        <v>0.14824362270684555</v>
      </c>
      <c r="AS374" s="29">
        <f t="shared" si="906"/>
        <v>0.13113527488526322</v>
      </c>
      <c r="AT374" s="29">
        <f t="shared" si="906"/>
        <v>0.2170169712498371</v>
      </c>
      <c r="AU374" s="29">
        <f t="shared" si="906"/>
        <v>0.14189480004460386</v>
      </c>
      <c r="AV374" s="29">
        <f t="shared" si="906"/>
        <v>0.2262018011464777</v>
      </c>
      <c r="AW374" s="29">
        <f t="shared" si="906"/>
        <v>0.15212565420673907</v>
      </c>
      <c r="AX374" s="29">
        <f t="shared" si="906"/>
        <v>0.16383744733358796</v>
      </c>
      <c r="AY374" s="29">
        <f t="shared" si="906"/>
        <v>0.20672855535951618</v>
      </c>
      <c r="AZ374" s="29">
        <f t="shared" si="906"/>
        <v>0.16287275811276025</v>
      </c>
      <c r="BA374" s="29">
        <f t="shared" si="906"/>
        <v>0.15477440322014302</v>
      </c>
      <c r="BB374" s="29">
        <f t="shared" si="906"/>
        <v>9.8026082564733441E-2</v>
      </c>
    </row>
    <row r="375" spans="5:57" x14ac:dyDescent="0.2">
      <c r="E375" s="177" t="s">
        <v>128</v>
      </c>
      <c r="AM375" s="29">
        <f t="shared" ref="AM375:BB375" si="907">AM80/AL80-1</f>
        <v>1.9900390964275427E-2</v>
      </c>
      <c r="AN375" s="29">
        <f t="shared" si="907"/>
        <v>0.23458607672314424</v>
      </c>
      <c r="AO375" s="29">
        <f t="shared" si="907"/>
        <v>-1.8788245739801646E-2</v>
      </c>
      <c r="AP375" s="29">
        <f t="shared" si="907"/>
        <v>0.15126470588235308</v>
      </c>
      <c r="AQ375" s="29">
        <f t="shared" si="907"/>
        <v>0.18043952799847851</v>
      </c>
      <c r="AR375" s="29">
        <f t="shared" si="907"/>
        <v>0.20114535527535549</v>
      </c>
      <c r="AS375" s="29">
        <f t="shared" si="907"/>
        <v>0.36889452563110536</v>
      </c>
      <c r="AT375" s="29">
        <f t="shared" si="907"/>
        <v>0.24959568816616295</v>
      </c>
      <c r="AU375" s="29">
        <f t="shared" si="907"/>
        <v>0.25644452097129422</v>
      </c>
      <c r="AV375" s="29">
        <f t="shared" si="907"/>
        <v>0.19270704575453701</v>
      </c>
      <c r="AW375" s="29">
        <f t="shared" si="907"/>
        <v>0.14176752340407273</v>
      </c>
      <c r="AX375" s="29">
        <f t="shared" si="907"/>
        <v>0.13486341642923061</v>
      </c>
      <c r="AY375" s="29">
        <f t="shared" si="907"/>
        <v>0.15856205530953194</v>
      </c>
      <c r="AZ375" s="29">
        <f t="shared" si="907"/>
        <v>0.18680239040814217</v>
      </c>
      <c r="BA375" s="29">
        <f t="shared" si="907"/>
        <v>0.15750506427843458</v>
      </c>
      <c r="BB375" s="29">
        <f t="shared" si="907"/>
        <v>0.44040847941950934</v>
      </c>
    </row>
    <row r="376" spans="5:57" x14ac:dyDescent="0.2">
      <c r="E376" s="177"/>
      <c r="AM376" s="29"/>
      <c r="AN376" s="29"/>
      <c r="AO376" s="29"/>
      <c r="AP376" s="29"/>
      <c r="AQ376" s="29"/>
      <c r="AR376" s="29"/>
      <c r="AS376" s="29"/>
      <c r="AT376" s="29"/>
      <c r="AU376" s="29"/>
      <c r="AV376" s="29"/>
      <c r="AW376" s="29"/>
      <c r="AX376" s="29"/>
      <c r="AY376" s="29"/>
      <c r="AZ376" s="29"/>
      <c r="BA376" s="29"/>
      <c r="BB376" s="29"/>
    </row>
    <row r="377" spans="5:57" x14ac:dyDescent="0.2">
      <c r="E377" s="15" t="s">
        <v>129</v>
      </c>
      <c r="AM377" s="29">
        <f t="shared" ref="AM377:BB377" si="908">AM82/AL82-1</f>
        <v>0.14936221867315758</v>
      </c>
      <c r="AN377" s="29">
        <f t="shared" si="908"/>
        <v>0.12879491482244521</v>
      </c>
      <c r="AO377" s="29">
        <f t="shared" si="908"/>
        <v>0.35114706759439751</v>
      </c>
      <c r="AP377" s="29">
        <f t="shared" si="908"/>
        <v>0.14417760832287696</v>
      </c>
      <c r="AQ377" s="29">
        <f t="shared" si="908"/>
        <v>0.15265750299293956</v>
      </c>
      <c r="AR377" s="29">
        <f t="shared" si="908"/>
        <v>0.15081300449831025</v>
      </c>
      <c r="AS377" s="29">
        <f t="shared" si="908"/>
        <v>0.14318804782942718</v>
      </c>
      <c r="AT377" s="29">
        <f t="shared" si="908"/>
        <v>0.21899455934590062</v>
      </c>
      <c r="AU377" s="29">
        <f t="shared" si="908"/>
        <v>0.14902273370998831</v>
      </c>
      <c r="AV377" s="29">
        <f t="shared" si="908"/>
        <v>0.22392271301307809</v>
      </c>
      <c r="AW377" s="29">
        <f t="shared" si="908"/>
        <v>0.15143883016194759</v>
      </c>
      <c r="AX377" s="29">
        <f t="shared" si="908"/>
        <v>0.16193238217918871</v>
      </c>
      <c r="AY377" s="29">
        <f t="shared" si="908"/>
        <v>0.20363535006118538</v>
      </c>
      <c r="AZ377" s="29">
        <f t="shared" si="908"/>
        <v>0.1643519484016509</v>
      </c>
      <c r="BA377" s="29">
        <f t="shared" si="908"/>
        <v>0.15494645135019947</v>
      </c>
      <c r="BB377" s="29">
        <f t="shared" si="908"/>
        <v>0.11964603024920017</v>
      </c>
    </row>
    <row r="378" spans="5:57" x14ac:dyDescent="0.2">
      <c r="E378" s="15" t="s">
        <v>299</v>
      </c>
    </row>
    <row r="380" spans="5:57" x14ac:dyDescent="0.2">
      <c r="E380" s="177" t="s">
        <v>101</v>
      </c>
      <c r="AT380" s="29">
        <f>(AT89-AS89)/(AT116-AS116)</f>
        <v>0.14657491945571979</v>
      </c>
      <c r="AU380" s="29">
        <f t="shared" ref="AU380:AU396" si="909">(AU89-AT89)/($AU$116-$AT$116)</f>
        <v>7.9373153542154157E-2</v>
      </c>
      <c r="AV380" s="29">
        <f t="shared" ref="AV380:AV396" si="910">(AV89-AU89)/($AV$116-$AU$116)</f>
        <v>0.3614790386080815</v>
      </c>
      <c r="AW380" s="29">
        <f t="shared" ref="AW380:BB389" si="911">(AW89-AV89)/($AW$116-$AV$116)</f>
        <v>0.25883957171977384</v>
      </c>
      <c r="AX380" s="29">
        <f t="shared" si="911"/>
        <v>0.14376950998265031</v>
      </c>
      <c r="AY380" s="29">
        <f t="shared" si="911"/>
        <v>0.19025455004134981</v>
      </c>
      <c r="AZ380" s="29">
        <f t="shared" si="911"/>
        <v>0.18413685490339435</v>
      </c>
      <c r="BA380" s="29">
        <f t="shared" si="911"/>
        <v>0.18724353439940236</v>
      </c>
      <c r="BB380" s="29">
        <f t="shared" si="911"/>
        <v>0.20428683605478878</v>
      </c>
      <c r="BC380" s="29"/>
      <c r="BD380" s="29"/>
      <c r="BE380" s="29"/>
    </row>
    <row r="381" spans="5:57" x14ac:dyDescent="0.2">
      <c r="E381" s="191" t="s">
        <v>102</v>
      </c>
      <c r="AT381" s="29">
        <f t="shared" ref="AT381:AT396" si="912">(AT90-AS90)/($AT$116-$AS$116)</f>
        <v>-4.7579237728313649E-2</v>
      </c>
      <c r="AU381" s="29">
        <f t="shared" si="909"/>
        <v>-2.6555939585036156E-2</v>
      </c>
      <c r="AV381" s="29">
        <f t="shared" si="910"/>
        <v>0.1887288676342794</v>
      </c>
      <c r="AW381" s="29">
        <f t="shared" si="911"/>
        <v>0.14066727648942776</v>
      </c>
      <c r="AX381" s="29">
        <f t="shared" si="911"/>
        <v>9.8411627564706575E-2</v>
      </c>
      <c r="AY381" s="29">
        <f t="shared" si="911"/>
        <v>0.13528233508041682</v>
      </c>
      <c r="AZ381" s="29">
        <f t="shared" si="911"/>
        <v>0.12265443212649445</v>
      </c>
      <c r="BA381" s="29">
        <f t="shared" si="911"/>
        <v>0.10584321168629658</v>
      </c>
      <c r="BB381" s="29">
        <f t="shared" si="911"/>
        <v>0.12627257035110803</v>
      </c>
    </row>
    <row r="382" spans="5:57" x14ac:dyDescent="0.2">
      <c r="E382" s="191" t="s">
        <v>103</v>
      </c>
      <c r="AT382" s="29">
        <f t="shared" si="912"/>
        <v>0.1458734133287552</v>
      </c>
      <c r="AU382" s="29">
        <f t="shared" si="909"/>
        <v>8.6957948028882043E-2</v>
      </c>
      <c r="AV382" s="29">
        <f t="shared" si="910"/>
        <v>0.13591600308085106</v>
      </c>
      <c r="AW382" s="29">
        <f t="shared" si="911"/>
        <v>9.4563415965615835E-2</v>
      </c>
      <c r="AX382" s="29">
        <f t="shared" si="911"/>
        <v>2.6939106416955457E-2</v>
      </c>
      <c r="AY382" s="29">
        <f t="shared" si="911"/>
        <v>3.1145726459672569E-2</v>
      </c>
      <c r="AZ382" s="29">
        <f t="shared" si="911"/>
        <v>3.5452837956338266E-2</v>
      </c>
      <c r="BA382" s="29">
        <f t="shared" si="911"/>
        <v>3.9798683179545796E-2</v>
      </c>
      <c r="BB382" s="29">
        <f t="shared" si="911"/>
        <v>4.4156694903140954E-2</v>
      </c>
    </row>
    <row r="383" spans="5:57" x14ac:dyDescent="0.2">
      <c r="E383" s="191" t="s">
        <v>126</v>
      </c>
      <c r="AT383" s="29">
        <f t="shared" si="912"/>
        <v>3.7690508945437344E-2</v>
      </c>
      <c r="AU383" s="29">
        <f t="shared" si="909"/>
        <v>1.7211905863338126E-2</v>
      </c>
      <c r="AV383" s="29">
        <f t="shared" si="910"/>
        <v>1.6176929283550641E-2</v>
      </c>
      <c r="AW383" s="29">
        <f t="shared" si="911"/>
        <v>2.2236137144731213E-2</v>
      </c>
      <c r="AX383" s="29">
        <f t="shared" si="911"/>
        <v>1.5688433624503541E-2</v>
      </c>
      <c r="AY383" s="29">
        <f t="shared" si="911"/>
        <v>1.5862761394114001E-2</v>
      </c>
      <c r="AZ383" s="29">
        <f t="shared" si="911"/>
        <v>1.7031207244537227E-2</v>
      </c>
      <c r="BA383" s="29">
        <f t="shared" si="911"/>
        <v>2.4089210641578342E-2</v>
      </c>
      <c r="BB383" s="29">
        <f t="shared" si="911"/>
        <v>2.7095171159593649E-2</v>
      </c>
    </row>
    <row r="384" spans="5:57" x14ac:dyDescent="0.2">
      <c r="E384" s="177" t="s">
        <v>105</v>
      </c>
      <c r="AT384" s="29">
        <f t="shared" si="912"/>
        <v>1.0590234909840252E-2</v>
      </c>
      <c r="AU384" s="29">
        <f t="shared" si="909"/>
        <v>1.75923923496989E-3</v>
      </c>
      <c r="AV384" s="29">
        <f t="shared" si="910"/>
        <v>2.0657238609400511E-2</v>
      </c>
      <c r="AW384" s="29">
        <f t="shared" si="911"/>
        <v>1.3727421199993069E-3</v>
      </c>
      <c r="AX384" s="29">
        <f t="shared" si="911"/>
        <v>2.7303423764845473E-3</v>
      </c>
      <c r="AY384" s="29">
        <f t="shared" si="911"/>
        <v>7.9637271071463182E-3</v>
      </c>
      <c r="AZ384" s="29">
        <f t="shared" si="911"/>
        <v>8.9983775760237843E-3</v>
      </c>
      <c r="BA384" s="29">
        <f t="shared" si="911"/>
        <v>1.7512428891983317E-2</v>
      </c>
      <c r="BB384" s="29">
        <f t="shared" si="911"/>
        <v>6.7623996409452236E-3</v>
      </c>
    </row>
    <row r="385" spans="5:54" x14ac:dyDescent="0.2">
      <c r="E385" s="177" t="s">
        <v>106</v>
      </c>
      <c r="AT385" s="29">
        <f t="shared" si="912"/>
        <v>0.25809783129840186</v>
      </c>
      <c r="AU385" s="29">
        <f t="shared" si="909"/>
        <v>0.25696207144440192</v>
      </c>
      <c r="AV385" s="29">
        <f t="shared" si="910"/>
        <v>0.23697012019070166</v>
      </c>
      <c r="AW385" s="29">
        <f t="shared" si="911"/>
        <v>0.12503687493864704</v>
      </c>
      <c r="AX385" s="29">
        <f t="shared" si="911"/>
        <v>0.3553698407335284</v>
      </c>
      <c r="AY385" s="29">
        <f t="shared" si="911"/>
        <v>0.51403694428438396</v>
      </c>
      <c r="AZ385" s="29">
        <f t="shared" si="911"/>
        <v>0.19344909821221434</v>
      </c>
      <c r="BA385" s="29">
        <f t="shared" si="911"/>
        <v>0.47416949424080668</v>
      </c>
      <c r="BB385" s="29">
        <f t="shared" si="911"/>
        <v>0.56351535133521502</v>
      </c>
    </row>
    <row r="386" spans="5:54" x14ac:dyDescent="0.2">
      <c r="E386" s="191" t="s">
        <v>39</v>
      </c>
      <c r="AT386" s="29">
        <f t="shared" si="912"/>
        <v>-0.12336279483872961</v>
      </c>
      <c r="AU386" s="29">
        <f t="shared" si="909"/>
        <v>3.7865109416344529E-2</v>
      </c>
      <c r="AV386" s="29">
        <f t="shared" si="910"/>
        <v>-6.1376391654570372E-2</v>
      </c>
      <c r="AW386" s="29">
        <f t="shared" si="911"/>
        <v>0.10367856095870201</v>
      </c>
      <c r="AX386" s="29">
        <f t="shared" si="911"/>
        <v>4.7750461958628622E-2</v>
      </c>
      <c r="AY386" s="29">
        <f t="shared" si="911"/>
        <v>4.4384834577149722E-2</v>
      </c>
      <c r="AZ386" s="29">
        <f t="shared" si="911"/>
        <v>4.9980588640882902E-2</v>
      </c>
      <c r="BA386" s="29">
        <f t="shared" si="911"/>
        <v>3.0913373833117715E-2</v>
      </c>
      <c r="BB386" s="29">
        <f t="shared" si="911"/>
        <v>7.7907756097817235E-2</v>
      </c>
    </row>
    <row r="387" spans="5:54" x14ac:dyDescent="0.2">
      <c r="E387" s="191" t="s">
        <v>40</v>
      </c>
      <c r="AT387" s="29">
        <f t="shared" si="912"/>
        <v>0.11933115581989562</v>
      </c>
      <c r="AU387" s="29">
        <f t="shared" si="909"/>
        <v>9.2864293412560486E-2</v>
      </c>
      <c r="AV387" s="29">
        <f t="shared" si="910"/>
        <v>0.14360705516625996</v>
      </c>
      <c r="AW387" s="29">
        <f t="shared" si="911"/>
        <v>6.4540647410217755E-2</v>
      </c>
      <c r="AX387" s="29">
        <f t="shared" si="911"/>
        <v>0.12897622256442215</v>
      </c>
      <c r="AY387" s="29">
        <f t="shared" si="911"/>
        <v>0.10895399395838315</v>
      </c>
      <c r="AZ387" s="29">
        <f t="shared" si="911"/>
        <v>6.9082387372069384E-2</v>
      </c>
      <c r="BA387" s="29">
        <f t="shared" si="911"/>
        <v>0.11320887828978121</v>
      </c>
      <c r="BB387" s="29">
        <f t="shared" si="911"/>
        <v>0.12683234507593819</v>
      </c>
    </row>
    <row r="388" spans="5:54" x14ac:dyDescent="0.2">
      <c r="E388" s="191" t="s">
        <v>107</v>
      </c>
      <c r="AT388" s="29">
        <f t="shared" si="912"/>
        <v>-1.7023340636299306E-2</v>
      </c>
      <c r="AU388" s="29">
        <f t="shared" si="909"/>
        <v>1.7557961653514153E-2</v>
      </c>
      <c r="AV388" s="29">
        <f t="shared" si="910"/>
        <v>1.2574406773876229E-2</v>
      </c>
      <c r="AW388" s="29">
        <f t="shared" si="911"/>
        <v>7.0600171985715793E-3</v>
      </c>
      <c r="AX388" s="29">
        <f t="shared" si="911"/>
        <v>2.3100747875709111E-2</v>
      </c>
      <c r="AY388" s="29">
        <f t="shared" si="911"/>
        <v>-8.4440603165380091E-3</v>
      </c>
      <c r="AZ388" s="29">
        <f t="shared" si="911"/>
        <v>6.1863423093528663E-3</v>
      </c>
      <c r="BA388" s="29">
        <f t="shared" si="911"/>
        <v>2.5163932819315546E-2</v>
      </c>
      <c r="BB388" s="29">
        <f t="shared" si="911"/>
        <v>2.0399559486994914E-2</v>
      </c>
    </row>
    <row r="389" spans="5:54" x14ac:dyDescent="0.2">
      <c r="E389" s="191" t="s">
        <v>108</v>
      </c>
      <c r="AT389" s="29">
        <f t="shared" si="912"/>
        <v>5.0132807397690604E-3</v>
      </c>
      <c r="AU389" s="29">
        <f t="shared" si="909"/>
        <v>-9.0296811978219597E-3</v>
      </c>
      <c r="AV389" s="29">
        <f t="shared" si="910"/>
        <v>3.7637404615002588E-3</v>
      </c>
      <c r="AW389" s="29">
        <f t="shared" si="911"/>
        <v>7.39498670117848E-3</v>
      </c>
      <c r="AX389" s="29">
        <f t="shared" si="911"/>
        <v>3.6693878622205043E-3</v>
      </c>
      <c r="AY389" s="29">
        <f t="shared" si="911"/>
        <v>-2.1607403514439343E-3</v>
      </c>
      <c r="AZ389" s="29">
        <f t="shared" si="911"/>
        <v>4.8369915980512315E-3</v>
      </c>
      <c r="BA389" s="29">
        <f t="shared" si="911"/>
        <v>4.6674327733343332E-3</v>
      </c>
      <c r="BB389" s="29">
        <f t="shared" si="911"/>
        <v>6.737484745099458E-3</v>
      </c>
    </row>
    <row r="390" spans="5:54" x14ac:dyDescent="0.2">
      <c r="E390" s="191" t="s">
        <v>109</v>
      </c>
      <c r="AT390" s="29">
        <f t="shared" si="912"/>
        <v>0.27413953021376702</v>
      </c>
      <c r="AU390" s="29">
        <f t="shared" si="909"/>
        <v>0.1177043881598047</v>
      </c>
      <c r="AV390" s="29">
        <f t="shared" si="910"/>
        <v>0.13840130944363549</v>
      </c>
      <c r="AW390" s="29">
        <f t="shared" ref="AW390:BB396" si="913">(AW99-AV99)/($AW$116-$AV$116)</f>
        <v>-5.7637337330023297E-2</v>
      </c>
      <c r="AX390" s="29">
        <f t="shared" si="913"/>
        <v>0.15187302047254875</v>
      </c>
      <c r="AY390" s="29">
        <f t="shared" si="913"/>
        <v>0.37130291641683272</v>
      </c>
      <c r="AZ390" s="29">
        <f t="shared" si="913"/>
        <v>6.3362788291857999E-2</v>
      </c>
      <c r="BA390" s="29">
        <f t="shared" si="913"/>
        <v>0.30021587652525783</v>
      </c>
      <c r="BB390" s="29">
        <f t="shared" si="913"/>
        <v>0.33163820592936477</v>
      </c>
    </row>
    <row r="391" spans="5:54" x14ac:dyDescent="0.2">
      <c r="E391" s="358" t="s">
        <v>110</v>
      </c>
      <c r="AT391" s="29">
        <f t="shared" si="912"/>
        <v>0.60402098129045134</v>
      </c>
      <c r="AU391" s="29">
        <f t="shared" si="909"/>
        <v>0.47365082225594274</v>
      </c>
      <c r="AV391" s="29">
        <f t="shared" si="910"/>
        <v>0.3574756218081756</v>
      </c>
      <c r="AW391" s="29">
        <f t="shared" si="913"/>
        <v>0.50239419842196975</v>
      </c>
      <c r="AX391" s="29">
        <f t="shared" si="913"/>
        <v>0.7147096535017341</v>
      </c>
      <c r="AY391" s="29">
        <f t="shared" si="913"/>
        <v>0.83148061984022603</v>
      </c>
      <c r="AZ391" s="29">
        <f t="shared" si="913"/>
        <v>0.77547100242008626</v>
      </c>
      <c r="BA391" s="29">
        <f t="shared" si="913"/>
        <v>0.81964531393639717</v>
      </c>
      <c r="BB391" s="29">
        <f t="shared" si="913"/>
        <v>0.88848787578382316</v>
      </c>
    </row>
    <row r="392" spans="5:54" x14ac:dyDescent="0.2">
      <c r="E392" s="191" t="s">
        <v>111</v>
      </c>
      <c r="AT392" s="29">
        <f t="shared" si="912"/>
        <v>0.18399741763816102</v>
      </c>
      <c r="AU392" s="29">
        <f t="shared" si="909"/>
        <v>0.14469456635379616</v>
      </c>
      <c r="AV392" s="29">
        <f t="shared" si="910"/>
        <v>0.11528562131560037</v>
      </c>
      <c r="AW392" s="29">
        <f t="shared" si="913"/>
        <v>5.0160516038983423E-2</v>
      </c>
      <c r="AX392" s="29">
        <f t="shared" si="913"/>
        <v>0.18956127907294962</v>
      </c>
      <c r="AY392" s="29">
        <f t="shared" si="913"/>
        <v>0.23633266032405945</v>
      </c>
      <c r="AZ392" s="29">
        <f t="shared" si="913"/>
        <v>8.8050413800153937E-2</v>
      </c>
      <c r="BA392" s="29">
        <f t="shared" si="913"/>
        <v>0.10824801944652249</v>
      </c>
      <c r="BB392" s="29">
        <f t="shared" si="913"/>
        <v>0.25244159325861876</v>
      </c>
    </row>
    <row r="393" spans="5:54" x14ac:dyDescent="0.2">
      <c r="E393" s="191" t="s">
        <v>112</v>
      </c>
      <c r="AT393" s="29">
        <f t="shared" si="912"/>
        <v>1.3992205302029128E-2</v>
      </c>
      <c r="AU393" s="29">
        <f t="shared" si="909"/>
        <v>9.9554661746804312E-3</v>
      </c>
      <c r="AV393" s="29">
        <f t="shared" si="910"/>
        <v>1.0669660474963519E-2</v>
      </c>
      <c r="AW393" s="29">
        <f t="shared" si="913"/>
        <v>3.3495482429414239E-3</v>
      </c>
      <c r="AX393" s="29">
        <f t="shared" si="913"/>
        <v>1.2193783153804542E-2</v>
      </c>
      <c r="AY393" s="29">
        <f t="shared" si="913"/>
        <v>1.4221968516773527E-2</v>
      </c>
      <c r="AZ393" s="29">
        <f t="shared" si="913"/>
        <v>2.3946775986644565E-2</v>
      </c>
      <c r="BA393" s="29">
        <f t="shared" si="913"/>
        <v>1.0601947653459029E-2</v>
      </c>
      <c r="BB393" s="29">
        <f t="shared" si="913"/>
        <v>8.8007528309311453E-3</v>
      </c>
    </row>
    <row r="394" spans="5:54" x14ac:dyDescent="0.2">
      <c r="E394" s="191" t="s">
        <v>113</v>
      </c>
      <c r="AT394" s="29">
        <f t="shared" si="912"/>
        <v>0.11704308128694645</v>
      </c>
      <c r="AU394" s="29">
        <f t="shared" si="909"/>
        <v>1.4983555100145478E-2</v>
      </c>
      <c r="AV394" s="29">
        <f t="shared" si="910"/>
        <v>1.9049844066664958E-2</v>
      </c>
      <c r="AW394" s="29">
        <f t="shared" si="913"/>
        <v>7.3127757909233995E-2</v>
      </c>
      <c r="AX394" s="29">
        <f t="shared" si="913"/>
        <v>0.1207277153622551</v>
      </c>
      <c r="AY394" s="29">
        <f t="shared" si="913"/>
        <v>5.5266242746414562E-2</v>
      </c>
      <c r="AZ394" s="29">
        <f t="shared" si="913"/>
        <v>5.4133193731449515E-2</v>
      </c>
      <c r="BA394" s="29">
        <f t="shared" si="913"/>
        <v>0.1654760531296231</v>
      </c>
      <c r="BB394" s="29">
        <f t="shared" si="913"/>
        <v>0.1901784943273539</v>
      </c>
    </row>
    <row r="395" spans="5:54" x14ac:dyDescent="0.2">
      <c r="E395" s="191" t="s">
        <v>114</v>
      </c>
      <c r="AT395" s="29">
        <f t="shared" si="912"/>
        <v>2.0609989876035757E-2</v>
      </c>
      <c r="AU395" s="29">
        <f t="shared" si="909"/>
        <v>4.4272714614004685E-2</v>
      </c>
      <c r="AV395" s="29">
        <f t="shared" si="910"/>
        <v>4.9013693685209761E-2</v>
      </c>
      <c r="AW395" s="29">
        <f t="shared" si="913"/>
        <v>0.12050945215986524</v>
      </c>
      <c r="AX395" s="29">
        <f t="shared" si="913"/>
        <v>0.14003956752976843</v>
      </c>
      <c r="AY395" s="29">
        <f t="shared" si="913"/>
        <v>6.1165977450255371E-2</v>
      </c>
      <c r="AZ395" s="29">
        <f t="shared" si="913"/>
        <v>0.17215585198497499</v>
      </c>
      <c r="BA395" s="29">
        <f t="shared" si="913"/>
        <v>0.12618413123405328</v>
      </c>
      <c r="BB395" s="29">
        <f t="shared" si="913"/>
        <v>8.6026240461386849E-2</v>
      </c>
    </row>
    <row r="396" spans="5:54" x14ac:dyDescent="0.2">
      <c r="E396" s="191" t="s">
        <v>115</v>
      </c>
      <c r="AT396" s="29">
        <f t="shared" si="912"/>
        <v>9.0665925187994531E-2</v>
      </c>
      <c r="AU396" s="29">
        <f t="shared" si="909"/>
        <v>6.4622443191066789E-2</v>
      </c>
      <c r="AV396" s="29">
        <f t="shared" si="910"/>
        <v>9.5243711552356516E-2</v>
      </c>
      <c r="AW396" s="29">
        <f t="shared" si="913"/>
        <v>0.10841877339450504</v>
      </c>
      <c r="AX396" s="29">
        <f t="shared" si="913"/>
        <v>8.825479994562288E-2</v>
      </c>
      <c r="AY396" s="29">
        <f t="shared" si="913"/>
        <v>0.11660893098987707</v>
      </c>
      <c r="AZ396" s="29">
        <f t="shared" si="913"/>
        <v>4.641629173894115E-2</v>
      </c>
      <c r="BA396" s="29">
        <f t="shared" si="913"/>
        <v>5.8571244868637649E-2</v>
      </c>
      <c r="BB396" s="29">
        <f t="shared" si="913"/>
        <v>0.10878318452284644</v>
      </c>
    </row>
    <row r="397" spans="5:54" x14ac:dyDescent="0.2">
      <c r="E397" s="191"/>
      <c r="AT397" s="29"/>
      <c r="AU397" s="29"/>
      <c r="AV397" s="29"/>
      <c r="AW397" s="29"/>
      <c r="AX397" s="29"/>
      <c r="AY397" s="29"/>
      <c r="AZ397" s="29"/>
      <c r="BA397" s="29"/>
      <c r="BB397" s="29"/>
    </row>
    <row r="398" spans="5:54" x14ac:dyDescent="0.2">
      <c r="E398" s="191" t="s">
        <v>116</v>
      </c>
      <c r="AT398" s="29">
        <f>(AT106-AS106)/($AT$116-$AS$116)</f>
        <v>4.7875752510620713E-2</v>
      </c>
      <c r="AU398" s="29">
        <f>(AU106-AT106)/($AU$116-$AT$116)</f>
        <v>2.8671984448082211E-2</v>
      </c>
      <c r="AV398" s="29">
        <f>(AV106-AU106)/($AV$116-$AU$116)</f>
        <v>8.3388381607191989E-2</v>
      </c>
      <c r="AW398" s="29">
        <f t="shared" ref="AW398:BB402" si="914">(AW106-AV106)/($AW$116-$AV$116)</f>
        <v>6.1980813122651121E-2</v>
      </c>
      <c r="AX398" s="29">
        <f t="shared" si="914"/>
        <v>0.11477794497132607</v>
      </c>
      <c r="AY398" s="29">
        <f t="shared" si="914"/>
        <v>4.1141345167223675E-2</v>
      </c>
      <c r="AZ398" s="29">
        <f t="shared" si="914"/>
        <v>-2.415310958371393E-3</v>
      </c>
      <c r="BA398" s="29">
        <f t="shared" si="914"/>
        <v>4.5989350641718607E-2</v>
      </c>
      <c r="BB398" s="29">
        <f t="shared" si="914"/>
        <v>2.7680460492872667E-2</v>
      </c>
    </row>
    <row r="399" spans="5:54" x14ac:dyDescent="0.2">
      <c r="E399" s="191" t="s">
        <v>117</v>
      </c>
      <c r="AT399" s="29">
        <f>(AT107-AS107)/($AT$116-$AS$116)</f>
        <v>2.9566795912496262E-2</v>
      </c>
      <c r="AU399" s="29">
        <f>(AU107-AT107)/($AU$116-$AT$116)</f>
        <v>9.4247303851596922E-2</v>
      </c>
      <c r="AV399" s="29">
        <f>(AV107-AU107)/($AV$116-$AU$116)</f>
        <v>-0.10135802887903658</v>
      </c>
      <c r="AW399" s="29">
        <f t="shared" si="914"/>
        <v>-7.9671377919042011E-3</v>
      </c>
      <c r="AX399" s="29">
        <f t="shared" si="914"/>
        <v>-2.2177862375349869E-2</v>
      </c>
      <c r="AY399" s="29">
        <f t="shared" si="914"/>
        <v>0.22916858176043511</v>
      </c>
      <c r="AZ399" s="29">
        <f t="shared" si="914"/>
        <v>0.27340318509085176</v>
      </c>
      <c r="BA399" s="29">
        <f t="shared" si="914"/>
        <v>0.21362660011096968</v>
      </c>
      <c r="BB399" s="29">
        <f t="shared" si="914"/>
        <v>0.11638077512076542</v>
      </c>
    </row>
    <row r="400" spans="5:54" x14ac:dyDescent="0.2">
      <c r="E400" s="191" t="s">
        <v>118</v>
      </c>
      <c r="AT400" s="29">
        <f>(AT108-AS108)/($AT$116-$AS$116)</f>
        <v>4.8938274146512778E-2</v>
      </c>
      <c r="AU400" s="29">
        <f>(AU108-AT108)/($AU$116-$AT$116)</f>
        <v>4.7636779620665037E-2</v>
      </c>
      <c r="AV400" s="29">
        <f>(AV108-AU108)/($AV$116-$AU$116)</f>
        <v>5.4503472851307598E-2</v>
      </c>
      <c r="AW400" s="29">
        <f t="shared" si="914"/>
        <v>5.6136664574810466E-2</v>
      </c>
      <c r="AX400" s="29">
        <f t="shared" si="914"/>
        <v>4.2550448333871706E-2</v>
      </c>
      <c r="AY400" s="29">
        <f t="shared" si="914"/>
        <v>4.0000727789417594E-2</v>
      </c>
      <c r="AZ400" s="29">
        <f t="shared" si="914"/>
        <v>5.5693345739658166E-2</v>
      </c>
      <c r="BA400" s="29">
        <f t="shared" si="914"/>
        <v>3.4563277046409921E-2</v>
      </c>
      <c r="BB400" s="29">
        <f t="shared" si="914"/>
        <v>3.999356935264705E-2</v>
      </c>
    </row>
    <row r="401" spans="5:54" x14ac:dyDescent="0.2">
      <c r="E401" s="191" t="s">
        <v>119</v>
      </c>
      <c r="AT401" s="29">
        <f>(AT109-AS109)/($AT$116-$AS$116)</f>
        <v>3.3590136053959233E-2</v>
      </c>
      <c r="AU401" s="29">
        <f>(AU109-AT109)/($AU$116-$AT$116)</f>
        <v>1.3815299669714811E-2</v>
      </c>
      <c r="AV401" s="29">
        <f>(AV109-AU109)/($AV$116-$AU$116)</f>
        <v>1.6242620865383858E-2</v>
      </c>
      <c r="AW401" s="29">
        <f t="shared" si="914"/>
        <v>2.263320278554426E-2</v>
      </c>
      <c r="AX401" s="29">
        <f t="shared" si="914"/>
        <v>1.0945451251310412E-2</v>
      </c>
      <c r="AY401" s="29">
        <f t="shared" si="914"/>
        <v>1.8011588767799555E-2</v>
      </c>
      <c r="AZ401" s="29">
        <f t="shared" si="914"/>
        <v>4.0456996736294611E-2</v>
      </c>
      <c r="BA401" s="29">
        <f t="shared" si="914"/>
        <v>3.4994531239327005E-2</v>
      </c>
      <c r="BB401" s="29">
        <f t="shared" si="914"/>
        <v>3.5138458685430057E-2</v>
      </c>
    </row>
    <row r="402" spans="5:54" x14ac:dyDescent="0.2">
      <c r="E402" s="191" t="s">
        <v>120</v>
      </c>
      <c r="AT402" s="29">
        <f>(AT110-AS110)/($AT$116-$AS$116)</f>
        <v>1.7741403375694156E-2</v>
      </c>
      <c r="AU402" s="29">
        <f>(AU110-AT110)/($AU$116-$AT$116)</f>
        <v>1.0750709232190779E-2</v>
      </c>
      <c r="AV402" s="29">
        <f>(AV110-AU110)/($AV$116-$AU$116)</f>
        <v>1.5436644268532479E-2</v>
      </c>
      <c r="AW402" s="29">
        <f t="shared" si="914"/>
        <v>1.4044607985340383E-2</v>
      </c>
      <c r="AX402" s="29">
        <f t="shared" si="914"/>
        <v>1.7836526256172713E-2</v>
      </c>
      <c r="AY402" s="29">
        <f t="shared" si="914"/>
        <v>1.956259632797213E-2</v>
      </c>
      <c r="AZ402" s="29">
        <f t="shared" si="914"/>
        <v>2.3630258569489866E-2</v>
      </c>
      <c r="BA402" s="29">
        <f t="shared" si="914"/>
        <v>2.1390158565673396E-2</v>
      </c>
      <c r="BB402" s="29">
        <f t="shared" si="914"/>
        <v>2.3064346730974728E-2</v>
      </c>
    </row>
    <row r="403" spans="5:54" x14ac:dyDescent="0.2">
      <c r="E403" s="177"/>
      <c r="AT403" s="29"/>
      <c r="AU403" s="29"/>
      <c r="AV403" s="29"/>
      <c r="AW403" s="29"/>
      <c r="AX403" s="29"/>
      <c r="AY403" s="29"/>
      <c r="AZ403" s="29"/>
      <c r="BA403" s="29"/>
      <c r="BB403" s="29"/>
    </row>
    <row r="404" spans="5:54" x14ac:dyDescent="0.2">
      <c r="E404" s="177" t="s">
        <v>121</v>
      </c>
      <c r="AT404" s="29">
        <f>(AT111-AS111)/($AT$116-$AS$116)</f>
        <v>1.0086937320445737</v>
      </c>
      <c r="AU404" s="29">
        <f>(AU111-AT111)/($AU$116-$AT$116)</f>
        <v>0.80998604724249745</v>
      </c>
      <c r="AV404" s="29">
        <f>(AV111-AU111)/($AV$116-$AU$116)</f>
        <v>0.95592478060695996</v>
      </c>
      <c r="AW404" s="29">
        <f t="shared" ref="AW404:BB408" si="915">(AW111-AV111)/($AW$116-$AV$116)</f>
        <v>0.88627064508039122</v>
      </c>
      <c r="AX404" s="29">
        <f t="shared" si="915"/>
        <v>1.2138490042179129</v>
      </c>
      <c r="AY404" s="29">
        <f t="shared" si="915"/>
        <v>1.5357721141659599</v>
      </c>
      <c r="AZ404" s="29">
        <f t="shared" si="915"/>
        <v>1.1530569555356962</v>
      </c>
      <c r="BA404" s="29">
        <f t="shared" si="915"/>
        <v>1.4810583425766044</v>
      </c>
      <c r="BB404" s="29">
        <f t="shared" si="915"/>
        <v>1.65629006317383</v>
      </c>
    </row>
    <row r="405" spans="5:54" x14ac:dyDescent="0.2">
      <c r="E405" s="177" t="s">
        <v>122</v>
      </c>
      <c r="AT405" s="29">
        <f>(AT112-AS112)/($AT$116-$AS$116)</f>
        <v>-5.115004038984651E-2</v>
      </c>
      <c r="AU405" s="29">
        <f>(AU112-AT112)/($AU$116-$AT$116)</f>
        <v>-1.6548373083036493E-2</v>
      </c>
      <c r="AV405" s="29">
        <f>(AV112-AU112)/($AV$116-$AU$116)</f>
        <v>-1.5165784647466613E-2</v>
      </c>
      <c r="AW405" s="29">
        <f t="shared" si="915"/>
        <v>-4.6397440486923743E-2</v>
      </c>
      <c r="AX405" s="29">
        <f t="shared" si="915"/>
        <v>-2.2148632629317426E-2</v>
      </c>
      <c r="AY405" s="29">
        <f t="shared" si="915"/>
        <v>-6.7983582775129447E-2</v>
      </c>
      <c r="AZ405" s="29">
        <f t="shared" si="915"/>
        <v>-4.5411625126016639E-3</v>
      </c>
      <c r="BA405" s="29">
        <f t="shared" si="915"/>
        <v>-2.6076782816521562E-4</v>
      </c>
      <c r="BB405" s="29">
        <f t="shared" si="915"/>
        <v>-3.6144291209638031E-2</v>
      </c>
    </row>
    <row r="406" spans="5:54" x14ac:dyDescent="0.2">
      <c r="E406" s="177" t="s">
        <v>127</v>
      </c>
      <c r="AT406" s="29">
        <f>(AT113-AS113)/($AT$116-$AS$116)</f>
        <v>0.95754369165472497</v>
      </c>
      <c r="AU406" s="29">
        <f>(AU113-AT113)/($AU$116-$AT$116)</f>
        <v>0.79343767415946198</v>
      </c>
      <c r="AV406" s="29">
        <f>(AV113-AU113)/($AV$116-$AU$116)</f>
        <v>0.94075899595949319</v>
      </c>
      <c r="AW406" s="29">
        <f t="shared" si="915"/>
        <v>0.83987320459346837</v>
      </c>
      <c r="AX406" s="29">
        <f t="shared" si="915"/>
        <v>1.1917003715885939</v>
      </c>
      <c r="AY406" s="29">
        <f t="shared" si="915"/>
        <v>1.4677885313908305</v>
      </c>
      <c r="AZ406" s="29">
        <f t="shared" si="915"/>
        <v>1.148515793023096</v>
      </c>
      <c r="BA406" s="29">
        <f t="shared" si="915"/>
        <v>1.480797574748439</v>
      </c>
      <c r="BB406" s="29">
        <f t="shared" si="915"/>
        <v>1.6201457719641912</v>
      </c>
    </row>
    <row r="407" spans="5:54" x14ac:dyDescent="0.2">
      <c r="E407" s="177" t="s">
        <v>128</v>
      </c>
      <c r="AT407" s="29">
        <f>(AT114-AS114)/($AT$116-$AS$116)</f>
        <v>4.2456308345275834E-2</v>
      </c>
      <c r="AU407" s="29">
        <f>(AU114-AT114)/($AU$116-$AT$116)</f>
        <v>0.2065623258405378</v>
      </c>
      <c r="AV407" s="29">
        <f>(AV114-AU114)/($AV$116-$AU$116)</f>
        <v>5.9241004040507278E-2</v>
      </c>
      <c r="AW407" s="29">
        <f t="shared" si="915"/>
        <v>0.1601267954065306</v>
      </c>
      <c r="AX407" s="29">
        <f t="shared" si="915"/>
        <v>5.3322362571987261E-2</v>
      </c>
      <c r="AY407" s="29">
        <f t="shared" si="915"/>
        <v>0.17826834387762103</v>
      </c>
      <c r="AZ407" s="29">
        <f t="shared" si="915"/>
        <v>6.6873421830183945E-3</v>
      </c>
      <c r="BA407" s="29">
        <f t="shared" si="915"/>
        <v>0.23513965751379867</v>
      </c>
      <c r="BB407" s="29">
        <f t="shared" si="915"/>
        <v>0.14492188801467412</v>
      </c>
    </row>
    <row r="408" spans="5:54" x14ac:dyDescent="0.2">
      <c r="AT408" s="29">
        <f>(AT115-AS115)/($AT$116-$AS$116)</f>
        <v>0</v>
      </c>
      <c r="AU408" s="29">
        <f>(AU115-AT115)/($AU$116-$AT$116)</f>
        <v>0</v>
      </c>
      <c r="AV408" s="29">
        <f>(AV115-AU115)/($AV$116-$AU$116)</f>
        <v>0</v>
      </c>
      <c r="AW408" s="29">
        <f t="shared" si="915"/>
        <v>0</v>
      </c>
      <c r="AX408" s="29">
        <f t="shared" si="915"/>
        <v>0</v>
      </c>
      <c r="AY408" s="29">
        <f t="shared" si="915"/>
        <v>0</v>
      </c>
      <c r="AZ408" s="29">
        <f t="shared" si="915"/>
        <v>0</v>
      </c>
      <c r="BA408" s="29">
        <f t="shared" si="915"/>
        <v>0</v>
      </c>
      <c r="BB408" s="29">
        <f t="shared" si="915"/>
        <v>0</v>
      </c>
    </row>
    <row r="409" spans="5:54" x14ac:dyDescent="0.2">
      <c r="AX409" s="177"/>
      <c r="AY409" s="177"/>
      <c r="AZ409" s="177"/>
      <c r="BA409" s="177"/>
    </row>
    <row r="410" spans="5:54" x14ac:dyDescent="0.2">
      <c r="AX410" s="177"/>
      <c r="AY410" s="177"/>
      <c r="AZ410" s="177"/>
      <c r="BA410" s="177"/>
    </row>
    <row r="411" spans="5:54" x14ac:dyDescent="0.2">
      <c r="AX411" s="177"/>
      <c r="AY411" s="177"/>
      <c r="AZ411" s="177"/>
      <c r="BA411" s="177"/>
    </row>
    <row r="412" spans="5:54" x14ac:dyDescent="0.2">
      <c r="AX412" s="177"/>
      <c r="AY412" s="177"/>
      <c r="AZ412" s="177"/>
      <c r="BA412" s="177"/>
    </row>
    <row r="413" spans="5:54" x14ac:dyDescent="0.2">
      <c r="AX413" s="177"/>
      <c r="AY413" s="177"/>
      <c r="AZ413" s="177"/>
      <c r="BA413" s="177"/>
    </row>
    <row r="414" spans="5:54" x14ac:dyDescent="0.2">
      <c r="AX414" s="177"/>
      <c r="AY414" s="177"/>
      <c r="AZ414" s="177"/>
      <c r="BA414" s="177"/>
    </row>
    <row r="415" spans="5:54" x14ac:dyDescent="0.2">
      <c r="E415" s="15" t="s">
        <v>137</v>
      </c>
      <c r="AX415" s="177"/>
      <c r="AY415" s="177"/>
      <c r="AZ415" s="177"/>
      <c r="BA415" s="177"/>
    </row>
    <row r="416" spans="5:54" x14ac:dyDescent="0.2">
      <c r="E416" s="15" t="s">
        <v>100</v>
      </c>
      <c r="AX416" s="177"/>
      <c r="AY416" s="177"/>
      <c r="AZ416" s="177"/>
      <c r="BA416" s="177"/>
    </row>
    <row r="417" spans="5:56" x14ac:dyDescent="0.2">
      <c r="E417" s="177" t="s">
        <v>101</v>
      </c>
      <c r="J417" s="29">
        <f t="shared" ref="J417:AA417" si="916">J89/J$116</f>
        <v>0.31224432844140887</v>
      </c>
      <c r="K417" s="29">
        <f t="shared" si="916"/>
        <v>0.31038183375460704</v>
      </c>
      <c r="L417" s="29">
        <f t="shared" si="916"/>
        <v>0.31749033392947895</v>
      </c>
      <c r="M417" s="29">
        <f t="shared" si="916"/>
        <v>0.34428025840393028</v>
      </c>
      <c r="N417" s="29">
        <f t="shared" si="916"/>
        <v>0.33464407463712581</v>
      </c>
      <c r="O417" s="29">
        <f t="shared" si="916"/>
        <v>0.30205517702879958</v>
      </c>
      <c r="P417" s="29">
        <f t="shared" si="916"/>
        <v>0.29501689813316262</v>
      </c>
      <c r="Q417" s="29">
        <f t="shared" si="916"/>
        <v>0.28737993398571071</v>
      </c>
      <c r="R417" s="29">
        <f t="shared" si="916"/>
        <v>0.27592637909944107</v>
      </c>
      <c r="S417" s="29">
        <f t="shared" si="916"/>
        <v>0.27078141935241762</v>
      </c>
      <c r="T417" s="29">
        <f t="shared" si="916"/>
        <v>0.27279707127904113</v>
      </c>
      <c r="U417" s="29">
        <f t="shared" si="916"/>
        <v>0.26760379989598082</v>
      </c>
      <c r="V417" s="29">
        <f t="shared" si="916"/>
        <v>0.25744919318165393</v>
      </c>
      <c r="W417" s="29">
        <f t="shared" si="916"/>
        <v>0.24992594529614529</v>
      </c>
      <c r="X417" s="29">
        <f t="shared" si="916"/>
        <v>0.24285604222289828</v>
      </c>
      <c r="Y417" s="29">
        <f t="shared" si="916"/>
        <v>0.23420266191831246</v>
      </c>
      <c r="Z417" s="29">
        <f t="shared" si="916"/>
        <v>0.22635191148000139</v>
      </c>
      <c r="AA417" s="29">
        <f t="shared" si="916"/>
        <v>0.21788527542307881</v>
      </c>
      <c r="AL417" s="29">
        <f t="shared" ref="AL417:BD417" si="917">AL89/AL$116</f>
        <v>0.3134422340755153</v>
      </c>
      <c r="AM417" s="29">
        <f t="shared" si="917"/>
        <v>0.31110172970778222</v>
      </c>
      <c r="AN417" s="29">
        <f t="shared" si="917"/>
        <v>0.30969578600166936</v>
      </c>
      <c r="AO417" s="29">
        <f t="shared" si="917"/>
        <v>0.32121308232442203</v>
      </c>
      <c r="AP417" s="29">
        <f t="shared" si="917"/>
        <v>0.36428635863856884</v>
      </c>
      <c r="AQ417" s="29">
        <f t="shared" si="917"/>
        <v>0.30457291021797478</v>
      </c>
      <c r="AR417" s="29">
        <f t="shared" si="917"/>
        <v>0.29970669155668977</v>
      </c>
      <c r="AS417" s="29">
        <f t="shared" si="917"/>
        <v>0.29066109281942937</v>
      </c>
      <c r="AT417" s="29">
        <f t="shared" si="917"/>
        <v>0.2842448862762359</v>
      </c>
      <c r="AU417" s="29">
        <f t="shared" si="917"/>
        <v>0.26825703448918126</v>
      </c>
      <c r="AV417" s="29">
        <f t="shared" si="917"/>
        <v>0.27317269175041148</v>
      </c>
      <c r="AW417" s="29">
        <f t="shared" si="917"/>
        <v>0.27244063541949975</v>
      </c>
      <c r="AX417" s="29">
        <f t="shared" si="917"/>
        <v>0.2630561445925837</v>
      </c>
      <c r="AY417" s="29">
        <f t="shared" si="917"/>
        <v>0.25225297706697924</v>
      </c>
      <c r="AZ417" s="29">
        <f t="shared" si="917"/>
        <v>0.24771269692550824</v>
      </c>
      <c r="BA417" s="29">
        <f t="shared" si="917"/>
        <v>0.23832824420814658</v>
      </c>
      <c r="BB417" s="29">
        <f t="shared" si="917"/>
        <v>0.23034572071176282</v>
      </c>
      <c r="BC417" s="29">
        <f t="shared" si="917"/>
        <v>0.22262076548475584</v>
      </c>
      <c r="BD417" s="29">
        <f t="shared" si="917"/>
        <v>0.21346676638912601</v>
      </c>
    </row>
    <row r="418" spans="5:56" x14ac:dyDescent="0.2">
      <c r="E418" s="177" t="s">
        <v>131</v>
      </c>
      <c r="J418" s="29">
        <f t="shared" ref="J418:AA418" si="918">J90/J$116</f>
        <v>0.21610628617748839</v>
      </c>
      <c r="K418" s="29">
        <f t="shared" si="918"/>
        <v>0.21546424887110158</v>
      </c>
      <c r="L418" s="29">
        <f t="shared" si="918"/>
        <v>0.18467846333224661</v>
      </c>
      <c r="M418" s="29">
        <f t="shared" si="918"/>
        <v>0.20153411702137231</v>
      </c>
      <c r="N418" s="29">
        <f t="shared" si="918"/>
        <v>0.19624884054404601</v>
      </c>
      <c r="O418" s="29">
        <f t="shared" si="918"/>
        <v>0.16276335038819792</v>
      </c>
      <c r="P418" s="29">
        <f t="shared" si="918"/>
        <v>0.15976104863841478</v>
      </c>
      <c r="Q418" s="29">
        <f t="shared" si="918"/>
        <v>0.15271002463277911</v>
      </c>
      <c r="R418" s="29">
        <f t="shared" si="918"/>
        <v>0.14115279657851718</v>
      </c>
      <c r="S418" s="29">
        <f t="shared" si="918"/>
        <v>0.13607446886893701</v>
      </c>
      <c r="T418" s="29">
        <f t="shared" si="918"/>
        <v>0.13754669944463441</v>
      </c>
      <c r="U418" s="29">
        <f t="shared" si="918"/>
        <v>0.13582119311079241</v>
      </c>
      <c r="V418" s="29">
        <f t="shared" si="918"/>
        <v>0.1321492375008797</v>
      </c>
      <c r="W418" s="29">
        <f t="shared" si="918"/>
        <v>0.12971414765085329</v>
      </c>
      <c r="X418" s="29">
        <f t="shared" si="918"/>
        <v>0.12677482474674581</v>
      </c>
      <c r="Y418" s="29">
        <f t="shared" si="918"/>
        <v>0.12278634270484769</v>
      </c>
      <c r="Z418" s="29">
        <f t="shared" si="918"/>
        <v>0.11899620111039259</v>
      </c>
      <c r="AA418" s="29">
        <f t="shared" si="918"/>
        <v>0.11451426016126322</v>
      </c>
      <c r="AL418" s="29">
        <f t="shared" ref="AL418:BD418" si="919">AL90/AL$116</f>
        <v>0.21648949515923138</v>
      </c>
      <c r="AM418" s="29">
        <f t="shared" si="919"/>
        <v>0.21574076982562609</v>
      </c>
      <c r="AN418" s="29">
        <f t="shared" si="919"/>
        <v>0.21520072942963922</v>
      </c>
      <c r="AO418" s="29">
        <f t="shared" si="919"/>
        <v>0.17010074591021496</v>
      </c>
      <c r="AP418" s="29">
        <f t="shared" si="919"/>
        <v>0.22879619587293368</v>
      </c>
      <c r="AQ418" s="29">
        <f t="shared" si="919"/>
        <v>0.16323057267184465</v>
      </c>
      <c r="AR418" s="29">
        <f t="shared" si="919"/>
        <v>0.16232753584275364</v>
      </c>
      <c r="AS418" s="29">
        <f t="shared" si="919"/>
        <v>0.15737733626716069</v>
      </c>
      <c r="AT418" s="29">
        <f t="shared" si="919"/>
        <v>0.14825054998059048</v>
      </c>
      <c r="AU418" s="29">
        <f t="shared" si="919"/>
        <v>0.13460894013381819</v>
      </c>
      <c r="AV418" s="29">
        <f t="shared" si="919"/>
        <v>0.13746271931513229</v>
      </c>
      <c r="AW418" s="29">
        <f t="shared" si="919"/>
        <v>0.13762639033457519</v>
      </c>
      <c r="AX418" s="29">
        <f t="shared" si="919"/>
        <v>0.1341239233383357</v>
      </c>
      <c r="AY418" s="29">
        <f t="shared" si="919"/>
        <v>0.13031920659495691</v>
      </c>
      <c r="AZ418" s="29">
        <f t="shared" si="919"/>
        <v>0.12913867389112169</v>
      </c>
      <c r="BA418" s="29">
        <f t="shared" si="919"/>
        <v>0.12457103795965438</v>
      </c>
      <c r="BB418" s="29">
        <f t="shared" si="919"/>
        <v>0.1211178595221563</v>
      </c>
      <c r="BC418" s="29">
        <f t="shared" si="919"/>
        <v>0.11701407907427328</v>
      </c>
      <c r="BD418" s="29">
        <f t="shared" si="919"/>
        <v>0.11218177243422334</v>
      </c>
    </row>
    <row r="419" spans="5:56" x14ac:dyDescent="0.2">
      <c r="E419" s="177" t="s">
        <v>132</v>
      </c>
      <c r="J419" s="29">
        <f t="shared" ref="J419:AA419" si="920">J91/J$116</f>
        <v>5.2312966478511878E-2</v>
      </c>
      <c r="K419" s="29">
        <f t="shared" si="920"/>
        <v>5.1714948086447617E-2</v>
      </c>
      <c r="L419" s="29">
        <f t="shared" si="920"/>
        <v>8.8161225642228863E-2</v>
      </c>
      <c r="M419" s="29">
        <f t="shared" si="920"/>
        <v>9.9570494887200017E-2</v>
      </c>
      <c r="N419" s="29">
        <f t="shared" si="920"/>
        <v>9.5997892827633949E-2</v>
      </c>
      <c r="O419" s="29">
        <f t="shared" si="920"/>
        <v>9.6308508284024263E-2</v>
      </c>
      <c r="P419" s="29">
        <f t="shared" si="920"/>
        <v>9.3462957282989284E-2</v>
      </c>
      <c r="Q419" s="29">
        <f t="shared" si="920"/>
        <v>9.3298387914953429E-2</v>
      </c>
      <c r="R419" s="29">
        <f t="shared" si="920"/>
        <v>9.416400574125984E-2</v>
      </c>
      <c r="S419" s="29">
        <f t="shared" si="920"/>
        <v>9.5021059395540258E-2</v>
      </c>
      <c r="T419" s="29">
        <f t="shared" si="920"/>
        <v>9.6059018703808716E-2</v>
      </c>
      <c r="U419" s="29">
        <f t="shared" si="920"/>
        <v>9.3728723889515891E-2</v>
      </c>
      <c r="V419" s="29">
        <f t="shared" si="920"/>
        <v>8.8811429910075526E-2</v>
      </c>
      <c r="W419" s="29">
        <f t="shared" si="920"/>
        <v>8.485911689658332E-2</v>
      </c>
      <c r="X419" s="29">
        <f t="shared" si="920"/>
        <v>8.1420253005870163E-2</v>
      </c>
      <c r="Y419" s="29">
        <f t="shared" si="920"/>
        <v>7.7617079796620067E-2</v>
      </c>
      <c r="Z419" s="29">
        <f t="shared" si="920"/>
        <v>7.4483627002138578E-2</v>
      </c>
      <c r="AA419" s="29">
        <f t="shared" si="920"/>
        <v>7.1366277323212574E-2</v>
      </c>
      <c r="AL419" s="29">
        <f t="shared" ref="AL419:BD419" si="921">AL91/AL$116</f>
        <v>5.2666952505700339E-2</v>
      </c>
      <c r="AM419" s="29">
        <f t="shared" si="921"/>
        <v>5.1975323867214901E-2</v>
      </c>
      <c r="AN419" s="29">
        <f t="shared" si="921"/>
        <v>5.1466814701995427E-2</v>
      </c>
      <c r="AO419" s="29">
        <f t="shared" si="921"/>
        <v>0.10568681669591298</v>
      </c>
      <c r="AP419" s="29">
        <f t="shared" si="921"/>
        <v>9.426582531036698E-2</v>
      </c>
      <c r="AQ419" s="29">
        <f t="shared" si="921"/>
        <v>9.7755020824055225E-2</v>
      </c>
      <c r="AR419" s="29">
        <f t="shared" si="921"/>
        <v>9.4959233587208536E-2</v>
      </c>
      <c r="AS419" s="29">
        <f t="shared" si="921"/>
        <v>9.2073239722289202E-2</v>
      </c>
      <c r="AT419" s="29">
        <f t="shared" si="921"/>
        <v>9.4468979839888126E-2</v>
      </c>
      <c r="AU419" s="29">
        <f t="shared" si="921"/>
        <v>9.3882831317787782E-2</v>
      </c>
      <c r="AV419" s="29">
        <f t="shared" si="921"/>
        <v>9.6099267962145962E-2</v>
      </c>
      <c r="AW419" s="29">
        <f t="shared" si="921"/>
        <v>9.6020825154508826E-2</v>
      </c>
      <c r="AX419" s="29">
        <f t="shared" si="921"/>
        <v>9.1573660641451421E-2</v>
      </c>
      <c r="AY419" s="29">
        <f t="shared" si="921"/>
        <v>8.6251545440442667E-2</v>
      </c>
      <c r="AZ419" s="29">
        <f t="shared" si="921"/>
        <v>8.3534773050250408E-2</v>
      </c>
      <c r="BA419" s="29">
        <f t="shared" si="921"/>
        <v>7.9448912598665128E-2</v>
      </c>
      <c r="BB419" s="29">
        <f t="shared" si="921"/>
        <v>7.5904528471410423E-2</v>
      </c>
      <c r="BC419" s="29">
        <f t="shared" si="921"/>
        <v>7.3156174808240521E-2</v>
      </c>
      <c r="BD419" s="29">
        <f t="shared" si="921"/>
        <v>6.969619078423997E-2</v>
      </c>
    </row>
    <row r="420" spans="5:56" x14ac:dyDescent="0.2">
      <c r="E420" s="177" t="s">
        <v>133</v>
      </c>
      <c r="J420" s="29">
        <f t="shared" ref="J420:AA420" si="922">J92/J$116</f>
        <v>2.6270836178342291E-2</v>
      </c>
      <c r="K420" s="29">
        <f t="shared" si="922"/>
        <v>2.5956746370208308E-2</v>
      </c>
      <c r="L420" s="29">
        <f t="shared" si="922"/>
        <v>2.7084373707482057E-2</v>
      </c>
      <c r="M420" s="29">
        <f t="shared" si="922"/>
        <v>2.6085087057221699E-2</v>
      </c>
      <c r="N420" s="29">
        <f t="shared" si="922"/>
        <v>2.5302730537416915E-2</v>
      </c>
      <c r="O420" s="29">
        <f t="shared" si="922"/>
        <v>2.5306852388737009E-2</v>
      </c>
      <c r="P420" s="29">
        <f t="shared" si="922"/>
        <v>2.4298437682316088E-2</v>
      </c>
      <c r="Q420" s="29">
        <f t="shared" si="922"/>
        <v>2.4162817000152912E-2</v>
      </c>
      <c r="R420" s="29">
        <f t="shared" si="922"/>
        <v>2.4169552504379927E-2</v>
      </c>
      <c r="S420" s="29">
        <f t="shared" si="922"/>
        <v>2.3688987911516843E-2</v>
      </c>
      <c r="T420" s="29">
        <f t="shared" si="922"/>
        <v>2.3458046337362624E-2</v>
      </c>
      <c r="U420" s="29">
        <f t="shared" si="922"/>
        <v>2.3093244719420352E-2</v>
      </c>
      <c r="V420" s="29">
        <f t="shared" si="922"/>
        <v>2.227990544814374E-2</v>
      </c>
      <c r="W420" s="29">
        <f t="shared" si="922"/>
        <v>2.1639547998965222E-2</v>
      </c>
      <c r="X420" s="29">
        <f t="shared" si="922"/>
        <v>2.1210488559478199E-2</v>
      </c>
      <c r="Y420" s="29">
        <f t="shared" si="922"/>
        <v>2.0778643262416924E-2</v>
      </c>
      <c r="Z420" s="29">
        <f t="shared" si="922"/>
        <v>2.0415994846215958E-2</v>
      </c>
      <c r="AA420" s="29">
        <f t="shared" si="922"/>
        <v>2.002042418826765E-2</v>
      </c>
      <c r="AL420" s="29">
        <f t="shared" ref="AL420:BD420" si="923">AL92/AL$116</f>
        <v>2.6585977365751547E-2</v>
      </c>
      <c r="AM420" s="29">
        <f t="shared" si="923"/>
        <v>2.5970244953628666E-2</v>
      </c>
      <c r="AN420" s="29">
        <f t="shared" si="923"/>
        <v>2.5943882465664137E-2</v>
      </c>
      <c r="AO420" s="29">
        <f t="shared" si="923"/>
        <v>2.7629082904121426E-2</v>
      </c>
      <c r="AP420" s="29">
        <f t="shared" si="923"/>
        <v>2.4745983580988982E-2</v>
      </c>
      <c r="AQ420" s="29">
        <f t="shared" si="923"/>
        <v>2.5867532806560258E-2</v>
      </c>
      <c r="AR420" s="29">
        <f t="shared" si="923"/>
        <v>2.4783862176185664E-2</v>
      </c>
      <c r="AS420" s="29">
        <f t="shared" si="923"/>
        <v>2.3847583156569586E-2</v>
      </c>
      <c r="AT420" s="29">
        <f t="shared" si="923"/>
        <v>2.4464013372946236E-2</v>
      </c>
      <c r="AU420" s="29">
        <f t="shared" si="923"/>
        <v>2.3898070875852728E-2</v>
      </c>
      <c r="AV420" s="29">
        <f t="shared" si="923"/>
        <v>2.3490930028668439E-2</v>
      </c>
      <c r="AW420" s="29">
        <f t="shared" si="923"/>
        <v>2.342684216275329E-2</v>
      </c>
      <c r="AX420" s="29">
        <f t="shared" si="923"/>
        <v>2.2779592089514706E-2</v>
      </c>
      <c r="AY420" s="29">
        <f t="shared" si="923"/>
        <v>2.1816823179744173E-2</v>
      </c>
      <c r="AZ420" s="29">
        <f t="shared" si="923"/>
        <v>2.1470940930539688E-2</v>
      </c>
      <c r="BA420" s="29">
        <f t="shared" si="923"/>
        <v>2.0967672094063059E-2</v>
      </c>
      <c r="BB420" s="29">
        <f t="shared" si="923"/>
        <v>2.0601923216910036E-2</v>
      </c>
      <c r="BC420" s="29">
        <f t="shared" si="923"/>
        <v>2.0242294537698279E-2</v>
      </c>
      <c r="BD420" s="29">
        <f t="shared" si="923"/>
        <v>1.9813405246076412E-2</v>
      </c>
    </row>
    <row r="421" spans="5:56" x14ac:dyDescent="0.2">
      <c r="E421" s="177" t="s">
        <v>105</v>
      </c>
      <c r="J421" s="29">
        <f t="shared" ref="J421:AA421" si="924">J93/J$116</f>
        <v>1.7554239607066285E-2</v>
      </c>
      <c r="K421" s="29">
        <f t="shared" si="924"/>
        <v>1.7245890426849535E-2</v>
      </c>
      <c r="L421" s="29">
        <f t="shared" si="924"/>
        <v>1.7566271247521466E-2</v>
      </c>
      <c r="M421" s="29">
        <f t="shared" si="924"/>
        <v>1.7090559438136321E-2</v>
      </c>
      <c r="N421" s="29">
        <f t="shared" si="924"/>
        <v>1.7094610728028998E-2</v>
      </c>
      <c r="O421" s="29">
        <f t="shared" si="924"/>
        <v>1.7676465967840369E-2</v>
      </c>
      <c r="P421" s="29">
        <f t="shared" si="924"/>
        <v>1.7494454529442489E-2</v>
      </c>
      <c r="Q421" s="29">
        <f t="shared" si="924"/>
        <v>1.7208704437825271E-2</v>
      </c>
      <c r="R421" s="29">
        <f t="shared" si="924"/>
        <v>1.6440024275284053E-2</v>
      </c>
      <c r="S421" s="29">
        <f t="shared" si="924"/>
        <v>1.5996903176423466E-2</v>
      </c>
      <c r="T421" s="29">
        <f t="shared" si="924"/>
        <v>1.5733306793235344E-2</v>
      </c>
      <c r="U421" s="29">
        <f t="shared" si="924"/>
        <v>1.4960638176252164E-2</v>
      </c>
      <c r="V421" s="29">
        <f t="shared" si="924"/>
        <v>1.4208620322554991E-2</v>
      </c>
      <c r="W421" s="29">
        <f t="shared" si="924"/>
        <v>1.3713132749743404E-2</v>
      </c>
      <c r="X421" s="29">
        <f t="shared" si="924"/>
        <v>1.3450475910804045E-2</v>
      </c>
      <c r="Y421" s="29">
        <f t="shared" si="924"/>
        <v>1.3020596154427815E-2</v>
      </c>
      <c r="Z421" s="29">
        <f t="shared" si="924"/>
        <v>1.2456088521254238E-2</v>
      </c>
      <c r="AA421" s="29">
        <f t="shared" si="924"/>
        <v>1.1984313750335398E-2</v>
      </c>
      <c r="AL421" s="29">
        <f t="shared" ref="AL421:BD421" si="925">AL93/AL$116</f>
        <v>1.7699809044832052E-2</v>
      </c>
      <c r="AM421" s="29">
        <f t="shared" si="925"/>
        <v>1.7415391061312537E-2</v>
      </c>
      <c r="AN421" s="29">
        <f t="shared" si="925"/>
        <v>1.7084359404370569E-2</v>
      </c>
      <c r="AO421" s="29">
        <f t="shared" si="925"/>
        <v>1.7796436814172638E-2</v>
      </c>
      <c r="AP421" s="29">
        <f t="shared" si="925"/>
        <v>1.647835387427922E-2</v>
      </c>
      <c r="AQ421" s="29">
        <f t="shared" si="925"/>
        <v>1.7719783915514695E-2</v>
      </c>
      <c r="AR421" s="29">
        <f t="shared" si="925"/>
        <v>1.7636059950541887E-2</v>
      </c>
      <c r="AS421" s="29">
        <f t="shared" si="925"/>
        <v>1.7362933673409922E-2</v>
      </c>
      <c r="AT421" s="29">
        <f t="shared" si="925"/>
        <v>1.7061343082811039E-2</v>
      </c>
      <c r="AU421" s="29">
        <f t="shared" si="925"/>
        <v>1.586719216172253E-2</v>
      </c>
      <c r="AV421" s="29">
        <f t="shared" si="925"/>
        <v>1.611977444446477E-2</v>
      </c>
      <c r="AW421" s="29">
        <f t="shared" si="925"/>
        <v>1.5366577767662462E-2</v>
      </c>
      <c r="AX421" s="29">
        <f t="shared" si="925"/>
        <v>1.4578968523281867E-2</v>
      </c>
      <c r="AY421" s="29">
        <f t="shared" si="925"/>
        <v>1.3865401851835503E-2</v>
      </c>
      <c r="AZ421" s="29">
        <f t="shared" si="925"/>
        <v>1.3568309053596395E-2</v>
      </c>
      <c r="BA421" s="29">
        <f t="shared" si="925"/>
        <v>1.3340621555764055E-2</v>
      </c>
      <c r="BB421" s="29">
        <f t="shared" si="925"/>
        <v>1.2721409501286069E-2</v>
      </c>
      <c r="BC421" s="29">
        <f t="shared" si="925"/>
        <v>1.2208217064543782E-2</v>
      </c>
      <c r="BD421" s="29">
        <f t="shared" si="925"/>
        <v>1.177539792458634E-2</v>
      </c>
    </row>
    <row r="422" spans="5:56" x14ac:dyDescent="0.2">
      <c r="E422" s="177" t="s">
        <v>106</v>
      </c>
      <c r="J422" s="29">
        <f t="shared" ref="J422:AA422" si="926">J94/J$116</f>
        <v>0.17817532870370748</v>
      </c>
      <c r="K422" s="29">
        <f t="shared" si="926"/>
        <v>0.17936723240263067</v>
      </c>
      <c r="L422" s="29">
        <f t="shared" si="926"/>
        <v>0.17129607173423222</v>
      </c>
      <c r="M422" s="29">
        <f t="shared" si="926"/>
        <v>0.16362637240899872</v>
      </c>
      <c r="N422" s="29">
        <f t="shared" si="926"/>
        <v>0.17079700945300066</v>
      </c>
      <c r="O422" s="29">
        <f t="shared" si="926"/>
        <v>0.18538610939906991</v>
      </c>
      <c r="P422" s="29">
        <f t="shared" si="926"/>
        <v>0.1917974013685147</v>
      </c>
      <c r="Q422" s="29">
        <f t="shared" si="926"/>
        <v>0.19589851697341759</v>
      </c>
      <c r="R422" s="29">
        <f t="shared" si="926"/>
        <v>0.19970655781332247</v>
      </c>
      <c r="S422" s="29">
        <f t="shared" si="926"/>
        <v>0.20288919435896069</v>
      </c>
      <c r="T422" s="29">
        <f t="shared" si="926"/>
        <v>0.2017239667423579</v>
      </c>
      <c r="U422" s="29">
        <f t="shared" si="926"/>
        <v>0.20240538784294237</v>
      </c>
      <c r="V422" s="29">
        <f t="shared" si="926"/>
        <v>0.20897056156772206</v>
      </c>
      <c r="W422" s="29">
        <f t="shared" si="926"/>
        <v>0.2116195004210269</v>
      </c>
      <c r="X422" s="29">
        <f t="shared" si="926"/>
        <v>0.21284541335092635</v>
      </c>
      <c r="Y422" s="29">
        <f t="shared" si="926"/>
        <v>0.21850375652549531</v>
      </c>
      <c r="Z422" s="29">
        <f t="shared" si="926"/>
        <v>0.22423870631508047</v>
      </c>
      <c r="AA422" s="29">
        <f t="shared" si="926"/>
        <v>0.22899787703603394</v>
      </c>
      <c r="AL422" s="29">
        <f t="shared" ref="AL422:BD422" si="927">AL94/AL$116</f>
        <v>0.17654434447481948</v>
      </c>
      <c r="AM422" s="29">
        <f t="shared" si="927"/>
        <v>0.17973101093896346</v>
      </c>
      <c r="AN422" s="29">
        <f t="shared" si="927"/>
        <v>0.17902055807237874</v>
      </c>
      <c r="AO422" s="29">
        <f t="shared" si="927"/>
        <v>0.16760678540442514</v>
      </c>
      <c r="AP422" s="29">
        <f t="shared" si="927"/>
        <v>0.16017417084400085</v>
      </c>
      <c r="AQ422" s="29">
        <f t="shared" si="927"/>
        <v>0.18157354497211886</v>
      </c>
      <c r="AR422" s="29">
        <f t="shared" si="927"/>
        <v>0.18894238462579882</v>
      </c>
      <c r="AS422" s="29">
        <f t="shared" si="927"/>
        <v>0.19444909537199304</v>
      </c>
      <c r="AT422" s="29">
        <f t="shared" si="927"/>
        <v>0.19728339533557218</v>
      </c>
      <c r="AU422" s="29">
        <f t="shared" si="927"/>
        <v>0.20194062069185911</v>
      </c>
      <c r="AV422" s="29">
        <f t="shared" si="927"/>
        <v>0.20378774911605735</v>
      </c>
      <c r="AW422" s="29">
        <f t="shared" si="927"/>
        <v>0.1997655909339465</v>
      </c>
      <c r="AX422" s="29">
        <f t="shared" si="927"/>
        <v>0.20488735903148358</v>
      </c>
      <c r="AY422" s="29">
        <f t="shared" si="927"/>
        <v>0.21275465050719888</v>
      </c>
      <c r="AZ422" s="29">
        <f t="shared" si="927"/>
        <v>0.21053985505041461</v>
      </c>
      <c r="BA422" s="29">
        <f t="shared" si="927"/>
        <v>0.2149948563183956</v>
      </c>
      <c r="BB422" s="29">
        <f t="shared" si="927"/>
        <v>0.22178417147001894</v>
      </c>
      <c r="BC422" s="29">
        <f t="shared" si="927"/>
        <v>0.22653181230134281</v>
      </c>
      <c r="BD422" s="29">
        <f t="shared" si="927"/>
        <v>0.23129886999909102</v>
      </c>
    </row>
    <row r="423" spans="5:56" x14ac:dyDescent="0.2">
      <c r="E423" s="191" t="s">
        <v>136</v>
      </c>
      <c r="J423" s="29">
        <f t="shared" ref="J423:AA423" si="928">J95/J$116</f>
        <v>1.4724692484115546E-2</v>
      </c>
      <c r="K423" s="29">
        <f t="shared" si="928"/>
        <v>1.5697790822441857E-2</v>
      </c>
      <c r="L423" s="29">
        <f t="shared" si="928"/>
        <v>2.5537611570014801E-2</v>
      </c>
      <c r="M423" s="29">
        <f t="shared" si="928"/>
        <v>3.0144984711788864E-2</v>
      </c>
      <c r="N423" s="29">
        <f t="shared" si="928"/>
        <v>3.3168778630549609E-2</v>
      </c>
      <c r="O423" s="29">
        <f t="shared" si="928"/>
        <v>3.7568281841962411E-2</v>
      </c>
      <c r="P423" s="29">
        <f t="shared" si="928"/>
        <v>4.0583135108735013E-2</v>
      </c>
      <c r="Q423" s="29">
        <f t="shared" si="928"/>
        <v>3.8293868189068637E-2</v>
      </c>
      <c r="R423" s="29">
        <f t="shared" si="928"/>
        <v>3.4823290535984708E-2</v>
      </c>
      <c r="S423" s="29">
        <f t="shared" si="928"/>
        <v>3.2333747532786991E-2</v>
      </c>
      <c r="T423" s="29">
        <f t="shared" si="928"/>
        <v>3.1797493014595876E-2</v>
      </c>
      <c r="U423" s="29">
        <f t="shared" si="928"/>
        <v>3.3778580051177606E-2</v>
      </c>
      <c r="V423" s="29">
        <f t="shared" si="928"/>
        <v>3.3651052251943418E-2</v>
      </c>
      <c r="W423" s="29">
        <f t="shared" si="928"/>
        <v>3.3653223297085012E-2</v>
      </c>
      <c r="X423" s="29">
        <f t="shared" si="928"/>
        <v>3.3332003716749999E-2</v>
      </c>
      <c r="Y423" s="29">
        <f t="shared" si="928"/>
        <v>3.3194577413867964E-2</v>
      </c>
      <c r="Z423" s="29">
        <f t="shared" si="928"/>
        <v>3.3732014047149449E-2</v>
      </c>
      <c r="AA423" s="29">
        <f t="shared" si="928"/>
        <v>3.4092131087329836E-2</v>
      </c>
      <c r="AL423" s="29">
        <f t="shared" ref="AL423:BD423" si="929">AL95/AL$116</f>
        <v>1.4425815929059296E-2</v>
      </c>
      <c r="AM423" s="29">
        <f t="shared" si="929"/>
        <v>1.5009770009084942E-2</v>
      </c>
      <c r="AN423" s="29">
        <f t="shared" si="929"/>
        <v>1.6353462146743668E-2</v>
      </c>
      <c r="AO423" s="29">
        <f t="shared" si="929"/>
        <v>2.9924046529560575E-2</v>
      </c>
      <c r="AP423" s="29">
        <f t="shared" si="929"/>
        <v>3.0336603807428603E-2</v>
      </c>
      <c r="AQ423" s="29">
        <f t="shared" si="929"/>
        <v>3.6041930873666438E-2</v>
      </c>
      <c r="AR423" s="29">
        <f t="shared" si="929"/>
        <v>3.8992028047396522E-2</v>
      </c>
      <c r="AS423" s="29">
        <f t="shared" si="929"/>
        <v>4.2060929963776694E-2</v>
      </c>
      <c r="AT423" s="29">
        <f t="shared" si="929"/>
        <v>3.4694554962630263E-2</v>
      </c>
      <c r="AU423" s="29">
        <f t="shared" si="929"/>
        <v>3.4941979797732156E-2</v>
      </c>
      <c r="AV423" s="29">
        <f t="shared" si="929"/>
        <v>2.986304906142773E-2</v>
      </c>
      <c r="AW423" s="29">
        <f t="shared" si="929"/>
        <v>3.3633136292148133E-2</v>
      </c>
      <c r="AX423" s="29">
        <f t="shared" si="929"/>
        <v>3.391532815412223E-2</v>
      </c>
      <c r="AY423" s="29">
        <f t="shared" si="929"/>
        <v>3.3406135790041334E-2</v>
      </c>
      <c r="AZ423" s="29">
        <f t="shared" si="929"/>
        <v>3.3888229122627803E-2</v>
      </c>
      <c r="BA423" s="29">
        <f t="shared" si="929"/>
        <v>3.2813441775927953E-2</v>
      </c>
      <c r="BB423" s="29">
        <f t="shared" si="929"/>
        <v>3.3550895054380865E-2</v>
      </c>
      <c r="BC423" s="29">
        <f t="shared" si="929"/>
        <v>3.3901221278971425E-2</v>
      </c>
      <c r="BD423" s="29">
        <f t="shared" si="929"/>
        <v>3.4270261904186236E-2</v>
      </c>
    </row>
    <row r="424" spans="5:56" x14ac:dyDescent="0.2">
      <c r="E424" s="191" t="s">
        <v>135</v>
      </c>
      <c r="J424" s="29">
        <f t="shared" ref="J424:AA424" si="930">J96/J$116</f>
        <v>8.4240394650259232E-2</v>
      </c>
      <c r="K424" s="29">
        <f t="shared" si="930"/>
        <v>8.4655289443692675E-2</v>
      </c>
      <c r="L424" s="29">
        <f t="shared" si="930"/>
        <v>6.9018806632247867E-2</v>
      </c>
      <c r="M424" s="29">
        <f t="shared" si="930"/>
        <v>5.9329727430256697E-2</v>
      </c>
      <c r="N424" s="29">
        <f t="shared" si="930"/>
        <v>6.0397888900428805E-2</v>
      </c>
      <c r="O424" s="29">
        <f t="shared" si="930"/>
        <v>6.4130646653409701E-2</v>
      </c>
      <c r="P424" s="29">
        <f t="shared" si="930"/>
        <v>6.5368274568223222E-2</v>
      </c>
      <c r="Q424" s="29">
        <f t="shared" si="930"/>
        <v>6.7150077661183402E-2</v>
      </c>
      <c r="R424" s="29">
        <f t="shared" si="930"/>
        <v>6.9308811192358419E-2</v>
      </c>
      <c r="S424" s="29">
        <f t="shared" si="930"/>
        <v>7.2214980718650526E-2</v>
      </c>
      <c r="T424" s="29">
        <f t="shared" si="930"/>
        <v>7.38468111396611E-2</v>
      </c>
      <c r="U424" s="29">
        <f t="shared" si="930"/>
        <v>7.4533114877090259E-2</v>
      </c>
      <c r="V424" s="29">
        <f t="shared" si="930"/>
        <v>7.5051633075632451E-2</v>
      </c>
      <c r="W424" s="29">
        <f t="shared" si="930"/>
        <v>7.4353029257154077E-2</v>
      </c>
      <c r="X424" s="29">
        <f t="shared" si="930"/>
        <v>7.3716136947826999E-2</v>
      </c>
      <c r="Y424" s="29">
        <f t="shared" si="930"/>
        <v>7.3400300265650975E-2</v>
      </c>
      <c r="Z424" s="29">
        <f t="shared" si="930"/>
        <v>7.3312959847130932E-2</v>
      </c>
      <c r="AA424" s="29">
        <f t="shared" si="930"/>
        <v>7.3219137299538842E-2</v>
      </c>
      <c r="AL424" s="29">
        <f t="shared" ref="AL424:BD424" si="931">AL96/AL$116</f>
        <v>8.3749512745251553E-2</v>
      </c>
      <c r="AM424" s="29">
        <f t="shared" si="931"/>
        <v>8.4708612702710726E-2</v>
      </c>
      <c r="AN424" s="29">
        <f t="shared" si="931"/>
        <v>8.4604473347467513E-2</v>
      </c>
      <c r="AO424" s="29">
        <f t="shared" si="931"/>
        <v>6.1574947631626499E-2</v>
      </c>
      <c r="AP424" s="29">
        <f t="shared" si="931"/>
        <v>5.7382453943349766E-2</v>
      </c>
      <c r="AQ424" s="29">
        <f t="shared" si="931"/>
        <v>6.3456952783129794E-2</v>
      </c>
      <c r="AR424" s="29">
        <f t="shared" si="931"/>
        <v>6.4759053298642844E-2</v>
      </c>
      <c r="AS424" s="29">
        <f t="shared" si="931"/>
        <v>6.5934109564273369E-2</v>
      </c>
      <c r="AT424" s="29">
        <f t="shared" si="931"/>
        <v>6.8311898283165251E-2</v>
      </c>
      <c r="AU424" s="29">
        <f t="shared" si="931"/>
        <v>7.0227926663983795E-2</v>
      </c>
      <c r="AV424" s="29">
        <f t="shared" si="931"/>
        <v>7.4097256113122165E-2</v>
      </c>
      <c r="AW424" s="29">
        <f t="shared" si="931"/>
        <v>7.3609157507371778E-2</v>
      </c>
      <c r="AX424" s="29">
        <f t="shared" si="931"/>
        <v>7.5401831543613629E-2</v>
      </c>
      <c r="AY424" s="29">
        <f t="shared" si="931"/>
        <v>7.4727088275919923E-2</v>
      </c>
      <c r="AZ424" s="29">
        <f t="shared" si="931"/>
        <v>7.3997260365563519E-2</v>
      </c>
      <c r="BA424" s="29">
        <f t="shared" si="931"/>
        <v>7.3454049125926971E-2</v>
      </c>
      <c r="BB424" s="29">
        <f t="shared" si="931"/>
        <v>7.3350051311821027E-2</v>
      </c>
      <c r="BC424" s="29">
        <f t="shared" si="931"/>
        <v>7.3278307798947034E-2</v>
      </c>
      <c r="BD424" s="29">
        <f t="shared" si="931"/>
        <v>7.3163927514960397E-2</v>
      </c>
    </row>
    <row r="425" spans="5:56" x14ac:dyDescent="0.2">
      <c r="E425" s="191" t="s">
        <v>107</v>
      </c>
      <c r="J425" s="29">
        <f t="shared" ref="J425:AA425" si="932">J97/J$116</f>
        <v>2.147939798557414E-2</v>
      </c>
      <c r="K425" s="29">
        <f t="shared" si="932"/>
        <v>2.1523516806128035E-2</v>
      </c>
      <c r="L425" s="29">
        <f t="shared" si="932"/>
        <v>1.3041085831541744E-2</v>
      </c>
      <c r="M425" s="29">
        <f t="shared" si="932"/>
        <v>8.5519311969746679E-3</v>
      </c>
      <c r="N425" s="29">
        <f t="shared" si="932"/>
        <v>8.5786760814350396E-3</v>
      </c>
      <c r="O425" s="29">
        <f t="shared" si="932"/>
        <v>8.9510191365299984E-3</v>
      </c>
      <c r="P425" s="29">
        <f t="shared" si="932"/>
        <v>9.034748882200138E-3</v>
      </c>
      <c r="Q425" s="29">
        <f t="shared" si="932"/>
        <v>8.5073077693367284E-3</v>
      </c>
      <c r="R425" s="29">
        <f t="shared" si="932"/>
        <v>8.329432466553776E-3</v>
      </c>
      <c r="S425" s="29">
        <f t="shared" si="932"/>
        <v>8.7947219431039596E-3</v>
      </c>
      <c r="T425" s="29">
        <f t="shared" si="932"/>
        <v>8.8463025396589273E-3</v>
      </c>
      <c r="U425" s="29">
        <f t="shared" si="932"/>
        <v>9.1012459159836162E-3</v>
      </c>
      <c r="V425" s="29">
        <f t="shared" si="932"/>
        <v>8.8320268031769119E-3</v>
      </c>
      <c r="W425" s="29">
        <f t="shared" si="932"/>
        <v>8.2463232206688893E-3</v>
      </c>
      <c r="X425" s="29">
        <f t="shared" si="932"/>
        <v>8.40303938875216E-3</v>
      </c>
      <c r="Y425" s="29">
        <f t="shared" si="932"/>
        <v>8.7140610391762095E-3</v>
      </c>
      <c r="Z425" s="29">
        <f t="shared" si="932"/>
        <v>8.9045225521783376E-3</v>
      </c>
      <c r="AA425" s="29">
        <f t="shared" si="932"/>
        <v>9.0730671151686131E-3</v>
      </c>
      <c r="AL425" s="29">
        <f t="shared" ref="AL425:BD425" si="933">AL97/AL$116</f>
        <v>2.1569015390458596E-2</v>
      </c>
      <c r="AM425" s="29">
        <f t="shared" si="933"/>
        <v>2.1393918186150482E-2</v>
      </c>
      <c r="AN425" s="29">
        <f t="shared" si="933"/>
        <v>2.1647021934372297E-2</v>
      </c>
      <c r="AO425" s="29">
        <f t="shared" si="933"/>
        <v>8.9308109175227825E-3</v>
      </c>
      <c r="AP425" s="29">
        <f t="shared" si="933"/>
        <v>8.2233298267839292E-3</v>
      </c>
      <c r="AQ425" s="29">
        <f t="shared" si="933"/>
        <v>8.9391636757385987E-3</v>
      </c>
      <c r="AR425" s="29">
        <f t="shared" si="933"/>
        <v>8.9620776464441835E-3</v>
      </c>
      <c r="AS425" s="29">
        <f t="shared" si="933"/>
        <v>9.1022447666187067E-3</v>
      </c>
      <c r="AT425" s="29">
        <f t="shared" si="933"/>
        <v>7.9388635198711071E-3</v>
      </c>
      <c r="AU425" s="29">
        <f t="shared" si="933"/>
        <v>8.6895220574519476E-3</v>
      </c>
      <c r="AV425" s="29">
        <f t="shared" si="933"/>
        <v>8.8943745699658003E-3</v>
      </c>
      <c r="AW425" s="29">
        <f t="shared" si="933"/>
        <v>8.8006857622244753E-3</v>
      </c>
      <c r="AX425" s="29">
        <f t="shared" si="933"/>
        <v>9.3838364590331791E-3</v>
      </c>
      <c r="AY425" s="29">
        <f t="shared" si="933"/>
        <v>8.3206397737826277E-3</v>
      </c>
      <c r="AZ425" s="29">
        <f t="shared" si="933"/>
        <v>8.1756404770330377E-3</v>
      </c>
      <c r="BA425" s="29">
        <f t="shared" si="933"/>
        <v>8.615040530296195E-3</v>
      </c>
      <c r="BB425" s="29">
        <f t="shared" si="933"/>
        <v>8.8066337365949286E-3</v>
      </c>
      <c r="BC425" s="29">
        <f t="shared" si="933"/>
        <v>8.995973455576213E-3</v>
      </c>
      <c r="BD425" s="29">
        <f t="shared" si="933"/>
        <v>9.1450003315692134E-3</v>
      </c>
    </row>
    <row r="426" spans="5:56" x14ac:dyDescent="0.2">
      <c r="E426" s="191" t="s">
        <v>134</v>
      </c>
      <c r="J426" s="29">
        <f t="shared" ref="J426:AA426" si="934">J98/J$116</f>
        <v>5.0514222271460987E-3</v>
      </c>
      <c r="K426" s="29">
        <f t="shared" si="934"/>
        <v>4.9699382877411227E-3</v>
      </c>
      <c r="L426" s="29">
        <f t="shared" si="934"/>
        <v>9.7120189550259188E-3</v>
      </c>
      <c r="M426" s="29">
        <f t="shared" si="934"/>
        <v>1.1299591144444555E-2</v>
      </c>
      <c r="N426" s="29">
        <f t="shared" si="934"/>
        <v>1.1018506966058333E-2</v>
      </c>
      <c r="O426" s="29">
        <f t="shared" si="934"/>
        <v>1.1231846431539442E-2</v>
      </c>
      <c r="P426" s="29">
        <f t="shared" si="934"/>
        <v>1.0947883525112346E-2</v>
      </c>
      <c r="Q426" s="29">
        <f t="shared" si="934"/>
        <v>1.0650146747295088E-2</v>
      </c>
      <c r="R426" s="29">
        <f t="shared" si="934"/>
        <v>9.7306672547730795E-3</v>
      </c>
      <c r="S426" s="29">
        <f t="shared" si="934"/>
        <v>8.8568962502225419E-3</v>
      </c>
      <c r="T426" s="29">
        <f t="shared" si="934"/>
        <v>8.6878211200269416E-3</v>
      </c>
      <c r="U426" s="29">
        <f t="shared" si="934"/>
        <v>8.4789289912919029E-3</v>
      </c>
      <c r="V426" s="29">
        <f t="shared" si="934"/>
        <v>7.9475786361546136E-3</v>
      </c>
      <c r="W426" s="29">
        <f t="shared" si="934"/>
        <v>7.5226603274515108E-3</v>
      </c>
      <c r="X426" s="29">
        <f t="shared" si="934"/>
        <v>7.275673896426374E-3</v>
      </c>
      <c r="Y426" s="29">
        <f t="shared" si="934"/>
        <v>7.0102351293645166E-3</v>
      </c>
      <c r="Z426" s="29">
        <f t="shared" si="934"/>
        <v>6.795583950397914E-3</v>
      </c>
      <c r="AA426" s="29">
        <f t="shared" si="934"/>
        <v>6.5755655581593367E-3</v>
      </c>
      <c r="AL426" s="29">
        <f t="shared" ref="AL426:BD426" si="935">AL98/AL$116</f>
        <v>5.0976905726681674E-3</v>
      </c>
      <c r="AM426" s="29">
        <f t="shared" si="935"/>
        <v>5.0072900755848042E-3</v>
      </c>
      <c r="AN426" s="29">
        <f t="shared" si="935"/>
        <v>4.9343427131232336E-3</v>
      </c>
      <c r="AO426" s="29">
        <f t="shared" si="935"/>
        <v>1.1993881447351194E-2</v>
      </c>
      <c r="AP426" s="29">
        <f t="shared" si="935"/>
        <v>1.0697435018180487E-2</v>
      </c>
      <c r="AQ426" s="29">
        <f t="shared" si="935"/>
        <v>1.1344224354588241E-2</v>
      </c>
      <c r="AR426" s="29">
        <f t="shared" si="935"/>
        <v>1.1127022806541898E-2</v>
      </c>
      <c r="AS426" s="29">
        <f t="shared" si="935"/>
        <v>1.0781501818396927E-2</v>
      </c>
      <c r="AT426" s="29">
        <f t="shared" si="935"/>
        <v>1.0524640962401702E-2</v>
      </c>
      <c r="AU426" s="29">
        <f t="shared" si="935"/>
        <v>8.9986539444671144E-3</v>
      </c>
      <c r="AV426" s="29">
        <f t="shared" si="935"/>
        <v>8.7226135319306407E-3</v>
      </c>
      <c r="AW426" s="29">
        <f t="shared" si="935"/>
        <v>8.6548057116889263E-3</v>
      </c>
      <c r="AX426" s="29">
        <f t="shared" si="935"/>
        <v>8.3135674245467684E-3</v>
      </c>
      <c r="AY426" s="29">
        <f t="shared" si="935"/>
        <v>7.608400230519341E-3</v>
      </c>
      <c r="AZ426" s="29">
        <f t="shared" si="935"/>
        <v>7.4411127941767762E-3</v>
      </c>
      <c r="BA426" s="29">
        <f t="shared" si="935"/>
        <v>7.1214372955837376E-3</v>
      </c>
      <c r="BB426" s="29">
        <f t="shared" si="935"/>
        <v>6.9062739944223423E-3</v>
      </c>
      <c r="BC426" s="29">
        <f t="shared" si="935"/>
        <v>6.6921737245937297E-3</v>
      </c>
      <c r="BD426" s="29">
        <f t="shared" si="935"/>
        <v>6.4667628302236E-3</v>
      </c>
    </row>
    <row r="427" spans="5:56" x14ac:dyDescent="0.2">
      <c r="E427" s="191" t="s">
        <v>109</v>
      </c>
      <c r="J427" s="29">
        <f t="shared" ref="J427:AA427" si="936">J99/J$116</f>
        <v>5.2679421356612459E-2</v>
      </c>
      <c r="K427" s="29">
        <f t="shared" si="936"/>
        <v>5.2520697042626983E-2</v>
      </c>
      <c r="L427" s="29">
        <f t="shared" si="936"/>
        <v>5.3986548745401881E-2</v>
      </c>
      <c r="M427" s="29">
        <f t="shared" si="936"/>
        <v>5.4300137925533939E-2</v>
      </c>
      <c r="N427" s="29">
        <f t="shared" si="936"/>
        <v>5.7633158874528877E-2</v>
      </c>
      <c r="O427" s="29">
        <f t="shared" si="936"/>
        <v>6.3504315335628378E-2</v>
      </c>
      <c r="P427" s="29">
        <f t="shared" si="936"/>
        <v>6.5863359284243958E-2</v>
      </c>
      <c r="Q427" s="29">
        <f t="shared" si="936"/>
        <v>7.129711660653372E-2</v>
      </c>
      <c r="R427" s="29">
        <f t="shared" si="936"/>
        <v>7.7514356363652503E-2</v>
      </c>
      <c r="S427" s="29">
        <f t="shared" si="936"/>
        <v>8.0688847914196671E-2</v>
      </c>
      <c r="T427" s="29">
        <f t="shared" si="936"/>
        <v>7.8545538928415023E-2</v>
      </c>
      <c r="U427" s="29">
        <f t="shared" si="936"/>
        <v>7.6513518007398987E-2</v>
      </c>
      <c r="V427" s="29">
        <f t="shared" si="936"/>
        <v>8.3488270800814668E-2</v>
      </c>
      <c r="W427" s="29">
        <f t="shared" si="936"/>
        <v>8.7844264318667431E-2</v>
      </c>
      <c r="X427" s="29">
        <f t="shared" si="936"/>
        <v>9.0118559401170834E-2</v>
      </c>
      <c r="Y427" s="29">
        <f t="shared" si="936"/>
        <v>9.6184582677435654E-2</v>
      </c>
      <c r="Z427" s="29">
        <f t="shared" si="936"/>
        <v>0.10149362591822388</v>
      </c>
      <c r="AA427" s="29">
        <f t="shared" si="936"/>
        <v>0.10603797597583738</v>
      </c>
      <c r="AL427" s="29">
        <f t="shared" ref="AL427:BD427" si="937">AL99/AL$116</f>
        <v>5.1702309837381853E-2</v>
      </c>
      <c r="AM427" s="29">
        <f t="shared" si="937"/>
        <v>5.3611419965432491E-2</v>
      </c>
      <c r="AN427" s="29">
        <f t="shared" si="937"/>
        <v>5.1481257930672035E-2</v>
      </c>
      <c r="AO427" s="29">
        <f t="shared" si="937"/>
        <v>5.518309887836409E-2</v>
      </c>
      <c r="AP427" s="29">
        <f t="shared" si="937"/>
        <v>5.3534348248258062E-2</v>
      </c>
      <c r="AQ427" s="29">
        <f t="shared" si="937"/>
        <v>6.1791273284995805E-2</v>
      </c>
      <c r="AR427" s="29">
        <f t="shared" si="937"/>
        <v>6.510220282677337E-2</v>
      </c>
      <c r="AS427" s="29">
        <f t="shared" si="937"/>
        <v>6.6570309258927318E-2</v>
      </c>
      <c r="AT427" s="29">
        <f t="shared" si="937"/>
        <v>7.5813437607503864E-2</v>
      </c>
      <c r="AU427" s="29">
        <f t="shared" si="937"/>
        <v>7.9082538228224114E-2</v>
      </c>
      <c r="AV427" s="29">
        <f t="shared" si="937"/>
        <v>8.2210455839611021E-2</v>
      </c>
      <c r="AW427" s="29">
        <f t="shared" si="937"/>
        <v>7.5067805660513159E-2</v>
      </c>
      <c r="AX427" s="29">
        <f t="shared" si="937"/>
        <v>7.78727954501678E-2</v>
      </c>
      <c r="AY427" s="29">
        <f t="shared" si="937"/>
        <v>8.8692386436935652E-2</v>
      </c>
      <c r="AZ427" s="29">
        <f t="shared" si="937"/>
        <v>8.7037612291013478E-2</v>
      </c>
      <c r="BA427" s="29">
        <f t="shared" si="937"/>
        <v>9.2990887590660737E-2</v>
      </c>
      <c r="BB427" s="29">
        <f t="shared" si="937"/>
        <v>9.9170317372799757E-2</v>
      </c>
      <c r="BC427" s="29">
        <f t="shared" si="937"/>
        <v>0.10366413604325446</v>
      </c>
      <c r="BD427" s="29">
        <f t="shared" si="937"/>
        <v>0.10825291741815159</v>
      </c>
    </row>
    <row r="428" spans="5:56" x14ac:dyDescent="0.2">
      <c r="E428" s="192" t="s">
        <v>110</v>
      </c>
      <c r="J428" s="29">
        <f t="shared" ref="J428:AA428" si="938">J100/J$116</f>
        <v>0.45175622780932112</v>
      </c>
      <c r="K428" s="29">
        <f t="shared" si="938"/>
        <v>0.45221571718605269</v>
      </c>
      <c r="L428" s="29">
        <f t="shared" si="938"/>
        <v>0.46233712325096504</v>
      </c>
      <c r="M428" s="29">
        <f t="shared" si="938"/>
        <v>0.44933951653956311</v>
      </c>
      <c r="N428" s="29">
        <f t="shared" si="938"/>
        <v>0.45153261055706823</v>
      </c>
      <c r="O428" s="29">
        <f t="shared" si="938"/>
        <v>0.46764409529866757</v>
      </c>
      <c r="P428" s="29">
        <f t="shared" si="938"/>
        <v>0.46724451219189239</v>
      </c>
      <c r="Q428" s="29">
        <f t="shared" si="938"/>
        <v>0.47120656628044894</v>
      </c>
      <c r="R428" s="29">
        <f t="shared" si="938"/>
        <v>0.47414287722204196</v>
      </c>
      <c r="S428" s="29">
        <f t="shared" si="938"/>
        <v>0.4709649321384593</v>
      </c>
      <c r="T428" s="29">
        <f t="shared" si="938"/>
        <v>0.4688748140018536</v>
      </c>
      <c r="U428" s="29">
        <f t="shared" si="938"/>
        <v>0.47294547804037235</v>
      </c>
      <c r="V428" s="29">
        <f t="shared" si="938"/>
        <v>0.47707687472079607</v>
      </c>
      <c r="W428" s="29">
        <f t="shared" si="938"/>
        <v>0.48294584298257948</v>
      </c>
      <c r="X428" s="29">
        <f t="shared" si="938"/>
        <v>0.48720403581767907</v>
      </c>
      <c r="Y428" s="29">
        <f t="shared" si="938"/>
        <v>0.48743614289278692</v>
      </c>
      <c r="Z428" s="29">
        <f t="shared" si="938"/>
        <v>0.48872047262560564</v>
      </c>
      <c r="AA428" s="29">
        <f t="shared" si="938"/>
        <v>0.49027412251999014</v>
      </c>
      <c r="AL428" s="29">
        <f t="shared" ref="AL428:BD428" si="939">AL100/AL$116</f>
        <v>0.45225159746517329</v>
      </c>
      <c r="AM428" s="29">
        <f t="shared" si="939"/>
        <v>0.45128372920397314</v>
      </c>
      <c r="AN428" s="29">
        <f t="shared" si="939"/>
        <v>0.45310388478589891</v>
      </c>
      <c r="AO428" s="29">
        <f t="shared" si="939"/>
        <v>0.46674700359223714</v>
      </c>
      <c r="AP428" s="29">
        <f t="shared" si="939"/>
        <v>0.43424204948904083</v>
      </c>
      <c r="AQ428" s="29">
        <f t="shared" si="939"/>
        <v>0.46907334070966761</v>
      </c>
      <c r="AR428" s="29">
        <f t="shared" si="939"/>
        <v>0.46631092699543186</v>
      </c>
      <c r="AS428" s="29">
        <f t="shared" si="939"/>
        <v>0.46811161122852907</v>
      </c>
      <c r="AT428" s="29">
        <f t="shared" si="939"/>
        <v>0.47416370192616603</v>
      </c>
      <c r="AU428" s="29">
        <f t="shared" si="939"/>
        <v>0.47412367764344682</v>
      </c>
      <c r="AV428" s="29">
        <f t="shared" si="939"/>
        <v>0.46797274935034028</v>
      </c>
      <c r="AW428" s="29">
        <f t="shared" si="939"/>
        <v>0.4697308061905941</v>
      </c>
      <c r="AX428" s="29">
        <f t="shared" si="939"/>
        <v>0.47596795408183384</v>
      </c>
      <c r="AY428" s="29">
        <f t="shared" si="939"/>
        <v>0.47810456175993093</v>
      </c>
      <c r="AZ428" s="29">
        <f t="shared" si="939"/>
        <v>0.48755040314033882</v>
      </c>
      <c r="BA428" s="29">
        <f t="shared" si="939"/>
        <v>0.48688112192489802</v>
      </c>
      <c r="BB428" s="29">
        <f t="shared" si="939"/>
        <v>0.4879550231601435</v>
      </c>
      <c r="BC428" s="29">
        <f t="shared" si="939"/>
        <v>0.48943558031901002</v>
      </c>
      <c r="BD428" s="29">
        <f t="shared" si="939"/>
        <v>0.49105653495083151</v>
      </c>
    </row>
    <row r="429" spans="5:56" x14ac:dyDescent="0.2">
      <c r="E429" s="191" t="s">
        <v>111</v>
      </c>
      <c r="J429" s="29">
        <f t="shared" ref="J429:AA429" si="940">J101/J$116</f>
        <v>0.12951827823508874</v>
      </c>
      <c r="K429" s="29">
        <f t="shared" si="940"/>
        <v>0.12979959633826163</v>
      </c>
      <c r="L429" s="29">
        <f t="shared" si="940"/>
        <v>9.8861206858688697E-2</v>
      </c>
      <c r="M429" s="29">
        <f t="shared" si="940"/>
        <v>8.154235140972356E-2</v>
      </c>
      <c r="N429" s="29">
        <f t="shared" si="940"/>
        <v>8.3614341977862855E-2</v>
      </c>
      <c r="O429" s="29">
        <f t="shared" si="940"/>
        <v>8.7503108213887487E-2</v>
      </c>
      <c r="P429" s="29">
        <f t="shared" si="940"/>
        <v>8.8930228423401619E-2</v>
      </c>
      <c r="Q429" s="29">
        <f t="shared" si="940"/>
        <v>9.290445176342968E-2</v>
      </c>
      <c r="R429" s="29">
        <f t="shared" si="940"/>
        <v>9.69531595554564E-2</v>
      </c>
      <c r="S429" s="29">
        <f t="shared" si="940"/>
        <v>9.9261975621050422E-2</v>
      </c>
      <c r="T429" s="29">
        <f t="shared" si="940"/>
        <v>9.8386596971337489E-2</v>
      </c>
      <c r="U429" s="29">
        <f t="shared" si="940"/>
        <v>9.885293354573739E-2</v>
      </c>
      <c r="V429" s="29">
        <f t="shared" si="940"/>
        <v>0.10208895321693734</v>
      </c>
      <c r="W429" s="29">
        <f t="shared" si="940"/>
        <v>0.10292211602351188</v>
      </c>
      <c r="X429" s="29">
        <f t="shared" si="940"/>
        <v>0.10089615222297206</v>
      </c>
      <c r="Y429" s="29">
        <f t="shared" si="940"/>
        <v>0.10107670455706083</v>
      </c>
      <c r="Z429" s="29">
        <f t="shared" si="940"/>
        <v>0.10392053594559021</v>
      </c>
      <c r="AA429" s="29">
        <f t="shared" si="940"/>
        <v>0.10679915785570265</v>
      </c>
      <c r="AL429" s="29">
        <f t="shared" ref="AL429:BD429" si="941">AL101/AL$116</f>
        <v>0.12881221580009858</v>
      </c>
      <c r="AM429" s="29">
        <f t="shared" si="941"/>
        <v>0.13019174200478117</v>
      </c>
      <c r="AN429" s="29">
        <f t="shared" si="941"/>
        <v>0.12942588864876375</v>
      </c>
      <c r="AO429" s="29">
        <f t="shared" si="941"/>
        <v>8.4263231308370892E-2</v>
      </c>
      <c r="AP429" s="29">
        <f t="shared" si="941"/>
        <v>7.9182539537168042E-2</v>
      </c>
      <c r="AQ429" s="29">
        <f t="shared" si="941"/>
        <v>8.8110266106409804E-2</v>
      </c>
      <c r="AR429" s="29">
        <f t="shared" si="941"/>
        <v>8.6936764847562589E-2</v>
      </c>
      <c r="AS429" s="29">
        <f t="shared" si="941"/>
        <v>9.0781725590166548E-2</v>
      </c>
      <c r="AT429" s="29">
        <f t="shared" si="941"/>
        <v>9.4932652214728366E-2</v>
      </c>
      <c r="AU429" s="29">
        <f t="shared" si="941"/>
        <v>9.8815989839095522E-2</v>
      </c>
      <c r="AV429" s="29">
        <f t="shared" si="941"/>
        <v>9.968444428096751E-2</v>
      </c>
      <c r="AW429" s="29">
        <f t="shared" si="941"/>
        <v>9.7155036509061071E-2</v>
      </c>
      <c r="AX429" s="29">
        <f t="shared" si="941"/>
        <v>0.10044931829479867</v>
      </c>
      <c r="AY429" s="29">
        <f t="shared" si="941"/>
        <v>0.10360847724705334</v>
      </c>
      <c r="AZ429" s="29">
        <f t="shared" si="941"/>
        <v>0.10226931537046059</v>
      </c>
      <c r="BA429" s="29">
        <f t="shared" si="941"/>
        <v>9.9615969514123617E-2</v>
      </c>
      <c r="BB429" s="29">
        <f t="shared" si="941"/>
        <v>0.10244232249488222</v>
      </c>
      <c r="BC429" s="29">
        <f t="shared" si="941"/>
        <v>0.10530153084961937</v>
      </c>
      <c r="BD429" s="29">
        <f t="shared" si="941"/>
        <v>0.10819653771917709</v>
      </c>
    </row>
    <row r="430" spans="5:56" x14ac:dyDescent="0.2">
      <c r="E430" s="191" t="s">
        <v>112</v>
      </c>
      <c r="J430" s="29">
        <f t="shared" ref="J430:AA430" si="942">J102/J$116</f>
        <v>2.7962671647483669E-2</v>
      </c>
      <c r="K430" s="29">
        <f t="shared" si="942"/>
        <v>2.8003086298814536E-2</v>
      </c>
      <c r="L430" s="29">
        <f t="shared" si="942"/>
        <v>2.2972959425637967E-2</v>
      </c>
      <c r="M430" s="29">
        <f t="shared" si="942"/>
        <v>1.9772110149830251E-2</v>
      </c>
      <c r="N430" s="29">
        <f t="shared" si="942"/>
        <v>1.9484788668404585E-2</v>
      </c>
      <c r="O430" s="29">
        <f t="shared" si="942"/>
        <v>1.9590998370174705E-2</v>
      </c>
      <c r="P430" s="29">
        <f t="shared" si="942"/>
        <v>1.9078874691674946E-2</v>
      </c>
      <c r="Q430" s="29">
        <f t="shared" si="942"/>
        <v>1.8793059669330925E-2</v>
      </c>
      <c r="R430" s="29">
        <f t="shared" si="942"/>
        <v>1.8331670876693539E-2</v>
      </c>
      <c r="S430" s="29">
        <f t="shared" si="942"/>
        <v>1.780620694111331E-2</v>
      </c>
      <c r="T430" s="29">
        <f t="shared" si="942"/>
        <v>1.7244122516226749E-2</v>
      </c>
      <c r="U430" s="29">
        <f t="shared" si="942"/>
        <v>1.6670655042688193E-2</v>
      </c>
      <c r="V430" s="29">
        <f t="shared" si="942"/>
        <v>1.6167580072195681E-2</v>
      </c>
      <c r="W430" s="29">
        <f t="shared" si="942"/>
        <v>1.601310094814621E-2</v>
      </c>
      <c r="X430" s="29">
        <f t="shared" si="942"/>
        <v>1.5779737001660514E-2</v>
      </c>
      <c r="Y430" s="29">
        <f t="shared" si="942"/>
        <v>1.5102368470057796E-2</v>
      </c>
      <c r="Z430" s="29">
        <f t="shared" si="942"/>
        <v>1.4427067483866395E-2</v>
      </c>
      <c r="AA430" s="29">
        <f t="shared" si="942"/>
        <v>1.3773901313407453E-2</v>
      </c>
      <c r="AL430" s="29">
        <f t="shared" ref="AL430:BD430" si="943">AL102/AL$116</f>
        <v>2.7806516873686397E-2</v>
      </c>
      <c r="AM430" s="29">
        <f t="shared" si="943"/>
        <v>2.8111616807862356E-2</v>
      </c>
      <c r="AN430" s="29">
        <f t="shared" si="943"/>
        <v>2.7899658697188159E-2</v>
      </c>
      <c r="AO430" s="29">
        <f t="shared" si="943"/>
        <v>2.0619922151969637E-2</v>
      </c>
      <c r="AP430" s="29">
        <f t="shared" si="943"/>
        <v>1.90368050636564E-2</v>
      </c>
      <c r="AQ430" s="29">
        <f t="shared" si="943"/>
        <v>1.9939253939529129E-2</v>
      </c>
      <c r="AR430" s="29">
        <f t="shared" si="943"/>
        <v>1.9266153327528183E-2</v>
      </c>
      <c r="AS430" s="29">
        <f t="shared" si="943"/>
        <v>1.8904933282420988E-2</v>
      </c>
      <c r="AT430" s="29">
        <f t="shared" si="943"/>
        <v>1.868616782646601E-2</v>
      </c>
      <c r="AU430" s="29">
        <f t="shared" si="943"/>
        <v>1.8004838283620202E-2</v>
      </c>
      <c r="AV430" s="29">
        <f t="shared" si="943"/>
        <v>1.7618049559237611E-2</v>
      </c>
      <c r="AW430" s="29">
        <f t="shared" si="943"/>
        <v>1.6889293594110018E-2</v>
      </c>
      <c r="AX430" s="29">
        <f t="shared" si="943"/>
        <v>1.6465088249468574E-2</v>
      </c>
      <c r="AY430" s="29">
        <f t="shared" si="943"/>
        <v>1.5891865754076317E-2</v>
      </c>
      <c r="AZ430" s="29">
        <f t="shared" si="943"/>
        <v>1.6128408181636567E-2</v>
      </c>
      <c r="BA430" s="29">
        <f t="shared" si="943"/>
        <v>1.5454675251718055E-2</v>
      </c>
      <c r="BB430" s="29">
        <f t="shared" si="943"/>
        <v>1.4773002468346808E-2</v>
      </c>
      <c r="BC430" s="29">
        <f t="shared" si="943"/>
        <v>1.4103883812073902E-2</v>
      </c>
      <c r="BD430" s="29">
        <f t="shared" si="943"/>
        <v>1.3466006959831796E-2</v>
      </c>
    </row>
    <row r="431" spans="5:56" x14ac:dyDescent="0.2">
      <c r="E431" s="191" t="s">
        <v>113</v>
      </c>
      <c r="J431" s="29">
        <f t="shared" ref="J431:AA431" si="944">J103/J$116</f>
        <v>5.4664520818334152E-2</v>
      </c>
      <c r="K431" s="29">
        <f t="shared" si="944"/>
        <v>5.4252192504936333E-2</v>
      </c>
      <c r="L431" s="29">
        <f t="shared" si="944"/>
        <v>5.8747377998015396E-2</v>
      </c>
      <c r="M431" s="29">
        <f t="shared" si="944"/>
        <v>5.8315945149533935E-2</v>
      </c>
      <c r="N431" s="29">
        <f t="shared" si="944"/>
        <v>5.7835718855545462E-2</v>
      </c>
      <c r="O431" s="29">
        <f t="shared" si="944"/>
        <v>6.0085380971827064E-2</v>
      </c>
      <c r="P431" s="29">
        <f t="shared" si="944"/>
        <v>6.0178582213144857E-2</v>
      </c>
      <c r="Q431" s="29">
        <f t="shared" si="944"/>
        <v>6.1215218972925284E-2</v>
      </c>
      <c r="R431" s="29">
        <f t="shared" si="944"/>
        <v>6.0530598181960459E-2</v>
      </c>
      <c r="S431" s="29">
        <f t="shared" si="944"/>
        <v>5.7678246669998323E-2</v>
      </c>
      <c r="T431" s="29">
        <f t="shared" si="944"/>
        <v>5.7091363334849335E-2</v>
      </c>
      <c r="U431" s="29">
        <f t="shared" si="944"/>
        <v>5.8717064092162569E-2</v>
      </c>
      <c r="V431" s="29">
        <f t="shared" si="944"/>
        <v>5.8861152469048862E-2</v>
      </c>
      <c r="W431" s="29">
        <f t="shared" si="944"/>
        <v>5.765744495246411E-2</v>
      </c>
      <c r="X431" s="29">
        <f t="shared" si="944"/>
        <v>5.8761588717160682E-2</v>
      </c>
      <c r="Y431" s="29">
        <f t="shared" si="944"/>
        <v>6.164263469794154E-2</v>
      </c>
      <c r="Z431" s="29">
        <f t="shared" si="944"/>
        <v>6.4827094336350422E-2</v>
      </c>
      <c r="AA431" s="29">
        <f t="shared" si="944"/>
        <v>6.8172591616848396E-2</v>
      </c>
      <c r="AL431" s="29">
        <f t="shared" ref="AL431:BD431" si="945">AL103/AL$116</f>
        <v>5.4931197451129087E-2</v>
      </c>
      <c r="AM431" s="29">
        <f t="shared" si="945"/>
        <v>5.4410156556038494E-2</v>
      </c>
      <c r="AN431" s="29">
        <f t="shared" si="945"/>
        <v>5.4101655636621414E-2</v>
      </c>
      <c r="AO431" s="29">
        <f t="shared" si="945"/>
        <v>6.0966218092964986E-2</v>
      </c>
      <c r="AP431" s="29">
        <f t="shared" si="945"/>
        <v>5.6017370500748273E-2</v>
      </c>
      <c r="AQ431" s="29">
        <f t="shared" si="945"/>
        <v>5.9680376046797566E-2</v>
      </c>
      <c r="AR431" s="29">
        <f t="shared" si="945"/>
        <v>6.0463160550161273E-2</v>
      </c>
      <c r="AS431" s="29">
        <f t="shared" si="945"/>
        <v>5.9914270393709286E-2</v>
      </c>
      <c r="AT431" s="29">
        <f t="shared" si="945"/>
        <v>6.2458235867292843E-2</v>
      </c>
      <c r="AU431" s="29">
        <f t="shared" si="945"/>
        <v>5.8753390159134215E-2</v>
      </c>
      <c r="AV431" s="29">
        <f t="shared" si="945"/>
        <v>5.6659796200382737E-2</v>
      </c>
      <c r="AW431" s="29">
        <f t="shared" si="945"/>
        <v>5.7500888412016171E-2</v>
      </c>
      <c r="AX431" s="29">
        <f t="shared" si="945"/>
        <v>5.98605281927687E-2</v>
      </c>
      <c r="AY431" s="29">
        <f t="shared" si="945"/>
        <v>5.7934985670084829E-2</v>
      </c>
      <c r="AZ431" s="29">
        <f t="shared" si="945"/>
        <v>5.7393474967714242E-2</v>
      </c>
      <c r="BA431" s="29">
        <f t="shared" si="945"/>
        <v>6.0037063935806351E-2</v>
      </c>
      <c r="BB431" s="29">
        <f t="shared" si="945"/>
        <v>6.3143657243963675E-2</v>
      </c>
      <c r="BC431" s="29">
        <f t="shared" si="945"/>
        <v>6.6399815816273564E-2</v>
      </c>
      <c r="BD431" s="29">
        <f t="shared" si="945"/>
        <v>6.9826702551090108E-2</v>
      </c>
    </row>
    <row r="432" spans="5:56" x14ac:dyDescent="0.2">
      <c r="E432" s="191" t="s">
        <v>114</v>
      </c>
      <c r="J432" s="29">
        <f t="shared" ref="J432:AA432" si="946">J104/J$116</f>
        <v>1.1911097220829475E-2</v>
      </c>
      <c r="K432" s="29">
        <f t="shared" si="946"/>
        <v>1.2045320665122802E-2</v>
      </c>
      <c r="L432" s="29">
        <f t="shared" si="946"/>
        <v>1.4471116663230522E-2</v>
      </c>
      <c r="M432" s="29">
        <f t="shared" si="946"/>
        <v>1.5259820281218864E-2</v>
      </c>
      <c r="N432" s="29">
        <f t="shared" si="946"/>
        <v>1.6239449180189661E-2</v>
      </c>
      <c r="O432" s="29">
        <f t="shared" si="946"/>
        <v>1.8410222148699435E-2</v>
      </c>
      <c r="P432" s="29">
        <f t="shared" si="946"/>
        <v>2.0245303404648259E-2</v>
      </c>
      <c r="Q432" s="29">
        <f t="shared" si="946"/>
        <v>2.1185713805158501E-2</v>
      </c>
      <c r="R432" s="29">
        <f t="shared" si="946"/>
        <v>2.2110828479844746E-2</v>
      </c>
      <c r="S432" s="29">
        <f t="shared" si="946"/>
        <v>2.3680660737390509E-2</v>
      </c>
      <c r="T432" s="29">
        <f t="shared" si="946"/>
        <v>2.6868611535967132E-2</v>
      </c>
      <c r="U432" s="29">
        <f t="shared" si="946"/>
        <v>3.1824325286473838E-2</v>
      </c>
      <c r="V432" s="29">
        <f t="shared" si="946"/>
        <v>3.4346552978184855E-2</v>
      </c>
      <c r="W432" s="29">
        <f t="shared" si="946"/>
        <v>3.7320966459076593E-2</v>
      </c>
      <c r="X432" s="29">
        <f t="shared" si="946"/>
        <v>4.1225354598557439E-2</v>
      </c>
      <c r="Y432" s="29">
        <f t="shared" si="946"/>
        <v>4.2535312629369194E-2</v>
      </c>
      <c r="Z432" s="29">
        <f t="shared" si="946"/>
        <v>4.2941792927885913E-2</v>
      </c>
      <c r="AA432" s="29">
        <f t="shared" si="946"/>
        <v>4.3322219325488021E-2</v>
      </c>
      <c r="AL432" s="29">
        <f t="shared" ref="AL432:BD432" si="947">AL104/AL$116</f>
        <v>1.1809184249056181E-2</v>
      </c>
      <c r="AM432" s="29">
        <f t="shared" si="947"/>
        <v>1.2008304904951568E-2</v>
      </c>
      <c r="AN432" s="29">
        <f t="shared" si="947"/>
        <v>1.2080596011479105E-2</v>
      </c>
      <c r="AO432" s="29">
        <f t="shared" si="947"/>
        <v>1.5612851501710948E-2</v>
      </c>
      <c r="AP432" s="29">
        <f t="shared" si="947"/>
        <v>1.4953637246122701E-2</v>
      </c>
      <c r="AQ432" s="29">
        <f t="shared" si="947"/>
        <v>1.7543864928974473E-2</v>
      </c>
      <c r="AR432" s="29">
        <f t="shared" si="947"/>
        <v>1.9218340877454797E-2</v>
      </c>
      <c r="AS432" s="29">
        <f t="shared" si="947"/>
        <v>2.1199129816386011E-2</v>
      </c>
      <c r="AT432" s="29">
        <f t="shared" si="947"/>
        <v>2.1172895213496044E-2</v>
      </c>
      <c r="AU432" s="29">
        <f t="shared" si="947"/>
        <v>2.297556698258009E-2</v>
      </c>
      <c r="AV432" s="29">
        <f t="shared" si="947"/>
        <v>2.4348574437251014E-2</v>
      </c>
      <c r="AW432" s="29">
        <f t="shared" si="947"/>
        <v>2.9259939106799294E-2</v>
      </c>
      <c r="AX432" s="29">
        <f t="shared" si="947"/>
        <v>3.4235394332185531E-2</v>
      </c>
      <c r="AY432" s="29">
        <f t="shared" si="947"/>
        <v>3.4449568735821216E-2</v>
      </c>
      <c r="AZ432" s="29">
        <f t="shared" si="947"/>
        <v>4.0051963264577037E-2</v>
      </c>
      <c r="BA432" s="29">
        <f t="shared" si="947"/>
        <v>4.2319292561589512E-2</v>
      </c>
      <c r="BB432" s="29">
        <f t="shared" si="947"/>
        <v>4.2737266351856859E-2</v>
      </c>
      <c r="BC432" s="29">
        <f t="shared" si="947"/>
        <v>4.3132868282463002E-2</v>
      </c>
      <c r="BD432" s="29">
        <f t="shared" si="947"/>
        <v>4.3498895716589603E-2</v>
      </c>
    </row>
    <row r="433" spans="5:56" x14ac:dyDescent="0.2">
      <c r="E433" s="191" t="s">
        <v>115</v>
      </c>
      <c r="J433" s="29">
        <f t="shared" ref="J433:AA433" si="948">J105/J$116</f>
        <v>1.5473303874731736E-2</v>
      </c>
      <c r="K433" s="29">
        <f t="shared" si="948"/>
        <v>1.533368294846147E-2</v>
      </c>
      <c r="L433" s="29">
        <f t="shared" si="948"/>
        <v>1.8283884315541149E-2</v>
      </c>
      <c r="M433" s="29">
        <f t="shared" si="948"/>
        <v>1.9250146419802282E-2</v>
      </c>
      <c r="N433" s="29">
        <f t="shared" si="948"/>
        <v>1.9987996546683959E-2</v>
      </c>
      <c r="O433" s="29">
        <f t="shared" si="948"/>
        <v>2.1267426165745777E-2</v>
      </c>
      <c r="P433" s="29">
        <f t="shared" si="948"/>
        <v>2.1753995483642305E-2</v>
      </c>
      <c r="Q433" s="29">
        <f t="shared" si="948"/>
        <v>2.3671972113155391E-2</v>
      </c>
      <c r="R433" s="29">
        <f t="shared" si="948"/>
        <v>2.6765770478265231E-2</v>
      </c>
      <c r="S433" s="29">
        <f t="shared" si="948"/>
        <v>3.0057240235311092E-2</v>
      </c>
      <c r="T433" s="29">
        <f t="shared" si="948"/>
        <v>3.3784441913853887E-2</v>
      </c>
      <c r="U433" s="29">
        <f t="shared" si="948"/>
        <v>3.6774940639135535E-2</v>
      </c>
      <c r="V433" s="29">
        <f t="shared" si="948"/>
        <v>3.9051076844665439E-2</v>
      </c>
      <c r="W433" s="29">
        <f t="shared" si="948"/>
        <v>4.0214586553026142E-2</v>
      </c>
      <c r="X433" s="29">
        <f t="shared" si="948"/>
        <v>4.0000683678621342E-2</v>
      </c>
      <c r="Y433" s="29">
        <f t="shared" si="948"/>
        <v>4.0536678202335363E-2</v>
      </c>
      <c r="Z433" s="29">
        <f t="shared" si="948"/>
        <v>4.1966135832057029E-2</v>
      </c>
      <c r="AA433" s="29">
        <f t="shared" si="948"/>
        <v>4.3401138991238541E-2</v>
      </c>
      <c r="AL433" s="29">
        <f t="shared" ref="AL433:BD433" si="949">AL105/AL$116</f>
        <v>1.5537051478960718E-2</v>
      </c>
      <c r="AM433" s="29">
        <f t="shared" si="949"/>
        <v>1.5412499475962795E-2</v>
      </c>
      <c r="AN433" s="29">
        <f t="shared" si="949"/>
        <v>1.5258572230936044E-2</v>
      </c>
      <c r="AO433" s="29">
        <f t="shared" si="949"/>
        <v>1.9728801430872838E-2</v>
      </c>
      <c r="AP433" s="29">
        <f t="shared" si="949"/>
        <v>1.8835010206497152E-2</v>
      </c>
      <c r="AQ433" s="29">
        <f t="shared" si="949"/>
        <v>2.1157664909860863E-2</v>
      </c>
      <c r="AR433" s="29">
        <f t="shared" si="949"/>
        <v>2.1369809021861953E-2</v>
      </c>
      <c r="AS433" s="29">
        <f t="shared" si="949"/>
        <v>2.2110821740272742E-2</v>
      </c>
      <c r="AT433" s="29">
        <f t="shared" si="949"/>
        <v>2.5163603926390308E-2</v>
      </c>
      <c r="AU433" s="29">
        <f t="shared" si="949"/>
        <v>2.8242906597548464E-2</v>
      </c>
      <c r="AV433" s="29">
        <f t="shared" si="949"/>
        <v>3.1775902873452354E-2</v>
      </c>
      <c r="AW433" s="29">
        <f t="shared" si="949"/>
        <v>3.5690395912250171E-2</v>
      </c>
      <c r="AX433" s="29">
        <f t="shared" si="949"/>
        <v>3.7794643615391255E-2</v>
      </c>
      <c r="AY433" s="29">
        <f t="shared" si="949"/>
        <v>4.0215470490067975E-2</v>
      </c>
      <c r="AZ433" s="29">
        <f t="shared" si="949"/>
        <v>4.0213745837294569E-2</v>
      </c>
      <c r="BA433" s="29">
        <f t="shared" si="949"/>
        <v>3.9802048511385565E-2</v>
      </c>
      <c r="BB433" s="29">
        <f t="shared" si="949"/>
        <v>4.1223471805643452E-2</v>
      </c>
      <c r="BC433" s="29">
        <f t="shared" si="949"/>
        <v>4.265995662998829E-2</v>
      </c>
      <c r="BD433" s="29">
        <f t="shared" si="949"/>
        <v>4.4092708589387158E-2</v>
      </c>
    </row>
    <row r="434" spans="5:56" x14ac:dyDescent="0.2">
      <c r="E434" s="177"/>
      <c r="J434" s="29"/>
      <c r="K434" s="29"/>
      <c r="L434" s="29"/>
      <c r="M434" s="29"/>
      <c r="N434" s="29"/>
      <c r="O434" s="29"/>
      <c r="P434" s="29"/>
      <c r="Q434" s="29"/>
      <c r="R434" s="29"/>
      <c r="S434" s="29"/>
      <c r="T434" s="29"/>
      <c r="U434" s="29"/>
      <c r="V434" s="29"/>
      <c r="W434" s="29"/>
      <c r="X434" s="29"/>
      <c r="Y434" s="29"/>
      <c r="Z434" s="29"/>
      <c r="AA434" s="29"/>
      <c r="AL434" s="29"/>
      <c r="AM434" s="29"/>
      <c r="AN434" s="29"/>
      <c r="AO434" s="29"/>
      <c r="AP434" s="29"/>
      <c r="AQ434" s="29"/>
      <c r="AR434" s="29"/>
      <c r="AS434" s="29"/>
      <c r="AT434" s="29"/>
      <c r="AU434" s="29"/>
      <c r="AV434" s="29"/>
      <c r="AW434" s="29"/>
      <c r="AX434" s="29"/>
      <c r="AY434" s="29"/>
      <c r="AZ434" s="29"/>
      <c r="BA434" s="29"/>
      <c r="BB434" s="29"/>
      <c r="BC434" s="29"/>
      <c r="BD434" s="29"/>
    </row>
    <row r="435" spans="5:56" x14ac:dyDescent="0.2">
      <c r="E435" s="191" t="s">
        <v>116</v>
      </c>
      <c r="J435" s="29">
        <f t="shared" ref="J435:AA435" si="950">J106/J$116</f>
        <v>0.10511868902988108</v>
      </c>
      <c r="K435" s="29">
        <f t="shared" si="950"/>
        <v>0.10470847841734922</v>
      </c>
      <c r="L435" s="29">
        <f t="shared" si="950"/>
        <v>0.10699951440090975</v>
      </c>
      <c r="M435" s="29">
        <f t="shared" si="950"/>
        <v>0.10399417492403254</v>
      </c>
      <c r="N435" s="29">
        <f t="shared" si="950"/>
        <v>0.10446099496576138</v>
      </c>
      <c r="O435" s="29">
        <f t="shared" si="950"/>
        <v>0.1083091436542741</v>
      </c>
      <c r="P435" s="29">
        <f t="shared" si="950"/>
        <v>9.1787396582656597E-2</v>
      </c>
      <c r="Q435" s="29">
        <f t="shared" si="950"/>
        <v>7.5988361310503558E-2</v>
      </c>
      <c r="R435" s="29">
        <f t="shared" si="950"/>
        <v>7.3466634301943057E-2</v>
      </c>
      <c r="S435" s="29">
        <f t="shared" si="950"/>
        <v>7.2034788355708715E-2</v>
      </c>
      <c r="T435" s="29">
        <f t="shared" si="950"/>
        <v>7.2062805685236861E-2</v>
      </c>
      <c r="U435" s="29">
        <f t="shared" si="950"/>
        <v>7.2433469276892065E-2</v>
      </c>
      <c r="V435" s="29">
        <f t="shared" si="950"/>
        <v>7.1197943082032422E-2</v>
      </c>
      <c r="W435" s="29">
        <f t="shared" si="950"/>
        <v>6.7711342547151457E-2</v>
      </c>
      <c r="X435" s="29">
        <f t="shared" si="950"/>
        <v>6.4631009477811752E-2</v>
      </c>
      <c r="Y435" s="29">
        <f t="shared" si="950"/>
        <v>6.1746038098616833E-2</v>
      </c>
      <c r="Z435" s="29">
        <f t="shared" si="950"/>
        <v>5.8717736908658273E-2</v>
      </c>
      <c r="AA435" s="29">
        <f t="shared" si="950"/>
        <v>5.5824115104760742E-2</v>
      </c>
      <c r="AL435" s="29">
        <f t="shared" ref="AL435:BD435" si="951">AL106/AL$116</f>
        <v>0.10554918127106792</v>
      </c>
      <c r="AM435" s="29">
        <f t="shared" si="951"/>
        <v>0.10470807247077034</v>
      </c>
      <c r="AN435" s="29">
        <f t="shared" si="951"/>
        <v>0.10470886527705724</v>
      </c>
      <c r="AO435" s="29">
        <f t="shared" si="951"/>
        <v>0.1080935496712267</v>
      </c>
      <c r="AP435" s="29">
        <f t="shared" si="951"/>
        <v>0.10043879814930159</v>
      </c>
      <c r="AQ435" s="29">
        <f t="shared" si="951"/>
        <v>0.10854138707684365</v>
      </c>
      <c r="AR435" s="29">
        <f t="shared" si="951"/>
        <v>0.10809251215962541</v>
      </c>
      <c r="AS435" s="29">
        <f t="shared" si="951"/>
        <v>7.66434653564107E-2</v>
      </c>
      <c r="AT435" s="29">
        <f t="shared" si="951"/>
        <v>7.5362429271650891E-2</v>
      </c>
      <c r="AU435" s="29">
        <f t="shared" si="951"/>
        <v>7.1718784041785152E-2</v>
      </c>
      <c r="AV435" s="29">
        <f t="shared" si="951"/>
        <v>7.2334129555435139E-2</v>
      </c>
      <c r="AW435" s="29">
        <f t="shared" si="951"/>
        <v>7.1805339534535911E-2</v>
      </c>
      <c r="AX435" s="29">
        <f t="shared" si="951"/>
        <v>7.302404498287951E-2</v>
      </c>
      <c r="AY435" s="29">
        <f t="shared" si="951"/>
        <v>6.9505611647570006E-2</v>
      </c>
      <c r="AZ435" s="29">
        <f t="shared" si="951"/>
        <v>6.6004806687710887E-2</v>
      </c>
      <c r="BA435" s="29">
        <f t="shared" si="951"/>
        <v>6.335023564056326E-2</v>
      </c>
      <c r="BB435" s="29">
        <f t="shared" si="951"/>
        <v>6.0246299354288539E-2</v>
      </c>
      <c r="BC435" s="29">
        <f t="shared" si="951"/>
        <v>5.7289704342120107E-2</v>
      </c>
      <c r="BD435" s="29">
        <f t="shared" si="951"/>
        <v>5.4456628487537656E-2</v>
      </c>
    </row>
    <row r="436" spans="5:56" x14ac:dyDescent="0.2">
      <c r="E436" s="191" t="s">
        <v>117</v>
      </c>
      <c r="J436" s="29">
        <f t="shared" ref="J436:AA436" si="952">J107/J$116</f>
        <v>6.4684916052869343E-2</v>
      </c>
      <c r="K436" s="29">
        <f t="shared" si="952"/>
        <v>6.5843586056403974E-2</v>
      </c>
      <c r="L436" s="29">
        <f t="shared" si="952"/>
        <v>8.5277115270131029E-2</v>
      </c>
      <c r="M436" s="29">
        <f t="shared" si="952"/>
        <v>9.0139165397503274E-2</v>
      </c>
      <c r="N436" s="29">
        <f t="shared" si="952"/>
        <v>8.885693316558653E-2</v>
      </c>
      <c r="O436" s="29">
        <f t="shared" si="952"/>
        <v>8.9320589090345015E-2</v>
      </c>
      <c r="P436" s="29">
        <f t="shared" si="952"/>
        <v>0.1026836133111813</v>
      </c>
      <c r="Q436" s="29">
        <f t="shared" si="952"/>
        <v>0.11433603629334049</v>
      </c>
      <c r="R436" s="29">
        <f t="shared" si="952"/>
        <v>0.11170959713237556</v>
      </c>
      <c r="S436" s="29">
        <f t="shared" si="952"/>
        <v>0.10527696555935963</v>
      </c>
      <c r="T436" s="29">
        <f t="shared" si="952"/>
        <v>9.7004011039126786E-2</v>
      </c>
      <c r="U436" s="29">
        <f t="shared" si="952"/>
        <v>9.086788500386446E-2</v>
      </c>
      <c r="V436" s="29">
        <f t="shared" si="952"/>
        <v>8.9580991359135886E-2</v>
      </c>
      <c r="W436" s="29">
        <f t="shared" si="952"/>
        <v>9.5039876691353289E-2</v>
      </c>
      <c r="X436" s="29">
        <f t="shared" si="952"/>
        <v>9.941337054971898E-2</v>
      </c>
      <c r="Y436" s="29">
        <f t="shared" si="952"/>
        <v>9.9107333206745252E-2</v>
      </c>
      <c r="Z436" s="29">
        <f t="shared" si="952"/>
        <v>9.6898065949529405E-2</v>
      </c>
      <c r="AA436" s="29">
        <f t="shared" si="952"/>
        <v>9.4739012223317431E-2</v>
      </c>
      <c r="AL436" s="29">
        <f t="shared" ref="AL436:BD436" si="953">AL107/AL$116</f>
        <v>6.5355181481731112E-2</v>
      </c>
      <c r="AM436" s="29">
        <f t="shared" si="953"/>
        <v>6.4045596553564663E-2</v>
      </c>
      <c r="AN436" s="29">
        <f t="shared" si="953"/>
        <v>6.7557037358342786E-2</v>
      </c>
      <c r="AO436" s="29">
        <f t="shared" si="953"/>
        <v>9.3740388857687512E-2</v>
      </c>
      <c r="AP436" s="29">
        <f t="shared" si="953"/>
        <v>8.7015833904153239E-2</v>
      </c>
      <c r="AQ436" s="29">
        <f t="shared" si="953"/>
        <v>9.0724670435759172E-2</v>
      </c>
      <c r="AR436" s="29">
        <f t="shared" si="953"/>
        <v>8.8010893267315565E-2</v>
      </c>
      <c r="AS436" s="29">
        <f t="shared" si="953"/>
        <v>0.11631140160850109</v>
      </c>
      <c r="AT436" s="29">
        <f t="shared" si="953"/>
        <v>0.11244863467077056</v>
      </c>
      <c r="AU436" s="29">
        <f t="shared" si="953"/>
        <v>0.11102823286335378</v>
      </c>
      <c r="AV436" s="29">
        <f t="shared" si="953"/>
        <v>9.9828966342673464E-2</v>
      </c>
      <c r="AW436" s="29">
        <f t="shared" si="953"/>
        <v>9.4323338795380324E-2</v>
      </c>
      <c r="AX436" s="29">
        <f t="shared" si="953"/>
        <v>8.7619022667276628E-2</v>
      </c>
      <c r="AY436" s="29">
        <f t="shared" si="953"/>
        <v>9.1399236709586648E-2</v>
      </c>
      <c r="AZ436" s="29">
        <f t="shared" si="953"/>
        <v>9.8502502603346309E-2</v>
      </c>
      <c r="BA436" s="29">
        <f t="shared" si="953"/>
        <v>0.10026256126469212</v>
      </c>
      <c r="BB436" s="29">
        <f t="shared" si="953"/>
        <v>9.8027328885746307E-2</v>
      </c>
      <c r="BC436" s="29">
        <f t="shared" si="953"/>
        <v>9.584307192314058E-2</v>
      </c>
      <c r="BD436" s="29">
        <f t="shared" si="953"/>
        <v>9.370885532420993E-2</v>
      </c>
    </row>
    <row r="437" spans="5:56" x14ac:dyDescent="0.2">
      <c r="E437" s="191" t="s">
        <v>118</v>
      </c>
      <c r="J437" s="29">
        <f t="shared" ref="J437:AA437" si="954">J108/J$116</f>
        <v>2.0039101448635292E-2</v>
      </c>
      <c r="K437" s="29">
        <f t="shared" si="954"/>
        <v>1.9826493801011261E-2</v>
      </c>
      <c r="L437" s="29">
        <f t="shared" si="954"/>
        <v>2.5491231636265141E-2</v>
      </c>
      <c r="M437" s="29">
        <f t="shared" si="954"/>
        <v>2.7362710409531036E-2</v>
      </c>
      <c r="N437" s="29">
        <f t="shared" si="954"/>
        <v>2.7955891729567982E-2</v>
      </c>
      <c r="O437" s="29">
        <f t="shared" si="954"/>
        <v>2.941031043849163E-2</v>
      </c>
      <c r="P437" s="29">
        <f t="shared" si="954"/>
        <v>2.9542520180377421E-2</v>
      </c>
      <c r="Q437" s="29">
        <f t="shared" si="954"/>
        <v>3.0034901821292714E-2</v>
      </c>
      <c r="R437" s="29">
        <f t="shared" si="954"/>
        <v>3.1153396817332441E-2</v>
      </c>
      <c r="S437" s="29">
        <f t="shared" si="954"/>
        <v>3.2411451555615006E-2</v>
      </c>
      <c r="T437" s="29">
        <f t="shared" si="954"/>
        <v>3.3600404683548996E-2</v>
      </c>
      <c r="U437" s="29">
        <f t="shared" si="954"/>
        <v>3.4175934472306636E-2</v>
      </c>
      <c r="V437" s="29">
        <f t="shared" si="954"/>
        <v>3.3800502801561931E-2</v>
      </c>
      <c r="W437" s="29">
        <f t="shared" si="954"/>
        <v>3.3822415317773732E-2</v>
      </c>
      <c r="X437" s="29">
        <f t="shared" si="954"/>
        <v>3.368247869841947E-2</v>
      </c>
      <c r="Y437" s="29">
        <f t="shared" si="954"/>
        <v>3.2868491378794294E-2</v>
      </c>
      <c r="Z437" s="29">
        <f t="shared" si="954"/>
        <v>3.2199242571812538E-2</v>
      </c>
      <c r="AA437" s="29">
        <f t="shared" si="954"/>
        <v>3.1439226074169657E-2</v>
      </c>
      <c r="AL437" s="29">
        <f t="shared" ref="AL437:BD437" si="955">AL108/AL$116</f>
        <v>2.0165234780545074E-2</v>
      </c>
      <c r="AM437" s="29">
        <f t="shared" si="955"/>
        <v>1.991879165026313E-2</v>
      </c>
      <c r="AN437" s="29">
        <f t="shared" si="955"/>
        <v>1.9738535628999115E-2</v>
      </c>
      <c r="AO437" s="29">
        <f t="shared" si="955"/>
        <v>2.8238772613110821E-2</v>
      </c>
      <c r="AP437" s="29">
        <f t="shared" si="955"/>
        <v>2.6602903999063423E-2</v>
      </c>
      <c r="AQ437" s="29">
        <f t="shared" si="955"/>
        <v>2.9328455210139052E-2</v>
      </c>
      <c r="AR437" s="29">
        <f t="shared" si="955"/>
        <v>2.948666317333612E-2</v>
      </c>
      <c r="AS437" s="29">
        <f t="shared" si="955"/>
        <v>2.9594399277409533E-2</v>
      </c>
      <c r="AT437" s="29">
        <f t="shared" si="955"/>
        <v>3.0455788636349346E-2</v>
      </c>
      <c r="AU437" s="29">
        <f t="shared" si="955"/>
        <v>3.1796564807596447E-2</v>
      </c>
      <c r="AV437" s="29">
        <f t="shared" si="955"/>
        <v>3.2993914923163475E-2</v>
      </c>
      <c r="AW437" s="29">
        <f t="shared" si="955"/>
        <v>3.4175918308398487E-2</v>
      </c>
      <c r="AX437" s="29">
        <f t="shared" si="955"/>
        <v>3.4175949669822105E-2</v>
      </c>
      <c r="AY437" s="29">
        <f t="shared" si="955"/>
        <v>3.3452559164444846E-2</v>
      </c>
      <c r="AZ437" s="29">
        <f t="shared" si="955"/>
        <v>3.4174186848779438E-2</v>
      </c>
      <c r="BA437" s="29">
        <f t="shared" si="955"/>
        <v>3.3224065382389277E-2</v>
      </c>
      <c r="BB437" s="29">
        <f t="shared" si="955"/>
        <v>3.2536070903308283E-2</v>
      </c>
      <c r="BC437" s="29">
        <f t="shared" si="955"/>
        <v>3.1884566630320126E-2</v>
      </c>
      <c r="BD437" s="29">
        <f t="shared" si="955"/>
        <v>3.1023695422662069E-2</v>
      </c>
    </row>
    <row r="438" spans="5:56" x14ac:dyDescent="0.2">
      <c r="E438" s="191" t="s">
        <v>119</v>
      </c>
      <c r="J438" s="29">
        <f t="shared" ref="J438:AA438" si="956">J109/J$116</f>
        <v>1.3199069137048807E-2</v>
      </c>
      <c r="K438" s="29">
        <f t="shared" si="956"/>
        <v>1.3108300949799694E-2</v>
      </c>
      <c r="L438" s="29">
        <f t="shared" si="956"/>
        <v>1.6985578020717058E-2</v>
      </c>
      <c r="M438" s="29">
        <f t="shared" si="956"/>
        <v>1.7680470370348398E-2</v>
      </c>
      <c r="N438" s="29">
        <f t="shared" si="956"/>
        <v>1.6967536682470509E-2</v>
      </c>
      <c r="O438" s="29">
        <f t="shared" si="956"/>
        <v>1.6905285816049557E-2</v>
      </c>
      <c r="P438" s="29">
        <f t="shared" si="956"/>
        <v>1.6174684760527504E-2</v>
      </c>
      <c r="Q438" s="29">
        <f t="shared" si="956"/>
        <v>1.6206611746094914E-2</v>
      </c>
      <c r="R438" s="29">
        <f t="shared" si="956"/>
        <v>1.6480847807070841E-2</v>
      </c>
      <c r="S438" s="29">
        <f t="shared" si="956"/>
        <v>1.6373205752781474E-2</v>
      </c>
      <c r="T438" s="29">
        <f t="shared" si="956"/>
        <v>1.6533905486744577E-2</v>
      </c>
      <c r="U438" s="29">
        <f t="shared" si="956"/>
        <v>1.6446280993576406E-2</v>
      </c>
      <c r="V438" s="29">
        <f t="shared" si="956"/>
        <v>1.6016886578706712E-2</v>
      </c>
      <c r="W438" s="29">
        <f t="shared" si="956"/>
        <v>1.6311948131218321E-2</v>
      </c>
      <c r="X438" s="29">
        <f t="shared" si="956"/>
        <v>1.6896374864978386E-2</v>
      </c>
      <c r="Y438" s="29">
        <f t="shared" si="956"/>
        <v>1.7112143266288547E-2</v>
      </c>
      <c r="Z438" s="29">
        <f t="shared" si="956"/>
        <v>1.7288699051880081E-2</v>
      </c>
      <c r="AA438" s="29">
        <f t="shared" si="956"/>
        <v>1.7443841849696887E-2</v>
      </c>
      <c r="AL438" s="29">
        <f t="shared" ref="AL438:BD438" si="957">AL109/AL$116</f>
        <v>1.3305738675635828E-2</v>
      </c>
      <c r="AM438" s="29">
        <f t="shared" si="957"/>
        <v>1.3097324495203976E-2</v>
      </c>
      <c r="AN438" s="29">
        <f t="shared" si="957"/>
        <v>1.3118761311435845E-2</v>
      </c>
      <c r="AO438" s="29">
        <f t="shared" si="957"/>
        <v>1.883240555084947E-2</v>
      </c>
      <c r="AP438" s="29">
        <f t="shared" si="957"/>
        <v>1.6681400063455323E-2</v>
      </c>
      <c r="AQ438" s="29">
        <f t="shared" si="957"/>
        <v>1.7257813279116258E-2</v>
      </c>
      <c r="AR438" s="29">
        <f t="shared" si="957"/>
        <v>1.6576456046043995E-2</v>
      </c>
      <c r="AS438" s="29">
        <f t="shared" si="957"/>
        <v>1.5801526000148253E-2</v>
      </c>
      <c r="AT438" s="29">
        <f t="shared" si="957"/>
        <v>1.6593658885331299E-2</v>
      </c>
      <c r="AU438" s="29">
        <f t="shared" si="957"/>
        <v>1.6376840319110991E-2</v>
      </c>
      <c r="AV438" s="29">
        <f t="shared" si="957"/>
        <v>1.6369762839512175E-2</v>
      </c>
      <c r="AW438" s="29">
        <f t="shared" si="957"/>
        <v>1.6689664637304782E-2</v>
      </c>
      <c r="AX438" s="29">
        <f t="shared" si="957"/>
        <v>1.6217448544596166E-2</v>
      </c>
      <c r="AY438" s="29">
        <f t="shared" si="957"/>
        <v>1.5831016710615101E-2</v>
      </c>
      <c r="AZ438" s="29">
        <f t="shared" si="957"/>
        <v>1.6769363752431227E-2</v>
      </c>
      <c r="BA438" s="29">
        <f t="shared" si="957"/>
        <v>1.7014785725633839E-2</v>
      </c>
      <c r="BB438" s="29">
        <f t="shared" si="957"/>
        <v>1.7203161281186655E-2</v>
      </c>
      <c r="BC438" s="29">
        <f t="shared" si="957"/>
        <v>1.7368611208932273E-2</v>
      </c>
      <c r="BD438" s="29">
        <f t="shared" si="957"/>
        <v>1.7514036752762693E-2</v>
      </c>
    </row>
    <row r="439" spans="5:56" x14ac:dyDescent="0.2">
      <c r="E439" s="191" t="s">
        <v>120</v>
      </c>
      <c r="J439" s="29">
        <f t="shared" ref="J439:AA439" si="958">J110/J$116</f>
        <v>9.1845803444187916E-3</v>
      </c>
      <c r="K439" s="29">
        <f t="shared" si="958"/>
        <v>9.2949792058917603E-3</v>
      </c>
      <c r="L439" s="29">
        <f t="shared" si="958"/>
        <v>1.4247138661828395E-2</v>
      </c>
      <c r="M439" s="29">
        <f t="shared" si="958"/>
        <v>1.6022622028039005E-2</v>
      </c>
      <c r="N439" s="29">
        <f t="shared" si="958"/>
        <v>1.6128958784995321E-2</v>
      </c>
      <c r="O439" s="29">
        <f t="shared" si="958"/>
        <v>1.6841630429172867E-2</v>
      </c>
      <c r="P439" s="29">
        <f t="shared" si="958"/>
        <v>1.6869313140637658E-2</v>
      </c>
      <c r="Q439" s="29">
        <f t="shared" si="958"/>
        <v>1.6870238785217526E-2</v>
      </c>
      <c r="R439" s="29">
        <f t="shared" si="958"/>
        <v>1.6640373591099628E-2</v>
      </c>
      <c r="S439" s="29">
        <f t="shared" si="958"/>
        <v>1.6384190710130832E-2</v>
      </c>
      <c r="T439" s="29">
        <f t="shared" si="958"/>
        <v>1.6298550834961852E-2</v>
      </c>
      <c r="U439" s="29">
        <f t="shared" si="958"/>
        <v>1.6181989687535262E-2</v>
      </c>
      <c r="V439" s="29">
        <f t="shared" si="958"/>
        <v>1.5965235318326929E-2</v>
      </c>
      <c r="W439" s="29">
        <f t="shared" si="958"/>
        <v>1.5932045358857849E-2</v>
      </c>
      <c r="X439" s="29">
        <f t="shared" si="958"/>
        <v>1.5917286007778503E-2</v>
      </c>
      <c r="Y439" s="29">
        <f t="shared" si="958"/>
        <v>1.5708438385577349E-2</v>
      </c>
      <c r="Z439" s="29">
        <f t="shared" si="958"/>
        <v>1.5534101617975466E-2</v>
      </c>
      <c r="AA439" s="29">
        <f t="shared" si="958"/>
        <v>1.5358918165360351E-2</v>
      </c>
      <c r="AL439" s="29">
        <f t="shared" ref="AL439:BD439" si="959">AL110/AL$116</f>
        <v>8.98009540326241E-3</v>
      </c>
      <c r="AM439" s="29">
        <f t="shared" si="959"/>
        <v>9.3796242845746308E-3</v>
      </c>
      <c r="AN439" s="29">
        <f t="shared" si="959"/>
        <v>9.2143139850754865E-3</v>
      </c>
      <c r="AO439" s="29">
        <f t="shared" si="959"/>
        <v>1.66508624134734E-2</v>
      </c>
      <c r="AP439" s="29">
        <f t="shared" si="959"/>
        <v>1.5477750818874661E-2</v>
      </c>
      <c r="AQ439" s="29">
        <f t="shared" si="959"/>
        <v>1.6789588776237634E-2</v>
      </c>
      <c r="AR439" s="29">
        <f t="shared" si="959"/>
        <v>1.6890173724542063E-2</v>
      </c>
      <c r="AS439" s="29">
        <f t="shared" si="959"/>
        <v>1.6849938163103984E-2</v>
      </c>
      <c r="AT439" s="29">
        <f t="shared" si="959"/>
        <v>1.6889635413690356E-2</v>
      </c>
      <c r="AU439" s="29">
        <f t="shared" si="959"/>
        <v>1.6410563749621996E-2</v>
      </c>
      <c r="AV439" s="29">
        <f t="shared" si="959"/>
        <v>1.635920833826477E-2</v>
      </c>
      <c r="AW439" s="29">
        <f t="shared" si="959"/>
        <v>1.6240991380737941E-2</v>
      </c>
      <c r="AX439" s="29">
        <f t="shared" si="959"/>
        <v>1.6126515532646619E-2</v>
      </c>
      <c r="AY439" s="29">
        <f t="shared" si="959"/>
        <v>1.5815769630610682E-2</v>
      </c>
      <c r="AZ439" s="29">
        <f t="shared" si="959"/>
        <v>1.6042635626387986E-2</v>
      </c>
      <c r="BA439" s="29">
        <f t="shared" si="959"/>
        <v>1.5800424136996359E-2</v>
      </c>
      <c r="BB439" s="29">
        <f t="shared" si="959"/>
        <v>1.5622442370920796E-2</v>
      </c>
      <c r="BC439" s="29">
        <f t="shared" si="959"/>
        <v>1.5451570824078839E-2</v>
      </c>
      <c r="BD439" s="29">
        <f t="shared" si="959"/>
        <v>1.5272467427583406E-2</v>
      </c>
    </row>
    <row r="440" spans="5:56" x14ac:dyDescent="0.2">
      <c r="E440" s="177"/>
      <c r="J440" s="29"/>
      <c r="K440" s="29"/>
      <c r="L440" s="29"/>
      <c r="M440" s="29"/>
      <c r="N440" s="29"/>
      <c r="O440" s="29"/>
      <c r="P440" s="29"/>
      <c r="Q440" s="29"/>
      <c r="R440" s="29"/>
      <c r="S440" s="29"/>
      <c r="T440" s="29"/>
      <c r="U440" s="29"/>
      <c r="V440" s="29"/>
      <c r="W440" s="29"/>
      <c r="X440" s="29"/>
      <c r="Y440" s="29"/>
      <c r="Z440" s="29"/>
      <c r="AA440" s="29"/>
      <c r="AL440" s="29"/>
      <c r="AM440" s="29"/>
      <c r="AN440" s="29"/>
      <c r="AO440" s="29"/>
      <c r="AP440" s="29"/>
      <c r="AQ440" s="29"/>
      <c r="AR440" s="29"/>
      <c r="AS440" s="29"/>
      <c r="AT440" s="29"/>
      <c r="AU440" s="29"/>
      <c r="AV440" s="29"/>
      <c r="AW440" s="29"/>
      <c r="AX440" s="29"/>
      <c r="AY440" s="29"/>
      <c r="AZ440" s="29"/>
      <c r="BA440" s="29"/>
      <c r="BB440" s="29"/>
      <c r="BC440" s="29"/>
      <c r="BD440" s="29"/>
    </row>
    <row r="441" spans="5:56" x14ac:dyDescent="0.2">
      <c r="E441" s="177" t="s">
        <v>121</v>
      </c>
      <c r="J441" s="29">
        <f t="shared" ref="J441:AA441" si="960">J111/J$116</f>
        <v>0.94217582239812503</v>
      </c>
      <c r="K441" s="29">
        <f t="shared" si="960"/>
        <v>0.9419649026251492</v>
      </c>
      <c r="L441" s="29">
        <f t="shared" si="960"/>
        <v>0.95112352891467622</v>
      </c>
      <c r="M441" s="29">
        <f t="shared" si="960"/>
        <v>0.95724614735249192</v>
      </c>
      <c r="N441" s="29">
        <f t="shared" si="960"/>
        <v>0.95697369464719473</v>
      </c>
      <c r="O441" s="29">
        <f t="shared" si="960"/>
        <v>0.9550853817265369</v>
      </c>
      <c r="P441" s="29">
        <f t="shared" si="960"/>
        <v>0.95405881169356954</v>
      </c>
      <c r="Q441" s="29">
        <f t="shared" si="960"/>
        <v>0.95448501723957724</v>
      </c>
      <c r="R441" s="29">
        <f t="shared" si="960"/>
        <v>0.94977581413480527</v>
      </c>
      <c r="S441" s="29">
        <f t="shared" si="960"/>
        <v>0.94463554584983755</v>
      </c>
      <c r="T441" s="29">
        <f t="shared" si="960"/>
        <v>0.94339585202325249</v>
      </c>
      <c r="U441" s="29">
        <f t="shared" si="960"/>
        <v>0.94295466577929554</v>
      </c>
      <c r="V441" s="29">
        <f t="shared" si="960"/>
        <v>0.9434966294701721</v>
      </c>
      <c r="W441" s="29">
        <f t="shared" si="960"/>
        <v>0.94449128869975174</v>
      </c>
      <c r="X441" s="29">
        <f t="shared" si="960"/>
        <v>0.9429054913915037</v>
      </c>
      <c r="Y441" s="29">
        <f t="shared" si="960"/>
        <v>0.9401425613365948</v>
      </c>
      <c r="Z441" s="29">
        <f t="shared" si="960"/>
        <v>0.93931109042068761</v>
      </c>
      <c r="AA441" s="29">
        <f t="shared" si="960"/>
        <v>0.93715727497910306</v>
      </c>
      <c r="AL441" s="29">
        <f t="shared" ref="AL441:BD441" si="961">AL111/AL$116</f>
        <v>0.94223779159361587</v>
      </c>
      <c r="AM441" s="29">
        <f t="shared" si="961"/>
        <v>0.94211671429956056</v>
      </c>
      <c r="AN441" s="29">
        <f t="shared" si="961"/>
        <v>0.9418202288599471</v>
      </c>
      <c r="AO441" s="29">
        <f t="shared" si="961"/>
        <v>0.9555668713210842</v>
      </c>
      <c r="AP441" s="29">
        <f t="shared" si="961"/>
        <v>0.95870257897161038</v>
      </c>
      <c r="AQ441" s="29">
        <f t="shared" si="961"/>
        <v>0.95521979589976125</v>
      </c>
      <c r="AR441" s="29">
        <f t="shared" si="961"/>
        <v>0.9549600031779204</v>
      </c>
      <c r="AS441" s="29">
        <f t="shared" si="961"/>
        <v>0.95322179941995144</v>
      </c>
      <c r="AT441" s="29">
        <f t="shared" si="961"/>
        <v>0.95569198353797402</v>
      </c>
      <c r="AU441" s="29">
        <f t="shared" si="961"/>
        <v>0.94432133282448705</v>
      </c>
      <c r="AV441" s="29">
        <f t="shared" si="961"/>
        <v>0.9449331902168091</v>
      </c>
      <c r="AW441" s="29">
        <f t="shared" si="961"/>
        <v>0.94193703254404038</v>
      </c>
      <c r="AX441" s="29">
        <f t="shared" si="961"/>
        <v>0.94391145770590112</v>
      </c>
      <c r="AY441" s="29">
        <f t="shared" si="961"/>
        <v>0.94311218933410901</v>
      </c>
      <c r="AZ441" s="29">
        <f t="shared" si="961"/>
        <v>0.94580295511626167</v>
      </c>
      <c r="BA441" s="29">
        <f t="shared" si="961"/>
        <v>0.9402042224514402</v>
      </c>
      <c r="BB441" s="29">
        <f t="shared" si="961"/>
        <v>0.9400849153419254</v>
      </c>
      <c r="BC441" s="29">
        <f t="shared" si="961"/>
        <v>0.93858815810510865</v>
      </c>
      <c r="BD441" s="29">
        <f t="shared" si="961"/>
        <v>0.93582217133904866</v>
      </c>
    </row>
    <row r="442" spans="5:56" x14ac:dyDescent="0.2">
      <c r="E442" s="177" t="s">
        <v>122</v>
      </c>
      <c r="J442" s="29">
        <f t="shared" ref="J442:AA442" si="962">J112/J$116</f>
        <v>-9.4719640436325275E-3</v>
      </c>
      <c r="K442" s="29">
        <f t="shared" si="962"/>
        <v>-9.2459543619258511E-3</v>
      </c>
      <c r="L442" s="29">
        <f t="shared" si="962"/>
        <v>-9.758776814780332E-3</v>
      </c>
      <c r="M442" s="29">
        <f t="shared" si="962"/>
        <v>-9.696801778920126E-3</v>
      </c>
      <c r="N442" s="29">
        <f t="shared" si="962"/>
        <v>-9.7583649691773931E-3</v>
      </c>
      <c r="O442" s="29">
        <f t="shared" si="962"/>
        <v>-1.0186372542168937E-2</v>
      </c>
      <c r="P442" s="29">
        <f t="shared" si="962"/>
        <v>-1.0199930985690192E-2</v>
      </c>
      <c r="Q442" s="29">
        <f t="shared" si="962"/>
        <v>-1.1119027841747699E-2</v>
      </c>
      <c r="R442" s="29">
        <f t="shared" si="962"/>
        <v>-1.2194585755606845E-2</v>
      </c>
      <c r="S442" s="29">
        <f t="shared" si="962"/>
        <v>-1.2440324612989518E-2</v>
      </c>
      <c r="T442" s="29">
        <f t="shared" si="962"/>
        <v>-1.3400195240869108E-2</v>
      </c>
      <c r="U442" s="29">
        <f t="shared" si="962"/>
        <v>-1.4352149715512822E-2</v>
      </c>
      <c r="V442" s="29">
        <f t="shared" si="962"/>
        <v>-1.5475592052735529E-2</v>
      </c>
      <c r="W442" s="29">
        <f t="shared" si="962"/>
        <v>-1.6108481341951645E-2</v>
      </c>
      <c r="X442" s="29">
        <f t="shared" si="962"/>
        <v>-1.5262038548697485E-2</v>
      </c>
      <c r="Y442" s="29">
        <f t="shared" si="962"/>
        <v>-1.4943205341274763E-2</v>
      </c>
      <c r="Z442" s="29">
        <f t="shared" si="962"/>
        <v>-1.5315984972987367E-2</v>
      </c>
      <c r="AA442" s="29">
        <f t="shared" si="962"/>
        <v>-1.5320107487890646E-2</v>
      </c>
      <c r="AL442" s="29">
        <f t="shared" ref="AL442:BD442" si="963">AL112/AL$116</f>
        <v>-9.5384041314589604E-3</v>
      </c>
      <c r="AM442" s="29">
        <f t="shared" si="963"/>
        <v>-9.4085914723288193E-3</v>
      </c>
      <c r="AN442" s="29">
        <f t="shared" si="963"/>
        <v>-9.0909641530712015E-3</v>
      </c>
      <c r="AO442" s="29">
        <f t="shared" si="963"/>
        <v>-1.0077730336848018E-2</v>
      </c>
      <c r="AP442" s="29">
        <f t="shared" si="963"/>
        <v>-9.3664234575393905E-3</v>
      </c>
      <c r="AQ442" s="29">
        <f t="shared" si="963"/>
        <v>-1.0155977300217174E-2</v>
      </c>
      <c r="AR442" s="29">
        <f t="shared" si="963"/>
        <v>-1.0214724547239165E-2</v>
      </c>
      <c r="AS442" s="29">
        <f t="shared" si="963"/>
        <v>-1.0186190961730757E-2</v>
      </c>
      <c r="AT442" s="29">
        <f t="shared" si="963"/>
        <v>-1.2010325176688458E-2</v>
      </c>
      <c r="AU442" s="29">
        <f t="shared" si="963"/>
        <v>-1.2364466943153716E-2</v>
      </c>
      <c r="AV442" s="29">
        <f t="shared" si="963"/>
        <v>-1.2512182258270253E-2</v>
      </c>
      <c r="AW442" s="29">
        <f t="shared" si="963"/>
        <v>-1.4242853442062817E-2</v>
      </c>
      <c r="AX442" s="29">
        <f t="shared" si="963"/>
        <v>-1.4454911485099493E-2</v>
      </c>
      <c r="AY442" s="29">
        <f t="shared" si="963"/>
        <v>-1.6421503016605693E-2</v>
      </c>
      <c r="AZ442" s="29">
        <f t="shared" si="963"/>
        <v>-1.5810765290075891E-2</v>
      </c>
      <c r="BA442" s="29">
        <f t="shared" si="963"/>
        <v>-1.4750467518350385E-2</v>
      </c>
      <c r="BB442" s="29">
        <f t="shared" si="963"/>
        <v>-1.5123392863683289E-2</v>
      </c>
      <c r="BC442" s="29">
        <f t="shared" si="963"/>
        <v>-1.5495910762038856E-2</v>
      </c>
      <c r="BD442" s="29">
        <f t="shared" si="963"/>
        <v>-1.5156072014284936E-2</v>
      </c>
    </row>
    <row r="443" spans="5:56" x14ac:dyDescent="0.2">
      <c r="E443" s="177" t="s">
        <v>123</v>
      </c>
      <c r="J443" s="29">
        <f t="shared" ref="J443:AA443" si="964">J113/J$116</f>
        <v>0.93270385835449243</v>
      </c>
      <c r="K443" s="29">
        <f t="shared" si="964"/>
        <v>0.93271894826322332</v>
      </c>
      <c r="L443" s="29">
        <f t="shared" si="964"/>
        <v>0.9413647520998959</v>
      </c>
      <c r="M443" s="29">
        <f t="shared" si="964"/>
        <v>0.94754934557357184</v>
      </c>
      <c r="N443" s="29">
        <f t="shared" si="964"/>
        <v>0.94721532967801736</v>
      </c>
      <c r="O443" s="29">
        <f t="shared" si="964"/>
        <v>0.94489900918436798</v>
      </c>
      <c r="P443" s="29">
        <f t="shared" si="964"/>
        <v>0.9438588807078796</v>
      </c>
      <c r="Q443" s="29">
        <f t="shared" si="964"/>
        <v>0.94336598939782945</v>
      </c>
      <c r="R443" s="29">
        <f t="shared" si="964"/>
        <v>0.93758122837919855</v>
      </c>
      <c r="S443" s="29">
        <f t="shared" si="964"/>
        <v>0.93219522123684795</v>
      </c>
      <c r="T443" s="29">
        <f t="shared" si="964"/>
        <v>0.9299956567823835</v>
      </c>
      <c r="U443" s="29">
        <f t="shared" si="964"/>
        <v>0.92860251606378263</v>
      </c>
      <c r="V443" s="29">
        <f t="shared" si="964"/>
        <v>0.92802103741743658</v>
      </c>
      <c r="W443" s="29">
        <f t="shared" si="964"/>
        <v>0.92838280735779999</v>
      </c>
      <c r="X443" s="29">
        <f t="shared" si="964"/>
        <v>0.92764345284280625</v>
      </c>
      <c r="Y443" s="29">
        <f t="shared" si="964"/>
        <v>0.92519935599532022</v>
      </c>
      <c r="Z443" s="29">
        <f t="shared" si="964"/>
        <v>0.92399510544770025</v>
      </c>
      <c r="AA443" s="29">
        <f t="shared" si="964"/>
        <v>0.92183716749121225</v>
      </c>
      <c r="AL443" s="29">
        <f t="shared" ref="AL443:BD443" si="965">AL113/AL$116</f>
        <v>0.93269938746215686</v>
      </c>
      <c r="AM443" s="29">
        <f t="shared" si="965"/>
        <v>0.9327081228272317</v>
      </c>
      <c r="AN443" s="29">
        <f t="shared" si="965"/>
        <v>0.93272926470687589</v>
      </c>
      <c r="AO443" s="29">
        <f t="shared" si="965"/>
        <v>0.9454891409842362</v>
      </c>
      <c r="AP443" s="29">
        <f t="shared" si="965"/>
        <v>0.94933615551407091</v>
      </c>
      <c r="AQ443" s="29">
        <f t="shared" si="965"/>
        <v>0.94506381859954403</v>
      </c>
      <c r="AR443" s="29">
        <f t="shared" si="965"/>
        <v>0.94474527863068125</v>
      </c>
      <c r="AS443" s="29">
        <f t="shared" si="965"/>
        <v>0.94303560845822076</v>
      </c>
      <c r="AT443" s="29">
        <f t="shared" si="965"/>
        <v>0.94368165836128559</v>
      </c>
      <c r="AU443" s="29">
        <f t="shared" si="965"/>
        <v>0.93195686588133342</v>
      </c>
      <c r="AV443" s="29">
        <f t="shared" si="965"/>
        <v>0.93242100795853877</v>
      </c>
      <c r="AW443" s="29">
        <f t="shared" si="965"/>
        <v>0.9276941791019776</v>
      </c>
      <c r="AX443" s="29">
        <f t="shared" si="965"/>
        <v>0.92945654622080165</v>
      </c>
      <c r="AY443" s="29">
        <f t="shared" si="965"/>
        <v>0.9266906863175034</v>
      </c>
      <c r="AZ443" s="29">
        <f t="shared" si="965"/>
        <v>0.92999218982618581</v>
      </c>
      <c r="BA443" s="29">
        <f t="shared" si="965"/>
        <v>0.92545375493308979</v>
      </c>
      <c r="BB443" s="29">
        <f t="shared" si="965"/>
        <v>0.92496152247824204</v>
      </c>
      <c r="BC443" s="29">
        <f t="shared" si="965"/>
        <v>0.92309224734306983</v>
      </c>
      <c r="BD443" s="29">
        <f t="shared" si="965"/>
        <v>0.92066609932476362</v>
      </c>
    </row>
    <row r="444" spans="5:56" x14ac:dyDescent="0.2">
      <c r="E444" s="177" t="s">
        <v>124</v>
      </c>
      <c r="J444" s="29">
        <f t="shared" ref="J444:AA444" si="966">J114/J$116</f>
        <v>6.7296141645507512E-2</v>
      </c>
      <c r="K444" s="29">
        <f t="shared" si="966"/>
        <v>6.7281051736776662E-2</v>
      </c>
      <c r="L444" s="29">
        <f t="shared" si="966"/>
        <v>5.8635247900104076E-2</v>
      </c>
      <c r="M444" s="29">
        <f t="shared" si="966"/>
        <v>5.2450654426428218E-2</v>
      </c>
      <c r="N444" s="29">
        <f t="shared" si="966"/>
        <v>5.2784670321982766E-2</v>
      </c>
      <c r="O444" s="29">
        <f t="shared" si="966"/>
        <v>5.5100990815631891E-2</v>
      </c>
      <c r="P444" s="29">
        <f t="shared" si="966"/>
        <v>5.6141119292120491E-2</v>
      </c>
      <c r="Q444" s="29">
        <f t="shared" si="966"/>
        <v>5.6634010602170513E-2</v>
      </c>
      <c r="R444" s="29">
        <f t="shared" si="966"/>
        <v>6.241877162080154E-2</v>
      </c>
      <c r="S444" s="29">
        <f t="shared" si="966"/>
        <v>6.7804778763152038E-2</v>
      </c>
      <c r="T444" s="29">
        <f t="shared" si="966"/>
        <v>7.0004343217616422E-2</v>
      </c>
      <c r="U444" s="29">
        <f t="shared" si="966"/>
        <v>7.1397483936217171E-2</v>
      </c>
      <c r="V444" s="29">
        <f t="shared" si="966"/>
        <v>7.1978962582563422E-2</v>
      </c>
      <c r="W444" s="29">
        <f t="shared" si="966"/>
        <v>7.1617192642200012E-2</v>
      </c>
      <c r="X444" s="29">
        <f t="shared" si="966"/>
        <v>7.2356547157193668E-2</v>
      </c>
      <c r="Y444" s="29">
        <f t="shared" si="966"/>
        <v>7.4800644004679839E-2</v>
      </c>
      <c r="Z444" s="29">
        <f t="shared" si="966"/>
        <v>7.6004894552299862E-2</v>
      </c>
      <c r="AA444" s="29">
        <f t="shared" si="966"/>
        <v>7.816283250878768E-2</v>
      </c>
      <c r="AL444" s="29">
        <f t="shared" ref="AL444:BD444" si="967">AL114/AL$116</f>
        <v>6.7300612537843127E-2</v>
      </c>
      <c r="AM444" s="29">
        <f t="shared" si="967"/>
        <v>6.7291877172768258E-2</v>
      </c>
      <c r="AN444" s="29">
        <f t="shared" si="967"/>
        <v>6.7270735293124162E-2</v>
      </c>
      <c r="AO444" s="29">
        <f t="shared" si="967"/>
        <v>5.4510859015763753E-2</v>
      </c>
      <c r="AP444" s="29">
        <f t="shared" si="967"/>
        <v>5.0663844485929081E-2</v>
      </c>
      <c r="AQ444" s="29">
        <f t="shared" si="967"/>
        <v>5.4936181400455968E-2</v>
      </c>
      <c r="AR444" s="29">
        <f t="shared" si="967"/>
        <v>5.5254721369318693E-2</v>
      </c>
      <c r="AS444" s="29">
        <f t="shared" si="967"/>
        <v>5.696439154177927E-2</v>
      </c>
      <c r="AT444" s="29">
        <f t="shared" si="967"/>
        <v>5.6318341638714478E-2</v>
      </c>
      <c r="AU444" s="29">
        <f t="shared" si="967"/>
        <v>6.8043134118666609E-2</v>
      </c>
      <c r="AV444" s="29">
        <f t="shared" si="967"/>
        <v>6.7578992041461214E-2</v>
      </c>
      <c r="AW444" s="29">
        <f t="shared" si="967"/>
        <v>7.2305820898022385E-2</v>
      </c>
      <c r="AX444" s="29">
        <f t="shared" si="967"/>
        <v>7.0543453779198365E-2</v>
      </c>
      <c r="AY444" s="29">
        <f t="shared" si="967"/>
        <v>7.3309313682496741E-2</v>
      </c>
      <c r="AZ444" s="29">
        <f t="shared" si="967"/>
        <v>7.0007810173814092E-2</v>
      </c>
      <c r="BA444" s="29">
        <f t="shared" si="967"/>
        <v>7.4546245066910169E-2</v>
      </c>
      <c r="BB444" s="29">
        <f t="shared" si="967"/>
        <v>7.5038477521757935E-2</v>
      </c>
      <c r="BC444" s="29">
        <f t="shared" si="967"/>
        <v>7.690775265693027E-2</v>
      </c>
      <c r="BD444" s="29">
        <f t="shared" si="967"/>
        <v>7.933390067523638E-2</v>
      </c>
    </row>
    <row r="445" spans="5:56" x14ac:dyDescent="0.2">
      <c r="E445" s="177"/>
      <c r="J445" s="29"/>
      <c r="K445" s="29"/>
      <c r="L445" s="29"/>
      <c r="M445" s="29"/>
      <c r="N445" s="29"/>
      <c r="O445" s="29"/>
      <c r="P445" s="29"/>
      <c r="Q445" s="29"/>
      <c r="R445" s="29"/>
      <c r="S445" s="29"/>
      <c r="T445" s="29"/>
      <c r="U445" s="29"/>
      <c r="V445" s="29"/>
      <c r="W445" s="29"/>
      <c r="X445" s="29"/>
      <c r="Y445" s="29"/>
      <c r="Z445" s="29"/>
      <c r="AA445" s="29"/>
      <c r="AL445" s="29"/>
      <c r="AM445" s="29"/>
      <c r="AN445" s="29"/>
      <c r="AO445" s="29"/>
      <c r="AP445" s="29"/>
      <c r="AQ445" s="29"/>
      <c r="AR445" s="29"/>
      <c r="AS445" s="29"/>
      <c r="AT445" s="29"/>
      <c r="AU445" s="29"/>
      <c r="AV445" s="29"/>
      <c r="AW445" s="29"/>
      <c r="AX445" s="29"/>
      <c r="AY445" s="29"/>
      <c r="AZ445" s="29"/>
      <c r="BA445" s="29"/>
      <c r="BB445" s="29"/>
      <c r="BC445" s="29"/>
      <c r="BD445" s="29"/>
    </row>
    <row r="446" spans="5:56" x14ac:dyDescent="0.2">
      <c r="E446" s="15" t="s">
        <v>129</v>
      </c>
      <c r="J446" s="29">
        <f t="shared" ref="J446:AA446" si="968">J116/J$116</f>
        <v>1</v>
      </c>
      <c r="K446" s="29">
        <f t="shared" si="968"/>
        <v>1</v>
      </c>
      <c r="L446" s="29">
        <f t="shared" si="968"/>
        <v>1</v>
      </c>
      <c r="M446" s="29">
        <f t="shared" si="968"/>
        <v>1</v>
      </c>
      <c r="N446" s="29">
        <f t="shared" si="968"/>
        <v>1</v>
      </c>
      <c r="O446" s="29">
        <f t="shared" si="968"/>
        <v>1</v>
      </c>
      <c r="P446" s="29">
        <f t="shared" si="968"/>
        <v>1</v>
      </c>
      <c r="Q446" s="29">
        <f t="shared" si="968"/>
        <v>1</v>
      </c>
      <c r="R446" s="29">
        <f t="shared" si="968"/>
        <v>1</v>
      </c>
      <c r="S446" s="29">
        <f t="shared" si="968"/>
        <v>1</v>
      </c>
      <c r="T446" s="29">
        <f t="shared" si="968"/>
        <v>1</v>
      </c>
      <c r="U446" s="29">
        <f t="shared" si="968"/>
        <v>1</v>
      </c>
      <c r="V446" s="29">
        <f t="shared" si="968"/>
        <v>1</v>
      </c>
      <c r="W446" s="29">
        <f t="shared" si="968"/>
        <v>1</v>
      </c>
      <c r="X446" s="29">
        <f t="shared" si="968"/>
        <v>1</v>
      </c>
      <c r="Y446" s="29">
        <f t="shared" si="968"/>
        <v>1</v>
      </c>
      <c r="Z446" s="29">
        <f t="shared" si="968"/>
        <v>1</v>
      </c>
      <c r="AA446" s="29">
        <f t="shared" si="968"/>
        <v>1</v>
      </c>
      <c r="AL446" s="29">
        <f t="shared" ref="AL446:BD446" si="969">AL116/AL$116</f>
        <v>1</v>
      </c>
      <c r="AM446" s="29">
        <f t="shared" si="969"/>
        <v>1</v>
      </c>
      <c r="AN446" s="29">
        <f t="shared" si="969"/>
        <v>1</v>
      </c>
      <c r="AO446" s="29">
        <f t="shared" si="969"/>
        <v>1</v>
      </c>
      <c r="AP446" s="29">
        <f t="shared" si="969"/>
        <v>1</v>
      </c>
      <c r="AQ446" s="29">
        <f t="shared" si="969"/>
        <v>1</v>
      </c>
      <c r="AR446" s="29">
        <f t="shared" si="969"/>
        <v>1</v>
      </c>
      <c r="AS446" s="29">
        <f t="shared" si="969"/>
        <v>1</v>
      </c>
      <c r="AT446" s="29">
        <f t="shared" si="969"/>
        <v>1</v>
      </c>
      <c r="AU446" s="29">
        <f t="shared" si="969"/>
        <v>1</v>
      </c>
      <c r="AV446" s="29">
        <f t="shared" si="969"/>
        <v>1</v>
      </c>
      <c r="AW446" s="29">
        <f t="shared" si="969"/>
        <v>1</v>
      </c>
      <c r="AX446" s="29">
        <f t="shared" si="969"/>
        <v>1</v>
      </c>
      <c r="AY446" s="29">
        <f t="shared" si="969"/>
        <v>1</v>
      </c>
      <c r="AZ446" s="29">
        <f t="shared" si="969"/>
        <v>1</v>
      </c>
      <c r="BA446" s="29">
        <f t="shared" si="969"/>
        <v>1</v>
      </c>
      <c r="BB446" s="29">
        <f t="shared" si="969"/>
        <v>1</v>
      </c>
      <c r="BC446" s="29">
        <f t="shared" si="969"/>
        <v>1</v>
      </c>
      <c r="BD446" s="29">
        <f t="shared" si="969"/>
        <v>1</v>
      </c>
    </row>
    <row r="448" spans="5:56" s="422" customFormat="1" x14ac:dyDescent="0.2">
      <c r="E448" s="620"/>
      <c r="AS448" s="434"/>
      <c r="AT448" s="434"/>
      <c r="AU448" s="434"/>
      <c r="AV448" s="434"/>
      <c r="AW448" s="434"/>
      <c r="AX448" s="434"/>
      <c r="AY448" s="434"/>
      <c r="AZ448" s="434"/>
      <c r="BA448" s="434"/>
      <c r="BB448" s="434"/>
    </row>
    <row r="449" spans="4:56" s="422" customFormat="1" x14ac:dyDescent="0.2">
      <c r="E449" s="623"/>
      <c r="AS449" s="434"/>
      <c r="AT449" s="434"/>
      <c r="AU449" s="434"/>
      <c r="AV449" s="434"/>
      <c r="AW449" s="434"/>
      <c r="AX449" s="434"/>
      <c r="AY449" s="434"/>
      <c r="AZ449" s="434"/>
      <c r="BA449" s="434"/>
      <c r="BB449" s="434"/>
    </row>
    <row r="450" spans="4:56" s="422" customFormat="1" x14ac:dyDescent="0.2">
      <c r="E450" s="623"/>
      <c r="AS450" s="434"/>
      <c r="AT450" s="434"/>
      <c r="AU450" s="434"/>
      <c r="AV450" s="434"/>
      <c r="AW450" s="434"/>
      <c r="AX450" s="434"/>
      <c r="AY450" s="434"/>
      <c r="AZ450" s="434"/>
      <c r="BA450" s="434"/>
      <c r="BB450" s="434"/>
    </row>
    <row r="451" spans="4:56" s="422" customFormat="1" x14ac:dyDescent="0.2">
      <c r="E451" s="686" t="s">
        <v>594</v>
      </c>
      <c r="AS451" s="434"/>
      <c r="AT451" s="434"/>
      <c r="AU451" s="434"/>
      <c r="AV451" s="434"/>
      <c r="AW451" s="434"/>
      <c r="AX451" s="434"/>
      <c r="AY451" s="434"/>
      <c r="AZ451" s="434"/>
      <c r="BA451" s="434"/>
      <c r="BB451" s="434"/>
    </row>
    <row r="452" spans="4:56" s="422" customFormat="1" ht="15.75" x14ac:dyDescent="0.25">
      <c r="E452" s="671" t="s">
        <v>551</v>
      </c>
      <c r="AS452" s="434"/>
      <c r="AT452" s="434"/>
      <c r="AU452" s="434"/>
      <c r="AV452" s="434"/>
      <c r="AW452" s="434"/>
      <c r="AX452" s="434"/>
      <c r="AY452" s="434"/>
      <c r="AZ452" s="434"/>
      <c r="BA452" s="434"/>
      <c r="BB452" s="434"/>
    </row>
    <row r="453" spans="4:56" s="422" customFormat="1" ht="15.75" x14ac:dyDescent="0.25">
      <c r="E453" s="669"/>
      <c r="AS453" s="434"/>
      <c r="AT453" s="434"/>
      <c r="AU453" s="434"/>
      <c r="AV453" s="434"/>
      <c r="AW453" s="434"/>
      <c r="AX453" s="434"/>
      <c r="AY453" s="434"/>
      <c r="AZ453" s="434"/>
      <c r="BA453" s="434"/>
      <c r="BB453" s="434"/>
    </row>
    <row r="454" spans="4:56" s="422" customFormat="1" x14ac:dyDescent="0.2">
      <c r="D454" s="672"/>
      <c r="E454" s="40" t="s">
        <v>553</v>
      </c>
      <c r="AS454" s="434"/>
      <c r="AT454" s="434"/>
      <c r="AU454" s="434"/>
      <c r="AV454" s="434"/>
      <c r="AW454" s="434"/>
      <c r="AX454" s="434"/>
      <c r="AY454" s="434"/>
      <c r="AZ454" s="434"/>
      <c r="BA454" s="434"/>
      <c r="BB454" s="434"/>
    </row>
    <row r="455" spans="4:56" s="422" customFormat="1" ht="15.75" x14ac:dyDescent="0.25">
      <c r="D455" s="550"/>
      <c r="E455" s="197" t="s">
        <v>554</v>
      </c>
      <c r="AS455" s="670"/>
      <c r="AT455" s="670"/>
      <c r="AU455" s="670"/>
      <c r="AV455" s="670"/>
      <c r="AW455" s="670"/>
      <c r="AX455" s="670"/>
      <c r="AY455" s="670"/>
      <c r="AZ455" s="670"/>
      <c r="BA455" s="670"/>
      <c r="BB455" s="670"/>
    </row>
    <row r="456" spans="4:56" s="422" customFormat="1" x14ac:dyDescent="0.2">
      <c r="D456" s="550"/>
      <c r="E456" s="197" t="s">
        <v>555</v>
      </c>
      <c r="AS456" s="678">
        <f>AS484+AS485</f>
        <v>16690237.750857159</v>
      </c>
      <c r="AT456" s="678">
        <f t="shared" ref="AT456:BB456" si="970">AT484+AT485</f>
        <v>20281202.50365727</v>
      </c>
      <c r="AU456" s="678">
        <f t="shared" si="970"/>
        <v>23543117.276781064</v>
      </c>
      <c r="AV456" s="678">
        <f t="shared" si="970"/>
        <v>28604089.863430899</v>
      </c>
      <c r="AW456" s="678">
        <f t="shared" si="970"/>
        <v>33070963.119077742</v>
      </c>
      <c r="AX456" s="678">
        <f t="shared" si="970"/>
        <v>38502578.998808451</v>
      </c>
      <c r="AY456" s="678">
        <f t="shared" si="970"/>
        <v>46458467.650512502</v>
      </c>
      <c r="AZ456" s="678">
        <f t="shared" si="970"/>
        <v>54048498.470332555</v>
      </c>
      <c r="BA456" s="678">
        <f t="shared" si="970"/>
        <v>62664163.723195881</v>
      </c>
      <c r="BB456" s="678">
        <f t="shared" si="970"/>
        <v>70265475.777670383</v>
      </c>
    </row>
    <row r="457" spans="4:56" s="422" customFormat="1" x14ac:dyDescent="0.2">
      <c r="D457" s="618" t="s">
        <v>556</v>
      </c>
      <c r="E457" s="673" t="s">
        <v>557</v>
      </c>
      <c r="AS457" s="679">
        <f>SUM(AS458:AS461)</f>
        <v>3420713.0287398547</v>
      </c>
      <c r="AT457" s="679">
        <f t="shared" ref="AT457:BB457" si="971">SUM(AT458:AT461)</f>
        <v>4177507.1653707391</v>
      </c>
      <c r="AU457" s="679">
        <f t="shared" si="971"/>
        <v>4447586.0313302875</v>
      </c>
      <c r="AV457" s="679">
        <f t="shared" si="971"/>
        <v>5820185.6735043461</v>
      </c>
      <c r="AW457" s="679">
        <f t="shared" si="971"/>
        <v>7282503.5337865027</v>
      </c>
      <c r="AX457" s="679">
        <f t="shared" si="971"/>
        <v>8346156.8469882365</v>
      </c>
      <c r="AY457" s="679">
        <f t="shared" si="971"/>
        <v>9869070.3141189907</v>
      </c>
      <c r="AZ457" s="679">
        <f t="shared" si="971"/>
        <v>12422452.974177554</v>
      </c>
      <c r="BA457" s="679">
        <f t="shared" si="971"/>
        <v>14678539.134964783</v>
      </c>
      <c r="BB457" s="679">
        <f t="shared" si="971"/>
        <v>14663739.721882602</v>
      </c>
    </row>
    <row r="458" spans="4:56" s="422" customFormat="1" x14ac:dyDescent="0.2">
      <c r="D458" s="618"/>
      <c r="E458" s="674" t="s">
        <v>102</v>
      </c>
      <c r="AS458" s="618">
        <v>1747234.5633814558</v>
      </c>
      <c r="AT458" s="618">
        <v>2147774.5062886793</v>
      </c>
      <c r="AU458" s="618">
        <v>2035868.0536803417</v>
      </c>
      <c r="AV458" s="618">
        <v>2813994.9082908407</v>
      </c>
      <c r="AW458" s="618">
        <v>3387897.5903195464</v>
      </c>
      <c r="AX458" s="618">
        <v>4088912.5910687651</v>
      </c>
      <c r="AY458" s="618">
        <v>4875621.3984360937</v>
      </c>
      <c r="AZ458" s="618">
        <v>6395434.9821593156</v>
      </c>
      <c r="BA458" s="618">
        <v>7330007.6994129028</v>
      </c>
      <c r="BB458" s="618">
        <v>7117934.5811055284</v>
      </c>
    </row>
    <row r="459" spans="4:56" s="422" customFormat="1" x14ac:dyDescent="0.2">
      <c r="D459" s="618"/>
      <c r="E459" s="674" t="s">
        <v>103</v>
      </c>
      <c r="AS459" s="618">
        <v>1065497.1679316305</v>
      </c>
      <c r="AT459" s="618">
        <v>1324717.3819157283</v>
      </c>
      <c r="AU459" s="618">
        <v>1600935.0116208843</v>
      </c>
      <c r="AV459" s="618">
        <v>1950950.6061958955</v>
      </c>
      <c r="AW459" s="618">
        <v>2526106.1309504444</v>
      </c>
      <c r="AX459" s="618">
        <v>2787330.0023061628</v>
      </c>
      <c r="AY459" s="618">
        <v>3228195.8124623178</v>
      </c>
      <c r="AZ459" s="618">
        <v>3738519.5306549137</v>
      </c>
      <c r="BA459" s="618">
        <v>4204252.9677113201</v>
      </c>
      <c r="BB459" s="618">
        <v>4124743.9943363788</v>
      </c>
      <c r="BC459" s="9"/>
      <c r="BD459" s="9"/>
    </row>
    <row r="460" spans="4:56" s="422" customFormat="1" x14ac:dyDescent="0.2">
      <c r="D460" s="618"/>
      <c r="E460" s="674" t="s">
        <v>552</v>
      </c>
      <c r="AS460" s="618">
        <v>265292.03142963117</v>
      </c>
      <c r="AT460" s="618">
        <v>328547.74869185453</v>
      </c>
      <c r="AU460" s="618">
        <v>397286.96972573566</v>
      </c>
      <c r="AV460" s="618">
        <v>467158.64361782541</v>
      </c>
      <c r="AW460" s="618">
        <v>547228.67784064414</v>
      </c>
      <c r="AX460" s="618">
        <v>593733.14282860293</v>
      </c>
      <c r="AY460" s="618">
        <v>712160.6595987021</v>
      </c>
      <c r="AZ460" s="618">
        <v>965140.92441279069</v>
      </c>
      <c r="BA460" s="618">
        <v>1487507.5518571958</v>
      </c>
      <c r="BB460" s="618">
        <v>1699651.2745232158</v>
      </c>
    </row>
    <row r="461" spans="4:56" s="422" customFormat="1" x14ac:dyDescent="0.2">
      <c r="D461" s="618"/>
      <c r="E461" s="674" t="s">
        <v>105</v>
      </c>
      <c r="AS461" s="618">
        <v>342689.26599713729</v>
      </c>
      <c r="AT461" s="618">
        <v>376467.52847447665</v>
      </c>
      <c r="AU461" s="618">
        <v>413495.99630332604</v>
      </c>
      <c r="AV461" s="618">
        <v>588081.51539978478</v>
      </c>
      <c r="AW461" s="618">
        <v>821271.13467586704</v>
      </c>
      <c r="AX461" s="618">
        <v>876181.11078470503</v>
      </c>
      <c r="AY461" s="618">
        <v>1053092.443621878</v>
      </c>
      <c r="AZ461" s="618">
        <v>1323357.5369505347</v>
      </c>
      <c r="BA461" s="618">
        <v>1656770.9159833631</v>
      </c>
      <c r="BB461" s="618">
        <v>1721409.871917478</v>
      </c>
    </row>
    <row r="462" spans="4:56" s="422" customFormat="1" x14ac:dyDescent="0.2">
      <c r="D462" s="618"/>
      <c r="E462" s="675" t="s">
        <v>279</v>
      </c>
      <c r="AS462" s="673">
        <f>SUM(AS463:AS467)</f>
        <v>3476559.2252823147</v>
      </c>
      <c r="AT462" s="673">
        <f t="shared" ref="AT462:BB462" si="972">SUM(AT463:AT467)</f>
        <v>4479647.4397498053</v>
      </c>
      <c r="AU462" s="673">
        <f t="shared" si="972"/>
        <v>5003068.0543268844</v>
      </c>
      <c r="AV462" s="673">
        <f t="shared" si="972"/>
        <v>6260760.943486115</v>
      </c>
      <c r="AW462" s="673">
        <f t="shared" si="972"/>
        <v>6593837.2158523053</v>
      </c>
      <c r="AX462" s="673">
        <f t="shared" si="972"/>
        <v>8441110.2300517485</v>
      </c>
      <c r="AY462" s="673">
        <f t="shared" si="972"/>
        <v>11465514.097289719</v>
      </c>
      <c r="AZ462" s="673">
        <f t="shared" si="972"/>
        <v>12813072.40158798</v>
      </c>
      <c r="BA462" s="673">
        <f t="shared" si="972"/>
        <v>15421036.210535157</v>
      </c>
      <c r="BB462" s="673">
        <f t="shared" si="972"/>
        <v>17514906.286159322</v>
      </c>
    </row>
    <row r="463" spans="4:56" s="422" customFormat="1" x14ac:dyDescent="0.2">
      <c r="D463" s="618" t="s">
        <v>558</v>
      </c>
      <c r="E463" s="618" t="s">
        <v>39</v>
      </c>
      <c r="AS463" s="618">
        <v>608737.78737795702</v>
      </c>
      <c r="AT463" s="618">
        <v>933735.61945344938</v>
      </c>
      <c r="AU463" s="618">
        <v>935411.88712492958</v>
      </c>
      <c r="AV463" s="618">
        <v>991016.71866327408</v>
      </c>
      <c r="AW463" s="618">
        <v>1073018.9483379368</v>
      </c>
      <c r="AX463" s="618">
        <v>1779710.9810010761</v>
      </c>
      <c r="AY463" s="618">
        <v>2688583.5545945275</v>
      </c>
      <c r="AZ463" s="618">
        <v>3001179.2373603992</v>
      </c>
      <c r="BA463" s="618">
        <v>2986465.5872592051</v>
      </c>
      <c r="BB463" s="618">
        <v>2923420.3020044984</v>
      </c>
    </row>
    <row r="464" spans="4:56" s="422" customFormat="1" x14ac:dyDescent="0.2">
      <c r="D464" s="618" t="s">
        <v>559</v>
      </c>
      <c r="E464" s="618" t="s">
        <v>40</v>
      </c>
      <c r="AS464" s="618">
        <v>1394163.5811526338</v>
      </c>
      <c r="AT464" s="618">
        <v>1746521.3199873595</v>
      </c>
      <c r="AU464" s="618">
        <v>1880031.921199033</v>
      </c>
      <c r="AV464" s="618">
        <v>2283593.9143784698</v>
      </c>
      <c r="AW464" s="618">
        <v>2597316.140131142</v>
      </c>
      <c r="AX464" s="618">
        <v>3021535.6979589313</v>
      </c>
      <c r="AY464" s="618">
        <v>4031541.1509170327</v>
      </c>
      <c r="AZ464" s="618">
        <v>4599919.1000206247</v>
      </c>
      <c r="BA464" s="618">
        <v>4575334.0905943625</v>
      </c>
      <c r="BB464" s="618">
        <v>4445568.2300406508</v>
      </c>
    </row>
    <row r="465" spans="4:54" s="422" customFormat="1" x14ac:dyDescent="0.2">
      <c r="D465" s="618" t="s">
        <v>560</v>
      </c>
      <c r="E465" s="618" t="s">
        <v>561</v>
      </c>
      <c r="AS465" s="618">
        <v>204033.73231800384</v>
      </c>
      <c r="AT465" s="618">
        <v>205811.92252281937</v>
      </c>
      <c r="AU465" s="618">
        <v>232622.25761181343</v>
      </c>
      <c r="AV465" s="618">
        <v>306627.95018618408</v>
      </c>
      <c r="AW465" s="618">
        <v>354861.68462838524</v>
      </c>
      <c r="AX465" s="618">
        <v>406271.88282941008</v>
      </c>
      <c r="AY465" s="618">
        <v>303444.10832861869</v>
      </c>
      <c r="AZ465" s="618">
        <v>533282.88094573969</v>
      </c>
      <c r="BA465" s="618">
        <v>546669.87453379249</v>
      </c>
      <c r="BB465" s="618">
        <v>598389.51501073095</v>
      </c>
    </row>
    <row r="466" spans="4:54" s="422" customFormat="1" x14ac:dyDescent="0.2">
      <c r="D466" s="618" t="s">
        <v>562</v>
      </c>
      <c r="E466" s="618" t="s">
        <v>563</v>
      </c>
      <c r="AS466" s="618">
        <v>162373.55450404523</v>
      </c>
      <c r="AT466" s="618">
        <v>152139.0549744303</v>
      </c>
      <c r="AU466" s="618">
        <v>163890.49029988996</v>
      </c>
      <c r="AV466" s="618">
        <v>168481.5007039255</v>
      </c>
      <c r="AW466" s="618">
        <v>179961.26636571321</v>
      </c>
      <c r="AX466" s="618">
        <v>177766.88563894792</v>
      </c>
      <c r="AY466" s="618">
        <v>168603.09820206268</v>
      </c>
      <c r="AZ466" s="618">
        <v>189884.9946287577</v>
      </c>
      <c r="BA466" s="618">
        <v>224918.45394161926</v>
      </c>
      <c r="BB466" s="618">
        <v>263471.86682257429</v>
      </c>
    </row>
    <row r="467" spans="4:54" s="422" customFormat="1" x14ac:dyDescent="0.2">
      <c r="D467" s="618" t="s">
        <v>564</v>
      </c>
      <c r="E467" s="618" t="s">
        <v>109</v>
      </c>
      <c r="AS467" s="618">
        <v>1107250.5699296747</v>
      </c>
      <c r="AT467" s="618">
        <v>1441439.5228117469</v>
      </c>
      <c r="AU467" s="618">
        <v>1791111.498091219</v>
      </c>
      <c r="AV467" s="618">
        <v>2511040.859554261</v>
      </c>
      <c r="AW467" s="618">
        <v>2388679.1763891284</v>
      </c>
      <c r="AX467" s="618">
        <v>3055824.7826233828</v>
      </c>
      <c r="AY467" s="618">
        <v>4273342.1852474771</v>
      </c>
      <c r="AZ467" s="618">
        <v>4488806.1886324584</v>
      </c>
      <c r="BA467" s="618">
        <v>7087648.204206177</v>
      </c>
      <c r="BB467" s="618">
        <v>9284056.3722808659</v>
      </c>
    </row>
    <row r="468" spans="4:54" s="422" customFormat="1" x14ac:dyDescent="0.2">
      <c r="D468" s="618"/>
      <c r="E468" s="673" t="s">
        <v>110</v>
      </c>
      <c r="AS468" s="673">
        <f>SUM(AS469:AS482)</f>
        <v>8820180.7798761111</v>
      </c>
      <c r="AT468" s="673">
        <f t="shared" ref="AT468:BB468" si="973">SUM(AT469:AT482)</f>
        <v>10490282.0018261</v>
      </c>
      <c r="AU468" s="673">
        <f t="shared" si="973"/>
        <v>12601921.228798458</v>
      </c>
      <c r="AV468" s="673">
        <f t="shared" si="973"/>
        <v>14639601.334525742</v>
      </c>
      <c r="AW468" s="673">
        <f t="shared" si="973"/>
        <v>17041396.386484355</v>
      </c>
      <c r="AX468" s="673">
        <f t="shared" si="973"/>
        <v>19276406.233152486</v>
      </c>
      <c r="AY468" s="673">
        <f t="shared" si="973"/>
        <v>22420329.655941144</v>
      </c>
      <c r="AZ468" s="673">
        <f t="shared" si="973"/>
        <v>25580578.647602618</v>
      </c>
      <c r="BA468" s="673">
        <f t="shared" si="973"/>
        <v>28951360.553509887</v>
      </c>
      <c r="BB468" s="673">
        <f t="shared" si="973"/>
        <v>32459640.580569174</v>
      </c>
    </row>
    <row r="469" spans="4:54" s="422" customFormat="1" x14ac:dyDescent="0.2">
      <c r="D469" s="618" t="s">
        <v>565</v>
      </c>
      <c r="E469" s="618" t="s">
        <v>566</v>
      </c>
      <c r="AS469" s="618">
        <v>1994580.1675540083</v>
      </c>
      <c r="AT469" s="618">
        <v>2251405.8228699681</v>
      </c>
      <c r="AU469" s="618">
        <v>2645346.7167165349</v>
      </c>
      <c r="AV469" s="618">
        <v>3193697.1968108192</v>
      </c>
      <c r="AW469" s="618">
        <v>3744882.9076179895</v>
      </c>
      <c r="AX469" s="618">
        <v>4426466.8207551884</v>
      </c>
      <c r="AY469" s="618">
        <v>5571372.2352934182</v>
      </c>
      <c r="AZ469" s="618">
        <v>6389279.1782057891</v>
      </c>
      <c r="BA469" s="618">
        <v>7271715.9453243595</v>
      </c>
      <c r="BB469" s="618">
        <v>8378448.8354812926</v>
      </c>
    </row>
    <row r="470" spans="4:54" s="422" customFormat="1" x14ac:dyDescent="0.2">
      <c r="D470" s="618" t="s">
        <v>567</v>
      </c>
      <c r="E470" s="618" t="s">
        <v>568</v>
      </c>
      <c r="AS470" s="618">
        <v>1219996.3997917143</v>
      </c>
      <c r="AT470" s="618">
        <v>1386996.578486</v>
      </c>
      <c r="AU470" s="618">
        <v>1572853.6242617257</v>
      </c>
      <c r="AV470" s="618">
        <v>1969499.244644627</v>
      </c>
      <c r="AW470" s="618">
        <v>2320840.508618759</v>
      </c>
      <c r="AX470" s="618">
        <v>2537406.6731980573</v>
      </c>
      <c r="AY470" s="618">
        <v>2728970.3720267694</v>
      </c>
      <c r="AZ470" s="618">
        <v>2733617.826269852</v>
      </c>
      <c r="BA470" s="618">
        <v>2986346.8355396367</v>
      </c>
      <c r="BB470" s="618">
        <v>3438076.4115837729</v>
      </c>
    </row>
    <row r="471" spans="4:54" s="422" customFormat="1" x14ac:dyDescent="0.2">
      <c r="D471" s="618" t="s">
        <v>569</v>
      </c>
      <c r="E471" s="618" t="s">
        <v>570</v>
      </c>
      <c r="AS471" s="618">
        <v>347654.1529640042</v>
      </c>
      <c r="AT471" s="618">
        <v>363465.16138189984</v>
      </c>
      <c r="AU471" s="618">
        <v>481997.29533795465</v>
      </c>
      <c r="AV471" s="618">
        <v>559792.86106706783</v>
      </c>
      <c r="AW471" s="618">
        <v>680669.03665278759</v>
      </c>
      <c r="AX471" s="618">
        <v>720772.48884083587</v>
      </c>
      <c r="AY471" s="618">
        <v>733957.90794697008</v>
      </c>
      <c r="AZ471" s="618">
        <v>887971.77020850731</v>
      </c>
      <c r="BA471" s="618">
        <v>902809.77958760131</v>
      </c>
      <c r="BB471" s="618">
        <v>872340.71399838966</v>
      </c>
    </row>
    <row r="472" spans="4:54" s="422" customFormat="1" x14ac:dyDescent="0.2">
      <c r="D472" s="618" t="s">
        <v>571</v>
      </c>
      <c r="E472" s="618" t="s">
        <v>572</v>
      </c>
      <c r="AS472" s="618">
        <v>470010.18201342248</v>
      </c>
      <c r="AT472" s="618">
        <v>527238.55735925946</v>
      </c>
      <c r="AU472" s="618">
        <v>615065.84896873357</v>
      </c>
      <c r="AV472" s="618">
        <v>722547.51474769437</v>
      </c>
      <c r="AW472" s="618">
        <v>912732.36730375013</v>
      </c>
      <c r="AX472" s="618">
        <v>1151748.3182900874</v>
      </c>
      <c r="AY472" s="618">
        <v>1244894.017371498</v>
      </c>
      <c r="AZ472" s="618">
        <v>1454665.2979533798</v>
      </c>
      <c r="BA472" s="618">
        <v>1624384.2285064084</v>
      </c>
      <c r="BB472" s="618">
        <v>1700411.275315108</v>
      </c>
    </row>
    <row r="473" spans="4:54" s="422" customFormat="1" x14ac:dyDescent="0.2">
      <c r="D473" s="617" t="s">
        <v>573</v>
      </c>
      <c r="E473" s="618" t="s">
        <v>574</v>
      </c>
      <c r="AS473" s="618">
        <v>452108.95921965037</v>
      </c>
      <c r="AT473" s="618">
        <v>574659.03544355056</v>
      </c>
      <c r="AU473" s="618">
        <v>756074.80489759147</v>
      </c>
      <c r="AV473" s="618">
        <v>959279.31668701861</v>
      </c>
      <c r="AW473" s="618">
        <v>1178852.5679070624</v>
      </c>
      <c r="AX473" s="618">
        <v>1408476.5384172811</v>
      </c>
      <c r="AY473" s="618">
        <v>1772783.3833987047</v>
      </c>
      <c r="AZ473" s="618">
        <v>2070162.5451440515</v>
      </c>
      <c r="BA473" s="618">
        <v>2308705.1886796537</v>
      </c>
      <c r="BB473" s="618">
        <v>2694444.2297873306</v>
      </c>
    </row>
    <row r="474" spans="4:54" s="422" customFormat="1" x14ac:dyDescent="0.2">
      <c r="D474" s="618" t="s">
        <v>575</v>
      </c>
      <c r="E474" s="618" t="s">
        <v>338</v>
      </c>
      <c r="AS474" s="618">
        <v>1171881.9833838923</v>
      </c>
      <c r="AT474" s="618">
        <v>1328105.2199854788</v>
      </c>
      <c r="AU474" s="618">
        <v>1510691.8946926577</v>
      </c>
      <c r="AV474" s="618">
        <v>1607743.9742696758</v>
      </c>
      <c r="AW474" s="618">
        <v>1815359.8983192907</v>
      </c>
      <c r="AX474" s="618">
        <v>1926451.4961166941</v>
      </c>
      <c r="AY474" s="618">
        <v>2153936.604998284</v>
      </c>
      <c r="AZ474" s="618">
        <v>2480702.6382643455</v>
      </c>
      <c r="BA474" s="618">
        <v>2521339.8683139589</v>
      </c>
      <c r="BB474" s="618">
        <v>2809249.240872079</v>
      </c>
    </row>
    <row r="475" spans="4:54" s="422" customFormat="1" x14ac:dyDescent="0.2">
      <c r="D475" s="618" t="s">
        <v>576</v>
      </c>
      <c r="E475" s="618" t="s">
        <v>577</v>
      </c>
      <c r="AS475" s="618">
        <v>182777.8776600108</v>
      </c>
      <c r="AT475" s="618">
        <v>242468.6588434781</v>
      </c>
      <c r="AU475" s="618">
        <v>318676.57403960085</v>
      </c>
      <c r="AV475" s="618">
        <v>450187.5075938378</v>
      </c>
      <c r="AW475" s="618">
        <v>552629.99681946437</v>
      </c>
      <c r="AX475" s="618">
        <v>728206.60612551973</v>
      </c>
      <c r="AY475" s="618">
        <v>813502.19206395885</v>
      </c>
      <c r="AZ475" s="618">
        <v>810125.94354563544</v>
      </c>
      <c r="BA475" s="618">
        <v>902694.89312504802</v>
      </c>
      <c r="BB475" s="618">
        <v>1003125.7070846779</v>
      </c>
    </row>
    <row r="476" spans="4:54" s="422" customFormat="1" x14ac:dyDescent="0.2">
      <c r="D476" s="618" t="s">
        <v>578</v>
      </c>
      <c r="E476" s="618" t="s">
        <v>579</v>
      </c>
      <c r="AS476" s="618">
        <v>540020.09545487468</v>
      </c>
      <c r="AT476" s="618">
        <v>667260.432464891</v>
      </c>
      <c r="AU476" s="618">
        <v>793109.75349054614</v>
      </c>
      <c r="AV476" s="618">
        <v>850083.27669596171</v>
      </c>
      <c r="AW476" s="618">
        <v>895051.27906120766</v>
      </c>
      <c r="AX476" s="618">
        <v>978846.07773963199</v>
      </c>
      <c r="AY476" s="618">
        <v>1098619.7247509889</v>
      </c>
      <c r="AZ476" s="618">
        <v>1427909.3035493006</v>
      </c>
      <c r="BA476" s="618">
        <v>1711729.7066425027</v>
      </c>
      <c r="BB476" s="618">
        <v>2003202.4193821887</v>
      </c>
    </row>
    <row r="477" spans="4:54" s="422" customFormat="1" x14ac:dyDescent="0.2">
      <c r="D477" s="617" t="s">
        <v>580</v>
      </c>
      <c r="E477" s="618" t="s">
        <v>581</v>
      </c>
      <c r="AS477" s="618">
        <v>1255091.0012365519</v>
      </c>
      <c r="AT477" s="618">
        <v>1688473.4405709882</v>
      </c>
      <c r="AU477" s="618">
        <v>2179163.9822293888</v>
      </c>
      <c r="AV477" s="618">
        <v>2282704.1577240285</v>
      </c>
      <c r="AW477" s="618">
        <v>2511952.8446101877</v>
      </c>
      <c r="AX477" s="618">
        <v>2668756.0640000002</v>
      </c>
      <c r="AY477" s="618">
        <v>3338191.54</v>
      </c>
      <c r="AZ477" s="618">
        <v>4017280.3044749652</v>
      </c>
      <c r="BA477" s="618">
        <v>4936070.6557577318</v>
      </c>
      <c r="BB477" s="618">
        <v>5227501.7375491401</v>
      </c>
    </row>
    <row r="478" spans="4:54" s="422" customFormat="1" x14ac:dyDescent="0.2">
      <c r="D478" s="617" t="s">
        <v>582</v>
      </c>
      <c r="E478" s="618" t="s">
        <v>118</v>
      </c>
      <c r="AS478" s="618">
        <v>508969.47136293701</v>
      </c>
      <c r="AT478" s="618">
        <v>630457.33581376472</v>
      </c>
      <c r="AU478" s="618">
        <v>851207.76964945532</v>
      </c>
      <c r="AV478" s="618">
        <v>1007307.5216425105</v>
      </c>
      <c r="AW478" s="618">
        <v>1193227.8163896697</v>
      </c>
      <c r="AX478" s="618">
        <v>1380169.8125782132</v>
      </c>
      <c r="AY478" s="618">
        <v>1463766.7893457487</v>
      </c>
      <c r="AZ478" s="618">
        <v>1607317.4637132564</v>
      </c>
      <c r="BA478" s="618">
        <v>1893664.7124279772</v>
      </c>
      <c r="BB478" s="618">
        <v>2172080.380386279</v>
      </c>
    </row>
    <row r="479" spans="4:54" s="422" customFormat="1" x14ac:dyDescent="0.2">
      <c r="D479" s="617" t="s">
        <v>583</v>
      </c>
      <c r="E479" s="618" t="s">
        <v>584</v>
      </c>
      <c r="AS479" s="618">
        <v>343729.82283858041</v>
      </c>
      <c r="AT479" s="618">
        <v>450189.0484584677</v>
      </c>
      <c r="AU479" s="618">
        <v>438415.08685885917</v>
      </c>
      <c r="AV479" s="618">
        <v>532162.97776368773</v>
      </c>
      <c r="AW479" s="618">
        <v>663617.96154187853</v>
      </c>
      <c r="AX479" s="618">
        <v>735665.14119770785</v>
      </c>
      <c r="AY479" s="618">
        <v>820894.35697980761</v>
      </c>
      <c r="AZ479" s="618">
        <v>919307.19042635662</v>
      </c>
      <c r="BA479" s="618">
        <v>1019986.848506505</v>
      </c>
      <c r="BB479" s="618">
        <v>1151977.545166679</v>
      </c>
    </row>
    <row r="480" spans="4:54" s="422" customFormat="1" x14ac:dyDescent="0.2">
      <c r="D480" s="618" t="s">
        <v>585</v>
      </c>
      <c r="E480" s="618" t="s">
        <v>586</v>
      </c>
      <c r="AS480" s="618">
        <v>57849.93319034289</v>
      </c>
      <c r="AT480" s="618">
        <v>72589.669273453896</v>
      </c>
      <c r="AU480" s="618">
        <v>91526.589666776868</v>
      </c>
      <c r="AV480" s="618">
        <v>105578.63247703883</v>
      </c>
      <c r="AW480" s="618">
        <v>114976.90567024489</v>
      </c>
      <c r="AX480" s="618">
        <v>125499.36618140078</v>
      </c>
      <c r="AY480" s="618">
        <v>144046.37912555749</v>
      </c>
      <c r="AZ480" s="618">
        <v>169111.99770408453</v>
      </c>
      <c r="BA480" s="618">
        <v>188996.47275505075</v>
      </c>
      <c r="BB480" s="618">
        <v>221912.33132477183</v>
      </c>
    </row>
    <row r="481" spans="4:54" s="422" customFormat="1" x14ac:dyDescent="0.2">
      <c r="D481" s="618" t="s">
        <v>587</v>
      </c>
      <c r="E481" s="618" t="s">
        <v>588</v>
      </c>
      <c r="AS481" s="618">
        <v>192957.56137272896</v>
      </c>
      <c r="AT481" s="618">
        <v>220427.97728526103</v>
      </c>
      <c r="AU481" s="618">
        <v>254462.43976887091</v>
      </c>
      <c r="AV481" s="618">
        <v>294113.53368607751</v>
      </c>
      <c r="AW481" s="618">
        <v>344077.90738939517</v>
      </c>
      <c r="AX481" s="618">
        <v>366538.50631112681</v>
      </c>
      <c r="AY481" s="618">
        <v>406498.3132860249</v>
      </c>
      <c r="AZ481" s="618">
        <v>472947.12088271615</v>
      </c>
      <c r="BA481" s="618">
        <v>534379.62714368955</v>
      </c>
      <c r="BB481" s="618">
        <v>619834.64270337997</v>
      </c>
    </row>
    <row r="482" spans="4:54" s="422" customFormat="1" x14ac:dyDescent="0.2">
      <c r="D482" s="618" t="s">
        <v>589</v>
      </c>
      <c r="E482" s="618" t="s">
        <v>590</v>
      </c>
      <c r="AS482" s="618">
        <v>82553.171833394823</v>
      </c>
      <c r="AT482" s="618">
        <v>86545.063589637983</v>
      </c>
      <c r="AU482" s="618">
        <v>93328.848219761363</v>
      </c>
      <c r="AV482" s="618">
        <v>104903.6187156963</v>
      </c>
      <c r="AW482" s="618">
        <v>112524.38858266642</v>
      </c>
      <c r="AX482" s="618">
        <v>121402.32340074331</v>
      </c>
      <c r="AY482" s="618">
        <v>128895.83935341179</v>
      </c>
      <c r="AZ482" s="618">
        <v>140180.06726037644</v>
      </c>
      <c r="BA482" s="618">
        <v>148535.79119976168</v>
      </c>
      <c r="BB482" s="618">
        <v>167035.10993408924</v>
      </c>
    </row>
    <row r="483" spans="4:54" s="422" customFormat="1" x14ac:dyDescent="0.2">
      <c r="D483" s="618" t="s">
        <v>591</v>
      </c>
      <c r="E483" s="618" t="s">
        <v>340</v>
      </c>
      <c r="AS483" s="618">
        <v>-187399.22689085652</v>
      </c>
      <c r="AT483" s="618">
        <v>-315994.9570036176</v>
      </c>
      <c r="AU483" s="618">
        <v>-331002.1190424902</v>
      </c>
      <c r="AV483" s="618">
        <v>-289026.54808530567</v>
      </c>
      <c r="AW483" s="618">
        <v>-327342.12704541889</v>
      </c>
      <c r="AX483" s="618">
        <v>-376200.31138401938</v>
      </c>
      <c r="AY483" s="618">
        <v>-557921.4101115471</v>
      </c>
      <c r="AZ483" s="618">
        <v>-638331.87130978343</v>
      </c>
      <c r="BA483" s="618">
        <v>-867157.49165214831</v>
      </c>
      <c r="BB483" s="618">
        <v>-826395.81094071618</v>
      </c>
    </row>
    <row r="484" spans="4:54" s="422" customFormat="1" x14ac:dyDescent="0.2">
      <c r="D484" s="1"/>
      <c r="E484" s="1" t="s">
        <v>592</v>
      </c>
      <c r="AS484" s="680">
        <f>AS457+AS462+AS468+AS483</f>
        <v>15530053.807007425</v>
      </c>
      <c r="AT484" s="680">
        <f t="shared" ref="AT484:BB484" si="974">AT457+AT462+AT468+AT483</f>
        <v>18831441.649943028</v>
      </c>
      <c r="AU484" s="680">
        <f t="shared" si="974"/>
        <v>21721573.195413139</v>
      </c>
      <c r="AV484" s="680">
        <f t="shared" si="974"/>
        <v>26431521.403430898</v>
      </c>
      <c r="AW484" s="680">
        <f t="shared" si="974"/>
        <v>30590395.009077743</v>
      </c>
      <c r="AX484" s="680">
        <f t="shared" si="974"/>
        <v>35687472.998808451</v>
      </c>
      <c r="AY484" s="680">
        <f t="shared" si="974"/>
        <v>43196992.657238305</v>
      </c>
      <c r="AZ484" s="680">
        <f t="shared" si="974"/>
        <v>50177772.152058363</v>
      </c>
      <c r="BA484" s="680">
        <f t="shared" si="974"/>
        <v>58183778.407357678</v>
      </c>
      <c r="BB484" s="680">
        <f t="shared" si="974"/>
        <v>63811890.777670383</v>
      </c>
    </row>
    <row r="485" spans="4:54" s="422" customFormat="1" x14ac:dyDescent="0.2">
      <c r="D485" s="618"/>
      <c r="E485" s="618" t="s">
        <v>294</v>
      </c>
      <c r="AS485" s="618">
        <v>1160183.9438497345</v>
      </c>
      <c r="AT485" s="618">
        <v>1449760.8537142419</v>
      </c>
      <c r="AU485" s="618">
        <v>1821544.0813679253</v>
      </c>
      <c r="AV485" s="618">
        <v>2172568.46</v>
      </c>
      <c r="AW485" s="618">
        <v>2480568.1100000003</v>
      </c>
      <c r="AX485" s="618">
        <v>2815106</v>
      </c>
      <c r="AY485" s="618">
        <v>3261474.9932741951</v>
      </c>
      <c r="AZ485" s="618">
        <v>3870726.3182741944</v>
      </c>
      <c r="BA485" s="618">
        <v>4480385.3158382</v>
      </c>
      <c r="BB485" s="618">
        <v>6453585</v>
      </c>
    </row>
    <row r="486" spans="4:54" s="422" customFormat="1" x14ac:dyDescent="0.2">
      <c r="E486" s="9" t="s">
        <v>593</v>
      </c>
    </row>
    <row r="487" spans="4:54" s="422" customFormat="1" x14ac:dyDescent="0.2">
      <c r="E487" s="197" t="s">
        <v>555</v>
      </c>
      <c r="AS487" s="1">
        <f>AS488+AS493+AS496</f>
        <v>2422591.8382685822</v>
      </c>
      <c r="AT487" s="1">
        <f t="shared" ref="AT487:BB487" si="975">AT488+AT493+AT496</f>
        <v>3017232.7791923522</v>
      </c>
      <c r="AU487" s="1">
        <f t="shared" si="975"/>
        <v>3227314.5230840566</v>
      </c>
      <c r="AV487" s="1">
        <f t="shared" si="975"/>
        <v>4160849.653591604</v>
      </c>
      <c r="AW487" s="1">
        <f t="shared" si="975"/>
        <v>4655860.5087296106</v>
      </c>
      <c r="AX487" s="1">
        <f t="shared" si="975"/>
        <v>5333439.0511038546</v>
      </c>
      <c r="AY487" s="1">
        <f t="shared" si="975"/>
        <v>6304113.280282137</v>
      </c>
      <c r="AZ487" s="1">
        <f t="shared" si="975"/>
        <v>7385715.4391379692</v>
      </c>
      <c r="BA487" s="1">
        <f t="shared" si="975"/>
        <v>8289063.6230361732</v>
      </c>
      <c r="BB487" s="1">
        <f t="shared" si="975"/>
        <v>9177023.5539073423</v>
      </c>
    </row>
    <row r="488" spans="4:54" s="422" customFormat="1" x14ac:dyDescent="0.2">
      <c r="D488" s="618" t="s">
        <v>556</v>
      </c>
      <c r="E488" s="673" t="s">
        <v>557</v>
      </c>
      <c r="AS488" s="679">
        <f>SUM(AS489:AS492)</f>
        <v>2048429.224289079</v>
      </c>
      <c r="AT488" s="679">
        <f t="shared" ref="AT488:BB488" si="976">SUM(AT489:AT492)</f>
        <v>2588121.678502372</v>
      </c>
      <c r="AU488" s="679">
        <f t="shared" si="976"/>
        <v>2733770.6152770268</v>
      </c>
      <c r="AV488" s="679">
        <f t="shared" si="976"/>
        <v>3612539.2000006181</v>
      </c>
      <c r="AW488" s="679">
        <f t="shared" si="976"/>
        <v>4125213.8135909382</v>
      </c>
      <c r="AX488" s="679">
        <f t="shared" si="976"/>
        <v>4763966.0836412953</v>
      </c>
      <c r="AY488" s="679">
        <f t="shared" si="976"/>
        <v>5619162.1205936782</v>
      </c>
      <c r="AZ488" s="679">
        <f t="shared" si="976"/>
        <v>6673098.5187469395</v>
      </c>
      <c r="BA488" s="679">
        <f t="shared" si="976"/>
        <v>7450674.9813419534</v>
      </c>
      <c r="BB488" s="679">
        <f t="shared" si="976"/>
        <v>8305484.9054593956</v>
      </c>
    </row>
    <row r="489" spans="4:54" s="422" customFormat="1" x14ac:dyDescent="0.2">
      <c r="D489" s="618"/>
      <c r="E489" s="674" t="s">
        <v>102</v>
      </c>
      <c r="AS489" s="618">
        <v>1374079.2936429931</v>
      </c>
      <c r="AT489" s="618">
        <v>1751210.0310672291</v>
      </c>
      <c r="AU489" s="618">
        <v>1567671.3978144419</v>
      </c>
      <c r="AV489" s="618">
        <v>2199566.0472319145</v>
      </c>
      <c r="AW489" s="618">
        <v>2648158.4914067299</v>
      </c>
      <c r="AX489" s="618">
        <v>3196108.5924198022</v>
      </c>
      <c r="AY489" s="618">
        <v>3811041.4683269956</v>
      </c>
      <c r="AZ489" s="618">
        <v>4639608.7838253928</v>
      </c>
      <c r="BA489" s="618">
        <v>5083974.3805934787</v>
      </c>
      <c r="BB489" s="618">
        <v>5733729.4401559997</v>
      </c>
    </row>
    <row r="490" spans="4:54" s="422" customFormat="1" x14ac:dyDescent="0.2">
      <c r="D490" s="618"/>
      <c r="E490" s="674" t="s">
        <v>103</v>
      </c>
      <c r="AS490" s="618">
        <v>527473.70608065627</v>
      </c>
      <c r="AT490" s="618">
        <v>655801.63319337252</v>
      </c>
      <c r="AU490" s="618">
        <v>912348.92134341272</v>
      </c>
      <c r="AV490" s="618">
        <v>1111817.5742530455</v>
      </c>
      <c r="AW490" s="618">
        <v>1117612.367583506</v>
      </c>
      <c r="AX490" s="618">
        <v>1181593.9955174602</v>
      </c>
      <c r="AY490" s="618">
        <v>1344753.5413004176</v>
      </c>
      <c r="AZ490" s="618">
        <v>1455517.5393308334</v>
      </c>
      <c r="BA490" s="618">
        <v>1634987.2652210693</v>
      </c>
      <c r="BB490" s="618">
        <v>1718970.7705747101</v>
      </c>
    </row>
    <row r="491" spans="4:54" s="422" customFormat="1" x14ac:dyDescent="0.2">
      <c r="D491" s="618"/>
      <c r="E491" s="674" t="s">
        <v>552</v>
      </c>
      <c r="AS491" s="618">
        <v>137952.6011273257</v>
      </c>
      <c r="AT491" s="618">
        <v>170844.82931976437</v>
      </c>
      <c r="AU491" s="618">
        <v>242474.70680289652</v>
      </c>
      <c r="AV491" s="618">
        <v>285119.23061526305</v>
      </c>
      <c r="AW491" s="618">
        <v>333988.08248140616</v>
      </c>
      <c r="AX491" s="618">
        <v>362370.98293435911</v>
      </c>
      <c r="AY491" s="618">
        <v>434650.4171832311</v>
      </c>
      <c r="AZ491" s="618">
        <v>542651.99383175862</v>
      </c>
      <c r="BA491" s="618">
        <v>680472.99791967205</v>
      </c>
      <c r="BB491" s="618">
        <v>792391.92154085205</v>
      </c>
    </row>
    <row r="492" spans="4:54" s="422" customFormat="1" x14ac:dyDescent="0.2">
      <c r="D492" s="618"/>
      <c r="E492" s="674" t="s">
        <v>105</v>
      </c>
      <c r="AS492" s="618">
        <v>8923.6234381037939</v>
      </c>
      <c r="AT492" s="618">
        <v>10265.184922006089</v>
      </c>
      <c r="AU492" s="618">
        <v>11275.589316275273</v>
      </c>
      <c r="AV492" s="618">
        <v>16036.347900395494</v>
      </c>
      <c r="AW492" s="618">
        <v>25454.872119295731</v>
      </c>
      <c r="AX492" s="618">
        <v>23892.512769673827</v>
      </c>
      <c r="AY492" s="618">
        <v>28716.693783033741</v>
      </c>
      <c r="AZ492" s="618">
        <v>35320.201758954638</v>
      </c>
      <c r="BA492" s="618">
        <v>51240.337607732879</v>
      </c>
      <c r="BB492" s="618">
        <v>60392.773187833503</v>
      </c>
    </row>
    <row r="493" spans="4:54" s="422" customFormat="1" x14ac:dyDescent="0.2">
      <c r="D493" s="618"/>
      <c r="E493" s="676" t="s">
        <v>279</v>
      </c>
      <c r="AS493" s="673">
        <f>SUM(AS494:AS495)</f>
        <v>297581.81411041284</v>
      </c>
      <c r="AT493" s="673">
        <f t="shared" ref="AT493:BB493" si="977">SUM(AT494:AT495)</f>
        <v>345462.74574617133</v>
      </c>
      <c r="AU493" s="673">
        <f t="shared" si="977"/>
        <v>402969.55951237259</v>
      </c>
      <c r="AV493" s="673">
        <f t="shared" si="977"/>
        <v>439646.56867882202</v>
      </c>
      <c r="AW493" s="673">
        <f t="shared" si="977"/>
        <v>424678.47843966336</v>
      </c>
      <c r="AX493" s="673">
        <f t="shared" si="977"/>
        <v>459016.73795674299</v>
      </c>
      <c r="AY493" s="673">
        <f t="shared" si="977"/>
        <v>561110.00926093571</v>
      </c>
      <c r="AZ493" s="673">
        <f t="shared" si="977"/>
        <v>580554.99464161322</v>
      </c>
      <c r="BA493" s="673">
        <f t="shared" si="977"/>
        <v>687581.03079504601</v>
      </c>
      <c r="BB493" s="673">
        <f t="shared" si="977"/>
        <v>725370.79595152894</v>
      </c>
    </row>
    <row r="494" spans="4:54" s="422" customFormat="1" x14ac:dyDescent="0.2">
      <c r="D494" s="618" t="s">
        <v>562</v>
      </c>
      <c r="E494" s="618" t="s">
        <v>563</v>
      </c>
      <c r="AS494" s="618">
        <v>71181.412511008923</v>
      </c>
      <c r="AT494" s="618">
        <v>58050.287833496994</v>
      </c>
      <c r="AU494" s="618">
        <v>77007.361410404177</v>
      </c>
      <c r="AV494" s="618">
        <v>79164.543299210374</v>
      </c>
      <c r="AW494" s="618">
        <v>84558.550368238124</v>
      </c>
      <c r="AX494" s="618">
        <v>83527.474865389668</v>
      </c>
      <c r="AY494" s="618">
        <v>79221.6784171084</v>
      </c>
      <c r="AZ494" s="618">
        <v>85168.408429843956</v>
      </c>
      <c r="BA494" s="618">
        <v>101050.31988681445</v>
      </c>
      <c r="BB494" s="618">
        <v>110077.08837714</v>
      </c>
    </row>
    <row r="495" spans="4:54" s="422" customFormat="1" x14ac:dyDescent="0.2">
      <c r="D495" s="618" t="s">
        <v>564</v>
      </c>
      <c r="E495" s="618" t="s">
        <v>109</v>
      </c>
      <c r="AS495" s="681">
        <v>226400.40159940391</v>
      </c>
      <c r="AT495" s="681">
        <v>287412.45791267435</v>
      </c>
      <c r="AU495" s="681">
        <v>325962.19810196845</v>
      </c>
      <c r="AV495" s="681">
        <v>360482.02537961164</v>
      </c>
      <c r="AW495" s="681">
        <v>340119.92807142524</v>
      </c>
      <c r="AX495" s="681">
        <v>375489.26309135329</v>
      </c>
      <c r="AY495" s="681">
        <v>481888.33084382734</v>
      </c>
      <c r="AZ495" s="681">
        <v>495386.5862117692</v>
      </c>
      <c r="BA495" s="681">
        <v>586530.71090823156</v>
      </c>
      <c r="BB495" s="681">
        <v>615293.70757438894</v>
      </c>
    </row>
    <row r="496" spans="4:54" s="422" customFormat="1" x14ac:dyDescent="0.2">
      <c r="D496" s="618"/>
      <c r="E496" s="673" t="s">
        <v>110</v>
      </c>
      <c r="AS496" s="682">
        <f>SUM(AS497)</f>
        <v>76580.799869090362</v>
      </c>
      <c r="AT496" s="682">
        <f t="shared" ref="AT496:BB496" si="978">SUM(AT497)</f>
        <v>83648.354943808677</v>
      </c>
      <c r="AU496" s="682">
        <f t="shared" si="978"/>
        <v>90574.348294657349</v>
      </c>
      <c r="AV496" s="682">
        <f t="shared" si="978"/>
        <v>108663.88491216378</v>
      </c>
      <c r="AW496" s="682">
        <f t="shared" si="978"/>
        <v>105968.21669900866</v>
      </c>
      <c r="AX496" s="682">
        <f t="shared" si="978"/>
        <v>110456.22950581613</v>
      </c>
      <c r="AY496" s="682">
        <f t="shared" si="978"/>
        <v>123841.150427523</v>
      </c>
      <c r="AZ496" s="682">
        <f t="shared" si="978"/>
        <v>132061.92574941678</v>
      </c>
      <c r="BA496" s="682">
        <f t="shared" si="978"/>
        <v>150807.61089917333</v>
      </c>
      <c r="BB496" s="682">
        <f t="shared" si="978"/>
        <v>146167.85249641677</v>
      </c>
    </row>
    <row r="497" spans="4:54" s="422" customFormat="1" x14ac:dyDescent="0.2">
      <c r="D497" s="618" t="s">
        <v>575</v>
      </c>
      <c r="E497" s="618" t="s">
        <v>338</v>
      </c>
      <c r="AS497" s="681">
        <v>76580.799869090362</v>
      </c>
      <c r="AT497" s="681">
        <v>83648.354943808677</v>
      </c>
      <c r="AU497" s="681">
        <v>90574.348294657349</v>
      </c>
      <c r="AV497" s="681">
        <v>108663.88491216378</v>
      </c>
      <c r="AW497" s="681">
        <v>105968.21669900866</v>
      </c>
      <c r="AX497" s="681">
        <v>110456.22950581613</v>
      </c>
      <c r="AY497" s="681">
        <v>123841.150427523</v>
      </c>
      <c r="AZ497" s="681">
        <v>132061.92574941678</v>
      </c>
      <c r="BA497" s="681">
        <v>150807.61089917333</v>
      </c>
      <c r="BB497" s="681">
        <v>146167.85249641677</v>
      </c>
    </row>
    <row r="498" spans="4:54" s="422" customFormat="1" x14ac:dyDescent="0.2">
      <c r="D498" s="677"/>
      <c r="E498" s="40" t="s">
        <v>165</v>
      </c>
      <c r="AS498" s="683">
        <f>AS456+AS487</f>
        <v>19112829.589125741</v>
      </c>
      <c r="AT498" s="683">
        <f t="shared" ref="AT498:BB498" si="979">AT456+AT487</f>
        <v>23298435.282849621</v>
      </c>
      <c r="AU498" s="683">
        <f t="shared" si="979"/>
        <v>26770431.799865119</v>
      </c>
      <c r="AV498" s="683">
        <f t="shared" si="979"/>
        <v>32764939.517022502</v>
      </c>
      <c r="AW498" s="683">
        <f t="shared" si="979"/>
        <v>37726823.627807349</v>
      </c>
      <c r="AX498" s="683">
        <f t="shared" si="979"/>
        <v>43836018.049912304</v>
      </c>
      <c r="AY498" s="683">
        <f t="shared" si="979"/>
        <v>52762580.930794641</v>
      </c>
      <c r="AZ498" s="683">
        <f t="shared" si="979"/>
        <v>61434213.909470528</v>
      </c>
      <c r="BA498" s="683">
        <f t="shared" si="979"/>
        <v>70953227.346232057</v>
      </c>
      <c r="BB498" s="683">
        <f t="shared" si="979"/>
        <v>79442499.331577718</v>
      </c>
    </row>
    <row r="499" spans="4:54" s="422" customFormat="1" x14ac:dyDescent="0.2">
      <c r="E499" s="623"/>
      <c r="AT499" s="434"/>
      <c r="AU499" s="434"/>
      <c r="AV499" s="434"/>
      <c r="AW499" s="434"/>
      <c r="AX499" s="434"/>
      <c r="AY499" s="434"/>
      <c r="AZ499" s="434"/>
      <c r="BA499" s="434"/>
    </row>
    <row r="500" spans="4:54" s="422" customFormat="1" x14ac:dyDescent="0.2">
      <c r="E500" s="686" t="s">
        <v>611</v>
      </c>
      <c r="AT500" s="434"/>
      <c r="AU500" s="434"/>
      <c r="AV500" s="434"/>
      <c r="AW500" s="434"/>
      <c r="AX500" s="434"/>
      <c r="AY500" s="434"/>
      <c r="AZ500" s="434"/>
      <c r="BA500" s="434"/>
    </row>
    <row r="501" spans="4:54" s="422" customFormat="1" ht="15.75" x14ac:dyDescent="0.25">
      <c r="E501" s="671" t="s">
        <v>595</v>
      </c>
      <c r="AT501" s="434"/>
      <c r="AU501" s="434"/>
      <c r="AV501" s="434"/>
      <c r="AW501" s="434"/>
      <c r="AX501" s="434"/>
      <c r="AY501" s="434"/>
      <c r="AZ501" s="434"/>
      <c r="BA501" s="434"/>
    </row>
    <row r="502" spans="4:54" s="422" customFormat="1" x14ac:dyDescent="0.2">
      <c r="E502" s="40" t="s">
        <v>553</v>
      </c>
      <c r="AS502" s="678"/>
      <c r="AT502" s="678"/>
      <c r="AU502" s="678"/>
      <c r="AV502" s="678"/>
      <c r="AW502" s="678"/>
      <c r="AX502" s="678"/>
      <c r="AY502" s="678"/>
      <c r="AZ502" s="678"/>
      <c r="BA502" s="678"/>
      <c r="BB502" s="678"/>
    </row>
    <row r="503" spans="4:54" s="422" customFormat="1" x14ac:dyDescent="0.2">
      <c r="E503" s="197" t="s">
        <v>554</v>
      </c>
      <c r="AS503" s="678"/>
      <c r="AT503" s="678"/>
      <c r="AU503" s="678"/>
      <c r="AV503" s="678"/>
      <c r="AW503" s="678"/>
      <c r="AX503" s="678"/>
      <c r="AY503" s="678"/>
      <c r="AZ503" s="678"/>
      <c r="BA503" s="678"/>
      <c r="BB503" s="678"/>
    </row>
    <row r="504" spans="4:54" s="422" customFormat="1" x14ac:dyDescent="0.2">
      <c r="E504" s="197" t="s">
        <v>555</v>
      </c>
      <c r="AS504" s="678">
        <f>AS532+AS533</f>
        <v>20751083.969684608</v>
      </c>
      <c r="AT504" s="678">
        <f t="shared" ref="AT504:BB504" si="980">AT532+AT533</f>
        <v>21729197.660822786</v>
      </c>
      <c r="AU504" s="678">
        <f t="shared" si="980"/>
        <v>23751946.411553919</v>
      </c>
      <c r="AV504" s="678">
        <f t="shared" si="980"/>
        <v>25006410.382636625</v>
      </c>
      <c r="AW504" s="678">
        <f t="shared" si="980"/>
        <v>26359287.001355417</v>
      </c>
      <c r="AX504" s="678">
        <f t="shared" si="980"/>
        <v>28178749.964219674</v>
      </c>
      <c r="AY504" s="678">
        <f t="shared" si="980"/>
        <v>30388101.016988419</v>
      </c>
      <c r="AZ504" s="678">
        <f t="shared" si="980"/>
        <v>32023357.406099971</v>
      </c>
      <c r="BA504" s="678">
        <f t="shared" si="980"/>
        <v>34483853.705623955</v>
      </c>
      <c r="BB504" s="678">
        <f t="shared" si="980"/>
        <v>37025042.031677559</v>
      </c>
    </row>
    <row r="505" spans="4:54" s="422" customFormat="1" x14ac:dyDescent="0.2">
      <c r="E505" s="673" t="s">
        <v>557</v>
      </c>
      <c r="AS505" s="679">
        <f>SUM(AS506:AS509)</f>
        <v>4420669.5689861206</v>
      </c>
      <c r="AT505" s="673">
        <v>4521750.3924655011</v>
      </c>
      <c r="AU505" s="673">
        <v>4652052.2743293168</v>
      </c>
      <c r="AV505" s="673">
        <v>4991150.7244009003</v>
      </c>
      <c r="AW505" s="673">
        <v>5201900.4048724789</v>
      </c>
      <c r="AX505" s="673">
        <v>5380853.7947837627</v>
      </c>
      <c r="AY505" s="673">
        <v>5481431.4399277736</v>
      </c>
      <c r="AZ505" s="673">
        <v>5655620.0281390809</v>
      </c>
      <c r="BA505" s="673">
        <v>5884506.4356622025</v>
      </c>
      <c r="BB505" s="673">
        <v>6083929.1751171919</v>
      </c>
    </row>
    <row r="506" spans="4:54" s="422" customFormat="1" x14ac:dyDescent="0.2">
      <c r="E506" s="674" t="s">
        <v>102</v>
      </c>
      <c r="AS506" s="618">
        <v>2199294.9309970727</v>
      </c>
      <c r="AT506" s="618">
        <v>2154539.6552810636</v>
      </c>
      <c r="AU506" s="618">
        <v>2119510.5088579939</v>
      </c>
      <c r="AV506" s="618">
        <v>2284931.1422281987</v>
      </c>
      <c r="AW506" s="618">
        <v>2376307.2497373321</v>
      </c>
      <c r="AX506" s="618">
        <v>2513255.1064563142</v>
      </c>
      <c r="AY506" s="618">
        <v>2583446.9278401276</v>
      </c>
      <c r="AZ506" s="618">
        <v>2691656.2704514512</v>
      </c>
      <c r="BA506" s="618">
        <v>2827400.2330320533</v>
      </c>
      <c r="BB506" s="618">
        <v>2917069.1652479153</v>
      </c>
    </row>
    <row r="507" spans="4:54" s="422" customFormat="1" x14ac:dyDescent="0.2">
      <c r="E507" s="674" t="s">
        <v>103</v>
      </c>
      <c r="AS507" s="618">
        <v>1452322.8586328202</v>
      </c>
      <c r="AT507" s="618">
        <v>1559561.3122731566</v>
      </c>
      <c r="AU507" s="618">
        <v>1695915.6590347299</v>
      </c>
      <c r="AV507" s="618">
        <v>1824567.8249116431</v>
      </c>
      <c r="AW507" s="618">
        <v>1921202.882752595</v>
      </c>
      <c r="AX507" s="618">
        <v>1943430.0528856572</v>
      </c>
      <c r="AY507" s="618">
        <v>1945691.3329719226</v>
      </c>
      <c r="AZ507" s="618">
        <v>1981283.0106861927</v>
      </c>
      <c r="BA507" s="618">
        <v>2024300.0338840578</v>
      </c>
      <c r="BB507" s="618">
        <v>2096863.6456131553</v>
      </c>
    </row>
    <row r="508" spans="4:54" s="422" customFormat="1" x14ac:dyDescent="0.2">
      <c r="E508" s="674" t="s">
        <v>552</v>
      </c>
      <c r="AS508" s="618">
        <v>369987.60953718337</v>
      </c>
      <c r="AT508" s="618">
        <v>397240.07002202398</v>
      </c>
      <c r="AU508" s="618">
        <v>422634.57602974144</v>
      </c>
      <c r="AV508" s="618">
        <v>437658.11244510877</v>
      </c>
      <c r="AW508" s="618">
        <v>460476.47008122393</v>
      </c>
      <c r="AX508" s="618">
        <v>476226.3424635905</v>
      </c>
      <c r="AY508" s="618">
        <v>492151.22531480202</v>
      </c>
      <c r="AZ508" s="618">
        <v>509249.12986278301</v>
      </c>
      <c r="BA508" s="618">
        <v>533432.67823208752</v>
      </c>
      <c r="BB508" s="618">
        <v>560633.95900720917</v>
      </c>
    </row>
    <row r="509" spans="4:54" s="422" customFormat="1" x14ac:dyDescent="0.2">
      <c r="E509" s="674" t="s">
        <v>105</v>
      </c>
      <c r="AS509" s="618">
        <v>399064.16981904447</v>
      </c>
      <c r="AT509" s="618">
        <v>410409.35488925653</v>
      </c>
      <c r="AU509" s="618">
        <v>413991.53040685173</v>
      </c>
      <c r="AV509" s="618">
        <v>443993.6448159499</v>
      </c>
      <c r="AW509" s="618">
        <v>443913.80230132735</v>
      </c>
      <c r="AX509" s="618">
        <v>447942.29297820129</v>
      </c>
      <c r="AY509" s="618">
        <v>460141.95380092226</v>
      </c>
      <c r="AZ509" s="618">
        <v>473431.61713865382</v>
      </c>
      <c r="BA509" s="618">
        <v>499373.49051400408</v>
      </c>
      <c r="BB509" s="618">
        <v>509362.40524891205</v>
      </c>
    </row>
    <row r="510" spans="4:54" s="422" customFormat="1" x14ac:dyDescent="0.2">
      <c r="E510" s="675" t="s">
        <v>279</v>
      </c>
      <c r="AS510" s="673">
        <f>SUM(AS511:AS515)</f>
        <v>4279068.5737856608</v>
      </c>
      <c r="AT510" s="673">
        <f t="shared" ref="AT510:BB510" si="981">SUM(AT511:AT515)</f>
        <v>4501584.3986193715</v>
      </c>
      <c r="AU510" s="673">
        <f t="shared" si="981"/>
        <v>5007430.946202795</v>
      </c>
      <c r="AV510" s="673">
        <f t="shared" si="981"/>
        <v>5324353.0395261105</v>
      </c>
      <c r="AW510" s="673">
        <f t="shared" si="981"/>
        <v>5529338.6437378367</v>
      </c>
      <c r="AX510" s="673">
        <f t="shared" si="981"/>
        <v>6035420.2014382035</v>
      </c>
      <c r="AY510" s="673">
        <f t="shared" si="981"/>
        <v>6711901.0837752707</v>
      </c>
      <c r="AZ510" s="673">
        <f t="shared" si="981"/>
        <v>6990448.1311412752</v>
      </c>
      <c r="BA510" s="673">
        <f t="shared" si="981"/>
        <v>7618426.3015760258</v>
      </c>
      <c r="BB510" s="673">
        <f t="shared" si="981"/>
        <v>8443743.6365718376</v>
      </c>
    </row>
    <row r="511" spans="4:54" s="422" customFormat="1" x14ac:dyDescent="0.2">
      <c r="E511" s="618" t="s">
        <v>39</v>
      </c>
      <c r="AS511" s="618">
        <v>991891.12433049618</v>
      </c>
      <c r="AT511" s="618">
        <v>856307.11835572217</v>
      </c>
      <c r="AU511" s="618">
        <v>935411.88712492958</v>
      </c>
      <c r="AV511" s="618">
        <v>843948.68445934507</v>
      </c>
      <c r="AW511" s="618">
        <v>1001652.6012013877</v>
      </c>
      <c r="AX511" s="618">
        <v>1074285.1185461956</v>
      </c>
      <c r="AY511" s="618">
        <v>1141798.2301484323</v>
      </c>
      <c r="AZ511" s="618">
        <v>1217822.9600140383</v>
      </c>
      <c r="BA511" s="618">
        <v>1264844.8330812729</v>
      </c>
      <c r="BB511" s="618">
        <v>1383349.161918394</v>
      </c>
    </row>
    <row r="512" spans="4:54" s="422" customFormat="1" x14ac:dyDescent="0.2">
      <c r="E512" s="618" t="s">
        <v>40</v>
      </c>
      <c r="AS512" s="618">
        <v>1554874.2770014815</v>
      </c>
      <c r="AT512" s="618">
        <v>1686027.2406224217</v>
      </c>
      <c r="AU512" s="618">
        <v>1880031.9211990349</v>
      </c>
      <c r="AV512" s="618">
        <v>2094035.3977279672</v>
      </c>
      <c r="AW512" s="618">
        <v>2192207.2163907746</v>
      </c>
      <c r="AX512" s="618">
        <v>2388391.0298708323</v>
      </c>
      <c r="AY512" s="618">
        <v>2554119.3292708416</v>
      </c>
      <c r="AZ512" s="618">
        <v>2659199.5210262612</v>
      </c>
      <c r="BA512" s="618">
        <v>2831399.8616866916</v>
      </c>
      <c r="BB512" s="618">
        <v>3024322.655011544</v>
      </c>
    </row>
    <row r="513" spans="5:56" s="422" customFormat="1" x14ac:dyDescent="0.2">
      <c r="E513" s="618" t="s">
        <v>561</v>
      </c>
      <c r="AS513" s="618">
        <v>214651.3594271022</v>
      </c>
      <c r="AT513" s="618">
        <v>195941.56348287157</v>
      </c>
      <c r="AU513" s="618">
        <v>232622.25761181337</v>
      </c>
      <c r="AV513" s="618">
        <v>251360.65985662665</v>
      </c>
      <c r="AW513" s="618">
        <v>262099.54699187938</v>
      </c>
      <c r="AX513" s="618">
        <v>297237.75093667454</v>
      </c>
      <c r="AY513" s="618">
        <v>284393.61640384153</v>
      </c>
      <c r="AZ513" s="618">
        <v>293803.56966197531</v>
      </c>
      <c r="BA513" s="618">
        <v>332080.05353235267</v>
      </c>
      <c r="BB513" s="618">
        <v>363109.52000221278</v>
      </c>
    </row>
    <row r="514" spans="5:56" s="422" customFormat="1" x14ac:dyDescent="0.2">
      <c r="E514" s="618" t="s">
        <v>563</v>
      </c>
      <c r="AS514" s="618">
        <v>174174.92102519196</v>
      </c>
      <c r="AT514" s="618">
        <v>179545.86466177297</v>
      </c>
      <c r="AU514" s="618">
        <v>168253.382175798</v>
      </c>
      <c r="AV514" s="618">
        <v>172170.76122135826</v>
      </c>
      <c r="AW514" s="618">
        <v>177850.94197892252</v>
      </c>
      <c r="AX514" s="618">
        <v>184335.50776641496</v>
      </c>
      <c r="AY514" s="618">
        <v>182034.83876277483</v>
      </c>
      <c r="AZ514" s="618">
        <v>187185.07193774544</v>
      </c>
      <c r="BA514" s="618">
        <v>192154.76572858362</v>
      </c>
      <c r="BB514" s="618">
        <v>199328.56720139366</v>
      </c>
    </row>
    <row r="515" spans="5:56" s="422" customFormat="1" x14ac:dyDescent="0.2">
      <c r="E515" s="618" t="s">
        <v>109</v>
      </c>
      <c r="AS515" s="618">
        <v>1343476.8920013891</v>
      </c>
      <c r="AT515" s="618">
        <v>1583762.6114965829</v>
      </c>
      <c r="AU515" s="618">
        <v>1791111.498091219</v>
      </c>
      <c r="AV515" s="618">
        <v>1962837.5362608139</v>
      </c>
      <c r="AW515" s="618">
        <v>1895528.3371748724</v>
      </c>
      <c r="AX515" s="618">
        <v>2091170.7943180869</v>
      </c>
      <c r="AY515" s="618">
        <v>2549555.0691893809</v>
      </c>
      <c r="AZ515" s="618">
        <v>2632437.0085012545</v>
      </c>
      <c r="BA515" s="618">
        <v>2997946.7875471245</v>
      </c>
      <c r="BB515" s="618">
        <v>3473633.7324382933</v>
      </c>
    </row>
    <row r="516" spans="5:56" s="422" customFormat="1" x14ac:dyDescent="0.2">
      <c r="E516" s="673" t="s">
        <v>110</v>
      </c>
      <c r="AS516" s="673">
        <f>SUM(AS517:AS530)</f>
        <v>10948210.874655209</v>
      </c>
      <c r="AT516" s="673">
        <f t="shared" ref="AT516:BB516" si="982">SUM(AT517:AT530)</f>
        <v>11612282.91353089</v>
      </c>
      <c r="AU516" s="673">
        <f t="shared" si="982"/>
        <v>12601921.228696372</v>
      </c>
      <c r="AV516" s="673">
        <f t="shared" si="982"/>
        <v>13134683.689888727</v>
      </c>
      <c r="AW516" s="673">
        <f t="shared" si="982"/>
        <v>13898832.994004812</v>
      </c>
      <c r="AX516" s="673">
        <f t="shared" si="982"/>
        <v>14985843.112385029</v>
      </c>
      <c r="AY516" s="673">
        <f t="shared" si="982"/>
        <v>16250383.1281664</v>
      </c>
      <c r="AZ516" s="673">
        <f t="shared" si="982"/>
        <v>17429639.359730747</v>
      </c>
      <c r="BA516" s="673">
        <f t="shared" si="982"/>
        <v>18676000.296276979</v>
      </c>
      <c r="BB516" s="673">
        <f t="shared" si="982"/>
        <v>20026988.56356563</v>
      </c>
    </row>
    <row r="517" spans="5:56" s="422" customFormat="1" x14ac:dyDescent="0.2">
      <c r="E517" s="618" t="s">
        <v>566</v>
      </c>
      <c r="AS517" s="618">
        <v>2140836.8274748339</v>
      </c>
      <c r="AT517" s="618">
        <v>2343062.360748528</v>
      </c>
      <c r="AU517" s="618">
        <v>2645346.716716534</v>
      </c>
      <c r="AV517" s="618">
        <v>2817145.5446137651</v>
      </c>
      <c r="AW517" s="618">
        <v>2893443.9593680045</v>
      </c>
      <c r="AX517" s="618">
        <v>3181782.8010340589</v>
      </c>
      <c r="AY517" s="618">
        <v>3541264.8949456131</v>
      </c>
      <c r="AZ517" s="618">
        <v>3675197.0695306077</v>
      </c>
      <c r="BA517" s="618">
        <v>3839851.5216027703</v>
      </c>
      <c r="BB517" s="618">
        <v>4223836.6737630479</v>
      </c>
      <c r="BC517" s="434"/>
      <c r="BD517" s="434"/>
    </row>
    <row r="518" spans="5:56" s="422" customFormat="1" x14ac:dyDescent="0.2">
      <c r="E518" s="618" t="s">
        <v>568</v>
      </c>
      <c r="AS518" s="618">
        <v>1412912.9592578681</v>
      </c>
      <c r="AT518" s="618">
        <v>1541551.1751256331</v>
      </c>
      <c r="AU518" s="618">
        <v>1572853.6242617252</v>
      </c>
      <c r="AV518" s="618">
        <v>1601241.734113853</v>
      </c>
      <c r="AW518" s="618">
        <v>1712475.2788140327</v>
      </c>
      <c r="AX518" s="618">
        <v>1896112.4106944602</v>
      </c>
      <c r="AY518" s="618">
        <v>1980177.0703900917</v>
      </c>
      <c r="AZ518" s="618">
        <v>2062518.2660844061</v>
      </c>
      <c r="BA518" s="618">
        <v>2314221.4288622029</v>
      </c>
      <c r="BB518" s="618">
        <v>2603499.1074699783</v>
      </c>
      <c r="BC518" s="434"/>
      <c r="BD518" s="434"/>
    </row>
    <row r="519" spans="5:56" s="422" customFormat="1" x14ac:dyDescent="0.2">
      <c r="E519" s="618" t="s">
        <v>570</v>
      </c>
      <c r="AS519" s="618">
        <v>445820.75443987269</v>
      </c>
      <c r="AT519" s="618">
        <v>461199.12884968286</v>
      </c>
      <c r="AU519" s="618">
        <v>481997.29533795465</v>
      </c>
      <c r="AV519" s="618">
        <v>497897.24142613262</v>
      </c>
      <c r="AW519" s="618">
        <v>502992.18943026918</v>
      </c>
      <c r="AX519" s="618">
        <v>521539.97158963094</v>
      </c>
      <c r="AY519" s="618">
        <v>543172.7963331244</v>
      </c>
      <c r="AZ519" s="618">
        <v>579597.88105186797</v>
      </c>
      <c r="BA519" s="618">
        <v>595724.34591195208</v>
      </c>
      <c r="BB519" s="618">
        <v>609111.04012223636</v>
      </c>
      <c r="BC519" s="434"/>
      <c r="BD519" s="434"/>
    </row>
    <row r="520" spans="5:56" s="422" customFormat="1" x14ac:dyDescent="0.2">
      <c r="E520" s="618" t="s">
        <v>572</v>
      </c>
      <c r="AS520" s="618">
        <v>499923.05749093357</v>
      </c>
      <c r="AT520" s="618">
        <v>522574.82210234273</v>
      </c>
      <c r="AU520" s="618">
        <v>615065.84896873357</v>
      </c>
      <c r="AV520" s="618">
        <v>688106.13820811245</v>
      </c>
      <c r="AW520" s="618">
        <v>871411.27317828906</v>
      </c>
      <c r="AX520" s="618">
        <v>1084423.3761057518</v>
      </c>
      <c r="AY520" s="618">
        <v>1177462.0344943751</v>
      </c>
      <c r="AZ520" s="618">
        <v>1439325.7399417178</v>
      </c>
      <c r="BA520" s="618">
        <v>1631262.5448345705</v>
      </c>
      <c r="BB520" s="618">
        <v>1762115.7794657636</v>
      </c>
      <c r="BC520" s="434"/>
      <c r="BD520" s="434"/>
    </row>
    <row r="521" spans="5:56" s="422" customFormat="1" x14ac:dyDescent="0.2">
      <c r="E521" s="618" t="s">
        <v>574</v>
      </c>
      <c r="AS521" s="618">
        <v>521422.79913254338</v>
      </c>
      <c r="AT521" s="618">
        <v>621070.74694750435</v>
      </c>
      <c r="AU521" s="618">
        <v>756074.80489759182</v>
      </c>
      <c r="AV521" s="618">
        <v>898007.14496351313</v>
      </c>
      <c r="AW521" s="618">
        <v>1062921.3283257999</v>
      </c>
      <c r="AX521" s="618">
        <v>1197164.3916361993</v>
      </c>
      <c r="AY521" s="618">
        <v>1374536.5018792348</v>
      </c>
      <c r="AZ521" s="618">
        <v>1445139.6327501205</v>
      </c>
      <c r="BA521" s="618">
        <v>1534231.4820083363</v>
      </c>
      <c r="BB521" s="618">
        <v>1699699.9657169282</v>
      </c>
      <c r="BC521" s="434"/>
      <c r="BD521" s="434"/>
    </row>
    <row r="522" spans="5:56" s="422" customFormat="1" x14ac:dyDescent="0.2">
      <c r="E522" s="618" t="s">
        <v>338</v>
      </c>
      <c r="AS522" s="618">
        <v>1461306.5126722066</v>
      </c>
      <c r="AT522" s="618">
        <v>1485183.5398869247</v>
      </c>
      <c r="AU522" s="618">
        <v>1510691.8945905743</v>
      </c>
      <c r="AV522" s="618">
        <v>1537594.549471597</v>
      </c>
      <c r="AW522" s="618">
        <v>1566192.077625413</v>
      </c>
      <c r="AX522" s="618">
        <v>1596582.0688941651</v>
      </c>
      <c r="AY522" s="618">
        <v>1628811.4690395982</v>
      </c>
      <c r="AZ522" s="618">
        <v>1662929.7962645586</v>
      </c>
      <c r="BA522" s="618">
        <v>1698989.2176041587</v>
      </c>
      <c r="BB522" s="618">
        <v>1737044.6292020765</v>
      </c>
      <c r="BC522" s="434"/>
      <c r="BD522" s="434"/>
    </row>
    <row r="523" spans="5:56" s="422" customFormat="1" x14ac:dyDescent="0.2">
      <c r="E523" s="618" t="s">
        <v>577</v>
      </c>
      <c r="AS523" s="618">
        <v>255206.9248822823</v>
      </c>
      <c r="AT523" s="618">
        <v>284160.9370157817</v>
      </c>
      <c r="AU523" s="618">
        <v>318676.57403960091</v>
      </c>
      <c r="AV523" s="618">
        <v>416091.11136799096</v>
      </c>
      <c r="AW523" s="618">
        <v>481736.63858332142</v>
      </c>
      <c r="AX523" s="618">
        <v>625809.56849094923</v>
      </c>
      <c r="AY523" s="618">
        <v>655946.87058480515</v>
      </c>
      <c r="AZ523" s="618">
        <v>617853.47555578733</v>
      </c>
      <c r="BA523" s="618">
        <v>651358.4139753629</v>
      </c>
      <c r="BB523" s="618">
        <v>654929.91572088841</v>
      </c>
      <c r="BC523" s="434"/>
      <c r="BD523" s="434"/>
    </row>
    <row r="524" spans="5:56" s="422" customFormat="1" x14ac:dyDescent="0.2">
      <c r="E524" s="618" t="s">
        <v>579</v>
      </c>
      <c r="AS524" s="618">
        <v>738085.01188533031</v>
      </c>
      <c r="AT524" s="618">
        <v>777070.29823709175</v>
      </c>
      <c r="AU524" s="618">
        <v>793109.75349054649</v>
      </c>
      <c r="AV524" s="618">
        <v>778586.39867947926</v>
      </c>
      <c r="AW524" s="618">
        <v>781579.47852389328</v>
      </c>
      <c r="AX524" s="618">
        <v>849168.0687246673</v>
      </c>
      <c r="AY524" s="618">
        <v>892397.16212873068</v>
      </c>
      <c r="AZ524" s="618">
        <v>1104371.6855108382</v>
      </c>
      <c r="BA524" s="618">
        <v>1239494.9240595205</v>
      </c>
      <c r="BB524" s="618">
        <v>1313617.9201920258</v>
      </c>
      <c r="BC524" s="434"/>
      <c r="BD524" s="434"/>
    </row>
    <row r="525" spans="5:56" s="422" customFormat="1" x14ac:dyDescent="0.2">
      <c r="E525" s="618" t="s">
        <v>581</v>
      </c>
      <c r="AS525" s="618">
        <v>2004798.8714065596</v>
      </c>
      <c r="AT525" s="618">
        <v>1998309.4817219859</v>
      </c>
      <c r="AU525" s="618">
        <v>2179163.9822293893</v>
      </c>
      <c r="AV525" s="618">
        <v>2042643.4309515727</v>
      </c>
      <c r="AW525" s="618">
        <v>2027531.6563318006</v>
      </c>
      <c r="AX525" s="618">
        <v>1926208.6495918948</v>
      </c>
      <c r="AY525" s="618">
        <v>2231564.4767697779</v>
      </c>
      <c r="AZ525" s="618">
        <v>2435459.4710573023</v>
      </c>
      <c r="BA525" s="618">
        <v>2625280.476007578</v>
      </c>
      <c r="BB525" s="618">
        <v>2728182.5456196708</v>
      </c>
      <c r="BC525" s="434"/>
      <c r="BD525" s="434"/>
    </row>
    <row r="526" spans="5:56" s="422" customFormat="1" x14ac:dyDescent="0.2">
      <c r="E526" s="618" t="s">
        <v>118</v>
      </c>
      <c r="AS526" s="618">
        <v>697902.35257365205</v>
      </c>
      <c r="AT526" s="618">
        <v>751688.80628483847</v>
      </c>
      <c r="AU526" s="618">
        <v>851207.76964945532</v>
      </c>
      <c r="AV526" s="618">
        <v>932428.93708845251</v>
      </c>
      <c r="AW526" s="618">
        <v>1017817.5824787783</v>
      </c>
      <c r="AX526" s="618">
        <v>1082540.436454871</v>
      </c>
      <c r="AY526" s="618">
        <v>1143384.9484406824</v>
      </c>
      <c r="AZ526" s="618">
        <v>1228099.2681457116</v>
      </c>
      <c r="BA526" s="618">
        <v>1280672.954694374</v>
      </c>
      <c r="BB526" s="618">
        <v>1341506.5780885033</v>
      </c>
      <c r="BC526" s="434"/>
      <c r="BD526" s="434"/>
    </row>
    <row r="527" spans="5:56" s="422" customFormat="1" x14ac:dyDescent="0.2">
      <c r="E527" s="618" t="s">
        <v>584</v>
      </c>
      <c r="AS527" s="618">
        <v>372635.44586205552</v>
      </c>
      <c r="AT527" s="618">
        <v>409553.26385886106</v>
      </c>
      <c r="AU527" s="618">
        <v>438415.08685885917</v>
      </c>
      <c r="AV527" s="618">
        <v>462619.867947847</v>
      </c>
      <c r="AW527" s="618">
        <v>497046.8960112381</v>
      </c>
      <c r="AX527" s="618">
        <v>513695.85908402142</v>
      </c>
      <c r="AY527" s="618">
        <v>541093.01881659543</v>
      </c>
      <c r="AZ527" s="618">
        <v>602631.55471000075</v>
      </c>
      <c r="BA527" s="618">
        <v>655861.21559613047</v>
      </c>
      <c r="BB527" s="618">
        <v>709309.80237944901</v>
      </c>
      <c r="BC527" s="434"/>
      <c r="BD527" s="434"/>
    </row>
    <row r="528" spans="5:56" s="422" customFormat="1" x14ac:dyDescent="0.2">
      <c r="E528" s="618" t="s">
        <v>586</v>
      </c>
      <c r="AS528" s="618">
        <v>80841.09914832405</v>
      </c>
      <c r="AT528" s="618">
        <v>85151.033572284301</v>
      </c>
      <c r="AU528" s="618">
        <v>91526.589666776883</v>
      </c>
      <c r="AV528" s="618">
        <v>97422.028405184465</v>
      </c>
      <c r="AW528" s="618">
        <v>100380.55610695429</v>
      </c>
      <c r="AX528" s="618">
        <v>107673.70217989765</v>
      </c>
      <c r="AY528" s="618">
        <v>116005.31417111316</v>
      </c>
      <c r="AZ528" s="618">
        <v>128764.29340132937</v>
      </c>
      <c r="BA528" s="618">
        <v>136161.62294989399</v>
      </c>
      <c r="BB528" s="618">
        <v>143932.57795019189</v>
      </c>
      <c r="BC528" s="434"/>
      <c r="BD528" s="434"/>
    </row>
    <row r="529" spans="5:56" s="422" customFormat="1" x14ac:dyDescent="0.2">
      <c r="E529" s="618" t="s">
        <v>588</v>
      </c>
      <c r="AS529" s="618">
        <v>228008.52612904055</v>
      </c>
      <c r="AT529" s="618">
        <v>240788.02891969765</v>
      </c>
      <c r="AU529" s="618">
        <v>254462.43976887089</v>
      </c>
      <c r="AV529" s="618">
        <v>269097.29797071515</v>
      </c>
      <c r="AW529" s="618">
        <v>284962.84719656449</v>
      </c>
      <c r="AX529" s="618">
        <v>302194.32039443887</v>
      </c>
      <c r="AY529" s="618">
        <v>320943.75577238656</v>
      </c>
      <c r="AZ529" s="618">
        <v>341382.18248341948</v>
      </c>
      <c r="BA529" s="618">
        <v>363702.09507650032</v>
      </c>
      <c r="BB529" s="618">
        <v>388120.25506874395</v>
      </c>
      <c r="BC529" s="434"/>
      <c r="BD529" s="434"/>
    </row>
    <row r="530" spans="5:56" s="422" customFormat="1" x14ac:dyDescent="0.2">
      <c r="E530" s="618" t="s">
        <v>590</v>
      </c>
      <c r="AS530" s="618">
        <v>88509.732299707888</v>
      </c>
      <c r="AT530" s="618">
        <v>90919.290259734626</v>
      </c>
      <c r="AU530" s="618">
        <v>93328.848219761363</v>
      </c>
      <c r="AV530" s="618">
        <v>95802.26468051046</v>
      </c>
      <c r="AW530" s="618">
        <v>98341.232030454063</v>
      </c>
      <c r="AX530" s="618">
        <v>100947.48751002151</v>
      </c>
      <c r="AY530" s="618">
        <v>103622.81440027324</v>
      </c>
      <c r="AZ530" s="618">
        <v>106369.04324307723</v>
      </c>
      <c r="BA530" s="618">
        <v>109188.0530936226</v>
      </c>
      <c r="BB530" s="618">
        <v>112081.77280612761</v>
      </c>
      <c r="BC530" s="434"/>
      <c r="BD530" s="434"/>
    </row>
    <row r="531" spans="5:56" s="422" customFormat="1" x14ac:dyDescent="0.2">
      <c r="E531" s="618" t="s">
        <v>340</v>
      </c>
      <c r="AS531" s="618">
        <v>-240213.24336807526</v>
      </c>
      <c r="AT531" s="618">
        <v>-296430.57689146919</v>
      </c>
      <c r="AU531" s="618">
        <v>-331002.1190424902</v>
      </c>
      <c r="AV531" s="618">
        <v>-353602.19697800302</v>
      </c>
      <c r="AW531" s="618">
        <v>-424176.65348987805</v>
      </c>
      <c r="AX531" s="618">
        <v>-457866.60909714474</v>
      </c>
      <c r="AY531" s="618">
        <v>-561275.42552608182</v>
      </c>
      <c r="AZ531" s="618">
        <v>-568182.92026923015</v>
      </c>
      <c r="BA531" s="618">
        <v>-568579.57033344498</v>
      </c>
      <c r="BB531" s="618">
        <v>-623558.11400647496</v>
      </c>
      <c r="BC531" s="434"/>
      <c r="BD531" s="434"/>
    </row>
    <row r="532" spans="5:56" s="422" customFormat="1" x14ac:dyDescent="0.2">
      <c r="E532" s="1" t="s">
        <v>592</v>
      </c>
      <c r="AS532" s="680">
        <f>AS505+AS510+AS516+AS531</f>
        <v>19407735.774058916</v>
      </c>
      <c r="AT532" s="680">
        <f t="shared" ref="AT532:BB532" si="983">AT505+AT510+AT516+AT531</f>
        <v>20339187.127724294</v>
      </c>
      <c r="AU532" s="680">
        <f t="shared" si="983"/>
        <v>21930402.330185995</v>
      </c>
      <c r="AV532" s="680">
        <f t="shared" si="983"/>
        <v>23096585.256837733</v>
      </c>
      <c r="AW532" s="680">
        <f t="shared" si="983"/>
        <v>24205895.38912525</v>
      </c>
      <c r="AX532" s="680">
        <f t="shared" si="983"/>
        <v>25944250.499509849</v>
      </c>
      <c r="AY532" s="680">
        <f t="shared" si="983"/>
        <v>27882440.226343364</v>
      </c>
      <c r="AZ532" s="680">
        <f t="shared" si="983"/>
        <v>29507524.598741874</v>
      </c>
      <c r="BA532" s="680">
        <f t="shared" si="983"/>
        <v>31610353.463181764</v>
      </c>
      <c r="BB532" s="680">
        <f t="shared" si="983"/>
        <v>33931103.261248186</v>
      </c>
      <c r="BC532" s="434"/>
      <c r="BD532" s="434"/>
    </row>
    <row r="533" spans="5:56" s="422" customFormat="1" x14ac:dyDescent="0.2">
      <c r="E533" s="618" t="s">
        <v>294</v>
      </c>
      <c r="AS533" s="618">
        <v>1343348.1956256926</v>
      </c>
      <c r="AT533" s="618">
        <v>1390010.5330984937</v>
      </c>
      <c r="AU533" s="618">
        <v>1821544.0813679253</v>
      </c>
      <c r="AV533" s="618">
        <v>1909825.1257988934</v>
      </c>
      <c r="AW533" s="618">
        <v>2153391.6122301663</v>
      </c>
      <c r="AX533" s="618">
        <v>2234499.4647098249</v>
      </c>
      <c r="AY533" s="618">
        <v>2505660.7906450545</v>
      </c>
      <c r="AZ533" s="618">
        <v>2515832.8073580987</v>
      </c>
      <c r="BA533" s="618">
        <v>2873500.2424421897</v>
      </c>
      <c r="BB533" s="618">
        <v>3093938.7704293737</v>
      </c>
      <c r="BC533" s="434"/>
      <c r="BD533" s="434"/>
    </row>
    <row r="534" spans="5:56" s="422" customFormat="1" x14ac:dyDescent="0.2">
      <c r="E534" s="9" t="s">
        <v>593</v>
      </c>
      <c r="AZ534" s="684"/>
      <c r="BA534" s="684"/>
      <c r="BC534" s="434"/>
      <c r="BD534" s="434"/>
    </row>
    <row r="535" spans="5:56" s="422" customFormat="1" x14ac:dyDescent="0.2">
      <c r="E535" s="197" t="s">
        <v>555</v>
      </c>
      <c r="AS535" s="1">
        <f>AS536+AS541+AS544</f>
        <v>2831160.2932150243</v>
      </c>
      <c r="AT535" s="1">
        <f t="shared" ref="AT535:BB535" si="984">AT536+AT541+AT544</f>
        <v>2952113.8382887151</v>
      </c>
      <c r="AU535" s="1">
        <f t="shared" si="984"/>
        <v>3018485.3882389716</v>
      </c>
      <c r="AV535" s="1">
        <f t="shared" si="984"/>
        <v>3254223.1087178052</v>
      </c>
      <c r="AW535" s="1">
        <f t="shared" si="984"/>
        <v>3422431.6139028892</v>
      </c>
      <c r="AX535" s="1">
        <f t="shared" si="984"/>
        <v>3496754.2108924175</v>
      </c>
      <c r="AY535" s="1">
        <f t="shared" si="984"/>
        <v>3791195.784194211</v>
      </c>
      <c r="AZ535" s="1">
        <f t="shared" si="984"/>
        <v>3913101.6991317952</v>
      </c>
      <c r="BA535" s="1">
        <f t="shared" si="984"/>
        <v>4062691.9971546959</v>
      </c>
      <c r="BB535" s="1">
        <f t="shared" si="984"/>
        <v>4206321.831378757</v>
      </c>
      <c r="BC535" s="434"/>
      <c r="BD535" s="434"/>
    </row>
    <row r="536" spans="5:56" s="422" customFormat="1" x14ac:dyDescent="0.2">
      <c r="E536" s="673" t="s">
        <v>557</v>
      </c>
      <c r="AS536" s="679">
        <f>SUM(AS537:AS540)</f>
        <v>2433771.3196030054</v>
      </c>
      <c r="AT536" s="679">
        <f t="shared" ref="AT536:BB536" si="985">SUM(AT537:AT540)</f>
        <v>2493786.1877478003</v>
      </c>
      <c r="AU536" s="679">
        <f t="shared" si="985"/>
        <v>2529304.3722779984</v>
      </c>
      <c r="AV536" s="679">
        <f t="shared" si="985"/>
        <v>2728882.5970042185</v>
      </c>
      <c r="AW536" s="679">
        <f t="shared" si="985"/>
        <v>2911849.9385532388</v>
      </c>
      <c r="AX536" s="679">
        <f t="shared" si="985"/>
        <v>2951582.211547513</v>
      </c>
      <c r="AY536" s="679">
        <f t="shared" si="985"/>
        <v>3140397.9322264236</v>
      </c>
      <c r="AZ536" s="679">
        <f t="shared" si="985"/>
        <v>3246297.1747711161</v>
      </c>
      <c r="BA536" s="679">
        <f t="shared" si="985"/>
        <v>3302224.1219701106</v>
      </c>
      <c r="BB536" s="679">
        <f t="shared" si="985"/>
        <v>3413539.0498474492</v>
      </c>
      <c r="BC536" s="434"/>
      <c r="BD536" s="434"/>
    </row>
    <row r="537" spans="5:56" s="422" customFormat="1" x14ac:dyDescent="0.2">
      <c r="E537" s="674" t="s">
        <v>102</v>
      </c>
      <c r="AS537" s="618">
        <v>1512015.8542996037</v>
      </c>
      <c r="AT537" s="618">
        <v>1504478.348704488</v>
      </c>
      <c r="AU537" s="618">
        <v>1484028.9426367902</v>
      </c>
      <c r="AV537" s="618">
        <v>1599852.387061683</v>
      </c>
      <c r="AW537" s="618">
        <v>1722443.1812406913</v>
      </c>
      <c r="AX537" s="618">
        <v>1735187.7872295531</v>
      </c>
      <c r="AY537" s="618">
        <v>1870771.9132635409</v>
      </c>
      <c r="AZ537" s="618">
        <v>1949130.4027407053</v>
      </c>
      <c r="BA537" s="618">
        <v>1974382.9749223378</v>
      </c>
      <c r="BB537" s="618">
        <v>2076785.3710246515</v>
      </c>
      <c r="BC537" s="434"/>
      <c r="BD537" s="434"/>
    </row>
    <row r="538" spans="5:56" s="422" customFormat="1" x14ac:dyDescent="0.2">
      <c r="E538" s="674" t="s">
        <v>103</v>
      </c>
      <c r="AS538" s="618">
        <v>718970.77057471673</v>
      </c>
      <c r="AT538" s="618">
        <v>772057.00615840661</v>
      </c>
      <c r="AU538" s="618">
        <v>817368.27392956812</v>
      </c>
      <c r="AV538" s="618">
        <v>891258.36575402296</v>
      </c>
      <c r="AW538" s="618">
        <v>938462.3132039035</v>
      </c>
      <c r="AX538" s="618">
        <v>957211.81709293567</v>
      </c>
      <c r="AY538" s="618">
        <v>1002325.8381976573</v>
      </c>
      <c r="AZ538" s="618">
        <v>1020660.944898948</v>
      </c>
      <c r="BA538" s="618">
        <v>1038181.1066364534</v>
      </c>
      <c r="BB538" s="618">
        <v>1032783.5866452856</v>
      </c>
      <c r="BC538" s="434"/>
      <c r="BD538" s="434"/>
    </row>
    <row r="539" spans="5:56" s="422" customFormat="1" x14ac:dyDescent="0.2">
      <c r="E539" s="674" t="s">
        <v>552</v>
      </c>
      <c r="AS539" s="618">
        <v>192391.92154085165</v>
      </c>
      <c r="AT539" s="618">
        <v>206563.86455409144</v>
      </c>
      <c r="AU539" s="618">
        <v>217127.10049889071</v>
      </c>
      <c r="AV539" s="618">
        <v>226210.45146614203</v>
      </c>
      <c r="AW539" s="618">
        <v>237215.15125396388</v>
      </c>
      <c r="AX539" s="618">
        <v>245328.72187518299</v>
      </c>
      <c r="AY539" s="618">
        <v>253532.44940459498</v>
      </c>
      <c r="AZ539" s="618">
        <v>262340.46083840344</v>
      </c>
      <c r="BA539" s="618">
        <v>274798.65242259059</v>
      </c>
      <c r="BB539" s="618">
        <v>288811.43342795625</v>
      </c>
      <c r="BC539" s="434"/>
      <c r="BD539" s="434"/>
    </row>
    <row r="540" spans="5:56" s="422" customFormat="1" x14ac:dyDescent="0.2">
      <c r="E540" s="674" t="s">
        <v>105</v>
      </c>
      <c r="AS540" s="618">
        <v>10392.773187833467</v>
      </c>
      <c r="AT540" s="618">
        <v>10686.968330813954</v>
      </c>
      <c r="AU540" s="618">
        <v>10780.055212749578</v>
      </c>
      <c r="AV540" s="618">
        <v>11561.392722370441</v>
      </c>
      <c r="AW540" s="618">
        <v>13729.292854680227</v>
      </c>
      <c r="AX540" s="618">
        <v>13853.885349841275</v>
      </c>
      <c r="AY540" s="618">
        <v>13767.731360630592</v>
      </c>
      <c r="AZ540" s="618">
        <v>14165.366293059009</v>
      </c>
      <c r="BA540" s="618">
        <v>14861.387988728986</v>
      </c>
      <c r="BB540" s="618">
        <v>15158.658749555718</v>
      </c>
      <c r="BC540" s="434"/>
      <c r="BD540" s="434"/>
    </row>
    <row r="541" spans="5:56" s="422" customFormat="1" x14ac:dyDescent="0.2">
      <c r="E541" s="675" t="s">
        <v>279</v>
      </c>
      <c r="AS541" s="673">
        <f>SUM(AS542:AS543)</f>
        <v>306477.48997654486</v>
      </c>
      <c r="AT541" s="673">
        <f t="shared" ref="AT541:BB541" si="986">SUM(AT542:AT543)</f>
        <v>367628.53526024643</v>
      </c>
      <c r="AU541" s="673">
        <f t="shared" si="986"/>
        <v>398606.66763646458</v>
      </c>
      <c r="AV541" s="673">
        <f t="shared" si="986"/>
        <v>434817.84827087383</v>
      </c>
      <c r="AW541" s="673">
        <f t="shared" si="986"/>
        <v>420023.97446775273</v>
      </c>
      <c r="AX541" s="673">
        <f t="shared" si="986"/>
        <v>454490.1949912454</v>
      </c>
      <c r="AY541" s="673">
        <f t="shared" si="986"/>
        <v>559903.26174215937</v>
      </c>
      <c r="AZ541" s="673">
        <f t="shared" si="986"/>
        <v>575608.75989937433</v>
      </c>
      <c r="BA541" s="673">
        <f t="shared" si="986"/>
        <v>668882.75336333876</v>
      </c>
      <c r="BB541" s="673">
        <f t="shared" si="986"/>
        <v>700720.23637498624</v>
      </c>
      <c r="BC541" s="434"/>
      <c r="BD541" s="434"/>
    </row>
    <row r="542" spans="5:56" s="422" customFormat="1" x14ac:dyDescent="0.2">
      <c r="E542" s="618" t="s">
        <v>563</v>
      </c>
      <c r="AS542" s="618">
        <v>80077.088377140943</v>
      </c>
      <c r="AT542" s="618">
        <v>80216.077347572093</v>
      </c>
      <c r="AU542" s="618">
        <v>72644.469534496136</v>
      </c>
      <c r="AV542" s="618">
        <v>74335.822891262185</v>
      </c>
      <c r="AW542" s="618">
        <v>79904.046396327511</v>
      </c>
      <c r="AX542" s="618">
        <v>79000.931899892123</v>
      </c>
      <c r="AY542" s="618">
        <v>78014.930898332052</v>
      </c>
      <c r="AZ542" s="618">
        <v>80222.173687605187</v>
      </c>
      <c r="BA542" s="618">
        <v>82352.042455107265</v>
      </c>
      <c r="BB542" s="618">
        <v>85426.528800597283</v>
      </c>
      <c r="BC542" s="434"/>
      <c r="BD542" s="434"/>
    </row>
    <row r="543" spans="5:56" s="422" customFormat="1" x14ac:dyDescent="0.2">
      <c r="E543" s="618" t="s">
        <v>109</v>
      </c>
      <c r="AS543" s="681">
        <v>226400.40159940391</v>
      </c>
      <c r="AT543" s="681">
        <v>287412.45791267435</v>
      </c>
      <c r="AU543" s="681">
        <v>325962.19810196845</v>
      </c>
      <c r="AV543" s="681">
        <v>360482.02537961164</v>
      </c>
      <c r="AW543" s="681">
        <v>340119.92807142524</v>
      </c>
      <c r="AX543" s="681">
        <v>375489.26309135329</v>
      </c>
      <c r="AY543" s="681">
        <v>481888.33084382734</v>
      </c>
      <c r="AZ543" s="681">
        <v>495386.5862117692</v>
      </c>
      <c r="BA543" s="681">
        <v>586530.71090823156</v>
      </c>
      <c r="BB543" s="681">
        <v>615293.70757438894</v>
      </c>
      <c r="BC543" s="434"/>
      <c r="BD543" s="434"/>
    </row>
    <row r="544" spans="5:56" s="422" customFormat="1" x14ac:dyDescent="0.2">
      <c r="E544" s="673" t="s">
        <v>110</v>
      </c>
      <c r="AS544" s="682">
        <f>SUM(AS545)</f>
        <v>90911.483635474156</v>
      </c>
      <c r="AT544" s="682">
        <f t="shared" ref="AT544:BB544" si="987">SUM(AT545)</f>
        <v>90699.115280668047</v>
      </c>
      <c r="AU544" s="682">
        <f t="shared" si="987"/>
        <v>90574.348324508988</v>
      </c>
      <c r="AV544" s="682">
        <f t="shared" si="987"/>
        <v>90522.663442712961</v>
      </c>
      <c r="AW544" s="682">
        <f t="shared" si="987"/>
        <v>90557.700881897399</v>
      </c>
      <c r="AX544" s="682">
        <f t="shared" si="987"/>
        <v>90681.804353659099</v>
      </c>
      <c r="AY544" s="682">
        <f t="shared" si="987"/>
        <v>90894.59022562817</v>
      </c>
      <c r="AZ544" s="682">
        <f t="shared" si="987"/>
        <v>91195.764461304963</v>
      </c>
      <c r="BA544" s="682">
        <f t="shared" si="987"/>
        <v>91585.121821246677</v>
      </c>
      <c r="BB544" s="682">
        <f t="shared" si="987"/>
        <v>92062.545156321066</v>
      </c>
      <c r="BC544" s="434"/>
      <c r="BD544" s="434"/>
    </row>
    <row r="545" spans="5:56" s="422" customFormat="1" x14ac:dyDescent="0.2">
      <c r="E545" s="618" t="s">
        <v>338</v>
      </c>
      <c r="AS545" s="681">
        <v>90911.483635474156</v>
      </c>
      <c r="AT545" s="681">
        <v>90699.115280668047</v>
      </c>
      <c r="AU545" s="681">
        <v>90574.348324508988</v>
      </c>
      <c r="AV545" s="681">
        <v>90522.663442712961</v>
      </c>
      <c r="AW545" s="681">
        <v>90557.700881897399</v>
      </c>
      <c r="AX545" s="681">
        <v>90681.804353659099</v>
      </c>
      <c r="AY545" s="681">
        <v>90894.59022562817</v>
      </c>
      <c r="AZ545" s="681">
        <v>91195.764461304963</v>
      </c>
      <c r="BA545" s="681">
        <v>91585.121821246677</v>
      </c>
      <c r="BB545" s="681">
        <v>92062.545156321066</v>
      </c>
      <c r="BC545" s="434"/>
      <c r="BD545" s="434"/>
    </row>
    <row r="546" spans="5:56" s="422" customFormat="1" x14ac:dyDescent="0.2">
      <c r="E546" s="40" t="s">
        <v>165</v>
      </c>
      <c r="AS546" s="683">
        <f>AS504+AS535</f>
        <v>23582244.262899633</v>
      </c>
      <c r="AT546" s="683">
        <f t="shared" ref="AT546:BB546" si="988">AT504+AT535</f>
        <v>24681311.499111503</v>
      </c>
      <c r="AU546" s="683">
        <f t="shared" si="988"/>
        <v>26770431.79979289</v>
      </c>
      <c r="AV546" s="683">
        <f t="shared" si="988"/>
        <v>28260633.491354432</v>
      </c>
      <c r="AW546" s="683">
        <f t="shared" si="988"/>
        <v>29781718.615258306</v>
      </c>
      <c r="AX546" s="683">
        <f t="shared" si="988"/>
        <v>31675504.175112091</v>
      </c>
      <c r="AY546" s="683">
        <f t="shared" si="988"/>
        <v>34179296.801182628</v>
      </c>
      <c r="AZ546" s="683">
        <f t="shared" si="988"/>
        <v>35936459.105231769</v>
      </c>
      <c r="BA546" s="683">
        <f t="shared" si="988"/>
        <v>38546545.702778652</v>
      </c>
      <c r="BB546" s="683">
        <f t="shared" si="988"/>
        <v>41231363.863056317</v>
      </c>
      <c r="BC546" s="434"/>
      <c r="BD546" s="434"/>
    </row>
    <row r="547" spans="5:56" x14ac:dyDescent="0.2">
      <c r="E547" s="422"/>
    </row>
    <row r="548" spans="5:56" ht="20.25" x14ac:dyDescent="0.3">
      <c r="E548" s="541"/>
    </row>
    <row r="550" spans="5:56" x14ac:dyDescent="0.2">
      <c r="E550" s="692" t="s">
        <v>596</v>
      </c>
      <c r="F550" s="422"/>
      <c r="G550" s="422"/>
      <c r="H550" s="422"/>
      <c r="I550" s="422"/>
      <c r="J550" s="422"/>
      <c r="K550" s="422"/>
      <c r="L550" s="422"/>
      <c r="M550" s="422"/>
      <c r="N550" s="422"/>
      <c r="O550" s="422"/>
      <c r="P550" s="422"/>
      <c r="Q550" s="422"/>
      <c r="R550" s="422"/>
      <c r="S550" s="422"/>
      <c r="T550" s="422"/>
      <c r="U550" s="422"/>
      <c r="V550" s="422"/>
      <c r="W550" s="422"/>
      <c r="X550" s="422"/>
      <c r="Y550" s="422"/>
      <c r="Z550" s="422"/>
      <c r="AA550" s="422"/>
      <c r="AB550" s="422"/>
      <c r="AC550" s="422"/>
      <c r="AD550" s="422"/>
      <c r="AE550" s="422"/>
      <c r="AF550" s="422"/>
      <c r="AG550" s="422"/>
      <c r="AH550" s="422"/>
      <c r="AI550" s="422"/>
      <c r="AJ550" s="422"/>
      <c r="AK550" s="422"/>
      <c r="AL550" s="422"/>
      <c r="AM550" s="422"/>
      <c r="AN550" s="422"/>
      <c r="AO550" s="422"/>
      <c r="AP550" s="422"/>
      <c r="AQ550" s="422"/>
      <c r="AR550" s="422"/>
      <c r="AS550" s="422"/>
      <c r="AT550" s="422"/>
      <c r="AU550" s="422"/>
      <c r="AV550" s="422"/>
      <c r="AW550" s="620"/>
      <c r="AX550" s="422"/>
      <c r="AY550" s="422"/>
      <c r="AZ550" s="422"/>
      <c r="BA550" s="422"/>
      <c r="BB550" s="422"/>
    </row>
    <row r="551" spans="5:56" x14ac:dyDescent="0.2">
      <c r="E551" s="693"/>
      <c r="F551" s="422"/>
      <c r="G551" s="422"/>
      <c r="H551" s="422"/>
      <c r="I551" s="422"/>
      <c r="J551" s="422"/>
      <c r="K551" s="422"/>
      <c r="L551" s="422"/>
      <c r="M551" s="422"/>
      <c r="N551" s="422"/>
      <c r="O551" s="422"/>
      <c r="P551" s="422"/>
      <c r="Q551" s="422"/>
      <c r="R551" s="422"/>
      <c r="S551" s="422"/>
      <c r="T551" s="422"/>
      <c r="U551" s="422"/>
      <c r="V551" s="422"/>
      <c r="W551" s="422"/>
      <c r="X551" s="422"/>
      <c r="Y551" s="422"/>
      <c r="Z551" s="422"/>
      <c r="AA551" s="422"/>
      <c r="AB551" s="422"/>
      <c r="AC551" s="422"/>
      <c r="AD551" s="422"/>
      <c r="AE551" s="422"/>
      <c r="AF551" s="422"/>
      <c r="AG551" s="422"/>
      <c r="AH551" s="422"/>
      <c r="AI551" s="422"/>
      <c r="AJ551" s="422"/>
      <c r="AK551" s="422"/>
      <c r="AL551" s="422"/>
      <c r="AM551" s="422"/>
      <c r="AN551" s="422"/>
      <c r="AO551" s="422"/>
      <c r="AP551" s="422"/>
      <c r="AQ551" s="422"/>
      <c r="AR551" s="422"/>
      <c r="AS551" s="694"/>
      <c r="AT551" s="694"/>
      <c r="AU551" s="694"/>
      <c r="AV551" s="694"/>
      <c r="AW551" s="694"/>
      <c r="AX551" s="694"/>
      <c r="AY551" s="695"/>
      <c r="AZ551" s="695"/>
      <c r="BA551" s="695"/>
      <c r="BB551" s="696" t="s">
        <v>597</v>
      </c>
    </row>
    <row r="552" spans="5:56" x14ac:dyDescent="0.2">
      <c r="E552" s="196" t="s">
        <v>162</v>
      </c>
      <c r="F552" s="422"/>
      <c r="G552" s="422"/>
      <c r="H552" s="422"/>
      <c r="I552" s="422"/>
      <c r="J552" s="422"/>
      <c r="K552" s="422"/>
      <c r="L552" s="422"/>
      <c r="M552" s="422"/>
      <c r="N552" s="422"/>
      <c r="O552" s="422"/>
      <c r="P552" s="422"/>
      <c r="Q552" s="422"/>
      <c r="R552" s="422"/>
      <c r="S552" s="422"/>
      <c r="T552" s="422"/>
      <c r="U552" s="422"/>
      <c r="V552" s="422"/>
      <c r="W552" s="422"/>
      <c r="X552" s="422"/>
      <c r="Y552" s="422"/>
      <c r="Z552" s="422"/>
      <c r="AA552" s="422"/>
      <c r="AB552" s="422"/>
      <c r="AC552" s="422"/>
      <c r="AD552" s="422"/>
      <c r="AE552" s="422"/>
      <c r="AF552" s="422"/>
      <c r="AG552" s="422"/>
      <c r="AH552" s="422"/>
      <c r="AI552" s="422"/>
      <c r="AJ552" s="422"/>
      <c r="AK552" s="422"/>
      <c r="AL552" s="422"/>
      <c r="AM552" s="422"/>
      <c r="AN552" s="422"/>
      <c r="AO552" s="422"/>
      <c r="AP552" s="422"/>
      <c r="AQ552" s="422"/>
      <c r="AR552" s="422"/>
      <c r="AS552" s="697">
        <v>2005</v>
      </c>
      <c r="AT552" s="697">
        <v>2006</v>
      </c>
      <c r="AU552" s="697">
        <v>2007</v>
      </c>
      <c r="AV552" s="697">
        <v>2008</v>
      </c>
      <c r="AW552" s="697">
        <v>2009</v>
      </c>
      <c r="AX552" s="697">
        <v>2010</v>
      </c>
      <c r="AY552" s="697">
        <v>2011</v>
      </c>
      <c r="AZ552" s="697">
        <v>2012</v>
      </c>
      <c r="BA552" s="697">
        <v>2013</v>
      </c>
      <c r="BB552" s="697">
        <v>2014</v>
      </c>
    </row>
    <row r="553" spans="5:56" x14ac:dyDescent="0.2">
      <c r="E553" s="202" t="s">
        <v>129</v>
      </c>
      <c r="F553" s="422"/>
      <c r="G553" s="422"/>
      <c r="H553" s="422"/>
      <c r="I553" s="422"/>
      <c r="J553" s="422"/>
      <c r="K553" s="422"/>
      <c r="L553" s="422"/>
      <c r="M553" s="422"/>
      <c r="N553" s="422"/>
      <c r="O553" s="422"/>
      <c r="P553" s="422"/>
      <c r="Q553" s="422"/>
      <c r="R553" s="422"/>
      <c r="S553" s="422"/>
      <c r="T553" s="422"/>
      <c r="U553" s="422"/>
      <c r="V553" s="422"/>
      <c r="W553" s="422"/>
      <c r="X553" s="422"/>
      <c r="Y553" s="422"/>
      <c r="Z553" s="422"/>
      <c r="AA553" s="422"/>
      <c r="AB553" s="422"/>
      <c r="AC553" s="422"/>
      <c r="AD553" s="422"/>
      <c r="AE553" s="422"/>
      <c r="AF553" s="422"/>
      <c r="AG553" s="422"/>
      <c r="AH553" s="422"/>
      <c r="AI553" s="422"/>
      <c r="AJ553" s="422"/>
      <c r="AK553" s="422"/>
      <c r="AL553" s="422"/>
      <c r="AM553" s="422"/>
      <c r="AN553" s="422"/>
      <c r="AO553" s="422"/>
      <c r="AP553" s="422"/>
      <c r="AQ553" s="422"/>
      <c r="AR553" s="422"/>
      <c r="AS553" s="698">
        <f>AS554+AS558+AS561-AS564+AS567</f>
        <v>19112829.589125745</v>
      </c>
      <c r="AT553" s="698">
        <f t="shared" ref="AT553:BB553" si="989">AT554+AT558+AT561-AT564+AT567</f>
        <v>23298435.282849617</v>
      </c>
      <c r="AU553" s="698">
        <f t="shared" si="989"/>
        <v>26770431.799865115</v>
      </c>
      <c r="AV553" s="698">
        <f t="shared" si="989"/>
        <v>32764939.517022502</v>
      </c>
      <c r="AW553" s="698">
        <f t="shared" si="989"/>
        <v>37726823.627807364</v>
      </c>
      <c r="AX553" s="698">
        <f t="shared" si="989"/>
        <v>43836018.049912326</v>
      </c>
      <c r="AY553" s="698">
        <f t="shared" si="989"/>
        <v>52762580.930794634</v>
      </c>
      <c r="AZ553" s="698">
        <f t="shared" si="989"/>
        <v>61434213.909470528</v>
      </c>
      <c r="BA553" s="698">
        <f t="shared" si="989"/>
        <v>70953227.346232057</v>
      </c>
      <c r="BB553" s="698">
        <f t="shared" si="989"/>
        <v>79442498.970628023</v>
      </c>
    </row>
    <row r="554" spans="5:56" x14ac:dyDescent="0.2">
      <c r="E554" s="680" t="s">
        <v>598</v>
      </c>
      <c r="F554" s="422"/>
      <c r="G554" s="422"/>
      <c r="H554" s="422"/>
      <c r="I554" s="422"/>
      <c r="J554" s="422"/>
      <c r="K554" s="422"/>
      <c r="L554" s="422"/>
      <c r="M554" s="422"/>
      <c r="N554" s="422"/>
      <c r="O554" s="422"/>
      <c r="P554" s="422"/>
      <c r="Q554" s="422"/>
      <c r="R554" s="422"/>
      <c r="S554" s="422"/>
      <c r="T554" s="422"/>
      <c r="U554" s="422"/>
      <c r="V554" s="422"/>
      <c r="W554" s="422"/>
      <c r="X554" s="422"/>
      <c r="Y554" s="422"/>
      <c r="Z554" s="422"/>
      <c r="AA554" s="422"/>
      <c r="AB554" s="422"/>
      <c r="AC554" s="422"/>
      <c r="AD554" s="422"/>
      <c r="AE554" s="422"/>
      <c r="AF554" s="422"/>
      <c r="AG554" s="422"/>
      <c r="AH554" s="422"/>
      <c r="AI554" s="422"/>
      <c r="AJ554" s="422"/>
      <c r="AK554" s="422"/>
      <c r="AL554" s="422"/>
      <c r="AM554" s="422"/>
      <c r="AN554" s="422"/>
      <c r="AO554" s="422"/>
      <c r="AP554" s="422"/>
      <c r="AQ554" s="422"/>
      <c r="AR554" s="422"/>
      <c r="AS554" s="698">
        <f>AS555+AS556+AS557</f>
        <v>15661209.185659667</v>
      </c>
      <c r="AT554" s="698">
        <f t="shared" ref="AT554:BB554" si="990">AT555+AT556+AT557</f>
        <v>18705900.086437929</v>
      </c>
      <c r="AU554" s="698">
        <f t="shared" si="990"/>
        <v>21379521.499718376</v>
      </c>
      <c r="AV554" s="698">
        <f t="shared" si="990"/>
        <v>26193621.565974869</v>
      </c>
      <c r="AW554" s="698">
        <f t="shared" si="990"/>
        <v>31537867.919660736</v>
      </c>
      <c r="AX554" s="698">
        <f t="shared" si="990"/>
        <v>35083358.172774866</v>
      </c>
      <c r="AY554" s="698">
        <f t="shared" si="990"/>
        <v>41841724.149771415</v>
      </c>
      <c r="AZ554" s="698">
        <f t="shared" si="990"/>
        <v>49878463.407945141</v>
      </c>
      <c r="BA554" s="698">
        <f t="shared" si="990"/>
        <v>60582187.205874488</v>
      </c>
      <c r="BB554" s="698">
        <f t="shared" si="990"/>
        <v>62223281.119664863</v>
      </c>
    </row>
    <row r="555" spans="5:56" x14ac:dyDescent="0.2">
      <c r="E555" s="699" t="s">
        <v>599</v>
      </c>
      <c r="F555" s="422"/>
      <c r="G555" s="422"/>
      <c r="H555" s="422"/>
      <c r="I555" s="422"/>
      <c r="J555" s="422"/>
      <c r="K555" s="422"/>
      <c r="L555" s="422"/>
      <c r="M555" s="422"/>
      <c r="N555" s="422"/>
      <c r="O555" s="422"/>
      <c r="P555" s="422"/>
      <c r="Q555" s="422"/>
      <c r="R555" s="422"/>
      <c r="S555" s="422"/>
      <c r="T555" s="422"/>
      <c r="U555" s="422"/>
      <c r="V555" s="422"/>
      <c r="W555" s="422"/>
      <c r="X555" s="422"/>
      <c r="Y555" s="422"/>
      <c r="Z555" s="422"/>
      <c r="AA555" s="422"/>
      <c r="AB555" s="422"/>
      <c r="AC555" s="422"/>
      <c r="AD555" s="422"/>
      <c r="AE555" s="422"/>
      <c r="AF555" s="422"/>
      <c r="AG555" s="422"/>
      <c r="AH555" s="422"/>
      <c r="AI555" s="422"/>
      <c r="AJ555" s="422"/>
      <c r="AK555" s="422"/>
      <c r="AL555" s="422"/>
      <c r="AM555" s="422"/>
      <c r="AN555" s="422"/>
      <c r="AO555" s="422"/>
      <c r="AP555" s="422"/>
      <c r="AQ555" s="422"/>
      <c r="AR555" s="422"/>
      <c r="AS555" s="700">
        <v>3245799.514905022</v>
      </c>
      <c r="AT555" s="700">
        <v>4158288.1981867356</v>
      </c>
      <c r="AU555" s="700">
        <v>4968233.729626325</v>
      </c>
      <c r="AV555" s="700">
        <v>5275677.382247352</v>
      </c>
      <c r="AW555" s="700">
        <v>6599152.4266805733</v>
      </c>
      <c r="AX555" s="700">
        <v>6451836.091570491</v>
      </c>
      <c r="AY555" s="700">
        <v>7293791.5194238173</v>
      </c>
      <c r="AZ555" s="700">
        <v>9055182.0907961465</v>
      </c>
      <c r="BA555" s="700">
        <v>11580483.934404923</v>
      </c>
      <c r="BB555" s="700">
        <v>10996640.79879516</v>
      </c>
    </row>
    <row r="556" spans="5:56" x14ac:dyDescent="0.2">
      <c r="E556" s="699" t="s">
        <v>600</v>
      </c>
      <c r="F556" s="422"/>
      <c r="G556" s="422"/>
      <c r="H556" s="422"/>
      <c r="I556" s="422"/>
      <c r="J556" s="422"/>
      <c r="K556" s="422"/>
      <c r="L556" s="422"/>
      <c r="M556" s="422"/>
      <c r="N556" s="422"/>
      <c r="O556" s="422"/>
      <c r="P556" s="422"/>
      <c r="Q556" s="422"/>
      <c r="R556" s="422"/>
      <c r="S556" s="422"/>
      <c r="T556" s="422"/>
      <c r="U556" s="422"/>
      <c r="V556" s="422"/>
      <c r="W556" s="422"/>
      <c r="X556" s="422"/>
      <c r="Y556" s="422"/>
      <c r="Z556" s="422"/>
      <c r="AA556" s="422"/>
      <c r="AB556" s="422"/>
      <c r="AC556" s="422"/>
      <c r="AD556" s="422"/>
      <c r="AE556" s="422"/>
      <c r="AF556" s="422"/>
      <c r="AG556" s="422"/>
      <c r="AH556" s="422"/>
      <c r="AI556" s="422"/>
      <c r="AJ556" s="422"/>
      <c r="AK556" s="422"/>
      <c r="AL556" s="422"/>
      <c r="AM556" s="422"/>
      <c r="AN556" s="422"/>
      <c r="AO556" s="422"/>
      <c r="AP556" s="422"/>
      <c r="AQ556" s="422"/>
      <c r="AR556" s="422"/>
      <c r="AS556" s="700">
        <v>12361917.652941011</v>
      </c>
      <c r="AT556" s="700">
        <v>14480826.654858131</v>
      </c>
      <c r="AU556" s="700">
        <v>16334645.977548283</v>
      </c>
      <c r="AV556" s="700">
        <v>20826214.19327518</v>
      </c>
      <c r="AW556" s="700">
        <v>24829199.901418883</v>
      </c>
      <c r="AX556" s="700">
        <v>28512137.389519166</v>
      </c>
      <c r="AY556" s="700">
        <v>34415268.91819822</v>
      </c>
      <c r="AZ556" s="700">
        <v>40669369.878022328</v>
      </c>
      <c r="BA556" s="700">
        <v>48835596.020488918</v>
      </c>
      <c r="BB556" s="700">
        <v>51037942.932889938</v>
      </c>
    </row>
    <row r="557" spans="5:56" x14ac:dyDescent="0.2">
      <c r="E557" s="701" t="s">
        <v>601</v>
      </c>
      <c r="F557" s="422"/>
      <c r="G557" s="422"/>
      <c r="H557" s="422"/>
      <c r="I557" s="422"/>
      <c r="J557" s="422"/>
      <c r="K557" s="422"/>
      <c r="L557" s="422"/>
      <c r="M557" s="422"/>
      <c r="N557" s="422"/>
      <c r="O557" s="422"/>
      <c r="P557" s="422"/>
      <c r="Q557" s="422"/>
      <c r="R557" s="422"/>
      <c r="S557" s="422"/>
      <c r="T557" s="422"/>
      <c r="U557" s="422"/>
      <c r="V557" s="422"/>
      <c r="W557" s="422"/>
      <c r="X557" s="422"/>
      <c r="Y557" s="422"/>
      <c r="Z557" s="422"/>
      <c r="AA557" s="422"/>
      <c r="AB557" s="422"/>
      <c r="AC557" s="422"/>
      <c r="AD557" s="422"/>
      <c r="AE557" s="422"/>
      <c r="AF557" s="422"/>
      <c r="AG557" s="422"/>
      <c r="AH557" s="422"/>
      <c r="AI557" s="422"/>
      <c r="AJ557" s="422"/>
      <c r="AK557" s="422"/>
      <c r="AL557" s="422"/>
      <c r="AM557" s="422"/>
      <c r="AN557" s="422"/>
      <c r="AO557" s="422"/>
      <c r="AP557" s="422"/>
      <c r="AQ557" s="422"/>
      <c r="AR557" s="422"/>
      <c r="AS557" s="700">
        <v>53492.017813634266</v>
      </c>
      <c r="AT557" s="700">
        <v>66785.233393063405</v>
      </c>
      <c r="AU557" s="700">
        <v>76641.79254377012</v>
      </c>
      <c r="AV557" s="700">
        <v>91729.990452338126</v>
      </c>
      <c r="AW557" s="700">
        <v>109515.59156127948</v>
      </c>
      <c r="AX557" s="700">
        <v>119384.69168521077</v>
      </c>
      <c r="AY557" s="700">
        <v>132663.71214937643</v>
      </c>
      <c r="AZ557" s="700">
        <v>153911.43912667065</v>
      </c>
      <c r="BA557" s="700">
        <v>166107.25098064452</v>
      </c>
      <c r="BB557" s="700">
        <v>188697.38797975887</v>
      </c>
    </row>
    <row r="558" spans="5:56" x14ac:dyDescent="0.2">
      <c r="E558" s="702" t="s">
        <v>602</v>
      </c>
      <c r="F558" s="422"/>
      <c r="G558" s="422"/>
      <c r="H558" s="422"/>
      <c r="I558" s="422"/>
      <c r="J558" s="422"/>
      <c r="K558" s="422"/>
      <c r="L558" s="422"/>
      <c r="M558" s="422"/>
      <c r="N558" s="422"/>
      <c r="O558" s="422"/>
      <c r="P558" s="422"/>
      <c r="Q558" s="422"/>
      <c r="R558" s="422"/>
      <c r="S558" s="422"/>
      <c r="T558" s="422"/>
      <c r="U558" s="422"/>
      <c r="V558" s="422"/>
      <c r="W558" s="422"/>
      <c r="X558" s="422"/>
      <c r="Y558" s="422"/>
      <c r="Z558" s="422"/>
      <c r="AA558" s="422"/>
      <c r="AB558" s="422"/>
      <c r="AC558" s="422"/>
      <c r="AD558" s="422"/>
      <c r="AE558" s="422"/>
      <c r="AF558" s="422"/>
      <c r="AG558" s="422"/>
      <c r="AH558" s="422"/>
      <c r="AI558" s="422"/>
      <c r="AJ558" s="422"/>
      <c r="AK558" s="422"/>
      <c r="AL558" s="422"/>
      <c r="AM558" s="422"/>
      <c r="AN558" s="422"/>
      <c r="AO558" s="422"/>
      <c r="AP558" s="422"/>
      <c r="AQ558" s="422"/>
      <c r="AR558" s="422"/>
      <c r="AS558" s="698">
        <f>AS559+AS560</f>
        <v>4103869.0173123111</v>
      </c>
      <c r="AT558" s="698">
        <f t="shared" ref="AT558:BB558" si="991">AT559+AT560</f>
        <v>6066807.3069654191</v>
      </c>
      <c r="AU558" s="698">
        <f t="shared" si="991"/>
        <v>8793914.9505311772</v>
      </c>
      <c r="AV558" s="698">
        <f t="shared" si="991"/>
        <v>10509733.421773834</v>
      </c>
      <c r="AW558" s="698">
        <f t="shared" si="991"/>
        <v>9478925.323178295</v>
      </c>
      <c r="AX558" s="698">
        <f t="shared" si="991"/>
        <v>11965491.434709204</v>
      </c>
      <c r="AY558" s="698">
        <f t="shared" si="991"/>
        <v>17538474.485191703</v>
      </c>
      <c r="AZ558" s="698">
        <f t="shared" si="991"/>
        <v>17510516.70538066</v>
      </c>
      <c r="BA558" s="698">
        <f t="shared" si="991"/>
        <v>21516065.115675453</v>
      </c>
      <c r="BB558" s="698">
        <f t="shared" si="991"/>
        <v>24624723.985291671</v>
      </c>
    </row>
    <row r="559" spans="5:56" x14ac:dyDescent="0.2">
      <c r="E559" s="701" t="s">
        <v>55</v>
      </c>
      <c r="F559" s="422"/>
      <c r="G559" s="422"/>
      <c r="H559" s="422"/>
      <c r="I559" s="422"/>
      <c r="J559" s="422"/>
      <c r="K559" s="422"/>
      <c r="L559" s="422"/>
      <c r="M559" s="422"/>
      <c r="N559" s="422"/>
      <c r="O559" s="422"/>
      <c r="P559" s="422"/>
      <c r="Q559" s="422"/>
      <c r="R559" s="422"/>
      <c r="S559" s="422"/>
      <c r="T559" s="422"/>
      <c r="U559" s="422"/>
      <c r="V559" s="422"/>
      <c r="W559" s="422"/>
      <c r="X559" s="422"/>
      <c r="Y559" s="422"/>
      <c r="Z559" s="422"/>
      <c r="AA559" s="422"/>
      <c r="AB559" s="422"/>
      <c r="AC559" s="422"/>
      <c r="AD559" s="422"/>
      <c r="AE559" s="422"/>
      <c r="AF559" s="422"/>
      <c r="AG559" s="422"/>
      <c r="AH559" s="422"/>
      <c r="AI559" s="422"/>
      <c r="AJ559" s="422"/>
      <c r="AK559" s="422"/>
      <c r="AL559" s="422"/>
      <c r="AM559" s="422"/>
      <c r="AN559" s="422"/>
      <c r="AO559" s="422"/>
      <c r="AP559" s="422"/>
      <c r="AQ559" s="422"/>
      <c r="AR559" s="422"/>
      <c r="AS559" s="700">
        <v>4807453.5482862145</v>
      </c>
      <c r="AT559" s="700">
        <v>6461393.1144820033</v>
      </c>
      <c r="AU559" s="700">
        <v>8427686.7141737547</v>
      </c>
      <c r="AV559" s="700">
        <v>11030529.171338188</v>
      </c>
      <c r="AW559" s="700">
        <v>10883739.571344491</v>
      </c>
      <c r="AX559" s="700">
        <v>12572205.189984748</v>
      </c>
      <c r="AY559" s="700">
        <v>17324766.727342982</v>
      </c>
      <c r="AZ559" s="700">
        <v>18786138.434352223</v>
      </c>
      <c r="BA559" s="700">
        <v>21625330.824852049</v>
      </c>
      <c r="BB559" s="700">
        <v>25943896.737733245</v>
      </c>
    </row>
    <row r="560" spans="5:56" x14ac:dyDescent="0.2">
      <c r="E560" s="701" t="s">
        <v>170</v>
      </c>
      <c r="F560" s="422"/>
      <c r="G560" s="422"/>
      <c r="H560" s="422"/>
      <c r="I560" s="422"/>
      <c r="J560" s="422"/>
      <c r="K560" s="422"/>
      <c r="L560" s="422"/>
      <c r="M560" s="422"/>
      <c r="N560" s="422"/>
      <c r="O560" s="422"/>
      <c r="P560" s="422"/>
      <c r="Q560" s="422"/>
      <c r="R560" s="422"/>
      <c r="S560" s="422"/>
      <c r="T560" s="422"/>
      <c r="U560" s="422"/>
      <c r="V560" s="422"/>
      <c r="W560" s="422"/>
      <c r="X560" s="422"/>
      <c r="Y560" s="422"/>
      <c r="Z560" s="422"/>
      <c r="AA560" s="422"/>
      <c r="AB560" s="422"/>
      <c r="AC560" s="422"/>
      <c r="AD560" s="422"/>
      <c r="AE560" s="422"/>
      <c r="AF560" s="422"/>
      <c r="AG560" s="422"/>
      <c r="AH560" s="422"/>
      <c r="AI560" s="422"/>
      <c r="AJ560" s="422"/>
      <c r="AK560" s="422"/>
      <c r="AL560" s="422"/>
      <c r="AM560" s="422"/>
      <c r="AN560" s="422"/>
      <c r="AO560" s="422"/>
      <c r="AP560" s="422"/>
      <c r="AQ560" s="422"/>
      <c r="AR560" s="422"/>
      <c r="AS560" s="700">
        <v>-703584.53097390337</v>
      </c>
      <c r="AT560" s="700">
        <v>-394585.80751658435</v>
      </c>
      <c r="AU560" s="700">
        <v>366228.2363574226</v>
      </c>
      <c r="AV560" s="700">
        <v>-520795.7495643539</v>
      </c>
      <c r="AW560" s="700">
        <v>-1404814.2481661953</v>
      </c>
      <c r="AX560" s="700">
        <v>-606713.75527554448</v>
      </c>
      <c r="AY560" s="700">
        <v>213707.75784871954</v>
      </c>
      <c r="AZ560" s="700">
        <v>-1275621.7289715619</v>
      </c>
      <c r="BA560" s="700">
        <v>-109265.70917659585</v>
      </c>
      <c r="BB560" s="700">
        <v>-1319172.7524415741</v>
      </c>
    </row>
    <row r="561" spans="5:54" x14ac:dyDescent="0.2">
      <c r="E561" s="680" t="s">
        <v>171</v>
      </c>
      <c r="F561" s="422"/>
      <c r="G561" s="422"/>
      <c r="H561" s="422"/>
      <c r="I561" s="422"/>
      <c r="J561" s="422"/>
      <c r="K561" s="422"/>
      <c r="L561" s="422"/>
      <c r="M561" s="422"/>
      <c r="N561" s="422"/>
      <c r="O561" s="422"/>
      <c r="P561" s="422"/>
      <c r="Q561" s="422"/>
      <c r="R561" s="422"/>
      <c r="S561" s="422"/>
      <c r="T561" s="422"/>
      <c r="U561" s="422"/>
      <c r="V561" s="422"/>
      <c r="W561" s="422"/>
      <c r="X561" s="422"/>
      <c r="Y561" s="422"/>
      <c r="Z561" s="422"/>
      <c r="AA561" s="422"/>
      <c r="AB561" s="422"/>
      <c r="AC561" s="422"/>
      <c r="AD561" s="422"/>
      <c r="AE561" s="422"/>
      <c r="AF561" s="422"/>
      <c r="AG561" s="422"/>
      <c r="AH561" s="422"/>
      <c r="AI561" s="422"/>
      <c r="AJ561" s="422"/>
      <c r="AK561" s="422"/>
      <c r="AL561" s="422"/>
      <c r="AM561" s="422"/>
      <c r="AN561" s="422"/>
      <c r="AO561" s="422"/>
      <c r="AP561" s="422"/>
      <c r="AQ561" s="422"/>
      <c r="AR561" s="422"/>
      <c r="AS561" s="698">
        <v>3232803.9481996573</v>
      </c>
      <c r="AT561" s="698">
        <v>3984226.7325936183</v>
      </c>
      <c r="AU561" s="698">
        <v>5064728.9209551718</v>
      </c>
      <c r="AV561" s="698">
        <v>6110225.6882450087</v>
      </c>
      <c r="AW561" s="698">
        <v>6554600.2206929391</v>
      </c>
      <c r="AX561" s="698">
        <v>8217681.1058130851</v>
      </c>
      <c r="AY561" s="698">
        <v>10951622.024137288</v>
      </c>
      <c r="AZ561" s="698">
        <v>13076462.790375702</v>
      </c>
      <c r="BA561" s="698">
        <v>12524114.813166816</v>
      </c>
      <c r="BB561" s="698">
        <v>15476677.294996079</v>
      </c>
    </row>
    <row r="562" spans="5:54" x14ac:dyDescent="0.2">
      <c r="E562" s="701" t="s">
        <v>603</v>
      </c>
      <c r="F562" s="422"/>
      <c r="G562" s="422"/>
      <c r="H562" s="422"/>
      <c r="I562" s="422"/>
      <c r="J562" s="422"/>
      <c r="K562" s="422"/>
      <c r="L562" s="422"/>
      <c r="M562" s="422"/>
      <c r="N562" s="422"/>
      <c r="O562" s="422"/>
      <c r="P562" s="422"/>
      <c r="Q562" s="422"/>
      <c r="R562" s="422"/>
      <c r="S562" s="422"/>
      <c r="T562" s="422"/>
      <c r="U562" s="422"/>
      <c r="V562" s="422"/>
      <c r="W562" s="422"/>
      <c r="X562" s="422"/>
      <c r="Y562" s="422"/>
      <c r="Z562" s="422"/>
      <c r="AA562" s="422"/>
      <c r="AB562" s="422"/>
      <c r="AC562" s="422"/>
      <c r="AD562" s="422"/>
      <c r="AE562" s="422"/>
      <c r="AF562" s="422"/>
      <c r="AG562" s="422"/>
      <c r="AH562" s="422"/>
      <c r="AI562" s="422"/>
      <c r="AJ562" s="422"/>
      <c r="AK562" s="422"/>
      <c r="AL562" s="422"/>
      <c r="AM562" s="422"/>
      <c r="AN562" s="422"/>
      <c r="AO562" s="422"/>
      <c r="AP562" s="422"/>
      <c r="AQ562" s="422"/>
      <c r="AR562" s="422"/>
      <c r="AS562" s="700">
        <v>1891704.9999999993</v>
      </c>
      <c r="AT562" s="700">
        <v>2176986.9999999991</v>
      </c>
      <c r="AU562" s="700">
        <v>2691888.5761111169</v>
      </c>
      <c r="AV562" s="700">
        <v>3694631.7815839993</v>
      </c>
      <c r="AW562" s="700">
        <v>4108282.1314789988</v>
      </c>
      <c r="AX562" s="700">
        <v>5343694.2062090002</v>
      </c>
      <c r="AY562" s="700">
        <v>7331020.7524670018</v>
      </c>
      <c r="AZ562" s="700">
        <v>8653331.7736910004</v>
      </c>
      <c r="BA562" s="700">
        <v>7436719.3145257998</v>
      </c>
      <c r="BB562" s="700">
        <v>9424890.1599006988</v>
      </c>
    </row>
    <row r="563" spans="5:54" x14ac:dyDescent="0.2">
      <c r="E563" s="701" t="s">
        <v>604</v>
      </c>
      <c r="F563" s="422"/>
      <c r="G563" s="422"/>
      <c r="H563" s="422"/>
      <c r="I563" s="422"/>
      <c r="J563" s="422"/>
      <c r="K563" s="422"/>
      <c r="L563" s="422"/>
      <c r="M563" s="422"/>
      <c r="N563" s="422"/>
      <c r="O563" s="422"/>
      <c r="P563" s="422"/>
      <c r="Q563" s="422"/>
      <c r="R563" s="422"/>
      <c r="S563" s="422"/>
      <c r="T563" s="422"/>
      <c r="U563" s="422"/>
      <c r="V563" s="422"/>
      <c r="W563" s="422"/>
      <c r="X563" s="422"/>
      <c r="Y563" s="422"/>
      <c r="Z563" s="422"/>
      <c r="AA563" s="422"/>
      <c r="AB563" s="422"/>
      <c r="AC563" s="422"/>
      <c r="AD563" s="422"/>
      <c r="AE563" s="422"/>
      <c r="AF563" s="422"/>
      <c r="AG563" s="422"/>
      <c r="AH563" s="422"/>
      <c r="AI563" s="422"/>
      <c r="AJ563" s="422"/>
      <c r="AK563" s="422"/>
      <c r="AL563" s="422"/>
      <c r="AM563" s="422"/>
      <c r="AN563" s="422"/>
      <c r="AO563" s="422"/>
      <c r="AP563" s="422"/>
      <c r="AQ563" s="422"/>
      <c r="AR563" s="422"/>
      <c r="AS563" s="700">
        <v>1341098.9481996582</v>
      </c>
      <c r="AT563" s="700">
        <v>1807239.7325936188</v>
      </c>
      <c r="AU563" s="700">
        <v>2372840.3448440544</v>
      </c>
      <c r="AV563" s="700">
        <v>2415593.9066610099</v>
      </c>
      <c r="AW563" s="700">
        <v>2446318.0892139389</v>
      </c>
      <c r="AX563" s="700">
        <v>2873986.8996040849</v>
      </c>
      <c r="AY563" s="700">
        <v>3620601.2716702856</v>
      </c>
      <c r="AZ563" s="700">
        <v>4423131.0166846998</v>
      </c>
      <c r="BA563" s="700">
        <v>5087395.4986410178</v>
      </c>
      <c r="BB563" s="700">
        <v>6051787.1350953802</v>
      </c>
    </row>
    <row r="564" spans="5:54" x14ac:dyDescent="0.2">
      <c r="E564" s="680" t="s">
        <v>174</v>
      </c>
      <c r="F564" s="422"/>
      <c r="G564" s="422"/>
      <c r="H564" s="422"/>
      <c r="I564" s="422"/>
      <c r="J564" s="422"/>
      <c r="K564" s="422"/>
      <c r="L564" s="422"/>
      <c r="M564" s="422"/>
      <c r="N564" s="422"/>
      <c r="O564" s="422"/>
      <c r="P564" s="422"/>
      <c r="Q564" s="422"/>
      <c r="R564" s="422"/>
      <c r="S564" s="422"/>
      <c r="T564" s="422"/>
      <c r="U564" s="422"/>
      <c r="V564" s="422"/>
      <c r="W564" s="422"/>
      <c r="X564" s="422"/>
      <c r="Y564" s="422"/>
      <c r="Z564" s="422"/>
      <c r="AA564" s="422"/>
      <c r="AB564" s="422"/>
      <c r="AC564" s="422"/>
      <c r="AD564" s="422"/>
      <c r="AE564" s="422"/>
      <c r="AF564" s="422"/>
      <c r="AG564" s="422"/>
      <c r="AH564" s="422"/>
      <c r="AI564" s="422"/>
      <c r="AJ564" s="422"/>
      <c r="AK564" s="422"/>
      <c r="AL564" s="422"/>
      <c r="AM564" s="422"/>
      <c r="AN564" s="422"/>
      <c r="AO564" s="422"/>
      <c r="AP564" s="422"/>
      <c r="AQ564" s="422"/>
      <c r="AR564" s="422"/>
      <c r="AS564" s="698">
        <v>4236940.9976670817</v>
      </c>
      <c r="AT564" s="698">
        <v>5825864.8697474776</v>
      </c>
      <c r="AU564" s="698">
        <v>8482052.7298041973</v>
      </c>
      <c r="AV564" s="698">
        <v>10088034.15337473</v>
      </c>
      <c r="AW564" s="698">
        <v>9913855.1368590575</v>
      </c>
      <c r="AX564" s="698">
        <v>12769424.96216552</v>
      </c>
      <c r="AY564" s="698">
        <v>19014968.021726277</v>
      </c>
      <c r="AZ564" s="698">
        <v>20341955.433299027</v>
      </c>
      <c r="BA564" s="698">
        <v>22044762.942005727</v>
      </c>
      <c r="BB564" s="698">
        <v>23746790.529105663</v>
      </c>
    </row>
    <row r="565" spans="5:54" x14ac:dyDescent="0.2">
      <c r="E565" s="701" t="s">
        <v>605</v>
      </c>
      <c r="F565" s="422"/>
      <c r="G565" s="422"/>
      <c r="H565" s="422"/>
      <c r="I565" s="422"/>
      <c r="J565" s="422"/>
      <c r="K565" s="422"/>
      <c r="L565" s="422"/>
      <c r="M565" s="422"/>
      <c r="N565" s="422"/>
      <c r="O565" s="422"/>
      <c r="P565" s="422"/>
      <c r="Q565" s="422"/>
      <c r="R565" s="422"/>
      <c r="S565" s="422"/>
      <c r="T565" s="422"/>
      <c r="U565" s="422"/>
      <c r="V565" s="422"/>
      <c r="W565" s="422"/>
      <c r="X565" s="422"/>
      <c r="Y565" s="422"/>
      <c r="Z565" s="422"/>
      <c r="AA565" s="422"/>
      <c r="AB565" s="422"/>
      <c r="AC565" s="422"/>
      <c r="AD565" s="422"/>
      <c r="AE565" s="422"/>
      <c r="AF565" s="422"/>
      <c r="AG565" s="422"/>
      <c r="AH565" s="422"/>
      <c r="AI565" s="422"/>
      <c r="AJ565" s="422"/>
      <c r="AK565" s="422"/>
      <c r="AL565" s="422"/>
      <c r="AM565" s="422"/>
      <c r="AN565" s="422"/>
      <c r="AO565" s="422"/>
      <c r="AP565" s="422"/>
      <c r="AQ565" s="422"/>
      <c r="AR565" s="422"/>
      <c r="AS565" s="700">
        <v>3327982.5131917405</v>
      </c>
      <c r="AT565" s="700">
        <v>4502725.0165052311</v>
      </c>
      <c r="AU565" s="700">
        <v>6543468.7572799996</v>
      </c>
      <c r="AV565" s="700">
        <v>8257336.9096261691</v>
      </c>
      <c r="AW565" s="700">
        <v>7662103.7537881201</v>
      </c>
      <c r="AX565" s="700">
        <v>10130043.914738022</v>
      </c>
      <c r="AY565" s="700">
        <v>15572613.53111919</v>
      </c>
      <c r="AZ565" s="700">
        <v>16631036.580196217</v>
      </c>
      <c r="BA565" s="700">
        <v>18113062.941820208</v>
      </c>
      <c r="BB565" s="700">
        <v>19084787.421686642</v>
      </c>
    </row>
    <row r="566" spans="5:54" x14ac:dyDescent="0.2">
      <c r="E566" s="701" t="s">
        <v>606</v>
      </c>
      <c r="F566" s="422"/>
      <c r="G566" s="422"/>
      <c r="H566" s="422"/>
      <c r="I566" s="422"/>
      <c r="J566" s="422"/>
      <c r="K566" s="422"/>
      <c r="L566" s="422"/>
      <c r="M566" s="422"/>
      <c r="N566" s="422"/>
      <c r="O566" s="422"/>
      <c r="P566" s="422"/>
      <c r="Q566" s="422"/>
      <c r="R566" s="422"/>
      <c r="S566" s="422"/>
      <c r="T566" s="422"/>
      <c r="U566" s="422"/>
      <c r="V566" s="422"/>
      <c r="W566" s="422"/>
      <c r="X566" s="422"/>
      <c r="Y566" s="422"/>
      <c r="Z566" s="422"/>
      <c r="AA566" s="422"/>
      <c r="AB566" s="422"/>
      <c r="AC566" s="422"/>
      <c r="AD566" s="422"/>
      <c r="AE566" s="422"/>
      <c r="AF566" s="422"/>
      <c r="AG566" s="422"/>
      <c r="AH566" s="422"/>
      <c r="AI566" s="422"/>
      <c r="AJ566" s="422"/>
      <c r="AK566" s="422"/>
      <c r="AL566" s="422"/>
      <c r="AM566" s="422"/>
      <c r="AN566" s="422"/>
      <c r="AO566" s="422"/>
      <c r="AP566" s="422"/>
      <c r="AQ566" s="422"/>
      <c r="AR566" s="422"/>
      <c r="AS566" s="700">
        <v>908958.48447534046</v>
      </c>
      <c r="AT566" s="700">
        <v>1323139.8532422474</v>
      </c>
      <c r="AU566" s="700">
        <v>1291427.7218041974</v>
      </c>
      <c r="AV566" s="700">
        <v>1830697.2437485589</v>
      </c>
      <c r="AW566" s="700">
        <v>2251751.3830709378</v>
      </c>
      <c r="AX566" s="700">
        <v>2639381.0474274983</v>
      </c>
      <c r="AY566" s="700">
        <v>3442354.4906070861</v>
      </c>
      <c r="AZ566" s="700">
        <v>3710918.8531028135</v>
      </c>
      <c r="BA566" s="700">
        <v>3931700.0001855223</v>
      </c>
      <c r="BB566" s="700">
        <v>4662003.1074190177</v>
      </c>
    </row>
    <row r="567" spans="5:54" x14ac:dyDescent="0.2">
      <c r="E567" s="677" t="s">
        <v>607</v>
      </c>
      <c r="F567" s="422"/>
      <c r="G567" s="422"/>
      <c r="H567" s="422"/>
      <c r="I567" s="422"/>
      <c r="J567" s="422"/>
      <c r="K567" s="422"/>
      <c r="L567" s="422"/>
      <c r="M567" s="422"/>
      <c r="N567" s="422"/>
      <c r="O567" s="422"/>
      <c r="P567" s="422"/>
      <c r="Q567" s="422"/>
      <c r="R567" s="422"/>
      <c r="S567" s="422"/>
      <c r="T567" s="422"/>
      <c r="U567" s="422"/>
      <c r="V567" s="422"/>
      <c r="W567" s="422"/>
      <c r="X567" s="422"/>
      <c r="Y567" s="422"/>
      <c r="Z567" s="422"/>
      <c r="AA567" s="422"/>
      <c r="AB567" s="422"/>
      <c r="AC567" s="422"/>
      <c r="AD567" s="422"/>
      <c r="AE567" s="422"/>
      <c r="AF567" s="422"/>
      <c r="AG567" s="422"/>
      <c r="AH567" s="422"/>
      <c r="AI567" s="422"/>
      <c r="AJ567" s="422"/>
      <c r="AK567" s="422"/>
      <c r="AL567" s="422"/>
      <c r="AM567" s="422"/>
      <c r="AN567" s="422"/>
      <c r="AO567" s="422"/>
      <c r="AP567" s="422"/>
      <c r="AQ567" s="422"/>
      <c r="AR567" s="422"/>
      <c r="AS567" s="700">
        <v>351888.43562119082</v>
      </c>
      <c r="AT567" s="700">
        <v>367366.0266001299</v>
      </c>
      <c r="AU567" s="700">
        <v>14319.1584645845</v>
      </c>
      <c r="AV567" s="700">
        <v>39392.994403522462</v>
      </c>
      <c r="AW567" s="700">
        <v>69285.301134452224</v>
      </c>
      <c r="AX567" s="700">
        <v>1338912.2987806872</v>
      </c>
      <c r="AY567" s="700">
        <v>1445728.2934205011</v>
      </c>
      <c r="AZ567" s="700">
        <v>1310726.4390680417</v>
      </c>
      <c r="BA567" s="700">
        <v>-1624376.8464789689</v>
      </c>
      <c r="BB567" s="700">
        <v>864607.09978106595</v>
      </c>
    </row>
    <row r="568" spans="5:54" x14ac:dyDescent="0.2">
      <c r="E568" s="703"/>
      <c r="F568" s="422"/>
      <c r="G568" s="422"/>
      <c r="H568" s="422"/>
      <c r="I568" s="422"/>
      <c r="J568" s="422"/>
      <c r="K568" s="422"/>
      <c r="L568" s="422"/>
      <c r="M568" s="422"/>
      <c r="N568" s="422"/>
      <c r="O568" s="422"/>
      <c r="P568" s="422"/>
      <c r="Q568" s="422"/>
      <c r="R568" s="422"/>
      <c r="S568" s="422"/>
      <c r="T568" s="422"/>
      <c r="U568" s="422"/>
      <c r="V568" s="422"/>
      <c r="W568" s="422"/>
      <c r="X568" s="422"/>
      <c r="Y568" s="422"/>
      <c r="Z568" s="422"/>
      <c r="AA568" s="422"/>
      <c r="AB568" s="422"/>
      <c r="AC568" s="422"/>
      <c r="AD568" s="422"/>
      <c r="AE568" s="422"/>
      <c r="AF568" s="422"/>
      <c r="AG568" s="422"/>
      <c r="AH568" s="422"/>
      <c r="AI568" s="422"/>
      <c r="AJ568" s="422"/>
      <c r="AK568" s="422"/>
      <c r="AL568" s="422"/>
      <c r="AM568" s="422"/>
      <c r="AN568" s="422"/>
      <c r="AO568" s="422"/>
      <c r="AP568" s="422"/>
      <c r="AQ568" s="422"/>
      <c r="AR568" s="422"/>
      <c r="AS568" s="704"/>
      <c r="AT568" s="704"/>
      <c r="AU568" s="704"/>
      <c r="AV568" s="704"/>
      <c r="AW568" s="704"/>
      <c r="AX568" s="704"/>
      <c r="AY568" s="704"/>
      <c r="AZ568" s="704"/>
      <c r="BA568" s="704"/>
      <c r="BB568" s="704"/>
    </row>
    <row r="569" spans="5:54" x14ac:dyDescent="0.2">
      <c r="E569" s="542"/>
      <c r="F569" s="422"/>
      <c r="G569" s="422"/>
      <c r="H569" s="422"/>
      <c r="I569" s="422"/>
      <c r="J569" s="422"/>
      <c r="K569" s="422"/>
      <c r="L569" s="422"/>
      <c r="M569" s="422"/>
      <c r="N569" s="422"/>
      <c r="O569" s="422"/>
      <c r="P569" s="422"/>
      <c r="Q569" s="422"/>
      <c r="R569" s="422"/>
      <c r="S569" s="422"/>
      <c r="T569" s="422"/>
      <c r="U569" s="422"/>
      <c r="V569" s="422"/>
      <c r="W569" s="422"/>
      <c r="X569" s="422"/>
      <c r="Y569" s="422"/>
      <c r="Z569" s="422"/>
      <c r="AA569" s="422"/>
      <c r="AB569" s="422"/>
      <c r="AC569" s="422"/>
      <c r="AD569" s="422"/>
      <c r="AE569" s="422"/>
      <c r="AF569" s="422"/>
      <c r="AG569" s="422"/>
      <c r="AH569" s="422"/>
      <c r="AI569" s="422"/>
      <c r="AJ569" s="422"/>
      <c r="AK569" s="422"/>
      <c r="AL569" s="422"/>
      <c r="AM569" s="422"/>
      <c r="AN569" s="422"/>
      <c r="AO569" s="422"/>
      <c r="AP569" s="422"/>
      <c r="AQ569" s="422"/>
      <c r="AR569" s="422"/>
      <c r="AS569" s="705"/>
      <c r="AT569" s="705"/>
      <c r="AU569" s="705"/>
      <c r="AV569" s="705"/>
      <c r="AW569" s="705"/>
      <c r="AX569" s="705"/>
      <c r="AY569" s="705"/>
      <c r="AZ569" s="705"/>
      <c r="BA569" s="705"/>
      <c r="BB569" s="542"/>
    </row>
    <row r="570" spans="5:54" x14ac:dyDescent="0.2">
      <c r="E570" s="706" t="s">
        <v>608</v>
      </c>
      <c r="F570" s="422"/>
      <c r="G570" s="422"/>
      <c r="H570" s="422"/>
      <c r="I570" s="422"/>
      <c r="J570" s="422"/>
      <c r="K570" s="422"/>
      <c r="L570" s="422"/>
      <c r="M570" s="422"/>
      <c r="N570" s="422"/>
      <c r="O570" s="422"/>
      <c r="P570" s="422"/>
      <c r="Q570" s="422"/>
      <c r="R570" s="422"/>
      <c r="S570" s="422"/>
      <c r="T570" s="422"/>
      <c r="U570" s="422"/>
      <c r="V570" s="422"/>
      <c r="W570" s="422"/>
      <c r="X570" s="422"/>
      <c r="Y570" s="422"/>
      <c r="Z570" s="422"/>
      <c r="AA570" s="422"/>
      <c r="AB570" s="422"/>
      <c r="AC570" s="422"/>
      <c r="AD570" s="422"/>
      <c r="AE570" s="422"/>
      <c r="AF570" s="422"/>
      <c r="AG570" s="422"/>
      <c r="AH570" s="422"/>
      <c r="AI570" s="422"/>
      <c r="AJ570" s="422"/>
      <c r="AK570" s="422"/>
      <c r="AL570" s="422"/>
      <c r="AM570" s="422"/>
      <c r="AN570" s="422"/>
      <c r="AO570" s="422"/>
      <c r="AP570" s="422"/>
      <c r="AQ570" s="422"/>
      <c r="AR570" s="422"/>
      <c r="AS570" s="422"/>
      <c r="AT570" s="422"/>
      <c r="AU570" s="422"/>
      <c r="AV570" s="422"/>
      <c r="AW570" s="422"/>
      <c r="AX570" s="422"/>
      <c r="AY570" s="422"/>
      <c r="AZ570" s="422"/>
      <c r="BA570" s="422"/>
      <c r="BB570" s="422"/>
    </row>
    <row r="571" spans="5:54" x14ac:dyDescent="0.2">
      <c r="E571" s="707"/>
      <c r="F571" s="422"/>
      <c r="G571" s="422"/>
      <c r="H571" s="422"/>
      <c r="I571" s="422"/>
      <c r="J571" s="422"/>
      <c r="K571" s="422"/>
      <c r="L571" s="422"/>
      <c r="M571" s="422"/>
      <c r="N571" s="422"/>
      <c r="O571" s="422"/>
      <c r="P571" s="422"/>
      <c r="Q571" s="422"/>
      <c r="R571" s="422"/>
      <c r="S571" s="422"/>
      <c r="T571" s="422"/>
      <c r="U571" s="422"/>
      <c r="V571" s="422"/>
      <c r="W571" s="422"/>
      <c r="X571" s="422"/>
      <c r="Y571" s="422"/>
      <c r="Z571" s="422"/>
      <c r="AA571" s="422"/>
      <c r="AB571" s="422"/>
      <c r="AC571" s="422"/>
      <c r="AD571" s="422"/>
      <c r="AE571" s="422"/>
      <c r="AF571" s="422"/>
      <c r="AG571" s="422"/>
      <c r="AH571" s="422"/>
      <c r="AI571" s="422"/>
      <c r="AJ571" s="422"/>
      <c r="AK571" s="422"/>
      <c r="AL571" s="422"/>
      <c r="AM571" s="422"/>
      <c r="AN571" s="422"/>
      <c r="AO571" s="422"/>
      <c r="AP571" s="422"/>
      <c r="AQ571" s="422"/>
      <c r="AR571" s="422"/>
      <c r="AS571" s="708"/>
      <c r="AT571" s="704"/>
      <c r="AU571" s="704"/>
      <c r="AV571" s="704"/>
      <c r="AW571" s="704"/>
      <c r="AX571" s="709"/>
      <c r="AY571" s="542"/>
      <c r="AZ571" s="710"/>
      <c r="BA571" s="542"/>
      <c r="BB571" s="711" t="s">
        <v>597</v>
      </c>
    </row>
    <row r="572" spans="5:54" x14ac:dyDescent="0.2">
      <c r="E572" s="712" t="s">
        <v>162</v>
      </c>
      <c r="F572" s="422"/>
      <c r="G572" s="422"/>
      <c r="H572" s="422"/>
      <c r="I572" s="422"/>
      <c r="J572" s="422"/>
      <c r="K572" s="422"/>
      <c r="L572" s="422"/>
      <c r="M572" s="422"/>
      <c r="N572" s="422"/>
      <c r="O572" s="422"/>
      <c r="P572" s="422"/>
      <c r="Q572" s="422"/>
      <c r="R572" s="422"/>
      <c r="S572" s="422"/>
      <c r="T572" s="422"/>
      <c r="U572" s="422"/>
      <c r="V572" s="422"/>
      <c r="W572" s="422"/>
      <c r="X572" s="422"/>
      <c r="Y572" s="422"/>
      <c r="Z572" s="422"/>
      <c r="AA572" s="422"/>
      <c r="AB572" s="422"/>
      <c r="AC572" s="422"/>
      <c r="AD572" s="422"/>
      <c r="AE572" s="422"/>
      <c r="AF572" s="422"/>
      <c r="AG572" s="422"/>
      <c r="AH572" s="422"/>
      <c r="AI572" s="422"/>
      <c r="AJ572" s="422"/>
      <c r="AK572" s="422"/>
      <c r="AL572" s="422"/>
      <c r="AM572" s="422"/>
      <c r="AN572" s="422"/>
      <c r="AO572" s="422"/>
      <c r="AP572" s="422"/>
      <c r="AQ572" s="422"/>
      <c r="AR572" s="422"/>
      <c r="AS572" s="697">
        <v>2005</v>
      </c>
      <c r="AT572" s="697">
        <v>2006</v>
      </c>
      <c r="AU572" s="697">
        <v>2007</v>
      </c>
      <c r="AV572" s="697">
        <v>2008</v>
      </c>
      <c r="AW572" s="697">
        <v>2009</v>
      </c>
      <c r="AX572" s="697">
        <v>2010</v>
      </c>
      <c r="AY572" s="697">
        <v>2011</v>
      </c>
      <c r="AZ572" s="697">
        <v>2012</v>
      </c>
      <c r="BA572" s="697">
        <v>2013</v>
      </c>
      <c r="BB572" s="697">
        <v>2014</v>
      </c>
    </row>
    <row r="573" spans="5:54" x14ac:dyDescent="0.2">
      <c r="E573" s="202" t="s">
        <v>543</v>
      </c>
      <c r="F573" s="422"/>
      <c r="G573" s="422"/>
      <c r="H573" s="422"/>
      <c r="I573" s="422"/>
      <c r="J573" s="422"/>
      <c r="K573" s="422"/>
      <c r="L573" s="422"/>
      <c r="M573" s="422"/>
      <c r="N573" s="422"/>
      <c r="O573" s="422"/>
      <c r="P573" s="422"/>
      <c r="Q573" s="422"/>
      <c r="R573" s="422"/>
      <c r="S573" s="422"/>
      <c r="T573" s="422"/>
      <c r="U573" s="422"/>
      <c r="V573" s="422"/>
      <c r="W573" s="422"/>
      <c r="X573" s="422"/>
      <c r="Y573" s="422"/>
      <c r="Z573" s="422"/>
      <c r="AA573" s="422"/>
      <c r="AB573" s="422"/>
      <c r="AC573" s="422"/>
      <c r="AD573" s="422"/>
      <c r="AE573" s="422"/>
      <c r="AF573" s="422"/>
      <c r="AG573" s="422"/>
      <c r="AH573" s="422"/>
      <c r="AI573" s="422"/>
      <c r="AJ573" s="422"/>
      <c r="AK573" s="422"/>
      <c r="AL573" s="422"/>
      <c r="AM573" s="422"/>
      <c r="AN573" s="422"/>
      <c r="AO573" s="422"/>
      <c r="AP573" s="422"/>
      <c r="AQ573" s="422"/>
      <c r="AR573" s="422"/>
      <c r="AS573" s="698">
        <f>AS574+AS578+AS581-AS584+AS587</f>
        <v>23582244.262899633</v>
      </c>
      <c r="AT573" s="698">
        <f t="shared" ref="AT573:BB573" si="992">AT574+AT578+AT581-AT584+AT587</f>
        <v>24681311.4991115</v>
      </c>
      <c r="AU573" s="698">
        <f t="shared" si="992"/>
        <v>26770431.799792875</v>
      </c>
      <c r="AV573" s="698">
        <f t="shared" si="992"/>
        <v>28260633.491354436</v>
      </c>
      <c r="AW573" s="698">
        <f t="shared" si="992"/>
        <v>29781718.615258317</v>
      </c>
      <c r="AX573" s="698">
        <f t="shared" si="992"/>
        <v>31675504.175112091</v>
      </c>
      <c r="AY573" s="698">
        <f t="shared" si="992"/>
        <v>34179296.801182635</v>
      </c>
      <c r="AZ573" s="698">
        <f t="shared" si="992"/>
        <v>35936459.105231769</v>
      </c>
      <c r="BA573" s="698">
        <f t="shared" si="992"/>
        <v>38546545.702778637</v>
      </c>
      <c r="BB573" s="698">
        <f t="shared" si="992"/>
        <v>41169581.36704246</v>
      </c>
    </row>
    <row r="574" spans="5:54" x14ac:dyDescent="0.2">
      <c r="E574" s="680" t="s">
        <v>598</v>
      </c>
      <c r="F574" s="422"/>
      <c r="G574" s="422"/>
      <c r="H574" s="422"/>
      <c r="I574" s="422"/>
      <c r="J574" s="422"/>
      <c r="K574" s="422"/>
      <c r="L574" s="422"/>
      <c r="M574" s="422"/>
      <c r="N574" s="422"/>
      <c r="O574" s="422"/>
      <c r="P574" s="422"/>
      <c r="Q574" s="422"/>
      <c r="R574" s="422"/>
      <c r="S574" s="422"/>
      <c r="T574" s="422"/>
      <c r="U574" s="422"/>
      <c r="V574" s="422"/>
      <c r="W574" s="422"/>
      <c r="X574" s="422"/>
      <c r="Y574" s="422"/>
      <c r="Z574" s="422"/>
      <c r="AA574" s="422"/>
      <c r="AB574" s="422"/>
      <c r="AC574" s="422"/>
      <c r="AD574" s="422"/>
      <c r="AE574" s="422"/>
      <c r="AF574" s="422"/>
      <c r="AG574" s="422"/>
      <c r="AH574" s="422"/>
      <c r="AI574" s="422"/>
      <c r="AJ574" s="422"/>
      <c r="AK574" s="422"/>
      <c r="AL574" s="422"/>
      <c r="AM574" s="422"/>
      <c r="AN574" s="422"/>
      <c r="AO574" s="422"/>
      <c r="AP574" s="422"/>
      <c r="AQ574" s="422"/>
      <c r="AR574" s="422"/>
      <c r="AS574" s="698">
        <v>19058453.219416615</v>
      </c>
      <c r="AT574" s="698">
        <v>19799138.398809422</v>
      </c>
      <c r="AU574" s="698">
        <v>21393840.452678092</v>
      </c>
      <c r="AV574" s="698">
        <v>22706012.459961418</v>
      </c>
      <c r="AW574" s="698">
        <v>24295406.790203318</v>
      </c>
      <c r="AX574" s="698">
        <v>25027802.843616877</v>
      </c>
      <c r="AY574" s="698">
        <v>26905659.269445546</v>
      </c>
      <c r="AZ574" s="698">
        <v>28264851.340540197</v>
      </c>
      <c r="BA574" s="698">
        <v>31196676.292157728</v>
      </c>
      <c r="BB574" s="698">
        <v>32263480.271139253</v>
      </c>
    </row>
    <row r="575" spans="5:54" x14ac:dyDescent="0.2">
      <c r="E575" s="699" t="s">
        <v>599</v>
      </c>
      <c r="F575" s="422"/>
      <c r="G575" s="422"/>
      <c r="H575" s="422"/>
      <c r="I575" s="422"/>
      <c r="J575" s="422"/>
      <c r="K575" s="422"/>
      <c r="L575" s="422"/>
      <c r="M575" s="422"/>
      <c r="N575" s="422"/>
      <c r="O575" s="422"/>
      <c r="P575" s="422"/>
      <c r="Q575" s="422"/>
      <c r="R575" s="422"/>
      <c r="S575" s="422"/>
      <c r="T575" s="422"/>
      <c r="U575" s="422"/>
      <c r="V575" s="422"/>
      <c r="W575" s="422"/>
      <c r="X575" s="422"/>
      <c r="Y575" s="422"/>
      <c r="Z575" s="422"/>
      <c r="AA575" s="422"/>
      <c r="AB575" s="422"/>
      <c r="AC575" s="422"/>
      <c r="AD575" s="422"/>
      <c r="AE575" s="422"/>
      <c r="AF575" s="422"/>
      <c r="AG575" s="422"/>
      <c r="AH575" s="422"/>
      <c r="AI575" s="422"/>
      <c r="AJ575" s="422"/>
      <c r="AK575" s="422"/>
      <c r="AL575" s="422"/>
      <c r="AM575" s="422"/>
      <c r="AN575" s="422"/>
      <c r="AO575" s="422"/>
      <c r="AP575" s="422"/>
      <c r="AQ575" s="422"/>
      <c r="AR575" s="422"/>
      <c r="AS575" s="700">
        <v>4348217.3070987212</v>
      </c>
      <c r="AT575" s="700">
        <v>4614709.7436803291</v>
      </c>
      <c r="AU575" s="700">
        <v>4968233.729626325</v>
      </c>
      <c r="AV575" s="700">
        <v>4699279.2829703884</v>
      </c>
      <c r="AW575" s="700">
        <v>5300029.5076891175</v>
      </c>
      <c r="AX575" s="700">
        <v>4783899.3814516291</v>
      </c>
      <c r="AY575" s="700">
        <v>5037637.9498920934</v>
      </c>
      <c r="AZ575" s="700">
        <v>5707564.2089369344</v>
      </c>
      <c r="BA575" s="700">
        <v>6739438.975306212</v>
      </c>
      <c r="BB575" s="700">
        <v>6704573.3601697069</v>
      </c>
    </row>
    <row r="576" spans="5:54" x14ac:dyDescent="0.2">
      <c r="E576" s="699" t="s">
        <v>600</v>
      </c>
      <c r="F576" s="422"/>
      <c r="G576" s="422"/>
      <c r="H576" s="422"/>
      <c r="I576" s="422"/>
      <c r="J576" s="422"/>
      <c r="K576" s="422"/>
      <c r="L576" s="422"/>
      <c r="M576" s="422"/>
      <c r="N576" s="422"/>
      <c r="O576" s="422"/>
      <c r="P576" s="422"/>
      <c r="Q576" s="422"/>
      <c r="R576" s="422"/>
      <c r="S576" s="422"/>
      <c r="T576" s="422"/>
      <c r="U576" s="422"/>
      <c r="V576" s="422"/>
      <c r="W576" s="422"/>
      <c r="X576" s="422"/>
      <c r="Y576" s="422"/>
      <c r="Z576" s="422"/>
      <c r="AA576" s="422"/>
      <c r="AB576" s="422"/>
      <c r="AC576" s="422"/>
      <c r="AD576" s="422"/>
      <c r="AE576" s="422"/>
      <c r="AF576" s="422"/>
      <c r="AG576" s="422"/>
      <c r="AH576" s="422"/>
      <c r="AI576" s="422"/>
      <c r="AJ576" s="422"/>
      <c r="AK576" s="422"/>
      <c r="AL576" s="422"/>
      <c r="AM576" s="422"/>
      <c r="AN576" s="422"/>
      <c r="AO576" s="422"/>
      <c r="AP576" s="422"/>
      <c r="AQ576" s="422"/>
      <c r="AR576" s="422"/>
      <c r="AS576" s="700">
        <v>14642618.142181277</v>
      </c>
      <c r="AT576" s="700">
        <v>15111703.728319809</v>
      </c>
      <c r="AU576" s="700">
        <v>16348964.930507999</v>
      </c>
      <c r="AV576" s="700">
        <v>17923139.454814203</v>
      </c>
      <c r="AW576" s="700">
        <v>18902729.534595091</v>
      </c>
      <c r="AX576" s="700">
        <v>20145770.578063633</v>
      </c>
      <c r="AY576" s="700">
        <v>21763217.848938242</v>
      </c>
      <c r="AZ576" s="700">
        <v>22438759.097934406</v>
      </c>
      <c r="BA576" s="700">
        <v>24334260.645121161</v>
      </c>
      <c r="BB576" s="700">
        <v>25428596.862185054</v>
      </c>
    </row>
    <row r="577" spans="5:54" x14ac:dyDescent="0.2">
      <c r="E577" s="701" t="s">
        <v>601</v>
      </c>
      <c r="F577" s="422"/>
      <c r="G577" s="422"/>
      <c r="H577" s="422"/>
      <c r="I577" s="422"/>
      <c r="J577" s="422"/>
      <c r="K577" s="422"/>
      <c r="L577" s="422"/>
      <c r="M577" s="422"/>
      <c r="N577" s="422"/>
      <c r="O577" s="422"/>
      <c r="P577" s="422"/>
      <c r="Q577" s="422"/>
      <c r="R577" s="422"/>
      <c r="S577" s="422"/>
      <c r="T577" s="422"/>
      <c r="U577" s="422"/>
      <c r="V577" s="422"/>
      <c r="W577" s="422"/>
      <c r="X577" s="422"/>
      <c r="Y577" s="422"/>
      <c r="Z577" s="422"/>
      <c r="AA577" s="422"/>
      <c r="AB577" s="422"/>
      <c r="AC577" s="422"/>
      <c r="AD577" s="422"/>
      <c r="AE577" s="422"/>
      <c r="AF577" s="422"/>
      <c r="AG577" s="422"/>
      <c r="AH577" s="422"/>
      <c r="AI577" s="422"/>
      <c r="AJ577" s="422"/>
      <c r="AK577" s="422"/>
      <c r="AL577" s="422"/>
      <c r="AM577" s="422"/>
      <c r="AN577" s="422"/>
      <c r="AO577" s="422"/>
      <c r="AP577" s="422"/>
      <c r="AQ577" s="422"/>
      <c r="AR577" s="422"/>
      <c r="AS577" s="700">
        <v>67617.770136615407</v>
      </c>
      <c r="AT577" s="700">
        <v>72724.926809284923</v>
      </c>
      <c r="AU577" s="700">
        <v>76641.79254377012</v>
      </c>
      <c r="AV577" s="700">
        <v>83593.722176828276</v>
      </c>
      <c r="AW577" s="700">
        <v>92647.747919107525</v>
      </c>
      <c r="AX577" s="700">
        <v>98132.884101613774</v>
      </c>
      <c r="AY577" s="700">
        <v>104803.47061521136</v>
      </c>
      <c r="AZ577" s="700">
        <v>118528.03366885529</v>
      </c>
      <c r="BA577" s="700">
        <v>122976.67173035574</v>
      </c>
      <c r="BB577" s="700">
        <v>130310.0487844914</v>
      </c>
    </row>
    <row r="578" spans="5:54" x14ac:dyDescent="0.2">
      <c r="E578" s="702" t="s">
        <v>602</v>
      </c>
      <c r="F578" s="422"/>
      <c r="G578" s="422"/>
      <c r="H578" s="422"/>
      <c r="I578" s="422"/>
      <c r="J578" s="422"/>
      <c r="K578" s="422"/>
      <c r="L578" s="422"/>
      <c r="M578" s="422"/>
      <c r="N578" s="422"/>
      <c r="O578" s="422"/>
      <c r="P578" s="422"/>
      <c r="Q578" s="422"/>
      <c r="R578" s="422"/>
      <c r="S578" s="422"/>
      <c r="T578" s="422"/>
      <c r="U578" s="422"/>
      <c r="V578" s="422"/>
      <c r="W578" s="422"/>
      <c r="X578" s="422"/>
      <c r="Y578" s="422"/>
      <c r="Z578" s="422"/>
      <c r="AA578" s="422"/>
      <c r="AB578" s="422"/>
      <c r="AC578" s="422"/>
      <c r="AD578" s="422"/>
      <c r="AE578" s="422"/>
      <c r="AF578" s="422"/>
      <c r="AG578" s="422"/>
      <c r="AH578" s="422"/>
      <c r="AI578" s="422"/>
      <c r="AJ578" s="422"/>
      <c r="AK578" s="422"/>
      <c r="AL578" s="422"/>
      <c r="AM578" s="422"/>
      <c r="AN578" s="422"/>
      <c r="AO578" s="422"/>
      <c r="AP578" s="422"/>
      <c r="AQ578" s="422"/>
      <c r="AR578" s="422"/>
      <c r="AS578" s="698">
        <v>5352068.5238258652</v>
      </c>
      <c r="AT578" s="698">
        <v>6970477.8979490306</v>
      </c>
      <c r="AU578" s="698">
        <v>8793914.9505311772</v>
      </c>
      <c r="AV578" s="698">
        <v>9097588.4984012265</v>
      </c>
      <c r="AW578" s="698">
        <v>8205467.3497713022</v>
      </c>
      <c r="AX578" s="698">
        <v>10058938.410027459</v>
      </c>
      <c r="AY578" s="698">
        <v>13050735.50066491</v>
      </c>
      <c r="AZ578" s="698">
        <v>12276816.919394843</v>
      </c>
      <c r="BA578" s="698">
        <v>13435669.669332679</v>
      </c>
      <c r="BB578" s="698">
        <v>13696058.375084763</v>
      </c>
    </row>
    <row r="579" spans="5:54" x14ac:dyDescent="0.2">
      <c r="E579" s="701" t="s">
        <v>55</v>
      </c>
      <c r="F579" s="422"/>
      <c r="G579" s="422"/>
      <c r="H579" s="422"/>
      <c r="I579" s="422"/>
      <c r="J579" s="422"/>
      <c r="K579" s="422"/>
      <c r="L579" s="422"/>
      <c r="M579" s="422"/>
      <c r="N579" s="422"/>
      <c r="O579" s="422"/>
      <c r="P579" s="422"/>
      <c r="Q579" s="422"/>
      <c r="R579" s="422"/>
      <c r="S579" s="422"/>
      <c r="T579" s="422"/>
      <c r="U579" s="422"/>
      <c r="V579" s="422"/>
      <c r="W579" s="422"/>
      <c r="X579" s="422"/>
      <c r="Y579" s="422"/>
      <c r="Z579" s="422"/>
      <c r="AA579" s="422"/>
      <c r="AB579" s="422"/>
      <c r="AC579" s="422"/>
      <c r="AD579" s="422"/>
      <c r="AE579" s="422"/>
      <c r="AF579" s="422"/>
      <c r="AG579" s="422"/>
      <c r="AH579" s="422"/>
      <c r="AI579" s="422"/>
      <c r="AJ579" s="422"/>
      <c r="AK579" s="422"/>
      <c r="AL579" s="422"/>
      <c r="AM579" s="422"/>
      <c r="AN579" s="422"/>
      <c r="AO579" s="422"/>
      <c r="AP579" s="422"/>
      <c r="AQ579" s="422"/>
      <c r="AR579" s="422"/>
      <c r="AS579" s="700">
        <v>6164176.819193691</v>
      </c>
      <c r="AT579" s="700">
        <v>7215169.7166122645</v>
      </c>
      <c r="AU579" s="700">
        <v>8427686.7141737547</v>
      </c>
      <c r="AV579" s="700">
        <v>9485694.6355389226</v>
      </c>
      <c r="AW579" s="700">
        <v>9410248.0122313239</v>
      </c>
      <c r="AX579" s="700">
        <v>10491669.58749575</v>
      </c>
      <c r="AY579" s="700">
        <v>12770844.183352139</v>
      </c>
      <c r="AZ579" s="700">
        <v>12898260.147629187</v>
      </c>
      <c r="BA579" s="700">
        <v>13472087.595074086</v>
      </c>
      <c r="BB579" s="700">
        <v>14410368.242710782</v>
      </c>
    </row>
    <row r="580" spans="5:54" x14ac:dyDescent="0.2">
      <c r="E580" s="701" t="s">
        <v>170</v>
      </c>
      <c r="F580" s="422"/>
      <c r="G580" s="422"/>
      <c r="H580" s="422"/>
      <c r="I580" s="422"/>
      <c r="J580" s="422"/>
      <c r="K580" s="422"/>
      <c r="L580" s="422"/>
      <c r="M580" s="422"/>
      <c r="N580" s="422"/>
      <c r="O580" s="422"/>
      <c r="P580" s="422"/>
      <c r="Q580" s="422"/>
      <c r="R580" s="422"/>
      <c r="S580" s="422"/>
      <c r="T580" s="422"/>
      <c r="U580" s="422"/>
      <c r="V580" s="422"/>
      <c r="W580" s="422"/>
      <c r="X580" s="422"/>
      <c r="Y580" s="422"/>
      <c r="Z580" s="422"/>
      <c r="AA580" s="422"/>
      <c r="AB580" s="422"/>
      <c r="AC580" s="422"/>
      <c r="AD580" s="422"/>
      <c r="AE580" s="422"/>
      <c r="AF580" s="422"/>
      <c r="AG580" s="422"/>
      <c r="AH580" s="422"/>
      <c r="AI580" s="422"/>
      <c r="AJ580" s="422"/>
      <c r="AK580" s="422"/>
      <c r="AL580" s="422"/>
      <c r="AM580" s="422"/>
      <c r="AN580" s="422"/>
      <c r="AO580" s="422"/>
      <c r="AP580" s="422"/>
      <c r="AQ580" s="422"/>
      <c r="AR580" s="422"/>
      <c r="AS580" s="700">
        <v>-812108.29536782531</v>
      </c>
      <c r="AT580" s="700">
        <v>-244691.8186632336</v>
      </c>
      <c r="AU580" s="700">
        <v>366228.2363574226</v>
      </c>
      <c r="AV580" s="700">
        <v>-388106.13713769655</v>
      </c>
      <c r="AW580" s="700">
        <v>-1204780.6624600219</v>
      </c>
      <c r="AX580" s="700">
        <v>-432731.17746829119</v>
      </c>
      <c r="AY580" s="700">
        <v>279891.31731277175</v>
      </c>
      <c r="AZ580" s="700">
        <v>-621443.22823434323</v>
      </c>
      <c r="BA580" s="700">
        <v>-36417.925741406681</v>
      </c>
      <c r="BB580" s="700">
        <v>-714309.86762601859</v>
      </c>
    </row>
    <row r="581" spans="5:54" x14ac:dyDescent="0.2">
      <c r="E581" s="680" t="s">
        <v>171</v>
      </c>
      <c r="F581" s="422"/>
      <c r="G581" s="422"/>
      <c r="H581" s="422"/>
      <c r="I581" s="422"/>
      <c r="J581" s="422"/>
      <c r="K581" s="422"/>
      <c r="L581" s="422"/>
      <c r="M581" s="422"/>
      <c r="N581" s="422"/>
      <c r="O581" s="422"/>
      <c r="P581" s="422"/>
      <c r="Q581" s="422"/>
      <c r="R581" s="422"/>
      <c r="S581" s="422"/>
      <c r="T581" s="422"/>
      <c r="U581" s="422"/>
      <c r="V581" s="422"/>
      <c r="W581" s="422"/>
      <c r="X581" s="422"/>
      <c r="Y581" s="422"/>
      <c r="Z581" s="422"/>
      <c r="AA581" s="422"/>
      <c r="AB581" s="422"/>
      <c r="AC581" s="422"/>
      <c r="AD581" s="422"/>
      <c r="AE581" s="422"/>
      <c r="AF581" s="422"/>
      <c r="AG581" s="422"/>
      <c r="AH581" s="422"/>
      <c r="AI581" s="422"/>
      <c r="AJ581" s="422"/>
      <c r="AK581" s="422"/>
      <c r="AL581" s="422"/>
      <c r="AM581" s="422"/>
      <c r="AN581" s="422"/>
      <c r="AO581" s="422"/>
      <c r="AP581" s="422"/>
      <c r="AQ581" s="422"/>
      <c r="AR581" s="422"/>
      <c r="AS581" s="698">
        <v>3961503.395839266</v>
      </c>
      <c r="AT581" s="698">
        <v>4005992.7037089556</v>
      </c>
      <c r="AU581" s="698">
        <v>5064729.0807026122</v>
      </c>
      <c r="AV581" s="698">
        <v>5396769.3096394213</v>
      </c>
      <c r="AW581" s="698">
        <v>5586651.3299944587</v>
      </c>
      <c r="AX581" s="698">
        <v>5965580.5236978503</v>
      </c>
      <c r="AY581" s="698">
        <v>6568665.4173174817</v>
      </c>
      <c r="AZ581" s="698">
        <v>7622631.9540712554</v>
      </c>
      <c r="BA581" s="698">
        <v>7669986.8725336548</v>
      </c>
      <c r="BB581" s="698">
        <v>9027964.3727473915</v>
      </c>
    </row>
    <row r="582" spans="5:54" x14ac:dyDescent="0.2">
      <c r="E582" s="701" t="s">
        <v>603</v>
      </c>
      <c r="F582" s="422"/>
      <c r="G582" s="422"/>
      <c r="H582" s="422"/>
      <c r="I582" s="422"/>
      <c r="J582" s="422"/>
      <c r="K582" s="422"/>
      <c r="L582" s="422"/>
      <c r="M582" s="422"/>
      <c r="N582" s="422"/>
      <c r="O582" s="422"/>
      <c r="P582" s="422"/>
      <c r="Q582" s="422"/>
      <c r="R582" s="422"/>
      <c r="S582" s="422"/>
      <c r="T582" s="422"/>
      <c r="U582" s="422"/>
      <c r="V582" s="422"/>
      <c r="W582" s="422"/>
      <c r="X582" s="422"/>
      <c r="Y582" s="422"/>
      <c r="Z582" s="422"/>
      <c r="AA582" s="422"/>
      <c r="AB582" s="422"/>
      <c r="AC582" s="422"/>
      <c r="AD582" s="422"/>
      <c r="AE582" s="422"/>
      <c r="AF582" s="422"/>
      <c r="AG582" s="422"/>
      <c r="AH582" s="422"/>
      <c r="AI582" s="422"/>
      <c r="AJ582" s="422"/>
      <c r="AK582" s="422"/>
      <c r="AL582" s="422"/>
      <c r="AM582" s="422"/>
      <c r="AN582" s="422"/>
      <c r="AO582" s="422"/>
      <c r="AP582" s="422"/>
      <c r="AQ582" s="422"/>
      <c r="AR582" s="422"/>
      <c r="AS582" s="700">
        <v>2425509.8275323799</v>
      </c>
      <c r="AT582" s="700">
        <v>2155746.4466801202</v>
      </c>
      <c r="AU582" s="700">
        <v>2691888.901680958</v>
      </c>
      <c r="AV582" s="700">
        <v>3136101.5102837188</v>
      </c>
      <c r="AW582" s="700">
        <v>3431601.2717621806</v>
      </c>
      <c r="AX582" s="700">
        <v>3579242.7127361186</v>
      </c>
      <c r="AY582" s="700">
        <v>3829149.1803285033</v>
      </c>
      <c r="AZ582" s="700">
        <v>4276141.1184410658</v>
      </c>
      <c r="BA582" s="700">
        <v>3899109.0040678172</v>
      </c>
      <c r="BB582" s="700">
        <v>4914107.6936187847</v>
      </c>
    </row>
    <row r="583" spans="5:54" x14ac:dyDescent="0.2">
      <c r="E583" s="701" t="s">
        <v>604</v>
      </c>
      <c r="F583" s="422"/>
      <c r="G583" s="422"/>
      <c r="H583" s="422"/>
      <c r="I583" s="422"/>
      <c r="J583" s="422"/>
      <c r="K583" s="422"/>
      <c r="L583" s="422"/>
      <c r="M583" s="422"/>
      <c r="N583" s="422"/>
      <c r="O583" s="422"/>
      <c r="P583" s="422"/>
      <c r="Q583" s="422"/>
      <c r="R583" s="422"/>
      <c r="S583" s="422"/>
      <c r="T583" s="422"/>
      <c r="U583" s="422"/>
      <c r="V583" s="422"/>
      <c r="W583" s="422"/>
      <c r="X583" s="422"/>
      <c r="Y583" s="422"/>
      <c r="Z583" s="422"/>
      <c r="AA583" s="422"/>
      <c r="AB583" s="422"/>
      <c r="AC583" s="422"/>
      <c r="AD583" s="422"/>
      <c r="AE583" s="422"/>
      <c r="AF583" s="422"/>
      <c r="AG583" s="422"/>
      <c r="AH583" s="422"/>
      <c r="AI583" s="422"/>
      <c r="AJ583" s="422"/>
      <c r="AK583" s="422"/>
      <c r="AL583" s="422"/>
      <c r="AM583" s="422"/>
      <c r="AN583" s="422"/>
      <c r="AO583" s="422"/>
      <c r="AP583" s="422"/>
      <c r="AQ583" s="422"/>
      <c r="AR583" s="422"/>
      <c r="AS583" s="700">
        <v>1535993.5683068861</v>
      </c>
      <c r="AT583" s="700">
        <v>1850246.2570288354</v>
      </c>
      <c r="AU583" s="700">
        <v>2372840.1790216547</v>
      </c>
      <c r="AV583" s="700">
        <v>2260667.7993557025</v>
      </c>
      <c r="AW583" s="700">
        <v>2155050.0582322781</v>
      </c>
      <c r="AX583" s="700">
        <v>2386337.8109617317</v>
      </c>
      <c r="AY583" s="700">
        <v>2739516.2369889785</v>
      </c>
      <c r="AZ583" s="700">
        <v>3346490.8356301896</v>
      </c>
      <c r="BA583" s="700">
        <v>3770877.868465838</v>
      </c>
      <c r="BB583" s="700">
        <v>4113856.6791286068</v>
      </c>
    </row>
    <row r="584" spans="5:54" x14ac:dyDescent="0.2">
      <c r="E584" s="680" t="s">
        <v>174</v>
      </c>
      <c r="F584" s="422"/>
      <c r="G584" s="422"/>
      <c r="H584" s="422"/>
      <c r="I584" s="422"/>
      <c r="J584" s="422"/>
      <c r="K584" s="422"/>
      <c r="L584" s="422"/>
      <c r="M584" s="422"/>
      <c r="N584" s="422"/>
      <c r="O584" s="422"/>
      <c r="P584" s="422"/>
      <c r="Q584" s="422"/>
      <c r="R584" s="422"/>
      <c r="S584" s="422"/>
      <c r="T584" s="422"/>
      <c r="U584" s="422"/>
      <c r="V584" s="422"/>
      <c r="W584" s="422"/>
      <c r="X584" s="422"/>
      <c r="Y584" s="422"/>
      <c r="Z584" s="422"/>
      <c r="AA584" s="422"/>
      <c r="AB584" s="422"/>
      <c r="AC584" s="422"/>
      <c r="AD584" s="422"/>
      <c r="AE584" s="422"/>
      <c r="AF584" s="422"/>
      <c r="AG584" s="422"/>
      <c r="AH584" s="422"/>
      <c r="AI584" s="422"/>
      <c r="AJ584" s="422"/>
      <c r="AK584" s="422"/>
      <c r="AL584" s="422"/>
      <c r="AM584" s="422"/>
      <c r="AN584" s="422"/>
      <c r="AO584" s="422"/>
      <c r="AP584" s="422"/>
      <c r="AQ584" s="422"/>
      <c r="AR584" s="422"/>
      <c r="AS584" s="698">
        <v>4835946.8578413026</v>
      </c>
      <c r="AT584" s="698">
        <v>5734819.040089542</v>
      </c>
      <c r="AU584" s="698">
        <v>8482053.0848683771</v>
      </c>
      <c r="AV584" s="698">
        <v>8643421.2756413277</v>
      </c>
      <c r="AW584" s="698">
        <v>8432918.0762366615</v>
      </c>
      <c r="AX584" s="698">
        <v>9674396.5831093621</v>
      </c>
      <c r="AY584" s="698">
        <v>12176076.525733823</v>
      </c>
      <c r="AZ584" s="698">
        <v>12080306.054318761</v>
      </c>
      <c r="BA584" s="698">
        <v>13409881.014082287</v>
      </c>
      <c r="BB584" s="698">
        <v>13798824.37457528</v>
      </c>
    </row>
    <row r="585" spans="5:54" x14ac:dyDescent="0.2">
      <c r="E585" s="701" t="s">
        <v>605</v>
      </c>
      <c r="F585" s="422"/>
      <c r="G585" s="422"/>
      <c r="H585" s="422"/>
      <c r="I585" s="422"/>
      <c r="J585" s="422"/>
      <c r="K585" s="422"/>
      <c r="L585" s="422"/>
      <c r="M585" s="422"/>
      <c r="N585" s="422"/>
      <c r="O585" s="422"/>
      <c r="P585" s="422"/>
      <c r="Q585" s="422"/>
      <c r="R585" s="422"/>
      <c r="S585" s="422"/>
      <c r="T585" s="422"/>
      <c r="U585" s="422"/>
      <c r="V585" s="422"/>
      <c r="W585" s="422"/>
      <c r="X585" s="422"/>
      <c r="Y585" s="422"/>
      <c r="Z585" s="422"/>
      <c r="AA585" s="422"/>
      <c r="AB585" s="422"/>
      <c r="AC585" s="422"/>
      <c r="AD585" s="422"/>
      <c r="AE585" s="422"/>
      <c r="AF585" s="422"/>
      <c r="AG585" s="422"/>
      <c r="AH585" s="422"/>
      <c r="AI585" s="422"/>
      <c r="AJ585" s="422"/>
      <c r="AK585" s="422"/>
      <c r="AL585" s="422"/>
      <c r="AM585" s="422"/>
      <c r="AN585" s="422"/>
      <c r="AO585" s="422"/>
      <c r="AP585" s="422"/>
      <c r="AQ585" s="422"/>
      <c r="AR585" s="422"/>
      <c r="AS585" s="700">
        <v>3926856.6839431231</v>
      </c>
      <c r="AT585" s="700">
        <v>4541848.864794286</v>
      </c>
      <c r="AU585" s="700">
        <v>6543469.0803884044</v>
      </c>
      <c r="AV585" s="700">
        <v>7044465.3410256663</v>
      </c>
      <c r="AW585" s="700">
        <v>6588008.4490098767</v>
      </c>
      <c r="AX585" s="700">
        <v>7657946.8264770517</v>
      </c>
      <c r="AY585" s="700">
        <v>9829831.4414376207</v>
      </c>
      <c r="AZ585" s="700">
        <v>9561025.4012770578</v>
      </c>
      <c r="BA585" s="700">
        <v>10750945.418251462</v>
      </c>
      <c r="BB585" s="700">
        <v>10926381.154765734</v>
      </c>
    </row>
    <row r="586" spans="5:54" x14ac:dyDescent="0.2">
      <c r="E586" s="701" t="s">
        <v>606</v>
      </c>
      <c r="F586" s="422"/>
      <c r="G586" s="422"/>
      <c r="H586" s="422"/>
      <c r="I586" s="422"/>
      <c r="J586" s="422"/>
      <c r="K586" s="422"/>
      <c r="L586" s="422"/>
      <c r="M586" s="422"/>
      <c r="N586" s="422"/>
      <c r="O586" s="422"/>
      <c r="P586" s="422"/>
      <c r="Q586" s="422"/>
      <c r="R586" s="422"/>
      <c r="S586" s="422"/>
      <c r="T586" s="422"/>
      <c r="U586" s="422"/>
      <c r="V586" s="422"/>
      <c r="W586" s="422"/>
      <c r="X586" s="422"/>
      <c r="Y586" s="422"/>
      <c r="Z586" s="422"/>
      <c r="AA586" s="422"/>
      <c r="AB586" s="422"/>
      <c r="AC586" s="422"/>
      <c r="AD586" s="422"/>
      <c r="AE586" s="422"/>
      <c r="AF586" s="422"/>
      <c r="AG586" s="422"/>
      <c r="AH586" s="422"/>
      <c r="AI586" s="422"/>
      <c r="AJ586" s="422"/>
      <c r="AK586" s="422"/>
      <c r="AL586" s="422"/>
      <c r="AM586" s="422"/>
      <c r="AN586" s="422"/>
      <c r="AO586" s="422"/>
      <c r="AP586" s="422"/>
      <c r="AQ586" s="422"/>
      <c r="AR586" s="422"/>
      <c r="AS586" s="700">
        <v>909090.17389817978</v>
      </c>
      <c r="AT586" s="700">
        <v>1192970.1752952544</v>
      </c>
      <c r="AU586" s="700">
        <v>1175199.2268418197</v>
      </c>
      <c r="AV586" s="700">
        <v>1598955.9346156593</v>
      </c>
      <c r="AW586" s="700">
        <v>1844909.6272267855</v>
      </c>
      <c r="AX586" s="700">
        <v>2016449.7566323113</v>
      </c>
      <c r="AY586" s="700">
        <v>2346245.0842962014</v>
      </c>
      <c r="AZ586" s="700">
        <v>2519280.6530417046</v>
      </c>
      <c r="BA586" s="700">
        <v>2658935.5958308238</v>
      </c>
      <c r="BB586" s="700">
        <v>2872443.2198095447</v>
      </c>
    </row>
    <row r="587" spans="5:54" x14ac:dyDescent="0.2">
      <c r="E587" s="677" t="s">
        <v>607</v>
      </c>
      <c r="F587" s="422"/>
      <c r="G587" s="422"/>
      <c r="H587" s="422"/>
      <c r="I587" s="422"/>
      <c r="J587" s="422"/>
      <c r="K587" s="422"/>
      <c r="L587" s="422"/>
      <c r="M587" s="422"/>
      <c r="N587" s="422"/>
      <c r="O587" s="422"/>
      <c r="P587" s="422"/>
      <c r="Q587" s="422"/>
      <c r="R587" s="422"/>
      <c r="S587" s="422"/>
      <c r="T587" s="422"/>
      <c r="U587" s="422"/>
      <c r="V587" s="422"/>
      <c r="W587" s="422"/>
      <c r="X587" s="422"/>
      <c r="Y587" s="422"/>
      <c r="Z587" s="422"/>
      <c r="AA587" s="422"/>
      <c r="AB587" s="422"/>
      <c r="AC587" s="422"/>
      <c r="AD587" s="422"/>
      <c r="AE587" s="422"/>
      <c r="AF587" s="422"/>
      <c r="AG587" s="422"/>
      <c r="AH587" s="422"/>
      <c r="AI587" s="422"/>
      <c r="AJ587" s="422"/>
      <c r="AK587" s="422"/>
      <c r="AL587" s="422"/>
      <c r="AM587" s="422"/>
      <c r="AN587" s="422"/>
      <c r="AO587" s="422"/>
      <c r="AP587" s="422"/>
      <c r="AQ587" s="422"/>
      <c r="AR587" s="422"/>
      <c r="AS587" s="700">
        <v>46165.981659188867</v>
      </c>
      <c r="AT587" s="700">
        <v>-359478.4612663649</v>
      </c>
      <c r="AU587" s="700">
        <v>0.40074937418103218</v>
      </c>
      <c r="AV587" s="700">
        <v>-296315.50100630522</v>
      </c>
      <c r="AW587" s="700">
        <v>127111.22152590007</v>
      </c>
      <c r="AX587" s="700">
        <v>297578.98087926954</v>
      </c>
      <c r="AY587" s="700">
        <v>-169686.86051148176</v>
      </c>
      <c r="AZ587" s="700">
        <v>-147535.05445575714</v>
      </c>
      <c r="BA587" s="700">
        <v>-345906.1171631366</v>
      </c>
      <c r="BB587" s="700">
        <v>-19097.277353666723</v>
      </c>
    </row>
  </sheetData>
  <phoneticPr fontId="0" type="noConversion"/>
  <printOptions horizontalCentered="1"/>
  <pageMargins left="0.74803149606299213" right="0.74803149606299213" top="0.98425196850393704" bottom="0.98425196850393704" header="0.51181102362204722" footer="0.51181102362204722"/>
  <pageSetup paperSize="9" scale="62"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B255"/>
  <sheetViews>
    <sheetView tabSelected="1" zoomScale="87" zoomScaleNormal="87" workbookViewId="0">
      <pane xSplit="1" ySplit="4" topLeftCell="B5" activePane="bottomRight" state="frozen"/>
      <selection activeCell="E2" sqref="E2"/>
      <selection pane="topRight" activeCell="E2" sqref="E2"/>
      <selection pane="bottomLeft" activeCell="E2" sqref="E2"/>
      <selection pane="bottomRight" activeCell="E2" sqref="E2"/>
    </sheetView>
  </sheetViews>
  <sheetFormatPr defaultColWidth="9.140625" defaultRowHeight="12.75" x14ac:dyDescent="0.2"/>
  <cols>
    <col min="1" max="1" width="45" style="265" customWidth="1"/>
    <col min="2" max="5" width="12.28515625" style="265" bestFit="1" customWidth="1"/>
    <col min="6" max="7" width="11.28515625" style="265" bestFit="1" customWidth="1"/>
    <col min="8" max="8" width="11.42578125" style="265" bestFit="1" customWidth="1"/>
    <col min="9" max="9" width="11.28515625" style="265" bestFit="1" customWidth="1"/>
    <col min="10" max="10" width="10.42578125" style="265" customWidth="1"/>
    <col min="11" max="11" width="11.5703125" style="265" customWidth="1"/>
    <col min="12" max="12" width="11.42578125" style="265" customWidth="1"/>
    <col min="13" max="13" width="11.28515625" style="265" bestFit="1" customWidth="1"/>
    <col min="14" max="14" width="10.28515625" style="265" customWidth="1"/>
    <col min="15" max="15" width="13" style="265" customWidth="1"/>
    <col min="16" max="16" width="12.5703125" style="265" customWidth="1"/>
    <col min="17" max="19" width="10.5703125" style="265" customWidth="1"/>
    <col min="20" max="20" width="10.5703125" style="305" customWidth="1"/>
    <col min="21" max="21" width="12.28515625" style="264" customWidth="1"/>
    <col min="22" max="16384" width="9.140625" style="265"/>
  </cols>
  <sheetData>
    <row r="1" spans="1:53" x14ac:dyDescent="0.2">
      <c r="A1" s="261">
        <v>1</v>
      </c>
      <c r="B1" s="262">
        <f>NA!AN147</f>
        <v>4.9337965312953758E-2</v>
      </c>
      <c r="C1" s="262">
        <f>NA!AO147</f>
        <v>1.0937616784410671</v>
      </c>
      <c r="D1" s="262">
        <f>NA!AP147</f>
        <v>0.15300712327581723</v>
      </c>
      <c r="E1" s="262">
        <f>NA!AQ147</f>
        <v>-1.426218192717954E-2</v>
      </c>
      <c r="F1" s="262">
        <f>NA!AR147</f>
        <v>7.2066750710376271E-2</v>
      </c>
      <c r="G1" s="262">
        <f>NA!AS147</f>
        <v>7.6676546754945063E-2</v>
      </c>
      <c r="H1" s="262">
        <f>NA!AT147</f>
        <v>4.6605709955305441E-2</v>
      </c>
      <c r="I1" s="262">
        <f>NA!AU147</f>
        <v>8.46438124147737E-2</v>
      </c>
      <c r="J1" s="324">
        <f>NA!AV147</f>
        <v>5.5665956481623535E-2</v>
      </c>
      <c r="K1" s="324">
        <f>NA!AW147</f>
        <v>5.3823461684580076E-2</v>
      </c>
      <c r="L1" s="263">
        <v>7.0430723439884435E-2</v>
      </c>
      <c r="M1" s="263">
        <v>6.4487972012190475E-2</v>
      </c>
      <c r="N1" s="263">
        <v>6.8025869390054172E-2</v>
      </c>
      <c r="O1" s="263">
        <v>7.0061788077364628E-2</v>
      </c>
      <c r="P1" s="263">
        <v>7.2142748552200694E-2</v>
      </c>
      <c r="Q1" s="263">
        <v>7.2999999999999995E-2</v>
      </c>
      <c r="R1" s="263">
        <v>7.4999999999999997E-2</v>
      </c>
      <c r="S1" s="263">
        <f>S73</f>
        <v>7.3741943963407053E-2</v>
      </c>
      <c r="T1" s="263">
        <f>T73</f>
        <v>7.5887738158493701E-2</v>
      </c>
      <c r="U1" s="263">
        <f t="shared" ref="U1:V1" si="0">U73</f>
        <v>7.9163062985012633E-2</v>
      </c>
      <c r="V1" s="263">
        <f t="shared" si="0"/>
        <v>8.1465072834696395E-2</v>
      </c>
    </row>
    <row r="2" spans="1:53" x14ac:dyDescent="0.2">
      <c r="L2" s="378">
        <f>L73</f>
        <v>6.3588860814886905E-2</v>
      </c>
      <c r="M2" s="378">
        <f t="shared" ref="M2:R2" si="1">M73</f>
        <v>7.9045075722513625E-2</v>
      </c>
      <c r="N2" s="378">
        <f t="shared" si="1"/>
        <v>5.1410136208195567E-2</v>
      </c>
      <c r="O2" s="378">
        <f t="shared" si="1"/>
        <v>7.2630600302156401E-2</v>
      </c>
      <c r="P2" s="378">
        <f t="shared" si="1"/>
        <v>6.965132961535736E-2</v>
      </c>
      <c r="Q2" s="378">
        <f t="shared" si="1"/>
        <v>7.0397469530978585E-2</v>
      </c>
      <c r="R2" s="378">
        <f t="shared" si="1"/>
        <v>7.1739363954783641E-2</v>
      </c>
      <c r="S2" s="378">
        <v>8.5000000000000006E-2</v>
      </c>
      <c r="T2" s="378">
        <v>8.5000000000000006E-2</v>
      </c>
      <c r="AR2" s="267">
        <f>NA!AV147</f>
        <v>5.5665956481623535E-2</v>
      </c>
      <c r="AS2" s="267">
        <f>NA!AW147</f>
        <v>5.3823461684580076E-2</v>
      </c>
      <c r="AT2" s="267">
        <f>NA!AX147</f>
        <v>6.3588860814886905E-2</v>
      </c>
      <c r="AU2" s="267">
        <f>NA!AY147</f>
        <v>7.9045075722513625E-2</v>
      </c>
      <c r="AV2" s="267">
        <f>NA!AZ147</f>
        <v>5.1410136208195567E-2</v>
      </c>
    </row>
    <row r="3" spans="1:53" ht="13.5" thickBot="1" x14ac:dyDescent="0.25">
      <c r="D3" s="266"/>
      <c r="N3" s="390">
        <f>NA!AZ84</f>
        <v>61434213.909470528</v>
      </c>
      <c r="O3" s="448">
        <f>NA!AZ85</f>
        <v>43.625354000000002</v>
      </c>
      <c r="P3" s="448">
        <v>40618572.522796243</v>
      </c>
      <c r="Q3" s="754">
        <v>7.0164871154310138E-2</v>
      </c>
      <c r="R3" s="754">
        <v>7.1832047287004874E-2</v>
      </c>
      <c r="V3" s="265">
        <v>100</v>
      </c>
    </row>
    <row r="4" spans="1:53" ht="13.5" thickBot="1" x14ac:dyDescent="0.25">
      <c r="A4" s="268"/>
      <c r="B4" s="269">
        <v>2000</v>
      </c>
      <c r="C4" s="269">
        <v>2001</v>
      </c>
      <c r="D4" s="269">
        <v>2002</v>
      </c>
      <c r="E4" s="269">
        <v>2003</v>
      </c>
      <c r="F4" s="269">
        <v>2004</v>
      </c>
      <c r="G4" s="269">
        <v>2005</v>
      </c>
      <c r="H4" s="269">
        <v>2006</v>
      </c>
      <c r="I4" s="269">
        <v>2007</v>
      </c>
      <c r="J4" s="269">
        <v>2008</v>
      </c>
      <c r="K4" s="269">
        <v>2009</v>
      </c>
      <c r="L4" s="269">
        <v>2010</v>
      </c>
      <c r="M4" s="269">
        <v>2011</v>
      </c>
      <c r="N4" s="269">
        <v>2012</v>
      </c>
      <c r="O4" s="269">
        <v>2013</v>
      </c>
      <c r="P4" s="269">
        <v>2014</v>
      </c>
      <c r="Q4" s="269">
        <v>2015</v>
      </c>
      <c r="R4" s="269">
        <v>2016</v>
      </c>
      <c r="S4" s="269">
        <v>2017</v>
      </c>
      <c r="T4" s="485">
        <v>2018</v>
      </c>
      <c r="U4" s="269">
        <v>2019</v>
      </c>
      <c r="V4" s="485">
        <v>2020</v>
      </c>
      <c r="W4" s="271" t="s">
        <v>91</v>
      </c>
      <c r="X4" s="272" t="s">
        <v>54</v>
      </c>
    </row>
    <row r="5" spans="1:53" x14ac:dyDescent="0.2">
      <c r="A5" s="273" t="s">
        <v>328</v>
      </c>
      <c r="B5" s="274"/>
      <c r="C5" s="274"/>
      <c r="D5" s="274"/>
      <c r="E5" s="274"/>
      <c r="F5" s="273"/>
      <c r="G5" s="273"/>
      <c r="H5" s="273"/>
      <c r="I5" s="274"/>
      <c r="J5" s="273"/>
      <c r="K5" s="273"/>
      <c r="M5" s="266"/>
      <c r="N5" s="266"/>
      <c r="O5" s="266"/>
      <c r="P5" s="266"/>
      <c r="Q5" s="266">
        <v>8.2495998122344538E-2</v>
      </c>
      <c r="R5" s="266">
        <v>9.0112334534964367E-2</v>
      </c>
      <c r="S5" s="266"/>
      <c r="T5" s="401"/>
      <c r="U5" s="265"/>
      <c r="V5" s="264"/>
    </row>
    <row r="6" spans="1:53" x14ac:dyDescent="0.2">
      <c r="A6" s="273" t="s">
        <v>41</v>
      </c>
      <c r="B6" s="274"/>
      <c r="C6" s="274"/>
      <c r="D6" s="274"/>
      <c r="E6" s="274"/>
      <c r="F6" s="273"/>
      <c r="G6" s="273"/>
      <c r="H6" s="273"/>
      <c r="I6" s="274"/>
      <c r="J6" s="273"/>
      <c r="K6" s="273"/>
      <c r="L6" s="273"/>
      <c r="M6" s="273"/>
      <c r="N6" s="273"/>
      <c r="O6" s="273"/>
      <c r="P6" s="273"/>
      <c r="Q6" s="381">
        <v>7.2282440611283499E-2</v>
      </c>
      <c r="R6" s="381">
        <v>7.4093380918870799E-2</v>
      </c>
      <c r="S6" s="381">
        <v>7.6999999999999999E-2</v>
      </c>
      <c r="T6" s="381">
        <v>7.9000000000000001E-2</v>
      </c>
      <c r="U6" s="381">
        <v>0.08</v>
      </c>
      <c r="V6" s="381">
        <v>0.08</v>
      </c>
    </row>
    <row r="7" spans="1:53" x14ac:dyDescent="0.2">
      <c r="A7" s="273" t="s">
        <v>42</v>
      </c>
      <c r="B7" s="274">
        <f>NA!AN147</f>
        <v>4.9337965312953758E-2</v>
      </c>
      <c r="C7" s="274">
        <f>NA!AO147</f>
        <v>1.0937616784410671</v>
      </c>
      <c r="D7" s="274">
        <f>NA!AP147</f>
        <v>0.15300712327581723</v>
      </c>
      <c r="E7" s="274">
        <f>NA!AQ147</f>
        <v>-1.426218192717954E-2</v>
      </c>
      <c r="F7" s="274">
        <f>NA!AR147</f>
        <v>7.2066750710376271E-2</v>
      </c>
      <c r="G7" s="743">
        <f>NA!AS147</f>
        <v>7.6676546754945063E-2</v>
      </c>
      <c r="H7" s="743">
        <f>NA!AT147</f>
        <v>4.6605709955305441E-2</v>
      </c>
      <c r="I7" s="743">
        <f>NA!AU147</f>
        <v>8.46438124147737E-2</v>
      </c>
      <c r="J7" s="743">
        <f>NA!AV147</f>
        <v>5.5665956481623535E-2</v>
      </c>
      <c r="K7" s="743">
        <f>NA!AW147</f>
        <v>5.3823461684580076E-2</v>
      </c>
      <c r="L7" s="744">
        <f>NA!AX147</f>
        <v>6.3588860814886905E-2</v>
      </c>
      <c r="M7" s="744">
        <f>NA!AY147</f>
        <v>7.9045075722513625E-2</v>
      </c>
      <c r="N7" s="744">
        <f>NA!AZ147</f>
        <v>5.1410136208195567E-2</v>
      </c>
      <c r="O7" s="744">
        <f>NA!BA147</f>
        <v>7.2630600302156401E-2</v>
      </c>
      <c r="P7" s="744">
        <f>NA!BB147</f>
        <v>6.965132961535736E-2</v>
      </c>
      <c r="Q7" s="262">
        <f>NA!BC147</f>
        <v>7.0397469530978585E-2</v>
      </c>
      <c r="R7" s="262">
        <f>NA!BD147</f>
        <v>7.1739363954783641E-2</v>
      </c>
      <c r="S7" s="262">
        <f>NA!BE147</f>
        <v>7.3741943963407053E-2</v>
      </c>
      <c r="T7" s="262">
        <f>NA!BF147</f>
        <v>7.5887738158493701E-2</v>
      </c>
      <c r="U7" s="266"/>
      <c r="V7" s="264"/>
    </row>
    <row r="8" spans="1:53" x14ac:dyDescent="0.2">
      <c r="A8" s="273" t="s">
        <v>38</v>
      </c>
      <c r="B8" s="274"/>
      <c r="C8" s="274"/>
      <c r="D8" s="274"/>
      <c r="E8" s="274"/>
      <c r="F8" s="273"/>
      <c r="G8" s="274"/>
      <c r="H8" s="274"/>
      <c r="I8" s="274"/>
      <c r="J8" s="273"/>
      <c r="K8" s="276"/>
      <c r="L8" s="266"/>
      <c r="N8" s="387"/>
      <c r="O8" s="387"/>
      <c r="P8" s="266"/>
      <c r="Q8" s="266"/>
      <c r="R8" s="266"/>
      <c r="U8" s="266"/>
      <c r="AW8" s="277" t="s">
        <v>284</v>
      </c>
    </row>
    <row r="9" spans="1:53" x14ac:dyDescent="0.2">
      <c r="A9" s="273" t="s">
        <v>101</v>
      </c>
      <c r="B9" s="274">
        <f>NA!AN89/NA!AM89-1</f>
        <v>4.4595754109876484E-2</v>
      </c>
      <c r="C9" s="274">
        <f>NA!AO89/NA!AN89-1</f>
        <v>1.1716267149375592</v>
      </c>
      <c r="D9" s="274">
        <f>NA!AP89/NA!AO89-1</f>
        <v>0.30762036023880879</v>
      </c>
      <c r="E9" s="274">
        <f>NA!AQ89/NA!AP89-1</f>
        <v>-0.17584331984214807</v>
      </c>
      <c r="F9" s="274">
        <f>NA!AR89/NA!AQ89-1</f>
        <v>5.4938138632839806E-2</v>
      </c>
      <c r="G9" s="274">
        <f>NA!AS89/NA!AR89-1</f>
        <v>4.41808291545851E-2</v>
      </c>
      <c r="H9" s="274">
        <f>NA!AT89/NA!AS89-1</f>
        <v>2.3502382505385278E-2</v>
      </c>
      <c r="I9" s="274">
        <f>NA!AU89/NA!AT89-1</f>
        <v>2.3636120273636152E-2</v>
      </c>
      <c r="J9" s="274">
        <f>NA!AV89/NA!AU89-1</f>
        <v>7.5010433446762503E-2</v>
      </c>
      <c r="K9" s="274">
        <f>NA!AW89/NA!AV89-1</f>
        <v>5.0999394125534447E-2</v>
      </c>
      <c r="L9" s="274">
        <f>NA!AX89/NA!AW89-1</f>
        <v>2.6952476185411856E-2</v>
      </c>
      <c r="M9" s="274">
        <f>NA!AY89/NA!AX89-1</f>
        <v>3.4730943700381323E-2</v>
      </c>
      <c r="N9" s="274">
        <f>NA!AZ89/NA!AY89-1</f>
        <v>3.2485893499655027E-2</v>
      </c>
      <c r="O9" s="274">
        <f>NA!BA89/NA!AZ89-1</f>
        <v>3.1994608378182132E-2</v>
      </c>
      <c r="P9" s="274">
        <f>NA!BB89/NA!BA89-1</f>
        <v>3.3824619692820912E-2</v>
      </c>
      <c r="Q9" s="274">
        <f>NA!BC89/NA!BB89-1</f>
        <v>3.4500242954864868E-2</v>
      </c>
      <c r="R9" s="274">
        <f>NA!BD89/NA!BC89-1</f>
        <v>2.7670244225407981E-2</v>
      </c>
      <c r="S9" s="274">
        <f>NA!BE89/NA!BD89-1</f>
        <v>3.3926095601584105E-2</v>
      </c>
      <c r="T9" s="274">
        <f>NA!BF89/NA!BE89-1</f>
        <v>3.6480114314634715E-2</v>
      </c>
      <c r="U9" s="377"/>
      <c r="V9" s="458"/>
      <c r="AW9" s="277" t="s">
        <v>101</v>
      </c>
      <c r="AZ9" s="265" t="s">
        <v>101</v>
      </c>
      <c r="BA9" s="278">
        <f>AVERAGE(F9:H9)</f>
        <v>4.0873783430936728E-2</v>
      </c>
    </row>
    <row r="10" spans="1:53" x14ac:dyDescent="0.2">
      <c r="A10" s="279" t="s">
        <v>102</v>
      </c>
      <c r="B10" s="280">
        <v>5.7655582043958375</v>
      </c>
      <c r="C10" s="280">
        <f>(NA!AO246/NA!AN246-1)*100</f>
        <v>185.6193048691427</v>
      </c>
      <c r="D10" s="280">
        <f>(NA!AP246/NA!AO246-1)*100</f>
        <v>5.6367985734437465</v>
      </c>
      <c r="E10" s="280">
        <f>(NA!AQ246/NA!AP246-1)*100</f>
        <v>3.2460545019200815</v>
      </c>
      <c r="F10" s="280">
        <f>(NA!AR246/NA!AQ246-1)*100</f>
        <v>6.6135779916800308</v>
      </c>
      <c r="G10" s="280">
        <f>(NA!AS246/NA!AR246-1)*100</f>
        <v>-38.142637748732177</v>
      </c>
      <c r="H10" s="280">
        <f>(NA!AT246/NA!AS246-1)*100</f>
        <v>-2.0349828977107132</v>
      </c>
      <c r="I10" s="280">
        <f>(NA!AU246/NA!AT246-1)*100</f>
        <v>-1.6258297375594255</v>
      </c>
      <c r="J10" s="280">
        <f>(NA!AV246/NA!AU246-1)*100</f>
        <v>7.8046620990491977</v>
      </c>
      <c r="K10" s="280">
        <f>(NA!AW246/NA!AV246-1)*100</f>
        <v>3.9990748876583604</v>
      </c>
      <c r="L10" s="280">
        <f>(NA!AX246/NA!AW246-1)*100</f>
        <v>5.7630534407585365</v>
      </c>
      <c r="M10" s="280">
        <f>(NA!AY246/NA!AX246-1)*100</f>
        <v>2.7928649663735872</v>
      </c>
      <c r="N10" s="280">
        <f>(NA!AZ246/NA!AY246-1)*100</f>
        <v>4.1885645664024196</v>
      </c>
      <c r="O10" s="280">
        <f>(NA!BA246/NA!AZ246-1)*100</f>
        <v>5.0431388313127767</v>
      </c>
      <c r="P10" s="280">
        <f>(NA!BB246/NA!BA246-1)*100</f>
        <v>3.1714269231598147</v>
      </c>
      <c r="Q10" s="281">
        <f t="shared" ref="Q10:R13" si="2">Q76*Q$138</f>
        <v>4.2205030027032535</v>
      </c>
      <c r="R10" s="281">
        <f t="shared" si="2"/>
        <v>4.2728664126392504</v>
      </c>
      <c r="S10" s="281">
        <f t="shared" ref="S10:T13" si="3">S76*S$138</f>
        <v>4.8922788635903549</v>
      </c>
      <c r="T10" s="281">
        <f t="shared" si="3"/>
        <v>5.5233395101464424</v>
      </c>
      <c r="U10" s="281">
        <f t="shared" ref="U10:V10" si="4">U76*U$138</f>
        <v>6.5581159270983163</v>
      </c>
      <c r="V10" s="281">
        <f t="shared" si="4"/>
        <v>6.8803350384698261</v>
      </c>
      <c r="X10" s="305"/>
      <c r="Y10" s="305"/>
      <c r="Z10" s="305"/>
      <c r="AA10" s="305"/>
      <c r="AB10" s="305"/>
      <c r="AC10" s="305"/>
      <c r="AD10" s="305"/>
      <c r="AW10" s="279" t="s">
        <v>102</v>
      </c>
      <c r="AZ10" s="282" t="s">
        <v>102</v>
      </c>
      <c r="BA10" s="278" t="e">
        <f>AVERAGE(#REF!)</f>
        <v>#REF!</v>
      </c>
    </row>
    <row r="11" spans="1:53" x14ac:dyDescent="0.2">
      <c r="A11" s="279" t="s">
        <v>103</v>
      </c>
      <c r="B11" s="283">
        <v>-0.98330228755980631</v>
      </c>
      <c r="C11" s="280">
        <f>(NA!AO247/NA!AN247-1)*100</f>
        <v>542.80014694645456</v>
      </c>
      <c r="D11" s="280">
        <f>(NA!AP247/NA!AO247-1)*100</f>
        <v>2.8408002646654218</v>
      </c>
      <c r="E11" s="280">
        <f>(NA!AQ247/NA!AP247-1)*100</f>
        <v>2.2224338624338591</v>
      </c>
      <c r="F11" s="280">
        <f>(NA!AR247/NA!AQ247-1)*100</f>
        <v>4.1405711375338772</v>
      </c>
      <c r="G11" s="280">
        <f>(NA!AS247/NA!AR247-1)*100</f>
        <v>-30.172564612326049</v>
      </c>
      <c r="H11" s="280">
        <f>(NA!AT247/NA!AS247-1)*100</f>
        <v>7.3839265837410295</v>
      </c>
      <c r="I11" s="284">
        <f>(NA!AU247/NA!AT247-1)*100</f>
        <v>8.7431219079696412</v>
      </c>
      <c r="J11" s="284">
        <f>(NA!AV247/NA!AU247-1)*100</f>
        <v>7.5860002348311584</v>
      </c>
      <c r="K11" s="284">
        <f>(NA!AW247/NA!AV247-1)*100</f>
        <v>5.296325876273289</v>
      </c>
      <c r="L11" s="284">
        <f>(NA!AX247/NA!AW247-1)*100</f>
        <v>1.156940286348962</v>
      </c>
      <c r="M11" s="284">
        <f>(NA!AY247/NA!AX247-1)*100</f>
        <v>0.11635510539254046</v>
      </c>
      <c r="N11" s="284">
        <f>(NA!AZ247/NA!AY247-1)*100</f>
        <v>1.8292561163802956</v>
      </c>
      <c r="O11" s="284">
        <f>(NA!BA247/NA!AZ247-1)*100</f>
        <v>2.171170043141224</v>
      </c>
      <c r="P11" s="284">
        <f>(NA!BB247/NA!BA247-1)*100</f>
        <v>3.5846273039806587</v>
      </c>
      <c r="Q11" s="281">
        <f t="shared" si="2"/>
        <v>4.4743304794400274</v>
      </c>
      <c r="R11" s="281">
        <f t="shared" si="2"/>
        <v>4.8078900818686954</v>
      </c>
      <c r="S11" s="281">
        <f t="shared" si="3"/>
        <v>5.6301250963531402</v>
      </c>
      <c r="T11" s="281">
        <f t="shared" si="3"/>
        <v>6.0098635366851116</v>
      </c>
      <c r="U11" s="281">
        <f t="shared" ref="U11:V11" si="5">U77*U$138</f>
        <v>6.0598801588389275</v>
      </c>
      <c r="V11" s="281">
        <f t="shared" si="5"/>
        <v>6.2082930127051323</v>
      </c>
      <c r="X11" s="305"/>
      <c r="Y11" s="305"/>
      <c r="Z11" s="305"/>
      <c r="AA11" s="305"/>
      <c r="AB11" s="305"/>
      <c r="AC11" s="305"/>
      <c r="AD11" s="305"/>
      <c r="AW11" s="279" t="s">
        <v>103</v>
      </c>
      <c r="AZ11" s="282" t="s">
        <v>103</v>
      </c>
      <c r="BA11" s="278" t="e">
        <f>AVERAGE(#REF!)</f>
        <v>#REF!</v>
      </c>
    </row>
    <row r="12" spans="1:53" x14ac:dyDescent="0.2">
      <c r="A12" s="279" t="s">
        <v>104</v>
      </c>
      <c r="B12" s="280">
        <v>5.9511395263540212</v>
      </c>
      <c r="C12" s="280">
        <f>(NA!AO248/NA!AN248-1)*100</f>
        <v>237.11463922971095</v>
      </c>
      <c r="D12" s="280">
        <f>(NA!AP248/NA!AO248-1)*100</f>
        <v>3.2690641247833607</v>
      </c>
      <c r="E12" s="280">
        <f>(NA!AQ248/NA!AP248-1)*100</f>
        <v>3.0413895823281356</v>
      </c>
      <c r="F12" s="280">
        <f>(NA!AR248/NA!AQ248-1)*100</f>
        <v>2.7154572180102088</v>
      </c>
      <c r="G12" s="280">
        <f>(NA!AS248/NA!AR248-1)*100</f>
        <v>-31.841768313228648</v>
      </c>
      <c r="H12" s="280">
        <f>(NA!AT248/NA!AS248-1)*100</f>
        <v>7.3657765239572903</v>
      </c>
      <c r="I12" s="284">
        <f>(NA!AU248/NA!AT248-1)*100</f>
        <v>6.3927352561159001</v>
      </c>
      <c r="J12" s="284">
        <f>(NA!AV248/NA!AU248-1)*100</f>
        <v>3.5547343420170296</v>
      </c>
      <c r="K12" s="284">
        <f>(NA!AW248/NA!AV248-1)*100</f>
        <v>5.213740357429586</v>
      </c>
      <c r="L12" s="284">
        <f>(NA!AX248/NA!AW248-1)*100</f>
        <v>3.42034249428389</v>
      </c>
      <c r="M12" s="284">
        <f>(NA!AY248/NA!AX248-1)*100</f>
        <v>3.3439735334315435</v>
      </c>
      <c r="N12" s="284">
        <f>(NA!AZ248/NA!AY248-1)*100</f>
        <v>3.4741160172961916</v>
      </c>
      <c r="O12" s="284">
        <f>(NA!BA248/NA!AZ248-1)*100</f>
        <v>4.7488639550195666</v>
      </c>
      <c r="P12" s="284">
        <f>(NA!BB248/NA!BA248-1)*100</f>
        <v>5.0992902919394956</v>
      </c>
      <c r="Q12" s="281">
        <f t="shared" si="2"/>
        <v>5.5907570673217606</v>
      </c>
      <c r="R12" s="281">
        <f t="shared" si="2"/>
        <v>5.7804874070896863</v>
      </c>
      <c r="S12" s="281">
        <f t="shared" si="3"/>
        <v>5.8692066142065098</v>
      </c>
      <c r="T12" s="281">
        <f t="shared" si="3"/>
        <v>6.0347610026381631</v>
      </c>
      <c r="U12" s="281">
        <f t="shared" ref="U12:V12" si="6">U78*U$138</f>
        <v>6.1361689668579995</v>
      </c>
      <c r="V12" s="281">
        <f t="shared" si="6"/>
        <v>6.2497153795022493</v>
      </c>
      <c r="X12" s="305"/>
      <c r="Y12" s="305"/>
      <c r="Z12" s="305"/>
      <c r="AA12" s="305"/>
      <c r="AB12" s="305"/>
      <c r="AC12" s="305"/>
      <c r="AD12" s="305"/>
      <c r="AW12" s="279" t="s">
        <v>104</v>
      </c>
      <c r="AZ12" s="285" t="s">
        <v>104</v>
      </c>
      <c r="BA12" s="278" t="e">
        <f>AVERAGE(#REF!)</f>
        <v>#REF!</v>
      </c>
    </row>
    <row r="13" spans="1:53" x14ac:dyDescent="0.2">
      <c r="A13" s="286" t="s">
        <v>105</v>
      </c>
      <c r="B13" s="287">
        <v>2.9347403578986686</v>
      </c>
      <c r="C13" s="287">
        <f>(NA!AO249/NA!AN249-1)*100</f>
        <v>123.709641107979</v>
      </c>
      <c r="D13" s="287">
        <f>(NA!AP249/NA!AO249-1)*100</f>
        <v>6.7610308473252667</v>
      </c>
      <c r="E13" s="287">
        <f>(NA!AQ249/NA!AP249-1)*100</f>
        <v>6.0000365744381279</v>
      </c>
      <c r="F13" s="287">
        <f>(NA!AR249/NA!AQ249-1)*100</f>
        <v>6.7001357164216957</v>
      </c>
      <c r="G13" s="287">
        <f>(NA!AS249/NA!AR249-1)*100</f>
        <v>3.3097449108831833</v>
      </c>
      <c r="H13" s="287">
        <f>(NA!AT249/NA!AS249-1)*100</f>
        <v>2.8429475578718444</v>
      </c>
      <c r="I13" s="287">
        <f>(NA!AU249/NA!AT249-1)*100</f>
        <v>0.8728298892119124</v>
      </c>
      <c r="J13" s="287">
        <f>(NA!AV249/NA!AU249-1)*100</f>
        <v>7.2470357979578681</v>
      </c>
      <c r="K13" s="287">
        <f>(NA!AW249/NA!AV249-1)*100</f>
        <v>-1.7982805734895191E-2</v>
      </c>
      <c r="L13" s="287">
        <f>(NA!AX249/NA!AW249-1)*100</f>
        <v>0.90749389993947105</v>
      </c>
      <c r="M13" s="287">
        <f>(NA!AY249/NA!AX249-1)*100</f>
        <v>2.7234893900305757</v>
      </c>
      <c r="N13" s="287">
        <f>(NA!AZ249/NA!AY249-1)*100</f>
        <v>2.8881659731208265</v>
      </c>
      <c r="O13" s="287">
        <f>(NA!BA249/NA!AZ249-1)*100</f>
        <v>5.4795396919493644</v>
      </c>
      <c r="P13" s="287">
        <f>(NA!BB249/NA!BA249-1)*100</f>
        <v>2.0002893474834638</v>
      </c>
      <c r="Q13" s="281">
        <f t="shared" si="2"/>
        <v>2.7431499103354828</v>
      </c>
      <c r="R13" s="281">
        <f t="shared" si="2"/>
        <v>3.4227639716962588</v>
      </c>
      <c r="S13" s="281">
        <f t="shared" si="3"/>
        <v>3.5688280768232228</v>
      </c>
      <c r="T13" s="281">
        <f t="shared" si="3"/>
        <v>4.0620083378321397</v>
      </c>
      <c r="U13" s="281">
        <f t="shared" ref="U13:V13" si="7">U79*U$138</f>
        <v>3.2512273453716674</v>
      </c>
      <c r="V13" s="281">
        <f t="shared" si="7"/>
        <v>3.2559979698490906</v>
      </c>
      <c r="X13" s="305"/>
      <c r="Y13" s="305"/>
      <c r="Z13" s="305"/>
      <c r="AA13" s="305"/>
      <c r="AB13" s="305"/>
      <c r="AC13" s="305"/>
      <c r="AD13" s="305"/>
      <c r="AE13" s="305"/>
      <c r="AF13" s="305"/>
      <c r="AG13" s="305"/>
      <c r="AW13" s="277" t="s">
        <v>105</v>
      </c>
      <c r="AZ13" s="289" t="s">
        <v>105</v>
      </c>
      <c r="BA13" s="278" t="e">
        <f>AVERAGE(#REF!)</f>
        <v>#REF!</v>
      </c>
    </row>
    <row r="14" spans="1:53" s="305" customFormat="1" x14ac:dyDescent="0.2">
      <c r="A14" s="396" t="s">
        <v>106</v>
      </c>
      <c r="B14" s="397"/>
      <c r="C14" s="397"/>
      <c r="D14" s="397"/>
      <c r="E14" s="397"/>
      <c r="F14" s="397"/>
      <c r="G14" s="397"/>
      <c r="H14" s="397"/>
      <c r="I14" s="397"/>
      <c r="J14" s="397"/>
      <c r="K14" s="397"/>
      <c r="L14" s="397"/>
      <c r="M14" s="397"/>
      <c r="N14" s="397"/>
      <c r="O14" s="397"/>
      <c r="P14" s="397"/>
      <c r="Q14" s="397"/>
      <c r="R14" s="397"/>
      <c r="S14" s="397"/>
      <c r="T14" s="397"/>
      <c r="U14" s="398"/>
      <c r="V14" s="288"/>
      <c r="W14" s="265"/>
      <c r="AW14" s="396" t="s">
        <v>106</v>
      </c>
      <c r="AZ14" s="305" t="s">
        <v>106</v>
      </c>
      <c r="BA14" s="278"/>
    </row>
    <row r="15" spans="1:53" x14ac:dyDescent="0.2">
      <c r="A15" s="279" t="s">
        <v>39</v>
      </c>
      <c r="B15" s="280">
        <v>14.327592524734346</v>
      </c>
      <c r="C15" s="280">
        <f>(NA!AO251/NA!AN251-1)*100</f>
        <v>283.12267656397813</v>
      </c>
      <c r="D15" s="280">
        <f>(NA!AP251/NA!AO251-1)*100</f>
        <v>16.890341857368774</v>
      </c>
      <c r="E15" s="280">
        <f>(NA!AQ251/NA!AP251-1)*100</f>
        <v>17.112299465240643</v>
      </c>
      <c r="F15" s="280">
        <f>(NA!AR251/NA!AQ251-1)*100</f>
        <v>15.981735159817333</v>
      </c>
      <c r="G15" s="280">
        <f>(NA!AS251/NA!AR251-1)*100</f>
        <v>16.141732283464584</v>
      </c>
      <c r="H15" s="280">
        <f>(NA!AT251/NA!AS251-1)*100</f>
        <v>-13.669242787739444</v>
      </c>
      <c r="I15" s="280">
        <f>(NA!AU251/NA!AT251-1)*100</f>
        <v>9.2378969032867566</v>
      </c>
      <c r="J15" s="280">
        <f>(NA!AV251/NA!AU251-1)*100</f>
        <v>-9.7778533632606131</v>
      </c>
      <c r="K15" s="280">
        <f>(NA!AW251/NA!AV251-1)*100</f>
        <v>18.68643433493493</v>
      </c>
      <c r="L15" s="280">
        <f>(NA!AX251/NA!AW251-1)*100</f>
        <v>7.251268279809997</v>
      </c>
      <c r="M15" s="280">
        <f>(NA!AY251/NA!AX251-1)*100</f>
        <v>6.2844686607593125</v>
      </c>
      <c r="N15" s="280">
        <f>(NA!AZ251/NA!AY251-1)*100</f>
        <v>6.658333132616856</v>
      </c>
      <c r="O15" s="280">
        <f>(NA!BA251/NA!AZ251-1)*100</f>
        <v>3.8611419402613922</v>
      </c>
      <c r="P15" s="280">
        <f>(NA!BB251/NA!BA251-1)*100</f>
        <v>9.369080359717664</v>
      </c>
      <c r="Q15" s="281">
        <f t="shared" ref="Q15:T19" si="8">Q81*Q$138</f>
        <v>8.1574169994685235</v>
      </c>
      <c r="R15" s="281">
        <f t="shared" si="8"/>
        <v>8.3406063560869281</v>
      </c>
      <c r="S15" s="281">
        <f t="shared" ref="S15:T18" si="9">S81*S$138</f>
        <v>8.3533197984512437</v>
      </c>
      <c r="T15" s="281">
        <f t="shared" si="9"/>
        <v>8.5644806888214919</v>
      </c>
      <c r="U15" s="281">
        <f t="shared" ref="U15:V15" si="10">U81*U$138</f>
        <v>8.5569098477159109</v>
      </c>
      <c r="V15" s="281">
        <f t="shared" si="10"/>
        <v>7.8256441448347891</v>
      </c>
      <c r="X15" s="305"/>
      <c r="Y15" s="305"/>
      <c r="Z15" s="305"/>
      <c r="AA15" s="305"/>
      <c r="AB15" s="305"/>
      <c r="AC15" s="305"/>
      <c r="AD15" s="305"/>
      <c r="AE15" s="305"/>
      <c r="AF15" s="305"/>
      <c r="AG15" s="305"/>
      <c r="AH15" s="305"/>
      <c r="AW15" s="279" t="s">
        <v>39</v>
      </c>
      <c r="AZ15" s="285" t="s">
        <v>39</v>
      </c>
      <c r="BA15" s="278" t="e">
        <f>AVERAGE(#REF!)</f>
        <v>#REF!</v>
      </c>
    </row>
    <row r="16" spans="1:53" x14ac:dyDescent="0.2">
      <c r="A16" s="279" t="s">
        <v>40</v>
      </c>
      <c r="B16" s="280">
        <v>4.8047926724747336</v>
      </c>
      <c r="C16" s="280">
        <f>(NA!AO252/NA!AN252-1)*100</f>
        <v>52.383509526301197</v>
      </c>
      <c r="D16" s="280">
        <f>(NA!AP252/NA!AO252-1)*100</f>
        <v>7.4501573976915036</v>
      </c>
      <c r="E16" s="280">
        <f>(NA!AQ252/NA!AP252-1)*100</f>
        <v>9.0087890624999787</v>
      </c>
      <c r="F16" s="280">
        <f>(NA!AR252/NA!AQ252-1)*100</f>
        <v>9.4064949608062776</v>
      </c>
      <c r="G16" s="280">
        <f>(NA!AS252/NA!AR252-1)*100</f>
        <v>9.6212896622313249</v>
      </c>
      <c r="H16" s="280">
        <f>(NA!AT252/NA!AS252-1)*100</f>
        <v>8.4349561608198833</v>
      </c>
      <c r="I16" s="280">
        <f>(NA!AU252/NA!AT252-1)*100</f>
        <v>11.506616020331517</v>
      </c>
      <c r="J16" s="280">
        <f>(NA!AV252/NA!AU252-1)*100</f>
        <v>11.382970369590662</v>
      </c>
      <c r="K16" s="280">
        <f>(NA!AW252/NA!AV252-1)*100</f>
        <v>4.688164238738457</v>
      </c>
      <c r="L16" s="280">
        <f>(NA!AX252/NA!AW252-1)*100</f>
        <v>8.9491455010832777</v>
      </c>
      <c r="M16" s="280">
        <f>(NA!AY252/NA!AX252-1)*100</f>
        <v>6.9389098069494892</v>
      </c>
      <c r="N16" s="280">
        <f>(NA!AZ252/NA!AY252-1)*100</f>
        <v>4.1141457468793385</v>
      </c>
      <c r="O16" s="280">
        <f>(NA!BA252/NA!AZ252-1)*100</f>
        <v>6.4756457459789862</v>
      </c>
      <c r="P16" s="280">
        <f>(NA!BB252/NA!BA252-1)*100</f>
        <v>6.8136894380550928</v>
      </c>
      <c r="Q16" s="281">
        <f t="shared" si="8"/>
        <v>6.9350516280610464</v>
      </c>
      <c r="R16" s="281">
        <f t="shared" si="8"/>
        <v>7.0066483446336978</v>
      </c>
      <c r="S16" s="281">
        <f t="shared" si="9"/>
        <v>7.0650314199560533</v>
      </c>
      <c r="T16" s="281">
        <f t="shared" si="9"/>
        <v>7.2273897101535232</v>
      </c>
      <c r="U16" s="281">
        <f t="shared" ref="U16:V16" si="11">U82*U$138</f>
        <v>7.3356259683720442</v>
      </c>
      <c r="V16" s="281">
        <f t="shared" si="11"/>
        <v>7.6715334412437981</v>
      </c>
      <c r="X16" s="305"/>
      <c r="Y16" s="305"/>
      <c r="Z16" s="305"/>
      <c r="AA16" s="305"/>
      <c r="AB16" s="305"/>
      <c r="AC16" s="305"/>
      <c r="AD16" s="309"/>
      <c r="AE16" s="309"/>
      <c r="AF16" s="309"/>
      <c r="AG16" s="309"/>
      <c r="AH16" s="309"/>
      <c r="AI16" s="309"/>
      <c r="AW16" s="279" t="s">
        <v>40</v>
      </c>
      <c r="AZ16" s="285" t="s">
        <v>40</v>
      </c>
      <c r="BA16" s="278" t="e">
        <f>AVERAGE(#REF!)</f>
        <v>#REF!</v>
      </c>
    </row>
    <row r="17" spans="1:53" x14ac:dyDescent="0.2">
      <c r="A17" s="279" t="s">
        <v>107</v>
      </c>
      <c r="B17" s="280">
        <v>6.1752305213724989</v>
      </c>
      <c r="C17" s="280">
        <f>(NA!AO253/NA!AN253-1)*100</f>
        <v>-13.618650578345592</v>
      </c>
      <c r="D17" s="280">
        <f>(NA!AP253/NA!AO253-1)*100</f>
        <v>6.166819059229911</v>
      </c>
      <c r="E17" s="280">
        <f>(NA!AQ253/NA!AP253-1)*100</f>
        <v>7.1545454545454579</v>
      </c>
      <c r="F17" s="280">
        <f>(NA!AR253/NA!AQ253-1)*100</f>
        <v>7.4814804892098019</v>
      </c>
      <c r="G17" s="280">
        <f>(NA!AS253/NA!AR253-1)*100</f>
        <v>9.3515795071206664</v>
      </c>
      <c r="H17" s="283">
        <f>(NA!AT253/NA!AS253-1)*100</f>
        <v>-8.7163649902644469</v>
      </c>
      <c r="I17" s="280">
        <f>(NA!AU253/NA!AT253-1)*100</f>
        <v>18.72022121133492</v>
      </c>
      <c r="J17" s="280">
        <f>(NA!AV253/NA!AU253-1)*100</f>
        <v>8.0552920589752155</v>
      </c>
      <c r="K17" s="280">
        <f>(NA!AW253/NA!AV253-1)*100</f>
        <v>4.2723022534147059</v>
      </c>
      <c r="L17" s="280">
        <f>(NA!AX253/NA!AW253-1)*100</f>
        <v>13.406434443735925</v>
      </c>
      <c r="M17" s="280">
        <f>(NA!AY253/NA!AX253-1)*100</f>
        <v>-4.3211652935597034</v>
      </c>
      <c r="N17" s="280">
        <f>(NA!AZ253/NA!AY253-1)*100</f>
        <v>3.3087779455540201</v>
      </c>
      <c r="O17" s="280">
        <f>(NA!BA253/NA!AZ253-1)*100</f>
        <v>13.02791654792177</v>
      </c>
      <c r="P17" s="280">
        <f>(NA!BB253/NA!BA253-1)*100</f>
        <v>9.3439717742147099</v>
      </c>
      <c r="Q17" s="281">
        <f t="shared" si="8"/>
        <v>9.3410661874507781</v>
      </c>
      <c r="R17" s="281">
        <f t="shared" si="8"/>
        <v>8.9493748188755031</v>
      </c>
      <c r="S17" s="281">
        <f t="shared" si="9"/>
        <v>8.8080570975362242</v>
      </c>
      <c r="T17" s="281">
        <f t="shared" si="9"/>
        <v>8.9248147919416692</v>
      </c>
      <c r="U17" s="281">
        <f t="shared" ref="U17:V17" si="12">U83*U$138</f>
        <v>9.3129983196431603</v>
      </c>
      <c r="V17" s="281">
        <f t="shared" si="12"/>
        <v>9.425028978895817</v>
      </c>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99" t="s">
        <v>107</v>
      </c>
      <c r="AX17" s="305"/>
      <c r="AZ17" s="285" t="s">
        <v>107</v>
      </c>
      <c r="BA17" s="278" t="e">
        <f>AVERAGE(#REF!)</f>
        <v>#REF!</v>
      </c>
    </row>
    <row r="18" spans="1:53" x14ac:dyDescent="0.2">
      <c r="A18" s="279" t="s">
        <v>108</v>
      </c>
      <c r="B18" s="280">
        <v>3.8414148003189208</v>
      </c>
      <c r="C18" s="280">
        <f>(NA!AO254/NA!AN254-1)*100</f>
        <v>652.41793620101271</v>
      </c>
      <c r="D18" s="280">
        <f>(NA!AP254/NA!AO254-1)*100</f>
        <v>2.837591240875903</v>
      </c>
      <c r="E18" s="280">
        <f>(NA!AQ254/NA!AP254-1)*100</f>
        <v>4.5337592050394893</v>
      </c>
      <c r="F18" s="280">
        <f>(NA!AR254/NA!AQ254-1)*100</f>
        <v>5.1540485486335053</v>
      </c>
      <c r="G18" s="280">
        <f>(NA!AS254/NA!AR254-1)*100</f>
        <v>-28.532800613435029</v>
      </c>
      <c r="H18" s="280">
        <f>(NA!AT254/NA!AS254-1)*100</f>
        <v>3.0836492446603136</v>
      </c>
      <c r="I18" s="284">
        <f>(NA!AU254/NA!AT254-1)*100</f>
        <v>-6.2894695498822317</v>
      </c>
      <c r="J18" s="284">
        <f>(NA!AV254/NA!AU254-1)*100</f>
        <v>2.3282616937038592</v>
      </c>
      <c r="K18" s="284">
        <f>(NA!AW254/NA!AV254-1)*100</f>
        <v>3.2991552789043643</v>
      </c>
      <c r="L18" s="284">
        <f>(NA!AX254/NA!AW254-1)*100</f>
        <v>3.6460677212836634</v>
      </c>
      <c r="M18" s="284">
        <f>(NA!AY254/NA!AX254-1)*100</f>
        <v>-1.2480878109254356</v>
      </c>
      <c r="N18" s="284">
        <f>(NA!AZ254/NA!AY254-1)*100</f>
        <v>2.8292568664190165</v>
      </c>
      <c r="O18" s="284">
        <f>(NA!BA254/NA!AZ254-1)*100</f>
        <v>2.6549626737814913</v>
      </c>
      <c r="P18" s="284">
        <f>(NA!BB254/NA!BA254-1)*100</f>
        <v>3.7333455902639257</v>
      </c>
      <c r="Q18" s="281">
        <f t="shared" si="8"/>
        <v>3.9020361082868478</v>
      </c>
      <c r="R18" s="281">
        <f t="shared" si="8"/>
        <v>3.9200459242527099</v>
      </c>
      <c r="S18" s="281">
        <f t="shared" si="9"/>
        <v>4.0134399702346739</v>
      </c>
      <c r="T18" s="281">
        <f t="shared" si="9"/>
        <v>4.2152858756851632</v>
      </c>
      <c r="U18" s="281">
        <f t="shared" ref="U18:V18" si="13">U84*U$138</f>
        <v>4.2972519035924028</v>
      </c>
      <c r="V18" s="281">
        <f t="shared" si="13"/>
        <v>4.3333149517729979</v>
      </c>
      <c r="X18" s="305"/>
      <c r="Y18" s="305"/>
      <c r="Z18" s="305"/>
      <c r="AA18" s="305"/>
      <c r="AB18" s="305"/>
      <c r="AC18" s="305"/>
      <c r="AD18" s="305"/>
      <c r="AW18" s="279" t="s">
        <v>108</v>
      </c>
      <c r="AZ18" s="285" t="s">
        <v>108</v>
      </c>
      <c r="BA18" s="278" t="e">
        <f>AVERAGE(#REF!)</f>
        <v>#REF!</v>
      </c>
    </row>
    <row r="19" spans="1:53" x14ac:dyDescent="0.2">
      <c r="A19" s="279" t="s">
        <v>109</v>
      </c>
      <c r="B19" s="280">
        <v>7.3976833145916743E-2</v>
      </c>
      <c r="C19" s="280">
        <f>(NA!AO255/NA!AN255-1)*100</f>
        <v>166.64448963122391</v>
      </c>
      <c r="D19" s="280">
        <f>(NA!AP255/NA!AO255-1)*100</f>
        <v>11.855778535066674</v>
      </c>
      <c r="E19" s="280">
        <f>(NA!AQ255/NA!AP255-1)*100</f>
        <v>13.777410012412105</v>
      </c>
      <c r="F19" s="280">
        <f>(NA!AR255/NA!AQ255-1)*100</f>
        <v>12.951074380165274</v>
      </c>
      <c r="G19" s="280">
        <f>(NA!AS255/NA!AR255-1)*100</f>
        <v>-5.7818360943714397</v>
      </c>
      <c r="H19" s="280">
        <f>(NA!AT255/NA!AS255-1)*100</f>
        <v>17.885363040166482</v>
      </c>
      <c r="I19" s="284">
        <f>(NA!AU255/NA!AT255-1)*100</f>
        <v>13.092169564395828</v>
      </c>
      <c r="J19" s="284">
        <f>(NA!AV255/NA!AU255-1)*100</f>
        <v>9.5876799603264562</v>
      </c>
      <c r="K19" s="284">
        <f>(NA!AW255/NA!AV255-1)*100</f>
        <v>-3.429178311627612</v>
      </c>
      <c r="L19" s="284">
        <f>(NA!AX255/NA!AW255-1)*100</f>
        <v>10.321262589764469</v>
      </c>
      <c r="M19" s="284">
        <f>(NA!AY255/NA!AX255-1)*100</f>
        <v>21.919982629671765</v>
      </c>
      <c r="N19" s="284">
        <f>(NA!AZ255/NA!AY255-1)*100</f>
        <v>3.2508393450087603</v>
      </c>
      <c r="O19" s="284">
        <f>(NA!BA255/NA!AZ255-1)*100</f>
        <v>13.884844266566843</v>
      </c>
      <c r="P19" s="284">
        <f>(NA!BB255/NA!BA255-1)*100</f>
        <v>15.86709099931587</v>
      </c>
      <c r="Q19" s="281">
        <f t="shared" si="8"/>
        <v>13.287766920701447</v>
      </c>
      <c r="R19" s="281">
        <f t="shared" si="8"/>
        <v>13.329034304715435</v>
      </c>
      <c r="S19" s="281">
        <f t="shared" si="8"/>
        <v>13.377341597493084</v>
      </c>
      <c r="T19" s="281">
        <f t="shared" si="8"/>
        <v>13.575331126144718</v>
      </c>
      <c r="U19" s="281">
        <f t="shared" ref="U19:V19" si="14">U85*U$138</f>
        <v>13.810025540767947</v>
      </c>
      <c r="V19" s="281">
        <f t="shared" si="14"/>
        <v>14.088968787366801</v>
      </c>
      <c r="X19" s="305"/>
      <c r="Y19" s="305"/>
      <c r="Z19" s="305"/>
      <c r="AA19" s="305"/>
      <c r="AB19" s="305"/>
      <c r="AC19" s="305"/>
      <c r="AD19" s="305"/>
      <c r="AE19" s="305"/>
      <c r="AF19" s="305"/>
      <c r="AG19" s="305"/>
      <c r="AH19" s="305"/>
      <c r="AI19" s="305"/>
      <c r="AJ19" s="305"/>
      <c r="AK19" s="305"/>
      <c r="AL19" s="305"/>
      <c r="AM19" s="305"/>
      <c r="AN19" s="305"/>
      <c r="AO19" s="305"/>
      <c r="AP19" s="305"/>
      <c r="AQ19" s="305"/>
      <c r="AW19" s="279" t="s">
        <v>109</v>
      </c>
      <c r="AZ19" s="285" t="s">
        <v>109</v>
      </c>
      <c r="BA19" s="278" t="e">
        <f>AVERAGE(#REF!)</f>
        <v>#REF!</v>
      </c>
    </row>
    <row r="20" spans="1:53" x14ac:dyDescent="0.2">
      <c r="A20" s="277" t="s">
        <v>110</v>
      </c>
      <c r="B20" s="291"/>
      <c r="C20" s="291"/>
      <c r="D20" s="291"/>
      <c r="E20" s="291"/>
      <c r="F20" s="291"/>
      <c r="G20" s="291"/>
      <c r="H20" s="291"/>
      <c r="I20" s="291"/>
      <c r="J20" s="280">
        <f>(NA!AV256/NA!AU256-1)*100</f>
        <v>4.2276288791520011</v>
      </c>
      <c r="K20" s="280">
        <f>(NA!AW256/NA!AV256-1)*100</f>
        <v>5.8177975363376211</v>
      </c>
      <c r="L20" s="280">
        <f>(NA!AX256/NA!AW256-1)*100</f>
        <v>7.8208732981329687</v>
      </c>
      <c r="M20" s="280">
        <f>(NA!AY256/NA!AX256-1)*100</f>
        <v>8.4382307107986101</v>
      </c>
      <c r="N20" s="280">
        <f>(NA!AZ256/NA!AY256-1)*100</f>
        <v>7.2567903308099035</v>
      </c>
      <c r="O20" s="280">
        <f>(NA!BA256/NA!AZ256-1)*100</f>
        <v>7.1508131110607387</v>
      </c>
      <c r="P20" s="280">
        <f>(NA!BB256/NA!BA256-1)*100</f>
        <v>7.2338201213135056</v>
      </c>
      <c r="Q20" s="280">
        <f>(NA!BC256/NA!BB256-1)*100</f>
        <v>7.3970029346490218</v>
      </c>
      <c r="R20" s="280">
        <f>(NA!BD256/NA!BC256-1)*100</f>
        <v>7.5585515646090506</v>
      </c>
      <c r="S20" s="280"/>
      <c r="T20" s="280"/>
      <c r="U20" s="377"/>
      <c r="V20" s="288"/>
      <c r="W20" s="305"/>
      <c r="X20" s="305"/>
      <c r="Y20" s="305"/>
      <c r="Z20" s="305"/>
      <c r="AA20" s="305"/>
      <c r="AB20" s="305"/>
      <c r="AC20" s="305"/>
      <c r="AD20" s="305"/>
      <c r="AE20" s="305"/>
      <c r="AF20" s="305"/>
      <c r="AG20" s="305"/>
      <c r="AW20" s="277" t="s">
        <v>110</v>
      </c>
      <c r="AZ20" s="293" t="s">
        <v>110</v>
      </c>
      <c r="BA20" s="278" t="e">
        <f>AVERAGE(#REF!)</f>
        <v>#REF!</v>
      </c>
    </row>
    <row r="21" spans="1:53" x14ac:dyDescent="0.2">
      <c r="A21" s="279" t="s">
        <v>111</v>
      </c>
      <c r="B21" s="280">
        <v>4.3165231236610424</v>
      </c>
      <c r="C21" s="280">
        <f>(NA!AO257/NA!AN257-1)*100</f>
        <v>36.315173461061455</v>
      </c>
      <c r="D21" s="280">
        <f>(NA!AP257/NA!AO257-1)*100</f>
        <v>8.348600816539097</v>
      </c>
      <c r="E21" s="280">
        <f>(NA!AQ257/NA!AP257-1)*100</f>
        <v>9.6878452866230091</v>
      </c>
      <c r="F21" s="280">
        <f>(NA!AR257/NA!AQ257-1)*100</f>
        <v>5.7788372751472972</v>
      </c>
      <c r="G21" s="280">
        <f>(NA!AS257/NA!AR257-1)*100</f>
        <v>12.429482495995959</v>
      </c>
      <c r="H21" s="280">
        <f>(NA!AT257/NA!AS257-1)*100</f>
        <v>9.4460974642436302</v>
      </c>
      <c r="I21" s="280">
        <f>(NA!AU257/NA!AT257-1)*100</f>
        <v>12.901250988105861</v>
      </c>
      <c r="J21" s="280">
        <f>(NA!AV257/NA!AU257-1)*100</f>
        <v>6.4943784802043547</v>
      </c>
      <c r="K21" s="280">
        <f>(NA!AW257/NA!AV257-1)*100</f>
        <v>2.7083589948030173</v>
      </c>
      <c r="L21" s="280">
        <f>(NA!AX257/NA!AW257-1)*100</f>
        <v>9.9652471489039876</v>
      </c>
      <c r="M21" s="280">
        <f>(NA!AY257/NA!AX257-1)*100</f>
        <v>11.29813429737332</v>
      </c>
      <c r="N21" s="280">
        <f>(NA!AZ257/NA!AY257-1)*100</f>
        <v>3.7820433816220245</v>
      </c>
      <c r="O21" s="280">
        <f>(NA!BA257/NA!AZ257-1)*100</f>
        <v>4.4801530083172336</v>
      </c>
      <c r="P21" s="280">
        <f>(NA!BB257/NA!BA257-1)*100</f>
        <v>10.000000000000009</v>
      </c>
      <c r="Q21" s="281">
        <f t="shared" ref="Q21:R25" si="15">Q87*Q$138</f>
        <v>10.027271360234735</v>
      </c>
      <c r="R21" s="281">
        <f t="shared" si="15"/>
        <v>10.120420455102794</v>
      </c>
      <c r="S21" s="281">
        <f t="shared" ref="S21:T25" si="16">S87*S$138</f>
        <v>10.119238935545535</v>
      </c>
      <c r="T21" s="281">
        <f t="shared" si="16"/>
        <v>10.112675065573102</v>
      </c>
      <c r="U21" s="281">
        <f t="shared" ref="U21:V21" si="17">U87*U$138</f>
        <v>11.447008658718142</v>
      </c>
      <c r="V21" s="281">
        <f t="shared" si="17"/>
        <v>11.503239995694239</v>
      </c>
      <c r="X21" s="305"/>
      <c r="Y21" s="305"/>
      <c r="Z21" s="305"/>
      <c r="AA21" s="305"/>
      <c r="AB21" s="305"/>
      <c r="AC21" s="305"/>
      <c r="AD21" s="305"/>
      <c r="AE21" s="305"/>
      <c r="AF21" s="305"/>
      <c r="AW21" s="279" t="s">
        <v>111</v>
      </c>
      <c r="AZ21" s="285" t="s">
        <v>111</v>
      </c>
      <c r="BA21" s="278"/>
    </row>
    <row r="22" spans="1:53" x14ac:dyDescent="0.2">
      <c r="A22" s="279" t="s">
        <v>112</v>
      </c>
      <c r="B22" s="280">
        <v>4.1426086956521724</v>
      </c>
      <c r="C22" s="280">
        <f>(NA!AO258/NA!AN258-1)*100</f>
        <v>54.744555418462014</v>
      </c>
      <c r="D22" s="280">
        <f>(NA!AP258/NA!AO258-1)*100</f>
        <v>6.4483739610643021</v>
      </c>
      <c r="E22" s="280">
        <f>(NA!AQ258/NA!AP258-1)*100</f>
        <v>3.24671921905062</v>
      </c>
      <c r="F22" s="280">
        <f>(NA!AR258/NA!AQ258-1)*100</f>
        <v>3.5876390318885232</v>
      </c>
      <c r="G22" s="280">
        <f>(NA!AS258/NA!AR258-1)*100</f>
        <v>5.6489997620148058</v>
      </c>
      <c r="H22" s="280">
        <f>(NA!AT258/NA!AS258-1)*100</f>
        <v>3.4494523318304271</v>
      </c>
      <c r="I22" s="280">
        <f>(NA!AU258/NA!AT258-1)*100</f>
        <v>4.5095849465601301</v>
      </c>
      <c r="J22" s="280">
        <f>(NA!AV258/NA!AU258-1)*100</f>
        <v>3.2987625121484676</v>
      </c>
      <c r="K22" s="280">
        <f>(NA!AW258/NA!AV258-1)*100</f>
        <v>1.0232930774115356</v>
      </c>
      <c r="L22" s="280">
        <f>(NA!AX258/NA!AW258-1)*100</f>
        <v>3.6874891000535204</v>
      </c>
      <c r="M22" s="280">
        <f>(NA!AY258/NA!AX258-1)*100</f>
        <v>4.147874740560642</v>
      </c>
      <c r="N22" s="280">
        <f>(NA!AZ258/NA!AY258-1)*100</f>
        <v>6.7059847187936672</v>
      </c>
      <c r="O22" s="280">
        <f>(NA!BA258/NA!AZ258-1)*100</f>
        <v>2.7823540056456819</v>
      </c>
      <c r="P22" s="280">
        <f>(NA!BB258/NA!BA258-1)*100</f>
        <v>2.2471289451485355</v>
      </c>
      <c r="Q22" s="281">
        <f t="shared" si="15"/>
        <v>2.1915590642438909</v>
      </c>
      <c r="R22" s="281">
        <f t="shared" si="15"/>
        <v>2.3267769817132375</v>
      </c>
      <c r="S22" s="281">
        <f t="shared" si="16"/>
        <v>2.4939184241242431</v>
      </c>
      <c r="T22" s="281">
        <f t="shared" si="16"/>
        <v>2.5701775818439665</v>
      </c>
      <c r="U22" s="281">
        <f t="shared" ref="U22:V22" si="18">U88*U$138</f>
        <v>2.8461814580596068</v>
      </c>
      <c r="V22" s="281">
        <f t="shared" si="18"/>
        <v>2.782029726486678</v>
      </c>
      <c r="X22" s="305"/>
      <c r="Y22" s="305"/>
      <c r="Z22" s="305"/>
      <c r="AA22" s="305"/>
      <c r="AB22" s="305"/>
      <c r="AC22" s="305"/>
      <c r="AD22" s="305"/>
      <c r="AE22" s="305"/>
      <c r="AF22" s="305"/>
      <c r="AW22" s="279" t="s">
        <v>112</v>
      </c>
      <c r="AZ22" s="285" t="s">
        <v>112</v>
      </c>
      <c r="BA22" s="278" t="e">
        <f>AVERAGE(#REF!)</f>
        <v>#REF!</v>
      </c>
    </row>
    <row r="23" spans="1:53" x14ac:dyDescent="0.2">
      <c r="A23" s="279" t="s">
        <v>113</v>
      </c>
      <c r="B23" s="280">
        <v>4.3388309080208298</v>
      </c>
      <c r="C23" s="280">
        <f>(NA!AO259/NA!AN259-1)*100</f>
        <v>135.94237481361864</v>
      </c>
      <c r="D23" s="280">
        <f>(NA!AP259/NA!AO259-1)*100</f>
        <v>5.941338063737267</v>
      </c>
      <c r="E23" s="280">
        <f>(NA!AQ259/NA!AP259-1)*100</f>
        <v>5.0195736434108573</v>
      </c>
      <c r="F23" s="280">
        <f>(NA!AR259/NA!AQ259-1)*100</f>
        <v>8.6128278043406503</v>
      </c>
      <c r="G23" s="280">
        <f>(NA!AS259/NA!AR259-1)*100</f>
        <v>6.6902377610971397</v>
      </c>
      <c r="H23" s="280">
        <f>(NA!AT259/NA!AS259-1)*100</f>
        <v>9.1044685396142189</v>
      </c>
      <c r="I23" s="280">
        <f>(NA!AU259/NA!AT259-1)*100</f>
        <v>2.0305812509624266</v>
      </c>
      <c r="J23" s="280">
        <f>(NA!AV259/NA!AU259-1)*100</f>
        <v>1.8048793234305416</v>
      </c>
      <c r="K23" s="280">
        <f>(NA!AW259/NA!AV259-1)*100</f>
        <v>6.9467053181534677</v>
      </c>
      <c r="L23" s="280">
        <f>(NA!AX259/NA!AW259-1)*100</f>
        <v>10.723490969610051</v>
      </c>
      <c r="M23" s="280">
        <f>(NA!AY259/NA!AX259-1)*100</f>
        <v>4.4335272118620095</v>
      </c>
      <c r="N23" s="280">
        <f>(NA!AZ259/NA!AY259-1)*100</f>
        <v>4.1582743748312057</v>
      </c>
      <c r="O23" s="280">
        <f>(NA!BA259/NA!AZ259-1)*100</f>
        <v>12.203681631176222</v>
      </c>
      <c r="P23" s="280">
        <f>(NA!BB259/NA!BA259-1)*100</f>
        <v>12.5</v>
      </c>
      <c r="Q23" s="281">
        <f t="shared" si="15"/>
        <v>12.559515760162471</v>
      </c>
      <c r="R23" s="281">
        <f t="shared" si="15"/>
        <v>12.705170728536912</v>
      </c>
      <c r="S23" s="281">
        <f t="shared" si="16"/>
        <v>12.834308915322344</v>
      </c>
      <c r="T23" s="281">
        <f t="shared" si="16"/>
        <v>12.870956564178423</v>
      </c>
      <c r="U23" s="281">
        <f t="shared" ref="U23:V23" si="19">U89*U$138</f>
        <v>12.892365580689466</v>
      </c>
      <c r="V23" s="281">
        <f t="shared" si="19"/>
        <v>12.961752819857274</v>
      </c>
      <c r="X23" s="288"/>
      <c r="Y23" s="288"/>
      <c r="Z23" s="288"/>
      <c r="AA23" s="288"/>
      <c r="AB23" s="288"/>
      <c r="AC23" s="288"/>
      <c r="AD23" s="288"/>
      <c r="AE23" s="288"/>
      <c r="AF23" s="288"/>
      <c r="AG23" s="288"/>
      <c r="AH23" s="288"/>
      <c r="AI23" s="288"/>
      <c r="AJ23" s="305"/>
      <c r="AK23" s="305"/>
      <c r="AL23" s="305"/>
      <c r="AM23" s="305"/>
      <c r="AN23" s="305"/>
      <c r="AW23" s="279" t="s">
        <v>113</v>
      </c>
      <c r="AZ23" s="285" t="s">
        <v>113</v>
      </c>
      <c r="BA23" s="278" t="e">
        <f>AVERAGE(#REF!)</f>
        <v>#REF!</v>
      </c>
    </row>
    <row r="24" spans="1:53" x14ac:dyDescent="0.2">
      <c r="A24" s="279" t="s">
        <v>114</v>
      </c>
      <c r="B24" s="280">
        <v>5.565507694813121</v>
      </c>
      <c r="C24" s="280">
        <f>(NA!AO260/NA!AN260-1)*100</f>
        <v>170.59583926497891</v>
      </c>
      <c r="D24" s="280">
        <f>(NA!AP260/NA!AO260-1)*100</f>
        <v>10.432423326210504</v>
      </c>
      <c r="E24" s="280">
        <f>(NA!AQ260/NA!AP260-1)*100</f>
        <v>15.648459642389746</v>
      </c>
      <c r="F24" s="280">
        <f>(NA!AR260/NA!AQ260-1)*100</f>
        <v>17.439026930206403</v>
      </c>
      <c r="G24" s="280">
        <f>(NA!AS260/NA!AR260-1)*100</f>
        <v>18.764705186866703</v>
      </c>
      <c r="H24" s="280">
        <f>(NA!AT260/NA!AS260-1)*100</f>
        <v>4.5310501830214012</v>
      </c>
      <c r="I24" s="280">
        <f>(NA!AU260/NA!AT260-1)*100</f>
        <v>17.699097421933786</v>
      </c>
      <c r="J24" s="280">
        <f>(NA!AV260/NA!AU260-1)*100</f>
        <v>11.875198299798928</v>
      </c>
      <c r="K24" s="280">
        <f>(NA!AW260/NA!AV260-1)*100</f>
        <v>26.639078594403909</v>
      </c>
      <c r="L24" s="280">
        <f>(NA!AX260/NA!AW260-1)*100</f>
        <v>24.444497045642532</v>
      </c>
      <c r="M24" s="280">
        <f>(NA!AY260/NA!AX260-1)*100</f>
        <v>8.5795511641156388</v>
      </c>
      <c r="N24" s="280">
        <f>(NA!AZ260/NA!AY260-1)*100</f>
        <v>22.239672938566724</v>
      </c>
      <c r="O24" s="280">
        <f>(NA!BA260/NA!AZ260-1)*100</f>
        <v>13.335188801711052</v>
      </c>
      <c r="P24" s="280">
        <f>(NA!BB260/NA!BA260-1)*100</f>
        <v>8.0215925416508007</v>
      </c>
      <c r="Q24" s="281">
        <f t="shared" si="15"/>
        <v>8.0305714526718415</v>
      </c>
      <c r="R24" s="281">
        <f t="shared" si="15"/>
        <v>8.0834191752274158</v>
      </c>
      <c r="S24" s="281">
        <f t="shared" si="16"/>
        <v>8.0622982112453041</v>
      </c>
      <c r="T24" s="281">
        <f t="shared" si="16"/>
        <v>8.3900119944855369</v>
      </c>
      <c r="U24" s="281">
        <f t="shared" ref="U24:V24" si="20">U90*U$138</f>
        <v>8.5497307744170623</v>
      </c>
      <c r="V24" s="281">
        <f t="shared" si="20"/>
        <v>8.5778226183367217</v>
      </c>
      <c r="X24" s="305"/>
      <c r="Y24" s="305"/>
      <c r="Z24" s="305"/>
      <c r="AA24" s="305"/>
      <c r="AB24" s="305"/>
      <c r="AC24" s="305"/>
      <c r="AD24" s="305"/>
      <c r="AE24" s="305"/>
      <c r="AF24" s="305"/>
      <c r="AG24" s="305"/>
      <c r="AH24" s="305"/>
      <c r="AI24" s="305"/>
      <c r="AJ24" s="305"/>
      <c r="AK24" s="305"/>
      <c r="AL24" s="305"/>
      <c r="AM24" s="305"/>
      <c r="AW24" s="279" t="s">
        <v>114</v>
      </c>
      <c r="AZ24" s="285" t="s">
        <v>114</v>
      </c>
      <c r="BA24" s="278"/>
    </row>
    <row r="25" spans="1:53" x14ac:dyDescent="0.2">
      <c r="A25" s="279" t="s">
        <v>115</v>
      </c>
      <c r="B25" s="280">
        <v>3.8858049167327602</v>
      </c>
      <c r="C25" s="280">
        <f>(NA!AO261/NA!AN261-1)*100</f>
        <v>170.71607862356868</v>
      </c>
      <c r="D25" s="280">
        <f>(NA!AP261/NA!AO261-1)*100</f>
        <v>10.077142857142851</v>
      </c>
      <c r="E25" s="280">
        <f>(NA!AQ261/NA!AP261-1)*100</f>
        <v>10.72948841072494</v>
      </c>
      <c r="F25" s="280">
        <f>(NA!AR261/NA!AQ261-1)*100</f>
        <v>8.281617177382028</v>
      </c>
      <c r="G25" s="280">
        <f>(NA!AS261/NA!AR261-1)*100</f>
        <v>11.401104113174654</v>
      </c>
      <c r="H25" s="280">
        <f>(NA!AT261/NA!AS261-1)*100</f>
        <v>19.11077689367222</v>
      </c>
      <c r="I25" s="280">
        <f>(NA!AU261/NA!AT261-1)*100</f>
        <v>21.737307482862111</v>
      </c>
      <c r="J25" s="280">
        <f>(NA!AV261/NA!AU261-1)*100</f>
        <v>18.772261573396243</v>
      </c>
      <c r="K25" s="280">
        <f>(NA!AW261/NA!AV261-1)*100</f>
        <v>18.364462274850535</v>
      </c>
      <c r="L25" s="280">
        <f>(NA!AX261/NA!AW261-1)*100</f>
        <v>12.629633043665113</v>
      </c>
      <c r="M25" s="280">
        <f>(NA!AY261/NA!AX261-1)*100</f>
        <v>14.816019544368153</v>
      </c>
      <c r="N25" s="280">
        <f>(NA!AZ261/NA!AY261-1)*100</f>
        <v>5.1365046162367145</v>
      </c>
      <c r="O25" s="280">
        <f>(NA!BA261/NA!AZ261-1)*100</f>
        <v>6.1649301727801031</v>
      </c>
      <c r="P25" s="280">
        <f>(NA!BB261/NA!BA261-1)*100</f>
        <v>10.785105484342594</v>
      </c>
      <c r="Q25" s="281">
        <f t="shared" si="15"/>
        <v>10.769684422333222</v>
      </c>
      <c r="R25" s="281">
        <f t="shared" si="15"/>
        <v>10.773416551985802</v>
      </c>
      <c r="S25" s="281">
        <f t="shared" si="16"/>
        <v>10.886884943940068</v>
      </c>
      <c r="T25" s="281">
        <f t="shared" si="16"/>
        <v>11.404480277166588</v>
      </c>
      <c r="U25" s="281">
        <f t="shared" ref="U25:V25" si="21">U91*U$138</f>
        <v>11.734182643509762</v>
      </c>
      <c r="V25" s="281">
        <f t="shared" si="21"/>
        <v>11.668563765446649</v>
      </c>
      <c r="X25" s="305"/>
      <c r="Y25" s="305"/>
      <c r="Z25" s="305"/>
      <c r="AA25" s="305"/>
      <c r="AB25" s="305"/>
      <c r="AC25" s="305"/>
      <c r="AD25" s="305"/>
      <c r="AE25" s="305"/>
      <c r="AF25" s="305"/>
      <c r="AW25" s="279" t="s">
        <v>115</v>
      </c>
      <c r="AZ25" s="285" t="s">
        <v>115</v>
      </c>
      <c r="BA25" s="278" t="e">
        <f>AVERAGE(#REF!)</f>
        <v>#REF!</v>
      </c>
    </row>
    <row r="26" spans="1:53" x14ac:dyDescent="0.2">
      <c r="A26" s="273"/>
      <c r="B26" s="273"/>
      <c r="C26" s="273"/>
      <c r="D26" s="273"/>
      <c r="E26" s="273"/>
      <c r="F26" s="273"/>
      <c r="G26" s="273"/>
      <c r="H26" s="273"/>
      <c r="I26" s="273"/>
      <c r="J26" s="273"/>
      <c r="K26" s="273"/>
      <c r="U26" s="377"/>
      <c r="V26" s="264"/>
      <c r="W26" s="305"/>
      <c r="X26" s="305"/>
      <c r="Y26" s="305"/>
      <c r="Z26" s="305"/>
      <c r="AA26" s="305"/>
      <c r="AB26" s="305"/>
      <c r="AC26" s="305"/>
      <c r="AD26" s="305"/>
    </row>
    <row r="27" spans="1:53" x14ac:dyDescent="0.2">
      <c r="A27" s="279" t="s">
        <v>116</v>
      </c>
      <c r="B27" s="280">
        <v>5.0689755198407793</v>
      </c>
      <c r="C27" s="280">
        <f>(NA!AO262/NA!AN262-1)*100</f>
        <v>239.51871059731329</v>
      </c>
      <c r="D27" s="280">
        <f>(NA!AP262/NA!AO262-1)*100</f>
        <v>7.1355784611013995</v>
      </c>
      <c r="E27" s="280">
        <f>(NA!AQ262/NA!AP262-1)*100</f>
        <v>6.5259163183936097</v>
      </c>
      <c r="F27" s="280">
        <f>(NA!AR262/NA!AQ262-1)*100</f>
        <v>6.7633198800477912</v>
      </c>
      <c r="G27" s="280">
        <f>(NA!AS262/NA!AR262-1)*100</f>
        <v>-27.497711219942779</v>
      </c>
      <c r="H27" s="280">
        <f>(NA!AT262/NA!AS262-1)*100</f>
        <v>3.0778109971271617</v>
      </c>
      <c r="I27" s="284">
        <f>(NA!AU262/NA!AT262-1)*100</f>
        <v>3.3924423712301977</v>
      </c>
      <c r="J27" s="284">
        <f>(NA!AV262/NA!AU262-1)*100</f>
        <v>6.7956343591349277</v>
      </c>
      <c r="K27" s="284">
        <f>(NA!AW262/NA!AV262-1)*100</f>
        <v>4.8238597056931898</v>
      </c>
      <c r="L27" s="284">
        <f>(NA!AX262/NA!AW262-1)*100</f>
        <v>8.5189938397542306</v>
      </c>
      <c r="M27" s="284">
        <f>(NA!AY262/NA!AX262-1)*100</f>
        <v>2.8062876583116791</v>
      </c>
      <c r="N27" s="284">
        <f>(NA!AZ262/NA!AY262-1)*100</f>
        <v>-0.17398198028729661</v>
      </c>
      <c r="O27" s="284">
        <f>(NA!BA262/NA!AZ262-1)*100</f>
        <v>3.0500206055814605</v>
      </c>
      <c r="P27" s="284">
        <f>(NA!BB262/NA!BA262-1)*100</f>
        <v>1.771096019335161</v>
      </c>
      <c r="Q27" s="281">
        <f t="shared" ref="Q27:R31" si="22">Q93*Q$138</f>
        <v>1.8439798468578374</v>
      </c>
      <c r="R27" s="281">
        <f t="shared" si="22"/>
        <v>1.9215877172634266</v>
      </c>
      <c r="S27" s="281">
        <f t="shared" ref="S27:T31" si="23">S93*S$138</f>
        <v>1.702317045951304</v>
      </c>
      <c r="T27" s="281">
        <f t="shared" si="23"/>
        <v>1.7113448934323969</v>
      </c>
      <c r="U27" s="281">
        <f t="shared" ref="U27:V27" si="24">U93*U$138</f>
        <v>1.865659747257449</v>
      </c>
      <c r="V27" s="281">
        <f t="shared" si="24"/>
        <v>1.8998087257720842</v>
      </c>
      <c r="X27" s="305"/>
      <c r="Y27" s="305"/>
      <c r="Z27" s="305"/>
      <c r="AA27" s="305"/>
      <c r="AB27" s="305"/>
      <c r="AC27" s="305"/>
      <c r="AD27" s="305"/>
      <c r="AE27" s="305"/>
      <c r="AF27" s="305"/>
      <c r="AG27" s="305"/>
      <c r="AW27" s="279" t="s">
        <v>116</v>
      </c>
      <c r="AZ27" s="285" t="s">
        <v>116</v>
      </c>
      <c r="BA27" s="278" t="e">
        <f>AVERAGE(#REF!)</f>
        <v>#REF!</v>
      </c>
    </row>
    <row r="28" spans="1:53" x14ac:dyDescent="0.2">
      <c r="A28" s="279" t="s">
        <v>117</v>
      </c>
      <c r="B28" s="280">
        <v>10.687022900763354</v>
      </c>
      <c r="C28" s="280">
        <f>(NA!AO263/NA!AN263-1)*100</f>
        <v>190.52492765678136</v>
      </c>
      <c r="D28" s="280">
        <f>(NA!AP263/NA!AO263-1)*100</f>
        <v>7.0295072933721281</v>
      </c>
      <c r="E28" s="280">
        <f>(NA!AQ263/NA!AP263-1)*100</f>
        <v>2.7752475247524666</v>
      </c>
      <c r="F28" s="280">
        <f>(NA!AR263/NA!AQ263-1)*100</f>
        <v>3.9998843964047293</v>
      </c>
      <c r="G28" s="280">
        <f>(NA!AS263/NA!AR263-1)*100</f>
        <v>42.288929907469594</v>
      </c>
      <c r="H28" s="280">
        <f>(NA!AT263/NA!AS263-1)*100</f>
        <v>1.1847346825410332</v>
      </c>
      <c r="I28" s="280">
        <f>(NA!AU263/NA!AT263-1)*100</f>
        <v>7.0943067749726696</v>
      </c>
      <c r="J28" s="280">
        <f>(NA!AV263/NA!AU263-1)*100</f>
        <v>-5.0817629706739869</v>
      </c>
      <c r="K28" s="280">
        <f>(NA!AW263/NA!AV263-1)*100</f>
        <v>-0.42955361693955973</v>
      </c>
      <c r="L28" s="280">
        <f>(NA!AX263/NA!AW263-1)*100</f>
        <v>-1.200892913083873</v>
      </c>
      <c r="M28" s="280">
        <f>(NA!AY263/NA!AX263-1)*100</f>
        <v>12.559913696811043</v>
      </c>
      <c r="N28" s="280">
        <f>(NA!AZ263/NA!AY263-1)*100</f>
        <v>13.312247899953888</v>
      </c>
      <c r="O28" s="280">
        <f>(NA!BA263/NA!AZ263-1)*100</f>
        <v>9.1796537497565325</v>
      </c>
      <c r="P28" s="280">
        <f>(NA!BB263/NA!BA263-1)*100</f>
        <v>4.5804748638569093</v>
      </c>
      <c r="Q28" s="281">
        <f t="shared" si="22"/>
        <v>4.6546741859885783</v>
      </c>
      <c r="R28" s="281">
        <f t="shared" si="22"/>
        <v>4.7874061075990628</v>
      </c>
      <c r="S28" s="281">
        <f t="shared" si="23"/>
        <v>5.1684796030656974</v>
      </c>
      <c r="T28" s="281">
        <f t="shared" si="23"/>
        <v>5.0341044430614827</v>
      </c>
      <c r="U28" s="281">
        <f t="shared" ref="U28:V28" si="25">U94*U$138</f>
        <v>5.1124570851188764</v>
      </c>
      <c r="V28" s="281">
        <f t="shared" si="25"/>
        <v>5.2689166072146696</v>
      </c>
      <c r="X28" s="305"/>
      <c r="Y28" s="305"/>
      <c r="Z28" s="305"/>
      <c r="AA28" s="305"/>
      <c r="AB28" s="305"/>
      <c r="AC28" s="305"/>
      <c r="AD28" s="305"/>
      <c r="AE28" s="305"/>
      <c r="AF28" s="305"/>
      <c r="AG28" s="305"/>
      <c r="AH28" s="305"/>
      <c r="AI28" s="305"/>
      <c r="AJ28" s="305"/>
      <c r="AW28" s="279" t="s">
        <v>117</v>
      </c>
      <c r="AZ28" s="285" t="s">
        <v>117</v>
      </c>
      <c r="BA28" s="278" t="e">
        <f>AVERAGE(#REF!)</f>
        <v>#REF!</v>
      </c>
    </row>
    <row r="29" spans="1:53" x14ac:dyDescent="0.2">
      <c r="A29" s="279" t="s">
        <v>118</v>
      </c>
      <c r="B29" s="280">
        <v>3.9841933128386353</v>
      </c>
      <c r="C29" s="280">
        <f>(NA!AO264/NA!AN264-1)*100</f>
        <v>199.54228142779721</v>
      </c>
      <c r="D29" s="280">
        <f>(NA!AP264/NA!AO264-1)*100</f>
        <v>8.6213562855125492</v>
      </c>
      <c r="E29" s="280">
        <f>(NA!AQ264/NA!AP264-1)*100</f>
        <v>8.6729758800269341</v>
      </c>
      <c r="F29" s="280">
        <f>(NA!AR264/NA!AQ264-1)*100</f>
        <v>7.78498543831041</v>
      </c>
      <c r="G29" s="280">
        <f>(NA!AS264/NA!AR264-1)*100</f>
        <v>8.061042478694592</v>
      </c>
      <c r="H29" s="280">
        <f>(NA!AT264/NA!AS264-1)*100</f>
        <v>7.7068738216511612</v>
      </c>
      <c r="I29" s="280">
        <f>(NA!AU264/NA!AT264-1)*100</f>
        <v>13.239383443326936</v>
      </c>
      <c r="J29" s="280">
        <f>(NA!AV264/NA!AU264-1)*100</f>
        <v>9.5418733633559008</v>
      </c>
      <c r="K29" s="280">
        <f>(NA!AW264/NA!AV264-1)*100</f>
        <v>9.1576571676288196</v>
      </c>
      <c r="L29" s="280">
        <f>(NA!AX264/NA!AW264-1)*100</f>
        <v>6.3589836813849887</v>
      </c>
      <c r="M29" s="280">
        <f>(NA!AY264/NA!AX264-1)*100</f>
        <v>5.6205301840794419</v>
      </c>
      <c r="N29" s="280">
        <f>(NA!AZ264/NA!AY264-1)*100</f>
        <v>7.4090812390490424</v>
      </c>
      <c r="O29" s="280">
        <f>(NA!BA264/NA!AZ264-1)*100</f>
        <v>4.2808987768588658</v>
      </c>
      <c r="P29" s="280">
        <f>(NA!BB264/NA!BA264-1)*100</f>
        <v>4.7501294667885663</v>
      </c>
      <c r="Q29" s="281">
        <f t="shared" si="22"/>
        <v>4.8963765158142447</v>
      </c>
      <c r="R29" s="281">
        <f t="shared" si="22"/>
        <v>4.280280755620697</v>
      </c>
      <c r="S29" s="281">
        <f t="shared" si="23"/>
        <v>4.3586186438434673</v>
      </c>
      <c r="T29" s="281">
        <f t="shared" si="23"/>
        <v>4.5360637170855291</v>
      </c>
      <c r="U29" s="281">
        <f t="shared" ref="U29:V29" si="26">U95*U$138</f>
        <v>4.4805440201551336</v>
      </c>
      <c r="V29" s="281">
        <f t="shared" si="26"/>
        <v>4.5393089683742245</v>
      </c>
      <c r="X29" s="305"/>
      <c r="Y29" s="305"/>
      <c r="Z29" s="305"/>
      <c r="AA29" s="305"/>
      <c r="AB29" s="305"/>
      <c r="AC29" s="305"/>
      <c r="AD29" s="305"/>
      <c r="AW29" s="279" t="s">
        <v>118</v>
      </c>
      <c r="AZ29" s="285" t="s">
        <v>118</v>
      </c>
      <c r="BA29" s="278" t="e">
        <f>AVERAGE(#REF!)</f>
        <v>#REF!</v>
      </c>
    </row>
    <row r="30" spans="1:53" x14ac:dyDescent="0.2">
      <c r="A30" s="279" t="s">
        <v>119</v>
      </c>
      <c r="B30" s="280">
        <v>5.1055450829616156</v>
      </c>
      <c r="C30" s="280">
        <f>(NA!AO265/NA!AN265-1)*100</f>
        <v>200.56625102902942</v>
      </c>
      <c r="D30" s="280">
        <f>(NA!AP265/NA!AO265-1)*100</f>
        <v>2.1312601167410739</v>
      </c>
      <c r="E30" s="280">
        <f>(NA!AQ265/NA!AP265-1)*100</f>
        <v>1.979924597171201</v>
      </c>
      <c r="F30" s="280">
        <f>(NA!AR265/NA!AQ265-1)*100</f>
        <v>2.9740389709778103</v>
      </c>
      <c r="G30" s="280">
        <f>(NA!AS265/NA!AR265-1)*100</f>
        <v>2.6343170098672486</v>
      </c>
      <c r="H30" s="280">
        <f>(NA!AT265/NA!AS265-1)*100</f>
        <v>9.9072212283508811</v>
      </c>
      <c r="I30" s="280">
        <f>(NA!AU265/NA!AT265-1)*100</f>
        <v>7.0471475988393983</v>
      </c>
      <c r="J30" s="280">
        <f>(NA!AV265/NA!AU265-1)*100</f>
        <v>5.5209735737903998</v>
      </c>
      <c r="K30" s="280">
        <f>(NA!AW265/NA!AV265-1)*100</f>
        <v>7.4417530349717209</v>
      </c>
      <c r="L30" s="280">
        <f>(NA!AX265/NA!AW265-1)*100</f>
        <v>3.3495759064969377</v>
      </c>
      <c r="M30" s="280">
        <f>(NA!AY265/NA!AX265-1)*100</f>
        <v>5.3333425310116978</v>
      </c>
      <c r="N30" s="280">
        <f>(NA!AZ265/NA!AY265-1)*100</f>
        <v>11.373004964653589</v>
      </c>
      <c r="O30" s="280">
        <f>(NA!BA265/NA!AZ265-1)*100</f>
        <v>8.8328698472726064</v>
      </c>
      <c r="P30" s="280">
        <f>(NA!BB265/NA!BA265-1)*100</f>
        <v>8.1493745189273881</v>
      </c>
      <c r="Q30" s="281">
        <f t="shared" si="22"/>
        <v>8.069192536373702</v>
      </c>
      <c r="R30" s="281">
        <f t="shared" si="22"/>
        <v>8.071292424539779</v>
      </c>
      <c r="S30" s="281">
        <f t="shared" si="23"/>
        <v>8.0791056711678948</v>
      </c>
      <c r="T30" s="281">
        <f t="shared" si="23"/>
        <v>8.1570991385871654</v>
      </c>
      <c r="U30" s="281">
        <f t="shared" ref="U30:V30" si="27">U96*U$138</f>
        <v>8.2250018169992316</v>
      </c>
      <c r="V30" s="281">
        <f t="shared" si="27"/>
        <v>8.1890260517609867</v>
      </c>
      <c r="X30" s="305"/>
      <c r="Y30" s="305"/>
      <c r="Z30" s="305"/>
      <c r="AA30" s="305"/>
      <c r="AB30" s="305"/>
      <c r="AC30" s="305"/>
      <c r="AD30" s="305"/>
      <c r="AE30" s="305"/>
      <c r="AW30" s="279" t="s">
        <v>119</v>
      </c>
      <c r="AZ30" s="285" t="s">
        <v>119</v>
      </c>
      <c r="BA30" s="278"/>
    </row>
    <row r="31" spans="1:53" x14ac:dyDescent="0.2">
      <c r="A31" s="279" t="s">
        <v>120</v>
      </c>
      <c r="B31" s="280">
        <v>3.0844007766382964</v>
      </c>
      <c r="C31" s="280">
        <f>(NA!AO266/NA!AN266-1)*100</f>
        <v>278.35630184507704</v>
      </c>
      <c r="D31" s="280">
        <f>(NA!AP266/NA!AO266-1)*100</f>
        <v>7.1773731792424078</v>
      </c>
      <c r="E31" s="280">
        <f>(NA!AQ266/NA!AP266-1)*100</f>
        <v>6.9285376170160395</v>
      </c>
      <c r="F31" s="280">
        <f>(NA!AR266/NA!AQ266-1)*100</f>
        <v>7.8489408235599356</v>
      </c>
      <c r="G31" s="280">
        <f>(NA!AS266/NA!AR266-1)*100</f>
        <v>7.4111701297911559</v>
      </c>
      <c r="H31" s="280">
        <f>(NA!AT266/NA!AS266-1)*100</f>
        <v>4.9071438240540166</v>
      </c>
      <c r="I31" s="280">
        <f>(NA!AU266/NA!AT266-1)*100</f>
        <v>5.3878073344183708</v>
      </c>
      <c r="J31" s="280">
        <f>(NA!AV266/NA!AU266-1)*100</f>
        <v>5.2362343011782553</v>
      </c>
      <c r="K31" s="280">
        <f>(NA!AW266/NA!AV266-1)*100</f>
        <v>4.6208190772029534</v>
      </c>
      <c r="L31" s="280">
        <f>(NA!AX266/NA!AW266-1)*100</f>
        <v>5.6092074811621817</v>
      </c>
      <c r="M31" s="280">
        <f>(NA!AY266/NA!AX266-1)*100</f>
        <v>5.8252683546160977</v>
      </c>
      <c r="N31" s="280">
        <f>(NA!AZ266/NA!AY266-1)*100</f>
        <v>6.6491868750604421</v>
      </c>
      <c r="O31" s="280">
        <f>(NA!BA266/NA!AZ266-1)*100</f>
        <v>5.6436038428614888</v>
      </c>
      <c r="P31" s="280">
        <f>(NA!BB266/NA!BA266-1)*100</f>
        <v>5.7602385164287284</v>
      </c>
      <c r="Q31" s="281">
        <f t="shared" si="22"/>
        <v>5.8689922976355371</v>
      </c>
      <c r="R31" s="281">
        <f t="shared" si="22"/>
        <v>5.9316538959992213</v>
      </c>
      <c r="S31" s="281">
        <f t="shared" si="23"/>
        <v>6.048384390047417</v>
      </c>
      <c r="T31" s="281">
        <f t="shared" si="23"/>
        <v>5.9911142965694992</v>
      </c>
      <c r="U31" s="281">
        <f t="shared" ref="U31:V31" si="28">U97*U$138</f>
        <v>5.3263693384106023</v>
      </c>
      <c r="V31" s="281">
        <f t="shared" si="28"/>
        <v>5.2716787651158308</v>
      </c>
      <c r="X31" s="305"/>
      <c r="Y31" s="305"/>
      <c r="Z31" s="305"/>
      <c r="AA31" s="305"/>
      <c r="AB31" s="305"/>
      <c r="AC31" s="305"/>
      <c r="AD31" s="305"/>
      <c r="AE31" s="305"/>
      <c r="AF31" s="305"/>
      <c r="AW31" s="279" t="s">
        <v>285</v>
      </c>
      <c r="AZ31" s="285" t="s">
        <v>120</v>
      </c>
      <c r="BA31" s="278" t="e">
        <f>AVERAGE(#REF!)</f>
        <v>#REF!</v>
      </c>
    </row>
    <row r="32" spans="1:53" ht="15" x14ac:dyDescent="0.2">
      <c r="A32" s="295" t="s">
        <v>121</v>
      </c>
      <c r="B32" s="291"/>
      <c r="C32" s="291"/>
      <c r="D32" s="291"/>
      <c r="E32" s="291"/>
      <c r="F32" s="291"/>
      <c r="G32" s="291"/>
      <c r="H32" s="291"/>
      <c r="I32" s="291"/>
      <c r="J32" s="291"/>
      <c r="K32" s="281"/>
      <c r="L32" s="292"/>
      <c r="M32" s="292"/>
      <c r="N32" s="292"/>
      <c r="O32" s="292"/>
      <c r="P32" s="292"/>
      <c r="Q32" s="292"/>
      <c r="R32" s="292"/>
      <c r="S32" s="292"/>
      <c r="T32" s="292"/>
      <c r="U32" s="377"/>
      <c r="V32" s="400"/>
      <c r="W32" s="305"/>
      <c r="X32" s="305"/>
      <c r="Y32" s="305"/>
      <c r="Z32" s="305"/>
      <c r="AA32" s="305"/>
      <c r="AB32" s="305"/>
      <c r="AC32" s="305"/>
      <c r="AD32" s="305"/>
      <c r="AE32" s="305"/>
      <c r="AF32" s="305"/>
      <c r="AW32" s="295" t="s">
        <v>121</v>
      </c>
    </row>
    <row r="33" spans="1:54" x14ac:dyDescent="0.2">
      <c r="A33" s="279" t="s">
        <v>122</v>
      </c>
      <c r="B33" s="280">
        <v>1.3913066070825542</v>
      </c>
      <c r="C33" s="280">
        <f>(NA!AO268/NA!AN268-1)*100</f>
        <v>132.10261562660583</v>
      </c>
      <c r="D33" s="280">
        <f>(NA!AP268/NA!AO268-1)*100</f>
        <v>7.1625515387462757</v>
      </c>
      <c r="E33" s="280">
        <f>(NA!AQ268/NA!AP268-1)*100</f>
        <v>6.8831763767292609</v>
      </c>
      <c r="F33" s="280">
        <f>(NA!AR268/NA!AQ268-1)*100</f>
        <v>7.8268120442336997</v>
      </c>
      <c r="G33" s="280">
        <f>(NA!AS268/NA!AR268-1)*100</f>
        <v>7.3668982315037379</v>
      </c>
      <c r="H33" s="280">
        <f>(NA!AT268/NA!AS268-1)*100</f>
        <v>23.403094989751636</v>
      </c>
      <c r="I33" s="280">
        <f>(NA!AU268/NA!AT268-1)*100</f>
        <v>11.662610015996599</v>
      </c>
      <c r="J33" s="280">
        <f>(NA!AV268/NA!AU268-1)*100</f>
        <v>6.8277743963964355</v>
      </c>
      <c r="K33" s="280">
        <f>(NA!AW268/NA!AV268-1)*100</f>
        <v>19.958715504322889</v>
      </c>
      <c r="L33" s="280">
        <f>(NA!AX268/NA!AW268-1)*100</f>
        <v>7.9424351458491138</v>
      </c>
      <c r="M33" s="280">
        <f>(NA!AY268/NA!AX268-1)*100</f>
        <v>22.584921978225548</v>
      </c>
      <c r="N33" s="280">
        <f>(NA!AZ268/NA!AY268-1)*100</f>
        <v>1.2306782782577574</v>
      </c>
      <c r="O33" s="280">
        <f>(NA!BA268/NA!AZ268-1)*100</f>
        <v>6.9810275892634444E-2</v>
      </c>
      <c r="P33" s="280">
        <f>(NA!BB268/NA!BA268-1)*100</f>
        <v>9.6694546448068195</v>
      </c>
      <c r="Q33" s="281">
        <f t="shared" ref="Q33:V33" si="29">Q99*Q$138</f>
        <v>9.6763392796274275</v>
      </c>
      <c r="R33" s="281">
        <f t="shared" si="29"/>
        <v>4.8235191211531854</v>
      </c>
      <c r="S33" s="281">
        <f t="shared" si="29"/>
        <v>11.236757553732332</v>
      </c>
      <c r="T33" s="281">
        <f t="shared" si="29"/>
        <v>15.208935388413806</v>
      </c>
      <c r="U33" s="281">
        <f t="shared" si="29"/>
        <v>16.64678956402204</v>
      </c>
      <c r="V33" s="281">
        <f t="shared" si="29"/>
        <v>11.864515707407373</v>
      </c>
      <c r="X33" s="305"/>
      <c r="Y33" s="305"/>
      <c r="Z33" s="305"/>
      <c r="AA33" s="305"/>
      <c r="AB33" s="305"/>
      <c r="AC33" s="305"/>
      <c r="AD33" s="305"/>
      <c r="AE33" s="305"/>
      <c r="AW33" s="296" t="s">
        <v>301</v>
      </c>
      <c r="AZ33" s="289" t="s">
        <v>121</v>
      </c>
      <c r="BA33" s="278" t="e">
        <f>AVERAGE(#REF!)</f>
        <v>#REF!</v>
      </c>
    </row>
    <row r="34" spans="1:54" ht="12" customHeight="1" x14ac:dyDescent="0.2">
      <c r="A34" s="295" t="s">
        <v>293</v>
      </c>
      <c r="B34" s="291"/>
      <c r="C34" s="291"/>
      <c r="D34" s="291"/>
      <c r="E34" s="291"/>
      <c r="F34" s="291"/>
      <c r="G34" s="291"/>
      <c r="H34" s="291"/>
      <c r="I34" s="291"/>
      <c r="J34" s="291"/>
      <c r="K34" s="291"/>
      <c r="L34" s="292"/>
      <c r="M34" s="292"/>
      <c r="N34" s="292"/>
      <c r="O34" s="292"/>
      <c r="P34" s="292"/>
      <c r="Q34" s="292"/>
      <c r="R34" s="292"/>
      <c r="S34" s="292"/>
      <c r="T34" s="292"/>
      <c r="U34" s="377"/>
      <c r="AD34" s="305"/>
      <c r="AE34" s="305"/>
      <c r="AW34" s="297" t="s">
        <v>127</v>
      </c>
      <c r="AZ34" s="289" t="s">
        <v>122</v>
      </c>
      <c r="BA34" s="278"/>
    </row>
    <row r="35" spans="1:54" x14ac:dyDescent="0.2">
      <c r="A35" s="279" t="s">
        <v>294</v>
      </c>
      <c r="B35" s="280">
        <v>4.9008282476024512</v>
      </c>
      <c r="C35" s="280">
        <f>(NA!AO270/NA!AN270-1)*100</f>
        <v>69.66181084358621</v>
      </c>
      <c r="D35" s="280">
        <f>(NA!AP270/NA!AO270-1)*100</f>
        <v>7.1635535369594328</v>
      </c>
      <c r="E35" s="280">
        <f>(NA!AQ270/NA!AP270-1)*100</f>
        <v>6.8862265317784832</v>
      </c>
      <c r="F35" s="280">
        <f>(NA!AR270/NA!AQ270-1)*100</f>
        <v>7.8282983813669826</v>
      </c>
      <c r="G35" s="280">
        <f>(NA!AS270/NA!AR270-1)*100</f>
        <v>10.999065515613072</v>
      </c>
      <c r="H35" s="280">
        <f>(NA!AT270/NA!AS270-1)*100</f>
        <v>3.4735847060908265</v>
      </c>
      <c r="I35" s="280">
        <f>(NA!AU270/NA!AT270-1)*100</f>
        <v>31.045343757755095</v>
      </c>
      <c r="J35" s="280">
        <f>(NA!AV270/NA!AU270-1)*100</f>
        <v>4.8464950880942492</v>
      </c>
      <c r="K35" s="280">
        <f>(NA!AW270/NA!AV270-1)*100</f>
        <v>12.753339724200519</v>
      </c>
      <c r="L35" s="280">
        <f>(NA!AX270/NA!AW270-1)*100</f>
        <v>3.7665165973066461</v>
      </c>
      <c r="M35" s="280">
        <f>(NA!AY270/NA!AX270-1)*100</f>
        <v>12.135215524450494</v>
      </c>
      <c r="N35" s="280">
        <f>(NA!AZ270/NA!AY270-1)*100</f>
        <v>0.40596144342528451</v>
      </c>
      <c r="O35" s="280">
        <f>(NA!BA270/NA!AZ270-1)*100</f>
        <v>14.216661538001052</v>
      </c>
      <c r="P35" s="281">
        <f t="shared" ref="P35:T35" si="30">P101*P$138</f>
        <v>9.5921477624433464</v>
      </c>
      <c r="Q35" s="281">
        <f t="shared" si="30"/>
        <v>9.706202137993488</v>
      </c>
      <c r="R35" s="281">
        <f t="shared" si="30"/>
        <v>10.554867763475166</v>
      </c>
      <c r="S35" s="281">
        <f t="shared" si="30"/>
        <v>10.937672461504963</v>
      </c>
      <c r="T35" s="281">
        <f t="shared" si="30"/>
        <v>10.822325721203185</v>
      </c>
      <c r="U35" s="281">
        <f t="shared" ref="U35:V35" si="31">U101*U$138</f>
        <v>10.501676972505084</v>
      </c>
      <c r="V35" s="281">
        <f t="shared" si="31"/>
        <v>9.347786508083658</v>
      </c>
      <c r="AD35" s="305"/>
      <c r="AW35" s="296" t="s">
        <v>302</v>
      </c>
      <c r="AZ35" s="289" t="s">
        <v>123</v>
      </c>
      <c r="BA35" s="278" t="e">
        <f>AVERAGE(#REF!)</f>
        <v>#REF!</v>
      </c>
    </row>
    <row r="36" spans="1:54" x14ac:dyDescent="0.2">
      <c r="A36" s="277" t="s">
        <v>303</v>
      </c>
      <c r="B36" s="298">
        <f>NA!AN114/NA!AM114-1</f>
        <v>4.9008282476024512E-2</v>
      </c>
      <c r="C36" s="299">
        <f>NA!AO114/NA!AN114-1</f>
        <v>0.69661810843586203</v>
      </c>
      <c r="D36" s="298">
        <f>NA!AP114/NA!AO114-1</f>
        <v>7.1635535369594328E-2</v>
      </c>
      <c r="E36" s="298">
        <f>NA!AQ114/NA!AP114-1</f>
        <v>6.8862265317784832E-2</v>
      </c>
      <c r="F36" s="298">
        <f>NA!AR114/NA!AQ114-1</f>
        <v>7.8282983813669826E-2</v>
      </c>
      <c r="G36" s="298">
        <f>NA!AS114/NA!AR114-1</f>
        <v>0.10999065515613071</v>
      </c>
      <c r="H36" s="298">
        <f>NA!AT114/NA!AS114-1</f>
        <v>3.4735847060908265E-2</v>
      </c>
      <c r="I36" s="298">
        <f>NA!AU114/NA!AT114-1</f>
        <v>0.31045343757755095</v>
      </c>
      <c r="J36" s="281">
        <f>(J102*J$138)*100</f>
        <v>4.8464950880942492</v>
      </c>
      <c r="K36" s="281">
        <f t="shared" ref="K36:R36" si="32">(K102*K$138)*100</f>
        <v>12.753339724200519</v>
      </c>
      <c r="L36" s="281">
        <f t="shared" si="32"/>
        <v>3.7665165973066461</v>
      </c>
      <c r="M36" s="281">
        <f t="shared" si="32"/>
        <v>12.135215524450494</v>
      </c>
      <c r="N36" s="281">
        <f t="shared" si="32"/>
        <v>6.9769841758430484</v>
      </c>
      <c r="O36" s="281">
        <f t="shared" ref="O36" si="33">(O102*O$138)*100</f>
        <v>6.9769841758430484</v>
      </c>
      <c r="P36" s="281">
        <f t="shared" si="32"/>
        <v>6.9769841758430484</v>
      </c>
      <c r="Q36" s="281">
        <f t="shared" si="32"/>
        <v>6.9769841758430484</v>
      </c>
      <c r="R36" s="281">
        <f t="shared" si="32"/>
        <v>6.9769841758430484</v>
      </c>
      <c r="S36" s="281">
        <f>(S102*S$138)*100</f>
        <v>6.9769841758430484</v>
      </c>
      <c r="T36" s="281">
        <f>(T102*T$138)*100</f>
        <v>6.9769841758430484</v>
      </c>
      <c r="U36" s="281">
        <f t="shared" ref="U36:V36" si="34">(U102*U$138)*100</f>
        <v>6.9769841758430484</v>
      </c>
      <c r="V36" s="281">
        <f t="shared" si="34"/>
        <v>6.9769841758430484</v>
      </c>
      <c r="AJ36" s="280"/>
      <c r="AK36" s="280"/>
      <c r="AL36" s="280"/>
      <c r="AM36" s="280"/>
      <c r="AN36" s="280"/>
      <c r="AO36" s="280"/>
      <c r="AP36" s="280"/>
      <c r="AQ36" s="280"/>
      <c r="AR36" s="301"/>
      <c r="AS36" s="302"/>
      <c r="AT36" s="302"/>
      <c r="AU36" s="302"/>
      <c r="AV36" s="302"/>
      <c r="AW36" s="277" t="s">
        <v>286</v>
      </c>
      <c r="AZ36" s="265" t="s">
        <v>124</v>
      </c>
      <c r="BA36" s="278"/>
    </row>
    <row r="37" spans="1:54" s="305" customFormat="1" x14ac:dyDescent="0.2">
      <c r="A37" s="396" t="s">
        <v>284</v>
      </c>
      <c r="B37" s="303"/>
      <c r="C37" s="303"/>
      <c r="D37" s="303"/>
      <c r="E37" s="303"/>
      <c r="F37" s="303"/>
      <c r="G37" s="303"/>
      <c r="H37" s="303"/>
      <c r="I37" s="303"/>
      <c r="J37" s="402"/>
      <c r="K37" s="402"/>
      <c r="L37" s="324"/>
      <c r="M37" s="324"/>
      <c r="N37" s="324"/>
      <c r="O37" s="324"/>
      <c r="P37" s="324"/>
      <c r="Q37" s="324"/>
      <c r="R37" s="324"/>
      <c r="S37" s="324"/>
      <c r="T37" s="324"/>
      <c r="U37" s="398"/>
      <c r="V37" s="265"/>
      <c r="W37" s="265"/>
      <c r="X37" s="265"/>
      <c r="Y37" s="265"/>
      <c r="Z37" s="265"/>
      <c r="AA37" s="265"/>
      <c r="AB37" s="265"/>
      <c r="AC37" s="265"/>
      <c r="AJ37" s="403"/>
      <c r="AK37" s="403"/>
      <c r="AL37" s="403"/>
      <c r="AM37" s="403"/>
      <c r="AN37" s="403"/>
      <c r="AO37" s="403"/>
      <c r="AP37" s="403"/>
      <c r="AQ37" s="403"/>
      <c r="AR37" s="403"/>
      <c r="AS37" s="403"/>
      <c r="AT37" s="403"/>
      <c r="AU37" s="403"/>
      <c r="AV37" s="403"/>
      <c r="AW37" s="396" t="s">
        <v>284</v>
      </c>
    </row>
    <row r="38" spans="1:54" x14ac:dyDescent="0.2">
      <c r="A38" s="277" t="s">
        <v>295</v>
      </c>
      <c r="B38" s="306">
        <f>NA!AN226/NA!AM226-1</f>
        <v>0.11000946046499327</v>
      </c>
      <c r="C38" s="280">
        <f>(NA!AO273/NA!AN273-1)*100</f>
        <v>-100</v>
      </c>
      <c r="D38" s="280" t="e">
        <f>(NA!AP273/NA!AO273-1)*100</f>
        <v>#DIV/0!</v>
      </c>
      <c r="E38" s="280" t="e">
        <f>(NA!AQ273/NA!AP273-1)*100</f>
        <v>#DIV/0!</v>
      </c>
      <c r="F38" s="280" t="e">
        <f>(NA!AR273/NA!AQ273-1)*100</f>
        <v>#DIV/0!</v>
      </c>
      <c r="G38" s="280" t="e">
        <f>(NA!AS273/NA!AR273-1)*100</f>
        <v>#DIV/0!</v>
      </c>
      <c r="H38" s="280">
        <f>(NA!AT273/NA!AS273-1)*100</f>
        <v>2.4659205925141814</v>
      </c>
      <c r="I38" s="280">
        <f>(NA!AU273/NA!AT273-1)*100</f>
        <v>1.4242674333790895</v>
      </c>
      <c r="J38" s="280">
        <f>(NA!AV273/NA!AU273-1)*100</f>
        <v>7.8906369242730312</v>
      </c>
      <c r="K38" s="280">
        <f>(NA!AW273/NA!AV273-1)*100</f>
        <v>6.7048447503708308</v>
      </c>
      <c r="L38" s="280">
        <f>(NA!AX273/NA!AW273-1)*100</f>
        <v>1.3645027674061838</v>
      </c>
      <c r="M38" s="280">
        <f>(NA!AY273/NA!AX273-1)*100</f>
        <v>6.3971018642206445</v>
      </c>
      <c r="N38" s="280">
        <f>(NA!AZ273/NA!AY273-1)*100</f>
        <v>3.3721599883239639</v>
      </c>
      <c r="O38" s="280">
        <f>(NA!BA273/NA!AZ273-1)*100</f>
        <v>1.7227919746114262</v>
      </c>
      <c r="P38" s="280">
        <f>(NA!BB273/NA!BA273-1)*100</f>
        <v>3.3709077205495097</v>
      </c>
      <c r="Q38" s="667">
        <f t="shared" ref="Q38" si="35">Q104*Q$138</f>
        <v>7.0397469530978585E-2</v>
      </c>
      <c r="R38" s="667">
        <v>0</v>
      </c>
      <c r="S38" s="667">
        <v>0</v>
      </c>
      <c r="T38" s="667">
        <v>0</v>
      </c>
      <c r="U38" s="667">
        <v>1</v>
      </c>
      <c r="V38" s="667">
        <v>2</v>
      </c>
      <c r="AJ38" s="292"/>
      <c r="AK38" s="292"/>
      <c r="AL38" s="292"/>
      <c r="AM38" s="292"/>
      <c r="AN38" s="292"/>
      <c r="AO38" s="292"/>
      <c r="AP38" s="292"/>
      <c r="AQ38" s="292"/>
      <c r="AR38" s="292"/>
      <c r="AS38" s="292"/>
      <c r="AT38" s="292"/>
      <c r="AU38" s="292"/>
      <c r="AV38" s="292"/>
      <c r="AW38" s="277" t="s">
        <v>101</v>
      </c>
      <c r="AZ38" s="289" t="s">
        <v>125</v>
      </c>
      <c r="BA38" s="278" t="e">
        <f>AVERAGE(F38:H38)</f>
        <v>#DIV/0!</v>
      </c>
    </row>
    <row r="39" spans="1:54" x14ac:dyDescent="0.2">
      <c r="A39" s="279" t="s">
        <v>102</v>
      </c>
      <c r="B39" s="280">
        <v>3.200006375043829</v>
      </c>
      <c r="C39" s="280">
        <f>(NA!AO274/NA!AN274-1)*100</f>
        <v>-100</v>
      </c>
      <c r="D39" s="280" t="e">
        <f>(NA!AS274/NA!AO274-1)*100</f>
        <v>#DIV/0!</v>
      </c>
      <c r="E39" s="280">
        <f>(NA!AQ274/NA!AS274-1)*100</f>
        <v>-100</v>
      </c>
      <c r="F39" s="280" t="e">
        <f>(NA!AR274/NA!AQ274-1)*100</f>
        <v>#DIV/0!</v>
      </c>
      <c r="G39" s="280" t="e">
        <f>(NA!AS274/NA!AR274-1)*100</f>
        <v>#DIV/0!</v>
      </c>
      <c r="H39" s="280">
        <f>(NA!AT274/NA!AS274-1)*100</f>
        <v>-0.49850704763987341</v>
      </c>
      <c r="I39" s="280">
        <f>(NA!AU274/NA!AT274-1)*100</f>
        <v>-1.3592356503705605</v>
      </c>
      <c r="J39" s="280">
        <f>(NA!AV274/NA!AU274-1)*100</f>
        <v>7.8046620990491089</v>
      </c>
      <c r="K39" s="280">
        <f>(NA!AW274/NA!AV274-1)*100</f>
        <v>7.6626315759143804</v>
      </c>
      <c r="L39" s="280">
        <f>(NA!AX274/NA!AW274-1)*100</f>
        <v>0.7399144498735577</v>
      </c>
      <c r="M39" s="280">
        <f>(NA!AY274/NA!AX274-1)*100</f>
        <v>7.8138013091058722</v>
      </c>
      <c r="N39" s="280">
        <f>(NA!AZ274/NA!AY274-1)*100</f>
        <v>4.1885645664023752</v>
      </c>
      <c r="O39" s="280">
        <f>(NA!BA274/NA!AZ274-1)*100</f>
        <v>1.2955814626935291</v>
      </c>
      <c r="P39" s="280">
        <f>(NA!BB274/NA!BA274-1)*100</f>
        <v>5.186551819124241</v>
      </c>
      <c r="Q39" s="667">
        <f t="shared" ref="Q39:R42" si="36">Q105*Q$138</f>
        <v>2.2786995945332933</v>
      </c>
      <c r="R39" s="667">
        <f t="shared" si="36"/>
        <v>0.5654874487224788</v>
      </c>
      <c r="S39" s="667">
        <f t="shared" ref="S39:T42" si="37">S105*S$138</f>
        <v>0.41203307361956831</v>
      </c>
      <c r="T39" s="667">
        <f t="shared" si="37"/>
        <v>1.5611167586826014E-2</v>
      </c>
      <c r="U39" s="667">
        <f t="shared" ref="U39:V39" si="38">U105*U$138</f>
        <v>-0.98544386323965227</v>
      </c>
      <c r="V39" s="667">
        <f t="shared" si="38"/>
        <v>-0.83308573737997449</v>
      </c>
      <c r="AW39" s="279" t="s">
        <v>102</v>
      </c>
      <c r="AZ39" s="289"/>
      <c r="BA39" s="278"/>
      <c r="BB39" s="264"/>
    </row>
    <row r="40" spans="1:54" x14ac:dyDescent="0.2">
      <c r="A40" s="279" t="s">
        <v>103</v>
      </c>
      <c r="B40" s="280">
        <v>15.421814108328991</v>
      </c>
      <c r="C40" s="280">
        <f>(NA!AO275/NA!AN275-1)*100</f>
        <v>-100</v>
      </c>
      <c r="D40" s="280" t="e">
        <f>(NA!AP275/NA!AO275-1)*100</f>
        <v>#DIV/0!</v>
      </c>
      <c r="E40" s="280" t="e">
        <f>(NA!AQ275/NA!AP275-1)*100</f>
        <v>#DIV/0!</v>
      </c>
      <c r="F40" s="280" t="e">
        <f>(NA!AR275/NA!AQ275-1)*100</f>
        <v>#DIV/0!</v>
      </c>
      <c r="G40" s="280" t="e">
        <f>(NA!AS275/NA!AR275-1)*100</f>
        <v>#DIV/0!</v>
      </c>
      <c r="H40" s="280">
        <f>(NA!AT275/NA!AS275-1)*100</f>
        <v>7.3836430848579271</v>
      </c>
      <c r="I40" s="280">
        <f>(NA!AU275/NA!AT275-1)*100</f>
        <v>5.8689018310475349</v>
      </c>
      <c r="J40" s="280">
        <f>(NA!AV275/NA!AU275-1)*100</f>
        <v>9.0399999830213407</v>
      </c>
      <c r="K40" s="280">
        <f>(NA!AW275/NA!AV275-1)*100</f>
        <v>5.2963258762732668</v>
      </c>
      <c r="L40" s="280">
        <f>(NA!AX275/NA!AW275-1)*100</f>
        <v>1.9978963060350852</v>
      </c>
      <c r="M40" s="280">
        <f>(NA!AY275/NA!AX275-1)*100</f>
        <v>4.7130656244647628</v>
      </c>
      <c r="N40" s="280">
        <f>(NA!AZ275/NA!AY275-1)*100</f>
        <v>1.8292561163802956</v>
      </c>
      <c r="O40" s="280">
        <f>(NA!BA275/NA!AZ275-1)*100</f>
        <v>1.7165506160559563</v>
      </c>
      <c r="P40" s="280">
        <f>(NA!BB275/NA!BA275-1)*100</f>
        <v>-0.5199015813969976</v>
      </c>
      <c r="Q40" s="667">
        <f t="shared" si="36"/>
        <v>0.50377834537052879</v>
      </c>
      <c r="R40" s="667">
        <f t="shared" si="36"/>
        <v>-3.5993197973925817</v>
      </c>
      <c r="S40" s="667">
        <f t="shared" si="37"/>
        <v>-1.2920890545663042</v>
      </c>
      <c r="T40" s="667">
        <f t="shared" si="37"/>
        <v>-1.7094297192278189</v>
      </c>
      <c r="U40" s="667">
        <f t="shared" ref="U40:V40" si="39">U106*U$138</f>
        <v>-1.0421292656373906</v>
      </c>
      <c r="V40" s="667">
        <f t="shared" si="39"/>
        <v>-0.91218082928793365</v>
      </c>
      <c r="AW40" s="279" t="s">
        <v>103</v>
      </c>
      <c r="BA40" s="278"/>
      <c r="BB40" s="264"/>
    </row>
    <row r="41" spans="1:54" x14ac:dyDescent="0.2">
      <c r="A41" s="279" t="s">
        <v>287</v>
      </c>
      <c r="B41" s="280">
        <v>2.6991325189633875</v>
      </c>
      <c r="C41" s="280">
        <f>(NA!AO276/NA!AN276-1)*100</f>
        <v>-100</v>
      </c>
      <c r="D41" s="280" t="e">
        <f>(NA!AP276/NA!AO276-1)*100</f>
        <v>#DIV/0!</v>
      </c>
      <c r="E41" s="280" t="e">
        <f>(NA!AQ276/NA!AP276-1)*100</f>
        <v>#DIV/0!</v>
      </c>
      <c r="F41" s="280" t="e">
        <f>(NA!AR276/NA!AQ276-1)*100</f>
        <v>#DIV/0!</v>
      </c>
      <c r="G41" s="280" t="e">
        <f>(NA!AS276/NA!AR276-1)*100</f>
        <v>#DIV/0!</v>
      </c>
      <c r="H41" s="280">
        <f>(NA!AT276/NA!AS276-1)*100</f>
        <v>7.3661840371143539</v>
      </c>
      <c r="I41" s="280">
        <f>(NA!AU276/NA!AT276-1)*100</f>
        <v>5.1137869479747078</v>
      </c>
      <c r="J41" s="280">
        <f>(NA!AV276/NA!AU276-1)*100</f>
        <v>4.1834257199495628</v>
      </c>
      <c r="K41" s="280">
        <f>(NA!AW276/NA!AV276-1)*100</f>
        <v>4.864806076154693</v>
      </c>
      <c r="L41" s="280">
        <f>(NA!AX276/NA!AW276-1)*100</f>
        <v>3.42034249428389</v>
      </c>
      <c r="M41" s="280">
        <f>(NA!AY276/NA!AX276-1)*100</f>
        <v>3.3439735334315435</v>
      </c>
      <c r="N41" s="280">
        <f>(NA!AZ276/NA!AY276-1)*100</f>
        <v>3.4741160172962138</v>
      </c>
      <c r="O41" s="280">
        <f>(NA!BA276/NA!AZ276-1)*100</f>
        <v>4.7488639550195666</v>
      </c>
      <c r="P41" s="280">
        <f>(NA!BB276/NA!BA276-1)*100</f>
        <v>5.0992902919394734</v>
      </c>
      <c r="Q41" s="667">
        <f t="shared" si="36"/>
        <v>4.356922450771072</v>
      </c>
      <c r="R41" s="667">
        <f t="shared" si="36"/>
        <v>3.1799729294930104</v>
      </c>
      <c r="S41" s="667">
        <f t="shared" si="37"/>
        <v>1.9388824124737027</v>
      </c>
      <c r="T41" s="667">
        <f t="shared" si="37"/>
        <v>1.6030022736779301</v>
      </c>
      <c r="U41" s="667">
        <f t="shared" ref="U41:V41" si="40">U107*U$138</f>
        <v>0.4124292492249424</v>
      </c>
      <c r="V41" s="667">
        <f t="shared" si="40"/>
        <v>-0.54154525454396207</v>
      </c>
      <c r="AW41" s="279" t="s">
        <v>287</v>
      </c>
      <c r="BB41" s="294"/>
    </row>
    <row r="42" spans="1:54" x14ac:dyDescent="0.2">
      <c r="A42" s="286" t="s">
        <v>105</v>
      </c>
      <c r="B42" s="280">
        <v>3.1136044880785363</v>
      </c>
      <c r="C42" s="287">
        <f>(NA!AO277/NA!AN277-1)*100</f>
        <v>-100</v>
      </c>
      <c r="D42" s="287" t="e">
        <f>(NA!AP277/NA!AO277-1)*100</f>
        <v>#DIV/0!</v>
      </c>
      <c r="E42" s="287" t="e">
        <f>(NA!AQ277/NA!AP277-1)*100</f>
        <v>#DIV/0!</v>
      </c>
      <c r="F42" s="287" t="e">
        <f>(NA!AR277/NA!AQ277-1)*100</f>
        <v>#DIV/0!</v>
      </c>
      <c r="G42" s="287" t="e">
        <f>(NA!AS277/NA!AR277-1)*100</f>
        <v>#DIV/0!</v>
      </c>
      <c r="H42" s="287">
        <f>(NA!AT277/NA!AS277-1)*100</f>
        <v>2.8307665111453773</v>
      </c>
      <c r="I42" s="287">
        <f>(NA!AU277/NA!AT277-1)*100</f>
        <v>0.87103170004934061</v>
      </c>
      <c r="J42" s="287">
        <f>(NA!AV277/NA!AU277-1)*100</f>
        <v>7.2479917236117242</v>
      </c>
      <c r="K42" s="287">
        <f>(NA!AW277/NA!AV277-1)*100</f>
        <v>18.751202250184427</v>
      </c>
      <c r="L42" s="287">
        <f>(NA!AX277/NA!AW277-1)*100</f>
        <v>0.90749389993947105</v>
      </c>
      <c r="M42" s="287">
        <f>(NA!AY277/NA!AX277-1)*100</f>
        <v>-0.62187600831900003</v>
      </c>
      <c r="N42" s="287">
        <f>(NA!AZ277/NA!AY277-1)*100</f>
        <v>2.8881659731208265</v>
      </c>
      <c r="O42" s="287">
        <f>(NA!BA277/NA!AZ277-1)*100</f>
        <v>4.9135453420009689</v>
      </c>
      <c r="P42" s="287">
        <f>(NA!BB277/NA!BA277-1)*100</f>
        <v>2.0002893474834638</v>
      </c>
      <c r="Q42" s="667">
        <f t="shared" si="36"/>
        <v>2</v>
      </c>
      <c r="R42" s="667">
        <f t="shared" si="36"/>
        <v>1.7335309537870671</v>
      </c>
      <c r="S42" s="667">
        <f t="shared" si="37"/>
        <v>1.4171150192630195</v>
      </c>
      <c r="T42" s="667">
        <f t="shared" si="37"/>
        <v>0.68415702544666601</v>
      </c>
      <c r="U42" s="667">
        <f t="shared" ref="U42:V42" si="41">U108*U$138</f>
        <v>0.14100625245318951</v>
      </c>
      <c r="V42" s="667">
        <f t="shared" si="41"/>
        <v>0.24098943270114434</v>
      </c>
      <c r="AW42" s="277" t="s">
        <v>105</v>
      </c>
      <c r="AZ42" s="289" t="s">
        <v>55</v>
      </c>
      <c r="BA42" s="307"/>
      <c r="BB42" s="294"/>
    </row>
    <row r="43" spans="1:54" x14ac:dyDescent="0.2">
      <c r="A43" s="277" t="s">
        <v>297</v>
      </c>
      <c r="B43" s="291"/>
      <c r="C43" s="291"/>
      <c r="D43" s="291"/>
      <c r="E43" s="291"/>
      <c r="F43" s="291"/>
      <c r="G43" s="291"/>
      <c r="H43" s="291"/>
      <c r="I43" s="291"/>
      <c r="J43" s="291"/>
      <c r="K43" s="291"/>
      <c r="L43" s="291"/>
      <c r="M43" s="291"/>
      <c r="N43" s="291"/>
      <c r="O43" s="291"/>
      <c r="P43" s="291"/>
      <c r="Q43" s="668"/>
      <c r="R43" s="668"/>
      <c r="S43" s="668"/>
      <c r="T43" s="668"/>
      <c r="U43" s="668"/>
      <c r="V43" s="668"/>
      <c r="AW43" s="277" t="s">
        <v>106</v>
      </c>
      <c r="AZ43" s="289" t="s">
        <v>22</v>
      </c>
      <c r="BA43" s="266"/>
      <c r="BB43" s="294"/>
    </row>
    <row r="44" spans="1:54" x14ac:dyDescent="0.2">
      <c r="A44" s="279" t="s">
        <v>108</v>
      </c>
      <c r="B44" s="280">
        <v>2.5048601764617873</v>
      </c>
      <c r="C44" s="280">
        <f>(NA!AO279/NA!AN279-1)*100</f>
        <v>-100</v>
      </c>
      <c r="D44" s="280" t="e">
        <f>(NA!AP279/NA!AO279-1)*100</f>
        <v>#DIV/0!</v>
      </c>
      <c r="E44" s="280" t="e">
        <f>(NA!AQ279/NA!AP279-1)*100</f>
        <v>#DIV/0!</v>
      </c>
      <c r="F44" s="280" t="e">
        <f>(NA!AR279/NA!AQ279-1)*100</f>
        <v>#DIV/0!</v>
      </c>
      <c r="G44" s="280" t="e">
        <f>(NA!AS279/NA!AR279-1)*100</f>
        <v>#DIV/0!</v>
      </c>
      <c r="H44" s="280">
        <f>(NA!AT279/NA!AS279-1)*100</f>
        <v>0.17356896116971221</v>
      </c>
      <c r="I44" s="280">
        <f>(NA!AU279/NA!AT279-1)*100</f>
        <v>-9.4390152989762495</v>
      </c>
      <c r="J44" s="280">
        <f>(NA!AV279/NA!AU279-1)*100</f>
        <v>2.3282616937038592</v>
      </c>
      <c r="K44" s="280">
        <f>(NA!AW279/NA!AV279-1)*100</f>
        <v>7.4906327642467518</v>
      </c>
      <c r="L44" s="280">
        <f>(NA!AX279/NA!AW279-1)*100</f>
        <v>-1.1302487635681202</v>
      </c>
      <c r="M44" s="280">
        <f>(NA!AY279/NA!AX279-1)*100</f>
        <v>-1.2480878109254578</v>
      </c>
      <c r="N44" s="280">
        <f>(NA!AZ279/NA!AY279-1)*100</f>
        <v>2.8292568664190387</v>
      </c>
      <c r="O44" s="280">
        <f>(NA!BA279/NA!AZ279-1)*100</f>
        <v>2.6549626737814913</v>
      </c>
      <c r="P44" s="280">
        <f>(NA!BB279/NA!BA279-1)*100</f>
        <v>3.7333455902639257</v>
      </c>
      <c r="Q44" s="667">
        <f t="shared" ref="Q44:Q45" si="42">Q110*Q$138</f>
        <v>3.3</v>
      </c>
      <c r="R44" s="667">
        <f t="shared" ref="R44:T45" si="43">R110*R$138</f>
        <v>2.7284587344527154</v>
      </c>
      <c r="S44" s="667">
        <f t="shared" si="43"/>
        <v>2.6269873838083413</v>
      </c>
      <c r="T44" s="667">
        <f t="shared" si="43"/>
        <v>1.5911185458345898</v>
      </c>
      <c r="U44" s="667">
        <f t="shared" ref="U44:V44" si="44">U110*U$138</f>
        <v>1.3452498228670322</v>
      </c>
      <c r="V44" s="667">
        <f t="shared" si="44"/>
        <v>0.65437101967842182</v>
      </c>
      <c r="AW44" s="279" t="s">
        <v>108</v>
      </c>
      <c r="AZ44" s="289" t="s">
        <v>30</v>
      </c>
      <c r="BA44" s="266"/>
      <c r="BB44" s="294"/>
    </row>
    <row r="45" spans="1:54" x14ac:dyDescent="0.2">
      <c r="A45" s="279" t="s">
        <v>109</v>
      </c>
      <c r="B45" s="280">
        <v>4.5998146321045263</v>
      </c>
      <c r="C45" s="280">
        <f>(NA!AO280/NA!AN280-1)*100</f>
        <v>-100</v>
      </c>
      <c r="D45" s="280" t="e">
        <f>(NA!AP280/NA!AO280-1)*100</f>
        <v>#DIV/0!</v>
      </c>
      <c r="E45" s="280" t="e">
        <f>(NA!AQ280/NA!AP280-1)*100</f>
        <v>#DIV/0!</v>
      </c>
      <c r="F45" s="280" t="e">
        <f>(NA!AR280/NA!AQ280-1)*100</f>
        <v>#DIV/0!</v>
      </c>
      <c r="G45" s="280" t="e">
        <f>(NA!AS280/NA!AR280-1)*100</f>
        <v>#DIV/0!</v>
      </c>
      <c r="H45" s="280">
        <f>(NA!AT280/NA!AS280-1)*100</f>
        <v>26.94874032124115</v>
      </c>
      <c r="I45" s="280">
        <f>(NA!AU280/NA!AT280-1)*100</f>
        <v>13.41268936957729</v>
      </c>
      <c r="J45" s="280">
        <f>(NA!AV280/NA!AU280-1)*100</f>
        <v>10.590132070113413</v>
      </c>
      <c r="K45" s="280">
        <f>(NA!AW280/NA!AV280-1)*100</f>
        <v>-5.6485749287343179</v>
      </c>
      <c r="L45" s="280">
        <f>(NA!AX280/NA!AW280-1)*100</f>
        <v>10.399077531411361</v>
      </c>
      <c r="M45" s="280">
        <f>(NA!AY280/NA!AX280-1)*100</f>
        <v>28.336114560641402</v>
      </c>
      <c r="N45" s="280">
        <f>(NA!AZ280/NA!AY280-1)*100</f>
        <v>2.8011168779092932</v>
      </c>
      <c r="O45" s="280">
        <f>(NA!BA280/NA!AZ280-1)*100</f>
        <v>18.398585515494716</v>
      </c>
      <c r="P45" s="280">
        <f>(NA!BB280/NA!BA280-1)*100</f>
        <v>4.903919970638615</v>
      </c>
      <c r="Q45" s="667">
        <f t="shared" si="42"/>
        <v>4</v>
      </c>
      <c r="R45" s="667">
        <f t="shared" si="43"/>
        <v>3.2412031642231796</v>
      </c>
      <c r="S45" s="667">
        <f t="shared" si="43"/>
        <v>-1.0595500706902385</v>
      </c>
      <c r="T45" s="667">
        <f t="shared" si="43"/>
        <v>0.47713151437437773</v>
      </c>
      <c r="U45" s="667">
        <f t="shared" ref="U45:V45" si="45">U111*U$138</f>
        <v>-0.5997998079024911</v>
      </c>
      <c r="V45" s="667">
        <f t="shared" si="45"/>
        <v>-0.37556202277592093</v>
      </c>
      <c r="AW45" s="279" t="s">
        <v>109</v>
      </c>
      <c r="BB45" s="294"/>
    </row>
    <row r="46" spans="1:54" x14ac:dyDescent="0.2">
      <c r="A46" s="277" t="s">
        <v>110</v>
      </c>
      <c r="B46" s="291"/>
      <c r="C46" s="291"/>
      <c r="D46" s="291"/>
      <c r="E46" s="291"/>
      <c r="F46" s="291"/>
      <c r="G46" s="291"/>
      <c r="H46" s="291"/>
      <c r="I46" s="291"/>
      <c r="J46" s="291"/>
      <c r="K46" s="291"/>
      <c r="L46" s="291"/>
      <c r="M46" s="291"/>
      <c r="N46" s="291"/>
      <c r="O46" s="291"/>
      <c r="P46" s="291"/>
      <c r="Q46" s="668"/>
      <c r="R46" s="668"/>
      <c r="S46" s="668"/>
      <c r="T46" s="668"/>
      <c r="U46" s="668"/>
      <c r="V46" s="668"/>
      <c r="AW46" s="277" t="s">
        <v>110</v>
      </c>
      <c r="BA46" s="308"/>
      <c r="BB46" s="264"/>
    </row>
    <row r="47" spans="1:54" x14ac:dyDescent="0.2">
      <c r="A47" s="279" t="s">
        <v>288</v>
      </c>
      <c r="B47" s="280">
        <v>4.6999849359457224</v>
      </c>
      <c r="C47" s="280">
        <f>(NA!AO282/NA!AN282-1)*100</f>
        <v>-100</v>
      </c>
      <c r="D47" s="280" t="e">
        <f>(NA!AP282/NA!AO282-1)*100</f>
        <v>#DIV/0!</v>
      </c>
      <c r="E47" s="280" t="e">
        <f>(NA!AQ282/NA!AP282-1)*100</f>
        <v>#DIV/0!</v>
      </c>
      <c r="F47" s="280" t="e">
        <f>(NA!AR282/NA!AQ282-1)*100</f>
        <v>#DIV/0!</v>
      </c>
      <c r="G47" s="280" t="e">
        <f>(NA!AS282/NA!AR282-1)*100</f>
        <v>#DIV/0!</v>
      </c>
      <c r="H47" s="280">
        <f>(NA!AT282/NA!AS282-1)*100</f>
        <v>-0.23359904196221803</v>
      </c>
      <c r="I47" s="280">
        <f>(NA!AU282/NA!AT282-1)*100</f>
        <v>-0.13756138168820042</v>
      </c>
      <c r="J47" s="280">
        <f>(NA!AV282/NA!AU282-1)*100</f>
        <v>-5.7063487347264186E-2</v>
      </c>
      <c r="K47" s="280">
        <f>(NA!AW282/NA!AV282-1)*100</f>
        <v>3.8705709544895051E-2</v>
      </c>
      <c r="L47" s="280">
        <f>(NA!AX282/NA!AW282-1)*100</f>
        <v>0.13704353197256935</v>
      </c>
      <c r="M47" s="280">
        <f>(NA!AY282/NA!AX282-1)*100</f>
        <v>0.23465112266536359</v>
      </c>
      <c r="N47" s="280">
        <f>(NA!AZ282/NA!AY282-1)*100</f>
        <v>0.33134451118508323</v>
      </c>
      <c r="O47" s="280">
        <f>(NA!BA282/NA!AZ282-1)*100</f>
        <v>0.42694675815444505</v>
      </c>
      <c r="P47" s="280">
        <f>(NA!BB282/NA!BA282-1)*100</f>
        <v>0.52128918494667165</v>
      </c>
      <c r="Q47" s="667">
        <f t="shared" ref="Q47:T47" si="46">Q113*Q$138</f>
        <v>0.3</v>
      </c>
      <c r="R47" s="667">
        <f t="shared" si="46"/>
        <v>0.61849110421601949</v>
      </c>
      <c r="S47" s="667">
        <f t="shared" si="46"/>
        <v>0.4590390439195744</v>
      </c>
      <c r="T47" s="667">
        <f t="shared" si="46"/>
        <v>0.57381824007266857</v>
      </c>
      <c r="U47" s="667">
        <f t="shared" ref="U47:V47" si="47">U113*U$138</f>
        <v>0.30814149929233564</v>
      </c>
      <c r="V47" s="667">
        <f t="shared" si="47"/>
        <v>0.11475133217649187</v>
      </c>
      <c r="AW47" s="279" t="s">
        <v>288</v>
      </c>
      <c r="AZ47" s="289" t="s">
        <v>93</v>
      </c>
      <c r="BA47" s="308"/>
      <c r="BB47" s="265" t="s">
        <v>98</v>
      </c>
    </row>
    <row r="48" spans="1:54" x14ac:dyDescent="0.2">
      <c r="A48" s="286" t="s">
        <v>298</v>
      </c>
      <c r="B48" s="273"/>
      <c r="C48" s="273"/>
      <c r="D48" s="273"/>
      <c r="E48" s="273"/>
      <c r="F48" s="273"/>
      <c r="G48" s="273"/>
      <c r="H48" s="273"/>
      <c r="I48" s="273"/>
      <c r="J48" s="273"/>
      <c r="K48" s="273"/>
      <c r="U48" s="266"/>
      <c r="AW48" s="277" t="s">
        <v>289</v>
      </c>
      <c r="AZ48" s="289" t="s">
        <v>94</v>
      </c>
      <c r="BA48" s="308"/>
      <c r="BB48" s="264" t="s">
        <v>96</v>
      </c>
    </row>
    <row r="49" spans="1:53" x14ac:dyDescent="0.2">
      <c r="A49" s="273"/>
      <c r="B49" s="273"/>
      <c r="C49" s="273"/>
      <c r="D49" s="273"/>
      <c r="E49" s="273"/>
      <c r="F49" s="273"/>
      <c r="G49" s="273"/>
      <c r="H49" s="273"/>
      <c r="I49" s="273"/>
      <c r="J49" s="273"/>
      <c r="K49" s="273"/>
      <c r="U49" s="266"/>
      <c r="V49" s="309"/>
      <c r="AZ49" s="289" t="s">
        <v>3</v>
      </c>
      <c r="BA49" s="264"/>
    </row>
    <row r="50" spans="1:53" s="309" customFormat="1" x14ac:dyDescent="0.2">
      <c r="A50" s="310" t="s">
        <v>55</v>
      </c>
      <c r="B50" s="274">
        <f>NA!AN21/NA!AN7</f>
        <v>0.16354673229001759</v>
      </c>
      <c r="C50" s="274">
        <f>NA!AO21/NA!AO7</f>
        <v>0.13927288520190065</v>
      </c>
      <c r="D50" s="274">
        <f>NA!AP21/NA!AP7</f>
        <v>0.13774402809500483</v>
      </c>
      <c r="E50" s="274">
        <f>NA!AQ21/NA!AQ7</f>
        <v>0.15539457549530181</v>
      </c>
      <c r="F50" s="274">
        <f>NA!AR21/NA!AR7</f>
        <v>0.18348887394065275</v>
      </c>
      <c r="G50" s="274">
        <f>NA!AS21/NA!AS7</f>
        <v>0.20580177033922087</v>
      </c>
      <c r="H50" s="274">
        <f>NA!AT21/NA!AT7</f>
        <v>0.20770452072329049</v>
      </c>
      <c r="I50" s="274">
        <f>NA!AU21/NA!AU7</f>
        <v>0.22740964737444069</v>
      </c>
      <c r="J50" s="311">
        <f>TREND(H50:I50,H4:I4,J4)</f>
        <v>0.24711477402558302</v>
      </c>
      <c r="K50" s="311">
        <f>TREND(I50:J50,I4:J4,K4)*0.92</f>
        <v>0.24547430862258468</v>
      </c>
      <c r="L50" s="312">
        <f>TREND(J50:K50,J4:K4,L4)*0.97</f>
        <v>0.23651882792299897</v>
      </c>
      <c r="M50" s="312">
        <f>TREND(K50:L50,K4:L4,M4)</f>
        <v>0.22756334722341265</v>
      </c>
      <c r="N50" s="312">
        <f t="shared" ref="N50:S50" si="48">TREND(L50:M50,L4:M4,N4)*0.99</f>
        <v>0.21642178785858379</v>
      </c>
      <c r="O50" s="312">
        <f t="shared" si="48"/>
        <v>0.20322742620881803</v>
      </c>
      <c r="P50" s="312">
        <f t="shared" si="48"/>
        <v>0.18813273391346236</v>
      </c>
      <c r="Q50" s="312">
        <f t="shared" si="48"/>
        <v>0.17130766120192525</v>
      </c>
      <c r="R50" s="312">
        <f t="shared" si="48"/>
        <v>0.15293776260548475</v>
      </c>
      <c r="S50" s="312">
        <f t="shared" si="48"/>
        <v>0.13322218536895222</v>
      </c>
      <c r="T50" s="312">
        <f>TREND(R50:S50,R4:S4,T4)*1.3</f>
        <v>0.14755859057214379</v>
      </c>
      <c r="U50" s="312">
        <f t="shared" ref="U50:V50" si="49">TREND(S50:T50,S4:T4,U4)*1.3</f>
        <v>0.21046349450793933</v>
      </c>
      <c r="V50" s="312">
        <f t="shared" si="49"/>
        <v>0.35537891797685717</v>
      </c>
      <c r="AA50" s="292"/>
      <c r="AB50" s="292"/>
      <c r="AC50" s="292"/>
      <c r="AD50" s="292"/>
      <c r="AE50" s="292"/>
      <c r="AF50" s="292"/>
      <c r="AG50" s="292"/>
      <c r="AH50" s="292"/>
      <c r="AI50" s="292"/>
    </row>
    <row r="51" spans="1:53" s="309" customFormat="1" x14ac:dyDescent="0.2">
      <c r="A51" s="310" t="s">
        <v>22</v>
      </c>
      <c r="B51" s="274">
        <f>NA!AN24/NA!AN55</f>
        <v>1.4720694257652109E-2</v>
      </c>
      <c r="C51" s="274">
        <f>NA!AO24/NA!AO55</f>
        <v>1.2358870316491192E-2</v>
      </c>
      <c r="D51" s="274">
        <f>NA!AP24/NA!AP55</f>
        <v>1.2038653947139355E-2</v>
      </c>
      <c r="E51" s="274">
        <f>NA!AQ24/NA!AQ55</f>
        <v>1.0172517938810072E-2</v>
      </c>
      <c r="F51" s="274">
        <f>NA!AR24/NA!AR55</f>
        <v>1.1511198160377276E-2</v>
      </c>
      <c r="G51" s="274">
        <f>NA!AS24/NA!AS55</f>
        <v>1.177606963218612E-2</v>
      </c>
      <c r="H51" s="274">
        <f>NA!AT24/NA!AT55</f>
        <v>1.0980797456437199E-2</v>
      </c>
      <c r="I51" s="274">
        <f>H51+(($J51-H51)/COLUMNS(I51:$J51))</f>
        <v>1.165174078573019E-2</v>
      </c>
      <c r="J51" s="276">
        <f t="shared" ref="J51:T51" si="50">AVERAGE(B51:E51)</f>
        <v>1.2322684115023182E-2</v>
      </c>
      <c r="K51" s="276">
        <f t="shared" si="50"/>
        <v>1.1520310090704472E-2</v>
      </c>
      <c r="L51" s="266">
        <f t="shared" si="50"/>
        <v>1.1374609919628204E-2</v>
      </c>
      <c r="M51" s="266">
        <f t="shared" si="50"/>
        <v>1.1110145796952667E-2</v>
      </c>
      <c r="N51" s="266">
        <f t="shared" si="50"/>
        <v>1.1479951508682697E-2</v>
      </c>
      <c r="O51" s="266">
        <f t="shared" si="50"/>
        <v>1.1682822997344171E-2</v>
      </c>
      <c r="P51" s="266">
        <f t="shared" si="50"/>
        <v>1.1618883111973762E-2</v>
      </c>
      <c r="Q51" s="266">
        <f t="shared" si="50"/>
        <v>1.1717336227771512E-2</v>
      </c>
      <c r="R51" s="266">
        <f t="shared" si="50"/>
        <v>1.1581937480577132E-2</v>
      </c>
      <c r="S51" s="266">
        <f t="shared" si="50"/>
        <v>1.137125432899201E-2</v>
      </c>
      <c r="T51" s="266">
        <f t="shared" si="50"/>
        <v>1.1411882555651936E-2</v>
      </c>
      <c r="U51" s="266">
        <f t="shared" ref="U51" si="51">AVERAGE(M51:P51)</f>
        <v>1.1472950853738324E-2</v>
      </c>
      <c r="V51" s="266">
        <f t="shared" ref="V51" si="52">AVERAGE(N51:Q51)</f>
        <v>1.1624748461443036E-2</v>
      </c>
      <c r="AA51" s="292"/>
      <c r="AB51" s="292"/>
      <c r="AC51" s="292"/>
      <c r="AD51" s="292"/>
      <c r="AE51" s="292"/>
      <c r="AF51" s="292"/>
      <c r="AG51" s="292"/>
      <c r="AH51" s="292"/>
      <c r="AI51" s="292"/>
    </row>
    <row r="52" spans="1:53" s="309" customFormat="1" x14ac:dyDescent="0.2">
      <c r="A52" s="313" t="s">
        <v>30</v>
      </c>
      <c r="B52" s="314">
        <f>NA!AN33/NA!AN55</f>
        <v>0.1804202073417778</v>
      </c>
      <c r="C52" s="314">
        <f>NA!AO33/NA!AO55</f>
        <v>0.43796493914561674</v>
      </c>
      <c r="D52" s="314">
        <f>NA!AP33/NA!AP55</f>
        <v>0.41993970415549953</v>
      </c>
      <c r="E52" s="314">
        <f>NA!AQ33/NA!AQ55</f>
        <v>0.39391045880209119</v>
      </c>
      <c r="F52" s="314">
        <f>NA!AR33/NA!AR55</f>
        <v>0.3610830728539981</v>
      </c>
      <c r="G52" s="314">
        <f>NA!AS33/NA!AS55</f>
        <v>0.35830828845505125</v>
      </c>
      <c r="H52" s="314">
        <f>NA!AT33/NA!AT55</f>
        <v>0.32382444419546258</v>
      </c>
      <c r="I52" s="314">
        <f>NA!AU33/NA!AU55</f>
        <v>0.3487044845743798</v>
      </c>
      <c r="J52" s="315">
        <f t="shared" ref="J52:T52" si="53">TREND(C52:I52,C4:I4,J4)</f>
        <v>0.30687447688589486</v>
      </c>
      <c r="K52" s="315">
        <f t="shared" si="53"/>
        <v>0.29225409585708206</v>
      </c>
      <c r="L52" s="315">
        <f t="shared" si="53"/>
        <v>0.28028131956743607</v>
      </c>
      <c r="M52" s="315">
        <f t="shared" si="53"/>
        <v>0.26855236714630237</v>
      </c>
      <c r="N52" s="315">
        <f t="shared" si="53"/>
        <v>0.25228501068314557</v>
      </c>
      <c r="O52" s="315">
        <f t="shared" si="53"/>
        <v>0.23875150088544927</v>
      </c>
      <c r="P52" s="315">
        <f t="shared" si="53"/>
        <v>0.21785194905950789</v>
      </c>
      <c r="Q52" s="315">
        <f t="shared" si="53"/>
        <v>0.20782594825401546</v>
      </c>
      <c r="R52" s="315">
        <f t="shared" si="53"/>
        <v>0.19283687733814858</v>
      </c>
      <c r="S52" s="315">
        <f t="shared" si="53"/>
        <v>0.1771665352625611</v>
      </c>
      <c r="T52" s="315">
        <f t="shared" si="53"/>
        <v>0.16161298195092755</v>
      </c>
      <c r="U52" s="315">
        <f t="shared" ref="U52" si="54">TREND(N52:T52,N4:T4,U4)</f>
        <v>0.14687567346713593</v>
      </c>
      <c r="V52" s="315">
        <f t="shared" ref="V52" si="55">TREND(O52:U52,O4:U4,V4)</f>
        <v>0.13202237667917061</v>
      </c>
      <c r="AA52" s="292"/>
      <c r="AB52" s="292"/>
      <c r="AC52" s="292"/>
      <c r="AD52" s="292"/>
      <c r="AE52" s="292"/>
      <c r="AF52" s="292"/>
      <c r="AG52" s="292"/>
      <c r="AH52" s="292"/>
      <c r="AI52" s="292"/>
    </row>
    <row r="53" spans="1:53" s="309" customFormat="1" x14ac:dyDescent="0.2">
      <c r="A53" s="411">
        <f>[1]NA!$X$82</f>
        <v>66193720.627851292</v>
      </c>
      <c r="B53" s="265"/>
      <c r="C53" s="265"/>
      <c r="D53" s="265"/>
      <c r="E53" s="265"/>
      <c r="F53" s="265"/>
      <c r="G53" s="262"/>
      <c r="H53" s="262"/>
      <c r="I53" s="262"/>
      <c r="J53" s="316">
        <v>1.1000000000000001</v>
      </c>
      <c r="K53" s="316">
        <v>1.1000000000000001</v>
      </c>
      <c r="L53" s="316">
        <v>1.1000000000000001</v>
      </c>
      <c r="M53" s="316">
        <v>1.1000000000000001</v>
      </c>
      <c r="N53" s="316">
        <v>1.1000000000000001</v>
      </c>
      <c r="O53" s="316">
        <v>1.1000000000000001</v>
      </c>
      <c r="P53" s="316">
        <v>1.1000000000000001</v>
      </c>
      <c r="Q53" s="316">
        <v>1.1000000000000001</v>
      </c>
      <c r="R53" s="316">
        <v>1.1000000000000001</v>
      </c>
      <c r="S53" s="316">
        <v>1.1000000000000001</v>
      </c>
      <c r="T53" s="316">
        <v>1.1000000000000001</v>
      </c>
      <c r="U53" s="266"/>
      <c r="AA53" s="292"/>
      <c r="AB53" s="292"/>
      <c r="AC53" s="292"/>
      <c r="AD53" s="292"/>
      <c r="AE53" s="292"/>
      <c r="AF53" s="292"/>
      <c r="AG53" s="292"/>
      <c r="AH53" s="292"/>
      <c r="AI53" s="292"/>
    </row>
    <row r="54" spans="1:53" s="309" customFormat="1" x14ac:dyDescent="0.2">
      <c r="A54" s="411">
        <f>[1]NA!$W$82</f>
        <v>57098397.420132577</v>
      </c>
      <c r="B54" s="265"/>
      <c r="C54" s="265"/>
      <c r="D54" s="265"/>
      <c r="E54" s="265"/>
      <c r="F54" s="317"/>
      <c r="G54" s="317"/>
      <c r="H54" s="317"/>
      <c r="I54" s="317"/>
      <c r="J54" s="318">
        <f>Prices!T7</f>
        <v>0.10664911125740617</v>
      </c>
      <c r="K54" s="318">
        <f>Prices!U7</f>
        <v>7.1980963712076074E-2</v>
      </c>
      <c r="L54" s="318">
        <f>Prices!V7</f>
        <v>0.10821904094503965</v>
      </c>
      <c r="M54" s="318">
        <f>Prices!W7</f>
        <v>0.17488708220415528</v>
      </c>
      <c r="N54" s="410">
        <f>Prices!X7</f>
        <v>7.6426264800861121E-2</v>
      </c>
      <c r="O54" s="420" t="s">
        <v>353</v>
      </c>
      <c r="P54" s="319"/>
      <c r="Q54" s="319"/>
      <c r="R54" s="319"/>
      <c r="S54" s="319"/>
      <c r="T54" s="319"/>
      <c r="U54" s="266"/>
      <c r="AA54" s="292"/>
      <c r="AB54" s="292"/>
      <c r="AC54" s="292"/>
      <c r="AD54" s="292"/>
      <c r="AE54" s="292"/>
      <c r="AF54" s="292"/>
      <c r="AG54" s="292"/>
      <c r="AH54" s="292"/>
      <c r="AI54" s="292"/>
    </row>
    <row r="55" spans="1:53" s="309" customFormat="1" x14ac:dyDescent="0.2">
      <c r="A55" s="289" t="s">
        <v>93</v>
      </c>
      <c r="B55" s="265"/>
      <c r="C55" s="265"/>
      <c r="D55" s="265"/>
      <c r="E55" s="265"/>
      <c r="F55" s="308"/>
      <c r="G55" s="308"/>
      <c r="H55" s="262">
        <f>Prices!AT7</f>
        <v>6.6932270916334691E-2</v>
      </c>
      <c r="I55" s="262">
        <f>Prices!AU7</f>
        <v>6.4227035100821395E-2</v>
      </c>
      <c r="J55" s="262">
        <f>Prices!AV7</f>
        <v>0.13473684210526304</v>
      </c>
      <c r="K55" s="262">
        <f>Prices!AW7</f>
        <v>0.12244897959183687</v>
      </c>
      <c r="L55" s="262">
        <f>Prices!AX7</f>
        <v>5.5526725480020911E-2</v>
      </c>
      <c r="M55" s="262">
        <f>Prices!AY7</f>
        <v>0.19754178957718782</v>
      </c>
      <c r="N55" s="262">
        <f>Prices!AZ7</f>
        <v>0.12059154001762828</v>
      </c>
      <c r="O55" s="262">
        <f>Prices!BA7</f>
        <v>5.5654474066129112E-2</v>
      </c>
      <c r="P55" s="307">
        <v>6.5000000000000002E-2</v>
      </c>
      <c r="Q55" s="307">
        <v>0.08</v>
      </c>
      <c r="R55" s="307">
        <v>0.04</v>
      </c>
      <c r="S55" s="307">
        <v>0.05</v>
      </c>
      <c r="T55" s="307">
        <v>0.05</v>
      </c>
      <c r="U55" s="307">
        <v>0.05</v>
      </c>
      <c r="V55" s="307">
        <v>0.05</v>
      </c>
      <c r="AA55" s="292"/>
      <c r="AB55" s="292"/>
      <c r="AC55" s="292"/>
      <c r="AD55" s="292"/>
      <c r="AE55" s="292"/>
      <c r="AF55" s="292"/>
      <c r="AG55" s="292"/>
      <c r="AH55" s="292"/>
      <c r="AI55" s="292"/>
    </row>
    <row r="56" spans="1:53" s="309" customFormat="1" x14ac:dyDescent="0.2">
      <c r="A56" s="289" t="s">
        <v>94</v>
      </c>
      <c r="B56" s="265"/>
      <c r="C56" s="265"/>
      <c r="D56" s="265"/>
      <c r="E56" s="265"/>
      <c r="F56" s="308"/>
      <c r="G56" s="359">
        <v>1</v>
      </c>
      <c r="H56" s="359">
        <v>1</v>
      </c>
      <c r="I56" s="359">
        <v>1</v>
      </c>
      <c r="J56" s="359">
        <v>1</v>
      </c>
      <c r="K56" s="359">
        <v>1</v>
      </c>
      <c r="L56" s="360">
        <v>0.64</v>
      </c>
      <c r="M56" s="360">
        <f>P60*P59</f>
        <v>0</v>
      </c>
      <c r="N56" s="419">
        <v>0.85</v>
      </c>
      <c r="O56" s="419">
        <v>0.55052228546604431</v>
      </c>
      <c r="P56" s="419">
        <v>1</v>
      </c>
      <c r="Q56" s="419">
        <v>0.57084500000000005</v>
      </c>
      <c r="R56" s="421">
        <v>0.81016509999999997</v>
      </c>
      <c r="S56" s="421">
        <v>1.2</v>
      </c>
      <c r="T56" s="421">
        <v>0.2</v>
      </c>
      <c r="U56" s="421">
        <v>2</v>
      </c>
      <c r="V56" s="421">
        <v>2.2000000000000002</v>
      </c>
      <c r="AA56" s="292"/>
      <c r="AB56" s="292"/>
      <c r="AC56" s="292"/>
      <c r="AD56" s="292"/>
      <c r="AE56" s="292"/>
      <c r="AF56" s="292"/>
      <c r="AG56" s="292"/>
      <c r="AH56" s="292"/>
      <c r="AI56" s="292"/>
    </row>
    <row r="57" spans="1:53" s="309" customFormat="1" x14ac:dyDescent="0.2">
      <c r="A57" s="289" t="s">
        <v>3</v>
      </c>
      <c r="B57" s="265"/>
      <c r="C57" s="265"/>
      <c r="D57" s="265"/>
      <c r="E57" s="265"/>
      <c r="F57" s="308"/>
      <c r="G57" s="308"/>
      <c r="H57" s="308"/>
      <c r="I57" s="320">
        <v>0.14000000000000001</v>
      </c>
      <c r="J57" s="320">
        <v>0.08</v>
      </c>
      <c r="K57" s="320">
        <v>9.5000000000000001E-2</v>
      </c>
      <c r="L57" s="320">
        <v>0.08</v>
      </c>
      <c r="M57" s="320">
        <v>0.13</v>
      </c>
      <c r="N57" s="320">
        <v>0.13</v>
      </c>
      <c r="O57" s="320">
        <f>Prices!BA21</f>
        <v>7.6742031249952491E-2</v>
      </c>
      <c r="P57" s="320">
        <f>Prices!BB21</f>
        <v>6.1347312536537836E-2</v>
      </c>
      <c r="Q57" s="320">
        <f>Prices!BC21</f>
        <v>3.6393352683779807E-2</v>
      </c>
      <c r="R57" s="320">
        <f>Prices!BD21</f>
        <v>4.8609905999999994E-2</v>
      </c>
      <c r="S57" s="320">
        <f>Prices!BE21</f>
        <v>5.3999999999999999E-2</v>
      </c>
      <c r="T57" s="320">
        <f>Prices!BF21</f>
        <v>1.0000000000000002E-2</v>
      </c>
      <c r="U57" s="320">
        <f>Prices!BG21</f>
        <v>0.1</v>
      </c>
      <c r="V57" s="320">
        <f>Prices!BH21</f>
        <v>0.11000000000000001</v>
      </c>
      <c r="AA57" s="292"/>
      <c r="AB57" s="292"/>
      <c r="AC57" s="292"/>
      <c r="AD57" s="292"/>
      <c r="AE57" s="292"/>
      <c r="AF57" s="292"/>
      <c r="AG57" s="292"/>
      <c r="AH57" s="292"/>
      <c r="AI57" s="292"/>
    </row>
    <row r="58" spans="1:53" s="309" customFormat="1" x14ac:dyDescent="0.2">
      <c r="A58" s="265"/>
      <c r="B58" s="265"/>
      <c r="C58" s="265"/>
      <c r="D58" s="265"/>
      <c r="E58" s="265"/>
      <c r="F58" s="308"/>
      <c r="G58" s="308"/>
      <c r="H58" s="308"/>
      <c r="I58" s="308"/>
      <c r="J58" s="262">
        <f>[2]Indicators!T44</f>
        <v>0.1504854252977772</v>
      </c>
      <c r="K58" s="262">
        <f>[2]Indicators!U44</f>
        <v>0.10233388919401754</v>
      </c>
      <c r="L58" s="262">
        <f>[2]Indicators!V44</f>
        <v>0.17276542587638888</v>
      </c>
      <c r="M58" s="262">
        <f>[2]Indicators!W44</f>
        <v>8.1704546304704362E-2</v>
      </c>
      <c r="N58" s="262">
        <f>[2]Indicators!X44</f>
        <v>2.9079608891814601E-2</v>
      </c>
      <c r="O58" s="480">
        <f>Prices!BA21</f>
        <v>7.6742031249952491E-2</v>
      </c>
      <c r="P58" s="262"/>
      <c r="Q58" s="262">
        <f>NA!AA86</f>
        <v>0.12487888006368331</v>
      </c>
      <c r="R58" s="262">
        <f>NA!AB86</f>
        <v>0.12746137600361163</v>
      </c>
      <c r="S58" s="262">
        <f>NA!AC86</f>
        <v>0.10741046144337774</v>
      </c>
      <c r="T58" s="262">
        <f>NA!AD86</f>
        <v>0.13832005485707199</v>
      </c>
      <c r="U58" s="262">
        <f>NA!AE86</f>
        <v>0.13786469848277449</v>
      </c>
      <c r="V58" s="262">
        <f>NA!AF86</f>
        <v>0</v>
      </c>
      <c r="AA58" s="292"/>
      <c r="AB58" s="292"/>
      <c r="AC58" s="292"/>
      <c r="AD58" s="292"/>
      <c r="AE58" s="292"/>
      <c r="AF58" s="292"/>
      <c r="AG58" s="292"/>
      <c r="AH58" s="292"/>
      <c r="AI58" s="292"/>
    </row>
    <row r="59" spans="1:53" s="309" customFormat="1" x14ac:dyDescent="0.2">
      <c r="A59" s="751"/>
      <c r="B59" s="265"/>
      <c r="C59" s="265"/>
      <c r="D59" s="265"/>
      <c r="E59" s="265"/>
      <c r="F59" s="308"/>
      <c r="G59" s="308"/>
      <c r="H59" s="321" t="s">
        <v>99</v>
      </c>
      <c r="I59" s="322">
        <v>6.5000000000000002E-2</v>
      </c>
      <c r="J59" s="322">
        <v>4.4999999999999998E-2</v>
      </c>
      <c r="K59" s="322">
        <v>4.4999999999999998E-2</v>
      </c>
      <c r="L59" s="322">
        <v>4.4999999999999998E-2</v>
      </c>
      <c r="M59" s="308"/>
      <c r="N59" s="388"/>
      <c r="O59" s="388"/>
      <c r="P59" s="388"/>
      <c r="Q59" s="308"/>
      <c r="R59" s="308"/>
      <c r="S59" s="748"/>
      <c r="T59" s="487"/>
      <c r="U59" s="266"/>
      <c r="AA59" s="292"/>
      <c r="AB59" s="292"/>
      <c r="AC59" s="292"/>
      <c r="AD59" s="292"/>
      <c r="AE59" s="292"/>
      <c r="AF59" s="292"/>
      <c r="AG59" s="292"/>
      <c r="AH59" s="292"/>
      <c r="AI59" s="292"/>
    </row>
    <row r="60" spans="1:53" s="309" customFormat="1" x14ac:dyDescent="0.2">
      <c r="N60" s="388">
        <v>39455</v>
      </c>
      <c r="O60" s="388">
        <v>39455000</v>
      </c>
      <c r="P60" s="360">
        <v>0.99</v>
      </c>
      <c r="Q60" s="359">
        <v>0.97</v>
      </c>
      <c r="R60" s="359">
        <v>0.97</v>
      </c>
      <c r="S60" s="359">
        <v>0.97</v>
      </c>
      <c r="T60" s="288"/>
      <c r="U60" s="266"/>
      <c r="W60" s="323"/>
      <c r="X60" s="323"/>
      <c r="Y60" s="323"/>
      <c r="Z60" s="323"/>
      <c r="AA60" s="323"/>
      <c r="AB60" s="292"/>
      <c r="AC60" s="292"/>
      <c r="AD60" s="292"/>
      <c r="AE60" s="292"/>
      <c r="AF60" s="292"/>
      <c r="AG60" s="292"/>
      <c r="AH60" s="292"/>
      <c r="AI60" s="292"/>
    </row>
    <row r="61" spans="1:53" s="309" customFormat="1" x14ac:dyDescent="0.2">
      <c r="J61" s="323">
        <f>[2]Indicators!T39</f>
        <v>0.19456273432247562</v>
      </c>
      <c r="K61" s="323">
        <f>[2]Indicators!U39</f>
        <v>0.23909950432265448</v>
      </c>
      <c r="L61" s="323">
        <f>[2]Indicators!V39</f>
        <v>0.23730614320126708</v>
      </c>
      <c r="M61" s="323">
        <f>[2]Indicators!W39</f>
        <v>0.23622754652336653</v>
      </c>
      <c r="O61" s="323">
        <f>[2]Indicators!X39</f>
        <v>0.23890588526610279</v>
      </c>
      <c r="P61" s="323"/>
      <c r="Q61" s="323"/>
      <c r="R61" s="323"/>
      <c r="S61" s="323"/>
      <c r="T61" s="488"/>
      <c r="U61" s="266"/>
      <c r="V61" s="458"/>
      <c r="AA61" s="292"/>
      <c r="AB61" s="292"/>
      <c r="AC61" s="292"/>
      <c r="AD61" s="292"/>
      <c r="AE61" s="292"/>
      <c r="AF61" s="292"/>
      <c r="AG61" s="292"/>
      <c r="AH61" s="292"/>
      <c r="AI61" s="292"/>
    </row>
    <row r="62" spans="1:53" s="309" customFormat="1" x14ac:dyDescent="0.2">
      <c r="A62" s="309" t="s">
        <v>307</v>
      </c>
      <c r="G62" s="309">
        <v>470.8</v>
      </c>
      <c r="H62" s="309">
        <v>2009</v>
      </c>
      <c r="I62" s="309">
        <f>G62/G63-1</f>
        <v>0.12523900573613767</v>
      </c>
      <c r="J62" s="307">
        <f>Prices!AV13</f>
        <v>0.10276276276276275</v>
      </c>
      <c r="K62" s="307">
        <f>Prices!AW13</f>
        <v>0.12141360069460637</v>
      </c>
      <c r="L62" s="307">
        <f>Prices!AX13</f>
        <v>7.3875118718162699E-2</v>
      </c>
      <c r="M62" s="307">
        <f>Prices!AY13</f>
        <v>0.12649419225636113</v>
      </c>
      <c r="N62" s="307">
        <v>0.09</v>
      </c>
      <c r="O62" s="307">
        <v>0.05</v>
      </c>
      <c r="P62" s="307">
        <v>0.05</v>
      </c>
      <c r="Q62" s="307">
        <v>0.05</v>
      </c>
      <c r="R62" s="307">
        <v>0.05</v>
      </c>
      <c r="S62" s="307">
        <v>0.05</v>
      </c>
      <c r="T62" s="307">
        <v>0.05</v>
      </c>
      <c r="U62" s="266"/>
      <c r="AA62" s="292"/>
      <c r="AB62" s="292"/>
      <c r="AC62" s="292"/>
      <c r="AD62" s="292"/>
      <c r="AE62" s="292"/>
      <c r="AF62" s="292"/>
      <c r="AG62" s="292"/>
      <c r="AH62" s="292"/>
      <c r="AI62" s="292"/>
    </row>
    <row r="63" spans="1:53" s="309" customFormat="1" x14ac:dyDescent="0.2">
      <c r="G63" s="309">
        <v>418.4</v>
      </c>
      <c r="H63" s="309">
        <v>2008</v>
      </c>
      <c r="U63" s="266"/>
      <c r="X63" s="745"/>
      <c r="AA63" s="292"/>
      <c r="AB63" s="292"/>
      <c r="AC63" s="292"/>
      <c r="AD63" s="292"/>
      <c r="AE63" s="292"/>
      <c r="AF63" s="292"/>
      <c r="AG63" s="292"/>
      <c r="AH63" s="292"/>
      <c r="AI63" s="292"/>
    </row>
    <row r="64" spans="1:53" s="309" customFormat="1" x14ac:dyDescent="0.2">
      <c r="A64" s="309" t="s">
        <v>306</v>
      </c>
      <c r="J64" s="307">
        <v>0.12</v>
      </c>
      <c r="K64" s="307">
        <v>0.115</v>
      </c>
      <c r="L64" s="307">
        <v>0.08</v>
      </c>
      <c r="M64" s="307">
        <v>7.0000000000000007E-2</v>
      </c>
      <c r="N64" s="307">
        <v>0.05</v>
      </c>
      <c r="O64" s="307">
        <v>0.05</v>
      </c>
      <c r="P64" s="307">
        <v>0.05</v>
      </c>
      <c r="Q64" s="307">
        <v>0.05</v>
      </c>
      <c r="R64" s="307">
        <v>0.05</v>
      </c>
      <c r="S64" s="307">
        <v>0.05</v>
      </c>
      <c r="T64" s="307">
        <v>0.05</v>
      </c>
      <c r="U64" s="266"/>
      <c r="AA64" s="292"/>
      <c r="AB64" s="292"/>
      <c r="AC64" s="292"/>
      <c r="AD64" s="292"/>
      <c r="AE64" s="292"/>
      <c r="AF64" s="292"/>
      <c r="AG64" s="292"/>
      <c r="AH64" s="292"/>
      <c r="AI64" s="292"/>
    </row>
    <row r="65" spans="1:53" s="309" customFormat="1" x14ac:dyDescent="0.2">
      <c r="U65" s="266"/>
      <c r="AA65" s="292"/>
      <c r="AB65" s="292"/>
      <c r="AC65" s="292"/>
      <c r="AD65" s="292"/>
      <c r="AE65" s="292"/>
      <c r="AF65" s="292"/>
      <c r="AG65" s="292"/>
      <c r="AH65" s="292"/>
      <c r="AI65" s="292"/>
    </row>
    <row r="66" spans="1:53" s="309" customFormat="1" x14ac:dyDescent="0.2">
      <c r="A66" s="265"/>
      <c r="B66" s="265"/>
      <c r="C66" s="265"/>
      <c r="D66" s="265"/>
      <c r="E66" s="266"/>
      <c r="F66" s="265"/>
      <c r="G66" s="265"/>
      <c r="H66" s="324"/>
      <c r="I66" s="266"/>
      <c r="J66" s="307">
        <v>9.5000000000000001E-2</v>
      </c>
      <c r="K66" s="307">
        <v>0.06</v>
      </c>
      <c r="L66" s="307">
        <v>0.05</v>
      </c>
      <c r="M66" s="307">
        <v>0.05</v>
      </c>
      <c r="N66" s="307">
        <v>0.05</v>
      </c>
      <c r="O66" s="307">
        <v>0.05</v>
      </c>
      <c r="P66" s="307">
        <v>0.05</v>
      </c>
      <c r="Q66" s="307">
        <v>0.05</v>
      </c>
      <c r="R66" s="307">
        <v>0.05</v>
      </c>
      <c r="S66" s="307">
        <v>0.05</v>
      </c>
      <c r="T66" s="307">
        <v>0.05</v>
      </c>
      <c r="U66" s="266"/>
      <c r="AA66" s="292"/>
      <c r="AB66" s="292"/>
      <c r="AC66" s="292"/>
      <c r="AD66" s="292"/>
      <c r="AE66" s="292"/>
      <c r="AF66" s="292"/>
      <c r="AG66" s="292"/>
      <c r="AH66" s="292"/>
      <c r="AI66" s="292"/>
    </row>
    <row r="67" spans="1:53" x14ac:dyDescent="0.2">
      <c r="U67" s="266"/>
    </row>
    <row r="68" spans="1:53" x14ac:dyDescent="0.2">
      <c r="A68" s="309" t="s">
        <v>102</v>
      </c>
      <c r="K68" s="305"/>
      <c r="L68" s="305"/>
      <c r="M68" s="305"/>
      <c r="N68" s="305"/>
      <c r="O68" s="401"/>
      <c r="P68" s="305"/>
      <c r="Q68" s="324">
        <f>[1]Indicators!BC8</f>
        <v>0.12178425761604128</v>
      </c>
      <c r="R68" s="324">
        <f>[1]Indicators!BD8</f>
        <v>0.12763754103314517</v>
      </c>
      <c r="S68" s="324">
        <f>[1]Indicators!BE8</f>
        <v>0.12730515113247765</v>
      </c>
      <c r="T68" s="324"/>
      <c r="U68" s="266"/>
    </row>
    <row r="69" spans="1:53" ht="13.5" thickBot="1" x14ac:dyDescent="0.25">
      <c r="A69" s="271" t="s">
        <v>310</v>
      </c>
      <c r="J69" s="388">
        <f>NA!AV206</f>
        <v>306627.95018618408</v>
      </c>
      <c r="K69" s="388">
        <f>NA!AW206</f>
        <v>354861.68462838524</v>
      </c>
      <c r="L69" s="388">
        <f>NA!AX206</f>
        <v>406271.88282941008</v>
      </c>
      <c r="M69" s="388">
        <f>NA!AY206</f>
        <v>303444.10832861869</v>
      </c>
      <c r="N69" s="388">
        <f>NA!AZ206</f>
        <v>533282.88094573969</v>
      </c>
      <c r="O69" s="388">
        <f>NA!BA206</f>
        <v>546669.87453379249</v>
      </c>
      <c r="P69" s="388">
        <f>NA!BB206</f>
        <v>598389.51501073095</v>
      </c>
      <c r="Q69" s="388">
        <f>NA!BC206</f>
        <v>803877.31283025816</v>
      </c>
      <c r="R69" s="388">
        <f>NA!BD206</f>
        <v>918392.80080806592</v>
      </c>
      <c r="S69" s="388">
        <f>NA!BE206</f>
        <v>1053246.7726893795</v>
      </c>
      <c r="T69" s="305">
        <f>S69/N69-1</f>
        <v>0.97502453261113575</v>
      </c>
      <c r="U69" s="388">
        <f>N69*2</f>
        <v>1066565.7618914794</v>
      </c>
      <c r="V69" s="308"/>
    </row>
    <row r="70" spans="1:53" ht="13.5" thickBot="1" x14ac:dyDescent="0.25">
      <c r="A70" s="268"/>
      <c r="B70" s="269">
        <v>2000</v>
      </c>
      <c r="C70" s="269">
        <v>2001</v>
      </c>
      <c r="D70" s="269">
        <v>2002</v>
      </c>
      <c r="E70" s="269">
        <v>2003</v>
      </c>
      <c r="F70" s="269">
        <v>2004</v>
      </c>
      <c r="G70" s="269">
        <v>2005</v>
      </c>
      <c r="H70" s="269">
        <v>2006</v>
      </c>
      <c r="I70" s="269">
        <v>2007</v>
      </c>
      <c r="J70" s="270">
        <v>2008</v>
      </c>
      <c r="K70" s="269">
        <v>2009</v>
      </c>
      <c r="L70" s="270">
        <v>2010</v>
      </c>
      <c r="M70" s="269">
        <v>2011</v>
      </c>
      <c r="N70" s="269">
        <v>2012</v>
      </c>
      <c r="O70" s="269">
        <v>2013</v>
      </c>
      <c r="P70" s="269">
        <v>2014</v>
      </c>
      <c r="Q70" s="269">
        <v>2015</v>
      </c>
      <c r="R70" s="269">
        <v>2016</v>
      </c>
      <c r="S70" s="270">
        <v>2017</v>
      </c>
      <c r="T70" s="269">
        <v>2018</v>
      </c>
      <c r="U70" s="270">
        <v>2019</v>
      </c>
      <c r="V70" s="269">
        <v>2020</v>
      </c>
    </row>
    <row r="71" spans="1:53" x14ac:dyDescent="0.2">
      <c r="A71" s="273" t="s">
        <v>328</v>
      </c>
      <c r="B71" s="274"/>
      <c r="C71" s="274"/>
      <c r="D71" s="274"/>
      <c r="E71" s="274"/>
      <c r="F71" s="273"/>
      <c r="G71" s="273"/>
      <c r="H71" s="273"/>
      <c r="I71" s="274"/>
      <c r="J71" s="273"/>
      <c r="K71" s="273"/>
      <c r="M71" s="377"/>
      <c r="N71" s="479"/>
      <c r="O71" s="478"/>
      <c r="P71" s="478"/>
      <c r="Q71" s="757">
        <v>7.0397469530978585E-2</v>
      </c>
      <c r="R71" s="377"/>
      <c r="S71" s="377"/>
      <c r="T71" s="398"/>
      <c r="U71" s="266"/>
      <c r="V71" s="264"/>
      <c r="X71" s="266">
        <v>8.0598491648465442E-2</v>
      </c>
    </row>
    <row r="72" spans="1:53" x14ac:dyDescent="0.2">
      <c r="A72" s="273" t="s">
        <v>41</v>
      </c>
      <c r="B72" s="274"/>
      <c r="C72" s="274"/>
      <c r="D72" s="274"/>
      <c r="E72" s="274"/>
      <c r="F72" s="273"/>
      <c r="G72" s="273"/>
      <c r="H72" s="273"/>
      <c r="I72" s="274"/>
      <c r="J72" s="273"/>
      <c r="Q72" s="275">
        <f>NA!BC147</f>
        <v>7.0397469530978585E-2</v>
      </c>
      <c r="R72" s="275">
        <f>NA!BD147</f>
        <v>7.1739363954783641E-2</v>
      </c>
      <c r="S72" s="275">
        <f>NA!BE147</f>
        <v>7.3741943963407053E-2</v>
      </c>
      <c r="T72" s="275">
        <f>NA!BF147</f>
        <v>7.5887738158493701E-2</v>
      </c>
      <c r="U72" s="275">
        <f>NA!BG147</f>
        <v>7.9163062985012633E-2</v>
      </c>
      <c r="V72" s="275">
        <f>NA!BH147</f>
        <v>8.1465072834696395E-2</v>
      </c>
    </row>
    <row r="73" spans="1:53" x14ac:dyDescent="0.2">
      <c r="A73" s="273" t="s">
        <v>42</v>
      </c>
      <c r="B73" s="274">
        <f>NA!AN147</f>
        <v>4.9337965312953758E-2</v>
      </c>
      <c r="C73" s="274">
        <f>NA!AO147</f>
        <v>1.0937616784410671</v>
      </c>
      <c r="D73" s="274">
        <f>NA!AP147</f>
        <v>0.15300712327581723</v>
      </c>
      <c r="E73" s="274">
        <f>NA!AQ147</f>
        <v>-1.426218192717954E-2</v>
      </c>
      <c r="F73" s="274">
        <f>NA!AR147</f>
        <v>7.2066750710376271E-2</v>
      </c>
      <c r="G73" s="274">
        <f>NA!AS147</f>
        <v>7.6676546754945063E-2</v>
      </c>
      <c r="H73" s="274">
        <f>NA!AT147</f>
        <v>4.6605709955305441E-2</v>
      </c>
      <c r="I73" s="274">
        <f>NA!AU147</f>
        <v>8.46438124147737E-2</v>
      </c>
      <c r="J73" s="274">
        <f>NA!AV147</f>
        <v>5.5665956481623535E-2</v>
      </c>
      <c r="K73" s="274">
        <f>NA!AW147</f>
        <v>5.3823461684580076E-2</v>
      </c>
      <c r="L73" s="262">
        <f>NA!AX147</f>
        <v>6.3588860814886905E-2</v>
      </c>
      <c r="M73" s="262">
        <f>NA!AY147</f>
        <v>7.9045075722513625E-2</v>
      </c>
      <c r="N73" s="262">
        <f>NA!AZ147</f>
        <v>5.1410136208195567E-2</v>
      </c>
      <c r="O73" s="262">
        <f>NA!BA147</f>
        <v>7.2630600302156401E-2</v>
      </c>
      <c r="P73" s="262">
        <f>NA!BB147</f>
        <v>6.965132961535736E-2</v>
      </c>
      <c r="Q73" s="323">
        <f>NA!BC147</f>
        <v>7.0397469530978585E-2</v>
      </c>
      <c r="R73" s="323">
        <f>NA!BD147</f>
        <v>7.1739363954783641E-2</v>
      </c>
      <c r="S73" s="323">
        <f>NA!BE147</f>
        <v>7.3741943963407053E-2</v>
      </c>
      <c r="T73" s="323">
        <f>NA!BF147</f>
        <v>7.5887738158493701E-2</v>
      </c>
      <c r="U73" s="323">
        <f>NA!BG147</f>
        <v>7.9163062985012633E-2</v>
      </c>
      <c r="V73" s="323">
        <f>NA!BH147</f>
        <v>8.1465072834696395E-2</v>
      </c>
    </row>
    <row r="74" spans="1:53" s="305" customFormat="1" x14ac:dyDescent="0.2">
      <c r="A74" s="303" t="s">
        <v>38</v>
      </c>
      <c r="B74" s="402"/>
      <c r="C74" s="402"/>
      <c r="D74" s="402"/>
      <c r="E74" s="402"/>
      <c r="F74" s="303"/>
      <c r="G74" s="402"/>
      <c r="H74" s="402"/>
      <c r="I74" s="402"/>
      <c r="J74" s="303"/>
      <c r="K74" s="404"/>
      <c r="L74" s="401"/>
      <c r="M74" s="401"/>
      <c r="N74" s="414"/>
      <c r="O74" s="414"/>
      <c r="P74" s="414">
        <v>7.4999999999999997E-2</v>
      </c>
      <c r="Q74" s="414">
        <v>0.08</v>
      </c>
      <c r="R74" s="414">
        <v>8.4000000000000005E-2</v>
      </c>
      <c r="S74" s="414">
        <v>8.4000000000000005E-2</v>
      </c>
      <c r="T74" s="414"/>
      <c r="U74" s="401"/>
      <c r="AW74" s="396" t="s">
        <v>284</v>
      </c>
    </row>
    <row r="75" spans="1:53" x14ac:dyDescent="0.2">
      <c r="A75" s="273" t="s">
        <v>101</v>
      </c>
      <c r="B75" s="274">
        <f>NA!AN89/NA!AM89-1</f>
        <v>4.4595754109876484E-2</v>
      </c>
      <c r="C75" s="325">
        <f>NA!AO89/NA!AN89-1</f>
        <v>1.1716267149375592</v>
      </c>
      <c r="D75" s="274">
        <f>NA!AP89/NA!AO89-1</f>
        <v>0.30762036023880879</v>
      </c>
      <c r="E75" s="274">
        <f>NA!AQ89/NA!AP89-1</f>
        <v>-0.17584331984214807</v>
      </c>
      <c r="F75" s="274">
        <f>NA!AR89/NA!AQ89-1</f>
        <v>5.4938138632839806E-2</v>
      </c>
      <c r="G75" s="274">
        <f>NA!AS89/NA!AR89-1</f>
        <v>4.41808291545851E-2</v>
      </c>
      <c r="H75" s="274">
        <f>NA!AT89/NA!AS89-1</f>
        <v>2.3502382505385278E-2</v>
      </c>
      <c r="I75" s="274">
        <f>NA!AU89/NA!AT89-1</f>
        <v>2.3636120273636152E-2</v>
      </c>
      <c r="J75" s="274">
        <f>NA!AV89/NA!AU89-1</f>
        <v>7.5010433446762503E-2</v>
      </c>
      <c r="K75" s="274">
        <f>NA!AW89/NA!AV89-1</f>
        <v>5.0999394125534447E-2</v>
      </c>
      <c r="L75" s="267">
        <f>NA!AX89/NA!AW89-1</f>
        <v>2.6952476185411856E-2</v>
      </c>
      <c r="M75" s="267">
        <f>NA!AY89/NA!AX89-1</f>
        <v>3.4730943700381323E-2</v>
      </c>
      <c r="N75" s="267">
        <f>NA!AZ89/NA!AY89-1</f>
        <v>3.2485893499655027E-2</v>
      </c>
      <c r="O75" s="267">
        <f>NA!BA89/NA!AZ89-1</f>
        <v>3.1994608378182132E-2</v>
      </c>
      <c r="P75" s="267">
        <f>NA!BB89/NA!BA89-1</f>
        <v>3.3824619692820912E-2</v>
      </c>
      <c r="Q75" s="267">
        <f>NA!BC89/NA!BB89-1</f>
        <v>3.4500242954864868E-2</v>
      </c>
      <c r="R75" s="267">
        <f>NA!BD89/NA!BC89-1</f>
        <v>2.7670244225407981E-2</v>
      </c>
      <c r="S75" s="267">
        <f>NA!BE89/NA!BD89-1</f>
        <v>3.3926095601584105E-2</v>
      </c>
      <c r="T75" s="267">
        <f>NA!BF89/NA!BE89-1</f>
        <v>3.6480114314634715E-2</v>
      </c>
      <c r="U75" s="267">
        <f>NA!BG89/NA!BF89-1</f>
        <v>3.8640859809064398E-2</v>
      </c>
      <c r="V75" s="267">
        <f>NA!BH89/NA!BG89-1</f>
        <v>4.1340956742498269E-2</v>
      </c>
      <c r="W75" s="266">
        <f>AVERAGE(NA!BE120:BH120)</f>
        <v>3.7597006616945372E-2</v>
      </c>
      <c r="X75" s="391" t="s">
        <v>494</v>
      </c>
      <c r="Y75" s="390" t="str">
        <f>A75&amp;": "&amp;X75</f>
        <v>Agriculture, Hunting and Forestry: During the period of 2009 - 2013, value added in Agriculture averaged at 3.9 % percent and in 2014  the likely outurn growth is projected to be 4.5 percent due to favourable  weather in 13/14 rain season and the use of agriculture improved seeds. In the medium term, the sector is expected to pick up to an average of  above 4.9 percent owing to favorable long rains,  improving prices of traditional exports and implementation of the current programs under FYDP and SAGCOT initiatives. Further, the implementation of  Agriculture Bank  is expected to boost agriculture performance in the foreseeable future</v>
      </c>
      <c r="Z75" s="390"/>
      <c r="AA75" s="390"/>
      <c r="AB75" s="390"/>
      <c r="AC75" s="390"/>
      <c r="AD75" s="390"/>
      <c r="AE75" s="390"/>
      <c r="AF75" s="390"/>
      <c r="AG75" s="390"/>
      <c r="AH75" s="390"/>
      <c r="AI75" s="390"/>
      <c r="AJ75" s="390"/>
      <c r="AK75" s="390"/>
      <c r="AL75" s="390"/>
      <c r="AM75" s="390"/>
      <c r="AN75" s="390"/>
      <c r="AO75" s="390"/>
      <c r="AP75" s="390"/>
      <c r="AQ75" s="390"/>
      <c r="AR75" s="390"/>
      <c r="AS75" s="390"/>
      <c r="AT75" s="390"/>
      <c r="AU75" s="390"/>
      <c r="AV75" s="390"/>
      <c r="AW75" s="277" t="s">
        <v>101</v>
      </c>
      <c r="AZ75" s="265" t="s">
        <v>101</v>
      </c>
      <c r="BA75" s="278">
        <f>AVERAGE(H75:J75)</f>
        <v>4.0716312075261309E-2</v>
      </c>
    </row>
    <row r="76" spans="1:53" s="309" customFormat="1" x14ac:dyDescent="0.2">
      <c r="A76" s="279" t="s">
        <v>102</v>
      </c>
      <c r="B76" s="280">
        <v>5.7655582043958375</v>
      </c>
      <c r="C76" s="280">
        <f>(NA!AO246/NA!AN246-1)*100</f>
        <v>185.6193048691427</v>
      </c>
      <c r="D76" s="280">
        <f>(NA!AP246/NA!AO246-1)*100</f>
        <v>5.6367985734437465</v>
      </c>
      <c r="E76" s="280">
        <f>(NA!AQ246/NA!AP246-1)*100</f>
        <v>3.2460545019200815</v>
      </c>
      <c r="F76" s="280">
        <f>(NA!AR246/NA!AQ246-1)*100</f>
        <v>6.6135779916800308</v>
      </c>
      <c r="G76" s="280">
        <f>(NA!AS246/NA!AR246-1)*100</f>
        <v>-38.142637748732177</v>
      </c>
      <c r="H76" s="280">
        <f>(NA!AT246/NA!AS246-1)*100</f>
        <v>-2.0349828977107132</v>
      </c>
      <c r="I76" s="280">
        <f>(NA!AU246/NA!AT246-1)*100</f>
        <v>-1.6258297375594255</v>
      </c>
      <c r="J76" s="280">
        <f>(NA!AV246/NA!AU246-1)*100</f>
        <v>7.8046620990491977</v>
      </c>
      <c r="K76" s="280">
        <f>(NA!AW246/NA!AV246-1)*100</f>
        <v>3.9990748876583604</v>
      </c>
      <c r="L76" s="280">
        <f>(NA!AX246/NA!AW246-1)*100</f>
        <v>5.7630534407585365</v>
      </c>
      <c r="M76" s="280">
        <f>(NA!AY246/NA!AX246-1)*100</f>
        <v>2.7928649663735872</v>
      </c>
      <c r="N76" s="280">
        <f>(NA!AZ246/NA!AY246-1)*100</f>
        <v>4.1885645664024196</v>
      </c>
      <c r="O76" s="280">
        <f>(NA!BA246/NA!AZ246-1)*100</f>
        <v>5.0431388313127767</v>
      </c>
      <c r="P76" s="280">
        <f>(NA!BB246/NA!BA246-1)*100</f>
        <v>3.1714269231598147</v>
      </c>
      <c r="Q76" s="475">
        <f>TREND(H76:N76,H70:N70,Q70)*0.5</f>
        <v>4.2205030027032535</v>
      </c>
      <c r="R76" s="475">
        <f>TREND(I76:O76,I70:O70,R70)*0.66</f>
        <v>4.2728664126392504</v>
      </c>
      <c r="S76" s="476">
        <f>TREND(J76:P76,J70:P70,S70)*2.7</f>
        <v>4.8922788635903549</v>
      </c>
      <c r="T76" s="476">
        <f>TREND(K76:Q76,K70:Q70,T70)*1.5</f>
        <v>5.5233395101464424</v>
      </c>
      <c r="U76" s="476">
        <f>TREND(L76:R76,L70:R70,U70)*1.8</f>
        <v>6.5581159270983163</v>
      </c>
      <c r="V76" s="418">
        <f>TREND(M76:S76,M70:S70,V70)*1.3</f>
        <v>6.8803350384698261</v>
      </c>
      <c r="W76" s="745">
        <f>AVERAGE(NA!BE121:BH121)</f>
        <v>3.5585377270271334E-2</v>
      </c>
      <c r="X76" s="264" t="s">
        <v>495</v>
      </c>
      <c r="Y76" s="390" t="str">
        <f>A76&amp;": "&amp;X76</f>
        <v xml:space="preserve">Crops: In 2014, value added in crop sub-activity is projected  at 6.1  percent  due to favorable weather conditions and improved irrigation infrastructure under SAGCOT. In the medium term, crop value added is projected to increase to an average of 5.6 percent following continued implementation of the Agriculture Sector Development Strategy (ASDS), initiatives under BRN  and strengthening of agriculture financing. Other supportive factors include;  provision of subsidy on agro inputs;   rehabilitation of rural roads; and enhancement of extension services delivery. </v>
      </c>
      <c r="Z76" s="389"/>
      <c r="AA76" s="389"/>
      <c r="AB76" s="389"/>
      <c r="AC76" s="389"/>
      <c r="AD76" s="389"/>
      <c r="AE76" s="389"/>
      <c r="AF76" s="389"/>
      <c r="AG76" s="389"/>
      <c r="AH76" s="389"/>
      <c r="AI76" s="389"/>
      <c r="AJ76" s="389"/>
      <c r="AK76" s="389"/>
      <c r="AL76" s="389"/>
      <c r="AM76" s="389"/>
      <c r="AN76" s="389"/>
      <c r="AO76" s="389"/>
      <c r="AP76" s="389"/>
      <c r="AQ76" s="389"/>
      <c r="AR76" s="389"/>
      <c r="AS76" s="389"/>
      <c r="AT76" s="389"/>
      <c r="AU76" s="389"/>
      <c r="AV76" s="389"/>
      <c r="AW76" s="279" t="s">
        <v>102</v>
      </c>
      <c r="AZ76" s="376" t="s">
        <v>102</v>
      </c>
      <c r="BA76" s="654">
        <f t="shared" ref="BA76:BA104" si="56">AVERAGE(H76:J76)</f>
        <v>1.3812831545930198</v>
      </c>
    </row>
    <row r="77" spans="1:53" x14ac:dyDescent="0.2">
      <c r="A77" s="279" t="s">
        <v>103</v>
      </c>
      <c r="B77" s="283">
        <v>-0.98330228755980631</v>
      </c>
      <c r="C77" s="280">
        <f>(NA!AO247/NA!AN247-1)*100</f>
        <v>542.80014694645456</v>
      </c>
      <c r="D77" s="280">
        <f>(NA!AP247/NA!AO247-1)*100</f>
        <v>2.8408002646654218</v>
      </c>
      <c r="E77" s="280">
        <f>(NA!AQ247/NA!AP247-1)*100</f>
        <v>2.2224338624338591</v>
      </c>
      <c r="F77" s="280">
        <f>(NA!AR247/NA!AQ247-1)*100</f>
        <v>4.1405711375338772</v>
      </c>
      <c r="G77" s="280">
        <f>(NA!AS247/NA!AR247-1)*100</f>
        <v>-30.172564612326049</v>
      </c>
      <c r="H77" s="280">
        <f>(NA!AT247/NA!AS247-1)*100</f>
        <v>7.3839265837410295</v>
      </c>
      <c r="I77" s="284">
        <f>(NA!AU247/NA!AT247-1)*100</f>
        <v>8.7431219079696412</v>
      </c>
      <c r="J77" s="284">
        <f>(NA!AV247/NA!AU247-1)*100</f>
        <v>7.5860002348311584</v>
      </c>
      <c r="K77" s="284">
        <f>(NA!AW247/NA!AV247-1)*100</f>
        <v>5.296325876273289</v>
      </c>
      <c r="L77" s="284">
        <f>(NA!AX247/NA!AW247-1)*100</f>
        <v>1.156940286348962</v>
      </c>
      <c r="M77" s="284">
        <f>(NA!AY247/NA!AX247-1)*100</f>
        <v>0.11635510539254046</v>
      </c>
      <c r="N77" s="284">
        <f>(NA!AZ247/NA!AY247-1)*100</f>
        <v>1.8292561163802956</v>
      </c>
      <c r="O77" s="284">
        <f>(NA!BA247/NA!AZ247-1)*100</f>
        <v>2.171170043141224</v>
      </c>
      <c r="P77" s="284">
        <f>(NA!BB247/NA!BA247-1)*100</f>
        <v>3.5846273039806587</v>
      </c>
      <c r="Q77" s="476">
        <f>TREND(L77:O77,L70:O70,Q70)*1.5</f>
        <v>4.4743304794400274</v>
      </c>
      <c r="R77" s="476">
        <f>TREND(L77:P77,L70:P70,R70)*1.06</f>
        <v>4.8078900818686954</v>
      </c>
      <c r="S77" s="476">
        <f>TREND(M77:Q77,M70:Q70,S70)*0.85</f>
        <v>5.6301250963531402</v>
      </c>
      <c r="T77" s="476">
        <f>TREND(N77:R77,N70:R70,T70)*0.9</f>
        <v>6.0098635366851116</v>
      </c>
      <c r="U77" s="476">
        <f>TREND(O77:S77,O70:S70,U70)*0.82</f>
        <v>6.0598801588389275</v>
      </c>
      <c r="V77" s="635">
        <f>TREND(P77:T77,P70:T70,V70)*0.85</f>
        <v>6.2082930127051323</v>
      </c>
      <c r="W77" s="266">
        <f>AVERAGE(NA!BE122:BH122)</f>
        <v>3.942857985160575E-2</v>
      </c>
      <c r="X77" s="636" t="s">
        <v>514</v>
      </c>
      <c r="Y77" s="390" t="str">
        <f>A77&amp;": "&amp;X77</f>
        <v>Livestock: In 2014, value added in livestock is projected to grow at 3.2 percent from 3.8percent in 2013 and grow at an average of3.7 percent in the medium term. The expected improvement in the rate of growth is attributed to the implementation of ongoing programs including provision of livestock support services such as livestock research, training, extension services, surveillance and laboratory diagnosis as well as empowerment of livestock farmers through provision of credit facilities.</v>
      </c>
      <c r="Z77" s="390"/>
      <c r="AA77" s="390"/>
      <c r="AB77" s="390"/>
      <c r="AC77" s="390"/>
      <c r="AD77" s="390"/>
      <c r="AE77" s="390"/>
      <c r="AF77" s="390"/>
      <c r="AG77" s="390"/>
      <c r="AH77" s="390"/>
      <c r="AI77" s="390"/>
      <c r="AJ77" s="390"/>
      <c r="AK77" s="390"/>
      <c r="AL77" s="390"/>
      <c r="AM77" s="390"/>
      <c r="AN77" s="390"/>
      <c r="AO77" s="390"/>
      <c r="AP77" s="390"/>
      <c r="AQ77" s="390"/>
      <c r="AR77" s="390"/>
      <c r="AS77" s="390"/>
      <c r="AT77" s="390"/>
      <c r="AU77" s="390"/>
      <c r="AV77" s="390"/>
      <c r="AW77" s="279" t="s">
        <v>103</v>
      </c>
      <c r="AZ77" s="282" t="s">
        <v>103</v>
      </c>
      <c r="BA77" s="654">
        <f t="shared" si="56"/>
        <v>7.904349575513943</v>
      </c>
    </row>
    <row r="78" spans="1:53" x14ac:dyDescent="0.2">
      <c r="A78" s="354" t="s">
        <v>104</v>
      </c>
      <c r="B78" s="280">
        <v>5.9511395263540212</v>
      </c>
      <c r="C78" s="280">
        <f>(NA!AO248/NA!AN248-1)*100</f>
        <v>237.11463922971095</v>
      </c>
      <c r="D78" s="280">
        <f>(NA!AP248/NA!AO248-1)*100</f>
        <v>3.2690641247833607</v>
      </c>
      <c r="E78" s="280">
        <f>(NA!AQ248/NA!AP248-1)*100</f>
        <v>3.0413895823281356</v>
      </c>
      <c r="F78" s="280">
        <f>(NA!AR248/NA!AQ248-1)*100</f>
        <v>2.7154572180102088</v>
      </c>
      <c r="G78" s="280">
        <f>(NA!AS248/NA!AR248-1)*100</f>
        <v>-31.841768313228648</v>
      </c>
      <c r="H78" s="280">
        <f>(NA!AT248/NA!AS248-1)*100</f>
        <v>7.3657765239572903</v>
      </c>
      <c r="I78" s="284">
        <f>(NA!AU248/NA!AT248-1)*100</f>
        <v>6.3927352561159001</v>
      </c>
      <c r="J78" s="284">
        <f>(NA!AV248/NA!AU248-1)*100</f>
        <v>3.5547343420170296</v>
      </c>
      <c r="K78" s="284">
        <f>(NA!AW248/NA!AV248-1)*100</f>
        <v>5.213740357429586</v>
      </c>
      <c r="L78" s="284">
        <f>(NA!AX248/NA!AW248-1)*100</f>
        <v>3.42034249428389</v>
      </c>
      <c r="M78" s="284">
        <f>(NA!AY248/NA!AX248-1)*100</f>
        <v>3.3439735334315435</v>
      </c>
      <c r="N78" s="284">
        <f>(NA!AZ248/NA!AY248-1)*100</f>
        <v>3.4741160172961916</v>
      </c>
      <c r="O78" s="284">
        <f>(NA!BA248/NA!AZ248-1)*100</f>
        <v>4.7488639550195666</v>
      </c>
      <c r="P78" s="284">
        <f>(NA!BB248/NA!BA248-1)*100</f>
        <v>5.0992902919394956</v>
      </c>
      <c r="Q78" s="476">
        <f>TREND(J78:P78,J70:P70,Q70)*1.2</f>
        <v>5.5907570673217606</v>
      </c>
      <c r="R78" s="476">
        <f>TREND(K78:Q78,K70:Q70,R70)*1.1</f>
        <v>5.7804874070896863</v>
      </c>
      <c r="S78" s="476">
        <f>TREND(L78:R78,L70:R70,S70)*0.92</f>
        <v>5.8692066142065098</v>
      </c>
      <c r="T78" s="476">
        <f>TREND(M78:S78,M70:S70,T70)*0.9</f>
        <v>6.0347610026381631</v>
      </c>
      <c r="U78" s="476">
        <f>TREND(N78:T78,N70:T70,U70)*0.91</f>
        <v>6.1361689668579995</v>
      </c>
      <c r="V78" s="476">
        <f>TREND(O78:U78,O70:U70,V70)*0.96</f>
        <v>6.2497153795022493</v>
      </c>
      <c r="W78" s="266">
        <f>AVERAGE(NA!BE123:BH123)</f>
        <v>4.4249625548938909E-2</v>
      </c>
      <c r="X78" s="637" t="s">
        <v>515</v>
      </c>
      <c r="Y78" s="390" t="str">
        <f>A78&amp;": "&amp;X78</f>
        <v xml:space="preserve">Forestry and hunting: In 2014,  the sub activity is expected to grow at 3.1  percent compared to3.3 percent attained in 2013. It is expected that following the rationalization of license fees for forestry and hunting activities, growth in this sub-activity is expected to maintain a growth rate of 3.4percent in the medium term </v>
      </c>
      <c r="Z78" s="390"/>
      <c r="AA78" s="390"/>
      <c r="AB78" s="390"/>
      <c r="AC78" s="390"/>
      <c r="AD78" s="390"/>
      <c r="AE78" s="390"/>
      <c r="AF78" s="390"/>
      <c r="AG78" s="390"/>
      <c r="AH78" s="390"/>
      <c r="AI78" s="390"/>
      <c r="AJ78" s="390"/>
      <c r="AK78" s="390"/>
      <c r="AL78" s="390"/>
      <c r="AM78" s="390"/>
      <c r="AN78" s="390"/>
      <c r="AO78" s="390"/>
      <c r="AP78" s="390"/>
      <c r="AQ78" s="390"/>
      <c r="AR78" s="390"/>
      <c r="AS78" s="390"/>
      <c r="AT78" s="390"/>
      <c r="AU78" s="390"/>
      <c r="AV78" s="390"/>
      <c r="AW78" s="279" t="s">
        <v>104</v>
      </c>
      <c r="AZ78" s="285" t="s">
        <v>104</v>
      </c>
      <c r="BA78" s="654">
        <f t="shared" si="56"/>
        <v>5.77108204069674</v>
      </c>
    </row>
    <row r="79" spans="1:53" x14ac:dyDescent="0.2">
      <c r="A79" s="286" t="s">
        <v>105</v>
      </c>
      <c r="B79" s="287">
        <v>2.9347403578986686</v>
      </c>
      <c r="C79" s="287">
        <f>(NA!AO249/NA!AN249-1)*100</f>
        <v>123.709641107979</v>
      </c>
      <c r="D79" s="287">
        <f>(NA!AP249/NA!AO249-1)*100</f>
        <v>6.7610308473252667</v>
      </c>
      <c r="E79" s="287">
        <f>(NA!AQ249/NA!AP249-1)*100</f>
        <v>6.0000365744381279</v>
      </c>
      <c r="F79" s="287">
        <f>(NA!AR249/NA!AQ249-1)*100</f>
        <v>6.7001357164216957</v>
      </c>
      <c r="G79" s="287">
        <f>(NA!AS249/NA!AR249-1)*100</f>
        <v>3.3097449108831833</v>
      </c>
      <c r="H79" s="287">
        <f>(NA!AT249/NA!AS249-1)*100</f>
        <v>2.8429475578718444</v>
      </c>
      <c r="I79" s="287">
        <f>(NA!AU249/NA!AT249-1)*100</f>
        <v>0.8728298892119124</v>
      </c>
      <c r="J79" s="287">
        <f>(NA!AV249/NA!AU249-1)*100</f>
        <v>7.2470357979578681</v>
      </c>
      <c r="K79" s="287">
        <f>(NA!AW249/NA!AV249-1)*100</f>
        <v>-1.7982805734895191E-2</v>
      </c>
      <c r="L79" s="287">
        <f>(NA!AX249/NA!AW249-1)*100</f>
        <v>0.90749389993947105</v>
      </c>
      <c r="M79" s="287">
        <f>(NA!AY249/NA!AX249-1)*100</f>
        <v>2.7234893900305757</v>
      </c>
      <c r="N79" s="287">
        <f>(NA!AZ249/NA!AY249-1)*100</f>
        <v>2.8881659731208265</v>
      </c>
      <c r="O79" s="287">
        <f>(NA!BA249/NA!AZ249-1)*100</f>
        <v>5.4795396919493644</v>
      </c>
      <c r="P79" s="287">
        <f>(NA!BB249/NA!BA249-1)*100</f>
        <v>2.0002893474834638</v>
      </c>
      <c r="Q79" s="472">
        <f>TREND(J79:P79,J70:P70,Q70)*1.04</f>
        <v>2.7431499103354828</v>
      </c>
      <c r="R79" s="472">
        <f>TREND(K79:Q79,K70:Q70,R70)*0.8</f>
        <v>3.4227639716962588</v>
      </c>
      <c r="S79" s="472">
        <f>TREND(L79:R79,L70:R70,S70)*0.93</f>
        <v>3.5688280768232228</v>
      </c>
      <c r="T79" s="472">
        <f>TREND(M79:S79,M70:S70,T70)*1.2</f>
        <v>4.0620083378321397</v>
      </c>
      <c r="U79" s="472">
        <f>TREND(N79:T79,N70:T70,U70)*0.9</f>
        <v>3.2512273453716674</v>
      </c>
      <c r="V79" s="472">
        <f t="shared" ref="V79" si="57">TREND(O79:U79,O70:U70,V70)</f>
        <v>3.2559979698490906</v>
      </c>
      <c r="W79" s="266">
        <f>AVERAGE(NA!BE124:BH124)</f>
        <v>3.4555148046850503E-2</v>
      </c>
      <c r="X79" s="459" t="s">
        <v>496</v>
      </c>
      <c r="Y79" s="390" t="str">
        <f>A79&amp;": "&amp;X79</f>
        <v>Fishing: Value added in fishing activities is projected to grow at 2.7percent in 2014 and increase further to an average of 3.0 percent in the medium term. The expected growth is attributed to modernization of fishing activities; increased demand for fish and fish products in both domestic and foreign markets as well as curbing illegal fishing practices.</v>
      </c>
      <c r="Z79" s="390"/>
      <c r="AA79" s="390"/>
      <c r="AB79" s="390"/>
      <c r="AC79" s="390"/>
      <c r="AD79" s="390"/>
      <c r="AE79" s="390"/>
      <c r="AF79" s="390"/>
      <c r="AG79" s="390"/>
      <c r="AH79" s="390"/>
      <c r="AI79" s="390"/>
      <c r="AJ79" s="390"/>
      <c r="AK79" s="390"/>
      <c r="AL79" s="390"/>
      <c r="AM79" s="390"/>
      <c r="AN79" s="390"/>
      <c r="AO79" s="390"/>
      <c r="AP79" s="390"/>
      <c r="AQ79" s="390"/>
      <c r="AR79" s="390"/>
      <c r="AS79" s="390"/>
      <c r="AT79" s="390"/>
      <c r="AU79" s="390"/>
      <c r="AV79" s="390"/>
      <c r="AW79" s="277" t="s">
        <v>105</v>
      </c>
      <c r="AZ79" s="289" t="s">
        <v>105</v>
      </c>
      <c r="BA79" s="654">
        <f t="shared" si="56"/>
        <v>3.6542710816805415</v>
      </c>
    </row>
    <row r="80" spans="1:53" x14ac:dyDescent="0.2">
      <c r="A80" s="277" t="s">
        <v>106</v>
      </c>
      <c r="B80" s="287"/>
      <c r="C80" s="287"/>
      <c r="D80" s="287"/>
      <c r="E80" s="287"/>
      <c r="F80" s="287"/>
      <c r="G80" s="287"/>
      <c r="H80" s="287"/>
      <c r="I80" s="287"/>
      <c r="J80" s="287"/>
      <c r="K80" s="353"/>
      <c r="L80" s="353"/>
      <c r="M80" s="287"/>
      <c r="N80" s="287"/>
      <c r="O80" s="287"/>
      <c r="P80" s="287"/>
      <c r="Q80" s="287"/>
      <c r="R80" s="287"/>
      <c r="S80" s="287"/>
      <c r="T80" s="397"/>
      <c r="U80" s="266"/>
      <c r="W80" s="266">
        <f>AVERAGE(NA!BE125:BH125)</f>
        <v>9.7871387667929965E-2</v>
      </c>
      <c r="X80" s="264" t="s">
        <v>497</v>
      </c>
      <c r="Y80" s="390"/>
      <c r="Z80" s="390"/>
      <c r="AA80" s="390"/>
      <c r="AB80" s="390"/>
      <c r="AC80" s="390"/>
      <c r="AD80" s="390"/>
      <c r="AE80" s="390"/>
      <c r="AF80" s="390"/>
      <c r="AG80" s="390"/>
      <c r="AH80" s="390"/>
      <c r="AI80" s="390"/>
      <c r="AJ80" s="390"/>
      <c r="AK80" s="390"/>
      <c r="AL80" s="390"/>
      <c r="AM80" s="390"/>
      <c r="AN80" s="390"/>
      <c r="AO80" s="390"/>
      <c r="AP80" s="390"/>
      <c r="AQ80" s="390"/>
      <c r="AR80" s="390"/>
      <c r="AS80" s="390"/>
      <c r="AT80" s="390"/>
      <c r="AU80" s="390"/>
      <c r="AV80" s="390"/>
      <c r="AW80" s="277" t="s">
        <v>106</v>
      </c>
      <c r="AZ80" s="290" t="s">
        <v>106</v>
      </c>
      <c r="BA80" s="654" t="e">
        <f t="shared" si="56"/>
        <v>#DIV/0!</v>
      </c>
    </row>
    <row r="81" spans="1:53" x14ac:dyDescent="0.2">
      <c r="A81" s="279" t="s">
        <v>39</v>
      </c>
      <c r="B81" s="280">
        <v>14.327592524734346</v>
      </c>
      <c r="C81" s="280">
        <f>(NA!AO251/NA!AN251-1)*100</f>
        <v>283.12267656397813</v>
      </c>
      <c r="D81" s="280">
        <f>(NA!AP251/NA!AO251-1)*100</f>
        <v>16.890341857368774</v>
      </c>
      <c r="E81" s="280">
        <f>(NA!AQ251/NA!AP251-1)*100</f>
        <v>17.112299465240643</v>
      </c>
      <c r="F81" s="280">
        <f>(NA!AR251/NA!AQ251-1)*100</f>
        <v>15.981735159817333</v>
      </c>
      <c r="G81" s="280">
        <f>(NA!AS251/NA!AR251-1)*100</f>
        <v>16.141732283464584</v>
      </c>
      <c r="H81" s="280">
        <f>(NA!AT251/NA!AS251-1)*100</f>
        <v>-13.669242787739444</v>
      </c>
      <c r="I81" s="280">
        <f>(NA!AU251/NA!AT251-1)*100</f>
        <v>9.2378969032867566</v>
      </c>
      <c r="J81" s="280">
        <f>(NA!AV251/NA!AU251-1)*100</f>
        <v>-9.7778533632606131</v>
      </c>
      <c r="K81" s="280">
        <f>(NA!AW251/NA!AV251-1)*100</f>
        <v>18.68643433493493</v>
      </c>
      <c r="L81" s="280">
        <f>(NA!AX251/NA!AW251-1)*100</f>
        <v>7.251268279809997</v>
      </c>
      <c r="M81" s="280">
        <f>(NA!AY251/NA!AX251-1)*100</f>
        <v>6.2844686607593125</v>
      </c>
      <c r="N81" s="280">
        <f>(NA!AZ251/NA!AY251-1)*100</f>
        <v>6.658333132616856</v>
      </c>
      <c r="O81" s="280">
        <f>(NA!BA251/NA!AZ251-1)*100</f>
        <v>3.8611419402613922</v>
      </c>
      <c r="P81" s="280">
        <f>(NA!BB251/NA!BA251-1)*100</f>
        <v>9.369080359717664</v>
      </c>
      <c r="Q81" s="476">
        <f>TREND(M81:P81,M70:P70,Q70)*1</f>
        <v>8.1574169994685235</v>
      </c>
      <c r="R81" s="476">
        <f>TREND(O81:Q81,O70:Q70,R70)*0.73</f>
        <v>8.3406063560869281</v>
      </c>
      <c r="S81" s="476">
        <f>TREND(Q81:R81,Q70:R70,S70)*0.98</f>
        <v>8.3533197984512437</v>
      </c>
      <c r="T81" s="476">
        <f>TREND(Q81:S81,Q70:S70,T70)*1.01</f>
        <v>8.5644806888214919</v>
      </c>
      <c r="U81" s="476">
        <f>TREND(R81:T81,R70:T70,U70)*0.99</f>
        <v>8.5569098477159109</v>
      </c>
      <c r="V81" s="476">
        <f>TREND(S81:U81,S70:U70,V70)*0.9</f>
        <v>7.8256441448347891</v>
      </c>
      <c r="W81" s="266">
        <f>AVERAGE(NA!BE126:BH126)</f>
        <v>8.3250886199558616E-2</v>
      </c>
      <c r="X81" s="391" t="s">
        <v>498</v>
      </c>
      <c r="Y81" s="390" t="str">
        <f>A81&amp;": "&amp;X81</f>
        <v xml:space="preserve">Mining and quarrying: The value added growth rate is projected to grow by 7.2 percent in 2014 from 6.9 percent in 2013 following Government initiatives  to improve mining facilities in production in major mining plants. In the medium term, growth is forecasted to increase to an average rate of 7.4 percent due to stabilized global gold prices and increased quarying activities.  </v>
      </c>
      <c r="Z81" s="390"/>
      <c r="AA81" s="390"/>
      <c r="AB81" s="390"/>
      <c r="AC81" s="390"/>
      <c r="AD81" s="390"/>
      <c r="AE81" s="390"/>
      <c r="AF81" s="390"/>
      <c r="AG81" s="390"/>
      <c r="AH81" s="390"/>
      <c r="AI81" s="390"/>
      <c r="AJ81" s="390"/>
      <c r="AK81" s="390"/>
      <c r="AL81" s="390"/>
      <c r="AM81" s="390"/>
      <c r="AN81" s="390"/>
      <c r="AO81" s="390"/>
      <c r="AP81" s="390"/>
      <c r="AQ81" s="390"/>
      <c r="AR81" s="390"/>
      <c r="AS81" s="390"/>
      <c r="AT81" s="390"/>
      <c r="AU81" s="390"/>
      <c r="AV81" s="390"/>
      <c r="AW81" s="279" t="s">
        <v>39</v>
      </c>
      <c r="AZ81" s="285" t="s">
        <v>39</v>
      </c>
      <c r="BA81" s="654">
        <f t="shared" si="56"/>
        <v>-4.7363997492377665</v>
      </c>
    </row>
    <row r="82" spans="1:53" x14ac:dyDescent="0.2">
      <c r="A82" s="279" t="s">
        <v>40</v>
      </c>
      <c r="B82" s="280">
        <v>4.8047926724747336</v>
      </c>
      <c r="C82" s="280">
        <f>(NA!AO252/NA!AN252-1)*100</f>
        <v>52.383509526301197</v>
      </c>
      <c r="D82" s="280">
        <f>(NA!AP252/NA!AO252-1)*100</f>
        <v>7.4501573976915036</v>
      </c>
      <c r="E82" s="280">
        <f>(NA!AQ252/NA!AP252-1)*100</f>
        <v>9.0087890624999787</v>
      </c>
      <c r="F82" s="280">
        <f>(NA!AR252/NA!AQ252-1)*100</f>
        <v>9.4064949608062776</v>
      </c>
      <c r="G82" s="280">
        <f>(NA!AS252/NA!AR252-1)*100</f>
        <v>9.6212896622313249</v>
      </c>
      <c r="H82" s="280">
        <f>(NA!AT252/NA!AS252-1)*100</f>
        <v>8.4349561608198833</v>
      </c>
      <c r="I82" s="280">
        <f>(NA!AU252/NA!AT252-1)*100</f>
        <v>11.506616020331517</v>
      </c>
      <c r="J82" s="280">
        <f>(NA!AV252/NA!AU252-1)*100</f>
        <v>11.382970369590662</v>
      </c>
      <c r="K82" s="280">
        <f>(NA!AW252/NA!AV252-1)*100</f>
        <v>4.688164238738457</v>
      </c>
      <c r="L82" s="280">
        <f>(NA!AX252/NA!AW252-1)*100</f>
        <v>8.9491455010832777</v>
      </c>
      <c r="M82" s="280">
        <f>(NA!AY252/NA!AX252-1)*100</f>
        <v>6.9389098069494892</v>
      </c>
      <c r="N82" s="280">
        <f>(NA!AZ252/NA!AY252-1)*100</f>
        <v>4.1141457468793385</v>
      </c>
      <c r="O82" s="280">
        <f>(NA!BA252/NA!AZ252-1)*100</f>
        <v>6.4756457459789862</v>
      </c>
      <c r="P82" s="280">
        <f>(NA!BB252/NA!BA252-1)*100</f>
        <v>6.8136894380550928</v>
      </c>
      <c r="Q82" s="476">
        <f>TREND(I82:P82,I70:P70,Q70)*1.6</f>
        <v>6.9350516280610464</v>
      </c>
      <c r="R82" s="476">
        <f>TREND(J82:Q82,J70:Q70,R70)*1.3</f>
        <v>7.0066483446336978</v>
      </c>
      <c r="S82" s="476">
        <f>TREND(K82:R82,K70:R70,S70)*1.02</f>
        <v>7.0650314199560533</v>
      </c>
      <c r="T82" s="476">
        <f>TREND(L82:S82,L70:S70,T70)*1.1</f>
        <v>7.2273897101535232</v>
      </c>
      <c r="U82" s="476">
        <f>TREND(M82:T82,M70:T70,U70)*0.97</f>
        <v>7.3356259683720442</v>
      </c>
      <c r="V82" s="476">
        <f>TREND(N82:U82,N70:U70,V70)*0.95</f>
        <v>7.6715334412437981</v>
      </c>
      <c r="W82" s="266">
        <f>AVERAGE(NA!BE127:BH127)</f>
        <v>7.3248951349313585E-2</v>
      </c>
      <c r="X82" s="264" t="s">
        <v>499</v>
      </c>
      <c r="Y82" s="390" t="str">
        <f>A82&amp;": "&amp;X82</f>
        <v xml:space="preserve">Manufacturing: The growth rate in manufacturing sub-activity is projected to grow by 8.1 percent in 2014 from 7.7 percent in 2013, on account of improved power supply. In the medium term, the growth of the sub-activity is projected to pick up to 8.6 percent basing on the upcoming programs for improving  power supply including gas pipeline from Mtwara to Dar, implementation of Liganga iron ore, motorcycle and bicycle assembly, Kibaha  bio-larvaecide, expansion of cement industries (Mtwara and Lindi) projects, implementation of Special Economic Zone (SEZ), implementation of the SME policy including agro processing and the Tanzania Trade Integrated Strategy (TTIS) , coupled with conducive trade and tax policies. </v>
      </c>
      <c r="Z82" s="390"/>
      <c r="AA82" s="390"/>
      <c r="AB82" s="390"/>
      <c r="AC82" s="390"/>
      <c r="AD82" s="390"/>
      <c r="AE82" s="390"/>
      <c r="AF82" s="390"/>
      <c r="AG82" s="390"/>
      <c r="AH82" s="390"/>
      <c r="AI82" s="390"/>
      <c r="AJ82" s="390"/>
      <c r="AK82" s="390"/>
      <c r="AL82" s="390"/>
      <c r="AM82" s="390"/>
      <c r="AN82" s="390"/>
      <c r="AO82" s="390"/>
      <c r="AP82" s="390"/>
      <c r="AQ82" s="390"/>
      <c r="AR82" s="390"/>
      <c r="AS82" s="390"/>
      <c r="AT82" s="390"/>
      <c r="AU82" s="390"/>
      <c r="AV82" s="390"/>
      <c r="AW82" s="279" t="s">
        <v>40</v>
      </c>
      <c r="AZ82" s="285" t="s">
        <v>40</v>
      </c>
      <c r="BA82" s="654">
        <f t="shared" si="56"/>
        <v>10.441514183580688</v>
      </c>
    </row>
    <row r="83" spans="1:53" x14ac:dyDescent="0.2">
      <c r="A83" s="279" t="s">
        <v>107</v>
      </c>
      <c r="B83" s="280">
        <v>6.1752305213724989</v>
      </c>
      <c r="C83" s="280">
        <f>(NA!AO253/NA!AN253-1)*100</f>
        <v>-13.618650578345592</v>
      </c>
      <c r="D83" s="280">
        <f>(NA!AP253/NA!AO253-1)*100</f>
        <v>6.166819059229911</v>
      </c>
      <c r="E83" s="280">
        <f>(NA!AQ253/NA!AP253-1)*100</f>
        <v>7.1545454545454579</v>
      </c>
      <c r="F83" s="280">
        <f>(NA!AR253/NA!AQ253-1)*100</f>
        <v>7.4814804892098019</v>
      </c>
      <c r="G83" s="280">
        <f>(NA!AS253/NA!AR253-1)*100</f>
        <v>9.3515795071206664</v>
      </c>
      <c r="H83" s="283">
        <f>(NA!AT253/NA!AS253-1)*100</f>
        <v>-8.7163649902644469</v>
      </c>
      <c r="I83" s="280">
        <f>(NA!AU253/NA!AT253-1)*100</f>
        <v>18.72022121133492</v>
      </c>
      <c r="J83" s="280">
        <f>(NA!AV253/NA!AU253-1)*100</f>
        <v>8.0552920589752155</v>
      </c>
      <c r="K83" s="280">
        <f>(NA!AW253/NA!AV253-1)*100</f>
        <v>4.2723022534147059</v>
      </c>
      <c r="L83" s="280">
        <f>(NA!AX253/NA!AW253-1)*100</f>
        <v>13.406434443735925</v>
      </c>
      <c r="M83" s="280">
        <f>(NA!AY253/NA!AX253-1)*100</f>
        <v>-4.3211652935597034</v>
      </c>
      <c r="N83" s="280">
        <f>(NA!AZ253/NA!AY253-1)*100</f>
        <v>3.3087779455540201</v>
      </c>
      <c r="O83" s="280">
        <f>(NA!BA253/NA!AZ253-1)*100</f>
        <v>13.02791654792177</v>
      </c>
      <c r="P83" s="280">
        <f>(NA!BB253/NA!BA253-1)*100</f>
        <v>9.3439717742147099</v>
      </c>
      <c r="Q83" s="476">
        <f>TREND(N83:P83,N70:P70,Q70)*0.64</f>
        <v>9.3410661874507781</v>
      </c>
      <c r="R83" s="490">
        <f>TREND(O83:Q83,O70:Q70,R70)*1.3</f>
        <v>8.9493748188755031</v>
      </c>
      <c r="S83" s="490">
        <f>TREND(P83:R83,P70:R70,S70)*0.999</f>
        <v>8.8080570975362242</v>
      </c>
      <c r="T83" s="490">
        <f>TREND(Q83:S83,Q70:S70,T70)*1.05</f>
        <v>8.9248147919416692</v>
      </c>
      <c r="U83" s="490">
        <f>TREND(R83:T83,R70:T70,U70)*1.05</f>
        <v>9.3129983196431603</v>
      </c>
      <c r="V83" s="490">
        <f>TREND(S83:U83,S70:U70,V70)*0.99</f>
        <v>9.425028978895817</v>
      </c>
      <c r="W83" s="266">
        <f>AVERAGE(NA!BE128:BH128)</f>
        <v>9.1177247970042175E-2</v>
      </c>
      <c r="X83" s="264" t="s">
        <v>500</v>
      </c>
      <c r="Y83" s="390" t="str">
        <f>A83&amp;": "&amp;X83</f>
        <v>Electricity, gas: Growth rate of Electricity and gas sub-activity is projected to increase to 4.8 percent in 2014 from 4.4 percent in 2013 due to  stability of power generation from sources of power generation.  In the medium term, growth is projected to pick up to 5.2 percent based on government efforts to implement measures aimed at addressing the current power crisis by installing additional gas-turbines to complement the thermal power generation. Other assumptions include implementation of the Rural Energy Master Plan, Power Sector Master Plan,  and enhancing private sector participation in power generation to meet the growing demand for power in the country and   and the construction of  gas pipeline from  Mtwara to Dar es Salaam to establish the new power station.</v>
      </c>
      <c r="Z83" s="390"/>
      <c r="AA83" s="390"/>
      <c r="AB83" s="390"/>
      <c r="AC83" s="390"/>
      <c r="AD83" s="390"/>
      <c r="AE83" s="390"/>
      <c r="AF83" s="390"/>
      <c r="AG83" s="390"/>
      <c r="AH83" s="390"/>
      <c r="AI83" s="390"/>
      <c r="AJ83" s="390"/>
      <c r="AK83" s="390"/>
      <c r="AL83" s="390"/>
      <c r="AM83" s="390"/>
      <c r="AN83" s="390"/>
      <c r="AO83" s="390"/>
      <c r="AP83" s="390"/>
      <c r="AQ83" s="390"/>
      <c r="AR83" s="390"/>
      <c r="AS83" s="390"/>
      <c r="AT83" s="390"/>
      <c r="AU83" s="390"/>
      <c r="AV83" s="390"/>
      <c r="AW83" s="279" t="s">
        <v>107</v>
      </c>
      <c r="AZ83" s="285" t="s">
        <v>107</v>
      </c>
      <c r="BA83" s="654">
        <f t="shared" si="56"/>
        <v>6.0197160933485634</v>
      </c>
    </row>
    <row r="84" spans="1:53" x14ac:dyDescent="0.2">
      <c r="A84" s="279" t="s">
        <v>108</v>
      </c>
      <c r="B84" s="280">
        <v>3.8414148003189208</v>
      </c>
      <c r="C84" s="280">
        <f>(NA!AO254/NA!AN254-1)*100</f>
        <v>652.41793620101271</v>
      </c>
      <c r="D84" s="280">
        <f>(NA!AP254/NA!AO254-1)*100</f>
        <v>2.837591240875903</v>
      </c>
      <c r="E84" s="280">
        <f>(NA!AQ254/NA!AP254-1)*100</f>
        <v>4.5337592050394893</v>
      </c>
      <c r="F84" s="280">
        <f>(NA!AR254/NA!AQ254-1)*100</f>
        <v>5.1540485486335053</v>
      </c>
      <c r="G84" s="280">
        <f>(NA!AS254/NA!AR254-1)*100</f>
        <v>-28.532800613435029</v>
      </c>
      <c r="H84" s="280">
        <f>(NA!AT254/NA!AS254-1)*100</f>
        <v>3.0836492446603136</v>
      </c>
      <c r="I84" s="284">
        <f>(NA!AU254/NA!AT254-1)*100</f>
        <v>-6.2894695498822317</v>
      </c>
      <c r="J84" s="284">
        <f>(NA!AV254/NA!AU254-1)*100</f>
        <v>2.3282616937038592</v>
      </c>
      <c r="K84" s="284">
        <f>(NA!AW254/NA!AV254-1)*100</f>
        <v>3.2991552789043643</v>
      </c>
      <c r="L84" s="284">
        <f>(NA!AX254/NA!AW254-1)*100</f>
        <v>3.6460677212836634</v>
      </c>
      <c r="M84" s="284">
        <f>(NA!AY254/NA!AX254-1)*100</f>
        <v>-1.2480878109254356</v>
      </c>
      <c r="N84" s="284">
        <f>(NA!AZ254/NA!AY254-1)*100</f>
        <v>2.8292568664190165</v>
      </c>
      <c r="O84" s="284">
        <f>(NA!BA254/NA!AZ254-1)*100</f>
        <v>2.6549626737814913</v>
      </c>
      <c r="P84" s="284">
        <f>(NA!BB254/NA!BA254-1)*100</f>
        <v>3.7333455902639257</v>
      </c>
      <c r="Q84" s="476">
        <f>TREND(I84:P84,I70:P70,Q70)*0.8</f>
        <v>3.9020361082868478</v>
      </c>
      <c r="R84" s="476">
        <f>TREND(J84:Q84,J70:Q70,R70)*1.15</f>
        <v>3.9200459242527099</v>
      </c>
      <c r="S84" s="476">
        <f>TREND(K84:R84,K70:R70,S70)*1.02</f>
        <v>4.0134399702346739</v>
      </c>
      <c r="T84" s="476">
        <f>TREND(L84:S84,L70:S70,T70)*0.9</f>
        <v>4.2152858756851632</v>
      </c>
      <c r="U84" s="476">
        <f>TREND(M84:T84,M70:T70,U70)*0.77</f>
        <v>4.2972519035924028</v>
      </c>
      <c r="V84" s="476">
        <f>TREND(N84:U84,N70:U70,V70)*0.92</f>
        <v>4.3333149517729979</v>
      </c>
      <c r="W84" s="266">
        <f>AVERAGE(NA!BE129:BH129)</f>
        <v>3.4469256032750806E-2</v>
      </c>
      <c r="X84" s="264" t="s">
        <v>501</v>
      </c>
      <c r="Y84" s="390" t="str">
        <f>A84&amp;": "&amp;X84</f>
        <v>Water supply: The water supply is projected to grow by  5.2 percent. In the medium term, the sub-activity is projected to grow at an average of 5.0 percent following implementation of new and ongoing major water supply projects (i.e. boreholes in Pangani, Farkwa and Ndembera projects along Rufiji Basin) and scale up rural water supply services through rehabilitation of malfunctioning water facilities including multi-village water schemes. Other projects include drilling of 20 high yielding boreholes at Kimbiji -Kigamboni and Mpera – Mkuranga; and rehabilitation and expansion of water supply scheme of lower Ruvu for Dar es Salaam and lake Victoria project.</v>
      </c>
      <c r="Z84" s="390"/>
      <c r="AA84" s="390"/>
      <c r="AB84" s="390"/>
      <c r="AC84" s="390"/>
      <c r="AD84" s="390"/>
      <c r="AE84" s="390"/>
      <c r="AF84" s="390"/>
      <c r="AG84" s="390"/>
      <c r="AH84" s="390"/>
      <c r="AI84" s="390"/>
      <c r="AJ84" s="390"/>
      <c r="AK84" s="390"/>
      <c r="AL84" s="390"/>
      <c r="AM84" s="390"/>
      <c r="AN84" s="390"/>
      <c r="AO84" s="390"/>
      <c r="AP84" s="390"/>
      <c r="AQ84" s="390"/>
      <c r="AR84" s="390"/>
      <c r="AS84" s="390"/>
      <c r="AT84" s="390"/>
      <c r="AU84" s="390"/>
      <c r="AV84" s="390"/>
      <c r="AW84" s="279" t="s">
        <v>108</v>
      </c>
      <c r="AZ84" s="285" t="s">
        <v>108</v>
      </c>
      <c r="BA84" s="654">
        <f t="shared" si="56"/>
        <v>-0.29251953717268631</v>
      </c>
    </row>
    <row r="85" spans="1:53" x14ac:dyDescent="0.2">
      <c r="A85" s="279" t="s">
        <v>109</v>
      </c>
      <c r="B85" s="280">
        <v>7.3976833145916743E-2</v>
      </c>
      <c r="C85" s="280">
        <f>(NA!AO255/NA!AN255-1)*100</f>
        <v>166.64448963122391</v>
      </c>
      <c r="D85" s="280">
        <f>(NA!AP255/NA!AO255-1)*100</f>
        <v>11.855778535066674</v>
      </c>
      <c r="E85" s="280">
        <f>(NA!AQ255/NA!AP255-1)*100</f>
        <v>13.777410012412105</v>
      </c>
      <c r="F85" s="280">
        <f>(NA!AR255/NA!AQ255-1)*100</f>
        <v>12.951074380165274</v>
      </c>
      <c r="G85" s="280">
        <f>(NA!AS255/NA!AR255-1)*100</f>
        <v>-5.7818360943714397</v>
      </c>
      <c r="H85" s="280">
        <f>(NA!AT255/NA!AS255-1)*100</f>
        <v>17.885363040166482</v>
      </c>
      <c r="I85" s="284">
        <f>(NA!AU255/NA!AT255-1)*100</f>
        <v>13.092169564395828</v>
      </c>
      <c r="J85" s="284">
        <f>(NA!AV255/NA!AU255-1)*100</f>
        <v>9.5876799603264562</v>
      </c>
      <c r="K85" s="284">
        <f>(NA!AW255/NA!AV255-1)*100</f>
        <v>-3.429178311627612</v>
      </c>
      <c r="L85" s="284">
        <f>(NA!AX255/NA!AW255-1)*100</f>
        <v>10.321262589764469</v>
      </c>
      <c r="M85" s="284">
        <f>(NA!AY255/NA!AX255-1)*100</f>
        <v>21.919982629671765</v>
      </c>
      <c r="N85" s="284">
        <f>(NA!AZ255/NA!AY255-1)*100</f>
        <v>3.2508393450087603</v>
      </c>
      <c r="O85" s="284">
        <f>(NA!BA255/NA!AZ255-1)*100</f>
        <v>13.884844266566843</v>
      </c>
      <c r="P85" s="284">
        <f>(NA!BB255/NA!BA255-1)*100</f>
        <v>15.86709099931587</v>
      </c>
      <c r="Q85" s="476">
        <f>P85*(P85/$J$85)^(1/6)*0.77</f>
        <v>13.287766920701447</v>
      </c>
      <c r="R85" s="476">
        <f>Q85*(Q85/$J$85)^(1/6)*0.95</f>
        <v>13.329034304715435</v>
      </c>
      <c r="S85" s="476">
        <f>R85*(R85/$J$85)^(1/6)*0.95</f>
        <v>13.377341597493084</v>
      </c>
      <c r="T85" s="476">
        <f>S85*(S85/$J$85)^(1/6)*0.96</f>
        <v>13.575331126144718</v>
      </c>
      <c r="U85" s="476">
        <f>T85*(T85/$J$85)^(1/6)*0.96</f>
        <v>13.810025540767947</v>
      </c>
      <c r="V85" s="476">
        <f>U85*(U85/$J$85)^(1/6)*0.96</f>
        <v>14.088968787366801</v>
      </c>
      <c r="W85" s="266">
        <f>AVERAGE(NA!BE130:BH130)</f>
        <v>0.12174285265215873</v>
      </c>
      <c r="X85" s="264" t="s">
        <v>502</v>
      </c>
      <c r="Y85" s="390" t="str">
        <f>A85&amp;": "&amp;X85</f>
        <v>Construction: Construction activity is projected to grow at 8.9 percent in 2014. The sub-activity is expected to grow at  an average rate of 9.5percent in the medium term, largely due to increased infrastructure developments, including roads and bridges, construction and rehabilitation of railway lines, construction and expansion of airports, commercial and residential dwellings as well as land development.</v>
      </c>
      <c r="Z85" s="390"/>
      <c r="AA85" s="390"/>
      <c r="AB85" s="390"/>
      <c r="AC85" s="390"/>
      <c r="AD85" s="390"/>
      <c r="AE85" s="390"/>
      <c r="AF85" s="390"/>
      <c r="AG85" s="390"/>
      <c r="AH85" s="390"/>
      <c r="AI85" s="390"/>
      <c r="AJ85" s="390"/>
      <c r="AK85" s="390"/>
      <c r="AL85" s="390"/>
      <c r="AM85" s="390"/>
      <c r="AN85" s="390"/>
      <c r="AO85" s="390"/>
      <c r="AP85" s="390"/>
      <c r="AQ85" s="390"/>
      <c r="AR85" s="390"/>
      <c r="AS85" s="390"/>
      <c r="AT85" s="390"/>
      <c r="AU85" s="390"/>
      <c r="AV85" s="390"/>
      <c r="AW85" s="279" t="s">
        <v>109</v>
      </c>
      <c r="AZ85" s="285" t="s">
        <v>109</v>
      </c>
      <c r="BA85" s="654">
        <f t="shared" si="56"/>
        <v>13.521737521629589</v>
      </c>
    </row>
    <row r="86" spans="1:53" x14ac:dyDescent="0.2">
      <c r="A86" s="277" t="s">
        <v>110</v>
      </c>
      <c r="B86" s="291"/>
      <c r="C86" s="291"/>
      <c r="D86" s="291"/>
      <c r="E86" s="291"/>
      <c r="F86" s="291"/>
      <c r="G86" s="291"/>
      <c r="H86" s="291"/>
      <c r="I86" s="291"/>
      <c r="J86" s="291"/>
      <c r="K86" s="291"/>
      <c r="L86" s="292"/>
      <c r="M86" s="292"/>
      <c r="N86" s="292"/>
      <c r="O86" s="477"/>
      <c r="P86" s="477"/>
      <c r="Q86" s="477"/>
      <c r="R86" s="753"/>
      <c r="S86" s="477"/>
      <c r="T86" s="489"/>
      <c r="U86" s="266"/>
      <c r="W86" s="266">
        <f>AVERAGE(NA!BE131:BH131)</f>
        <v>8.1700684420936753E-2</v>
      </c>
      <c r="X86" s="264" t="s">
        <v>503</v>
      </c>
      <c r="Y86" s="390"/>
      <c r="Z86" s="390"/>
      <c r="AA86" s="390"/>
      <c r="AB86" s="390"/>
      <c r="AC86" s="390"/>
      <c r="AD86" s="390"/>
      <c r="AE86" s="390"/>
      <c r="AF86" s="390"/>
      <c r="AG86" s="390"/>
      <c r="AH86" s="390"/>
      <c r="AI86" s="390"/>
      <c r="AJ86" s="390"/>
      <c r="AK86" s="390"/>
      <c r="AL86" s="390"/>
      <c r="AM86" s="390"/>
      <c r="AN86" s="390"/>
      <c r="AO86" s="390"/>
      <c r="AP86" s="390"/>
      <c r="AQ86" s="390"/>
      <c r="AR86" s="390"/>
      <c r="AS86" s="390"/>
      <c r="AT86" s="390"/>
      <c r="AU86" s="390"/>
      <c r="AV86" s="390"/>
      <c r="AW86" s="277" t="s">
        <v>110</v>
      </c>
      <c r="AZ86" s="293" t="s">
        <v>110</v>
      </c>
      <c r="BA86" s="654" t="e">
        <f t="shared" si="56"/>
        <v>#DIV/0!</v>
      </c>
    </row>
    <row r="87" spans="1:53" s="309" customFormat="1" x14ac:dyDescent="0.2">
      <c r="A87" s="279" t="s">
        <v>111</v>
      </c>
      <c r="B87" s="280">
        <v>4.3165231236610424</v>
      </c>
      <c r="C87" s="280">
        <f>(NA!AO257/NA!AN257-1)*100</f>
        <v>36.315173461061455</v>
      </c>
      <c r="D87" s="280">
        <f>(NA!AP257/NA!AO257-1)*100</f>
        <v>8.348600816539097</v>
      </c>
      <c r="E87" s="280">
        <f>(NA!AQ257/NA!AP257-1)*100</f>
        <v>9.6878452866230091</v>
      </c>
      <c r="F87" s="280">
        <f>(NA!AR257/NA!AQ257-1)*100</f>
        <v>5.7788372751472972</v>
      </c>
      <c r="G87" s="280">
        <f>(NA!AS257/NA!AR257-1)*100</f>
        <v>12.429482495995959</v>
      </c>
      <c r="H87" s="280">
        <f>(NA!AT257/NA!AS257-1)*100</f>
        <v>9.4460974642436302</v>
      </c>
      <c r="I87" s="280">
        <f>(NA!AU257/NA!AT257-1)*100</f>
        <v>12.901250988105861</v>
      </c>
      <c r="J87" s="280">
        <f>(NA!AV257/NA!AU257-1)*100</f>
        <v>6.4943784802043547</v>
      </c>
      <c r="K87" s="280">
        <f>(NA!AW257/NA!AV257-1)*100</f>
        <v>2.7083589948030173</v>
      </c>
      <c r="L87" s="280">
        <f>(NA!AX257/NA!AW257-1)*100</f>
        <v>9.9652471489039876</v>
      </c>
      <c r="M87" s="280">
        <f>(NA!AY257/NA!AX257-1)*100</f>
        <v>11.29813429737332</v>
      </c>
      <c r="N87" s="280">
        <f>(NA!AZ257/NA!AY257-1)*100</f>
        <v>3.7820433816220245</v>
      </c>
      <c r="O87" s="280">
        <f>(NA!BA257/NA!AZ257-1)*100</f>
        <v>4.4801530083172336</v>
      </c>
      <c r="P87" s="280">
        <f>(NA!BB257/NA!BA257-1)*100</f>
        <v>10.000000000000009</v>
      </c>
      <c r="Q87" s="476">
        <f>TREND(J87:P87,J70:P70,Q70)*1.24</f>
        <v>10.027271360234735</v>
      </c>
      <c r="R87" s="476">
        <f>TREND(K87:Q87,K70:Q70,R70)*1.05</f>
        <v>10.120420455102794</v>
      </c>
      <c r="S87" s="476">
        <f>TREND(L87:R87,L70:R70,S70)*1.11</f>
        <v>10.119238935545535</v>
      </c>
      <c r="T87" s="476">
        <f>TREND(M87:S87,M70:S70,T70)*0.95</f>
        <v>10.112675065573102</v>
      </c>
      <c r="U87" s="476">
        <f>TREND(N87:T87,N70:T70,U70)*0.9</f>
        <v>11.447008658718142</v>
      </c>
      <c r="V87" s="476">
        <f>TREND(O87:U87,O70:U70,V70)*0.92</f>
        <v>11.503239995694239</v>
      </c>
      <c r="W87" s="745">
        <f>AVERAGE(NA!BE132:BH132)</f>
        <v>0.10795540663882758</v>
      </c>
      <c r="X87" s="264" t="s">
        <v>504</v>
      </c>
      <c r="Y87" s="391" t="str">
        <f>A87&amp;": "&amp;X87</f>
        <v>Trade and repairs: Trade and repair sub- activity is projected to grow at 8.8 percent in 2014  compared to 8.3 percent in 2013 due to improved regional trade and business environment. In the medium term, the sub-sector is projected to grow at an average of 9.4  percent. The projected growth rate is based on the assumptions of improved power supply, increased transit trade, exports resulting from the ongoing export promotion initiatives, including SEZ, EPZ,  promotion of exports through the Export Credit Guarantee Scheme; improved business environment (facilitated through the BEST programme).</v>
      </c>
      <c r="Z87" s="389"/>
      <c r="AA87" s="389"/>
      <c r="AB87" s="389"/>
      <c r="AC87" s="389"/>
      <c r="AD87" s="389"/>
      <c r="AE87" s="389"/>
      <c r="AF87" s="389"/>
      <c r="AG87" s="389"/>
      <c r="AH87" s="389"/>
      <c r="AI87" s="389"/>
      <c r="AJ87" s="389"/>
      <c r="AK87" s="389"/>
      <c r="AL87" s="389"/>
      <c r="AM87" s="389"/>
      <c r="AN87" s="389"/>
      <c r="AO87" s="389"/>
      <c r="AP87" s="389"/>
      <c r="AQ87" s="389"/>
      <c r="AR87" s="389"/>
      <c r="AS87" s="389"/>
      <c r="AT87" s="389"/>
      <c r="AU87" s="389"/>
      <c r="AV87" s="389"/>
      <c r="AW87" s="279" t="s">
        <v>111</v>
      </c>
      <c r="AZ87" s="375" t="s">
        <v>111</v>
      </c>
      <c r="BA87" s="654">
        <f t="shared" si="56"/>
        <v>9.6139089775179496</v>
      </c>
    </row>
    <row r="88" spans="1:53" x14ac:dyDescent="0.2">
      <c r="A88" s="279" t="s">
        <v>112</v>
      </c>
      <c r="B88" s="280">
        <v>4.1426086956521724</v>
      </c>
      <c r="C88" s="280">
        <f>(NA!AO258/NA!AN258-1)*100</f>
        <v>54.744555418462014</v>
      </c>
      <c r="D88" s="280">
        <f>(NA!AP258/NA!AO258-1)*100</f>
        <v>6.4483739610643021</v>
      </c>
      <c r="E88" s="280">
        <f>(NA!AQ258/NA!AP258-1)*100</f>
        <v>3.24671921905062</v>
      </c>
      <c r="F88" s="280">
        <f>(NA!AR258/NA!AQ258-1)*100</f>
        <v>3.5876390318885232</v>
      </c>
      <c r="G88" s="280">
        <f>(NA!AS258/NA!AR258-1)*100</f>
        <v>5.6489997620148058</v>
      </c>
      <c r="H88" s="280">
        <f>(NA!AT258/NA!AS258-1)*100</f>
        <v>3.4494523318304271</v>
      </c>
      <c r="I88" s="280">
        <f>(NA!AU258/NA!AT258-1)*100</f>
        <v>4.5095849465601301</v>
      </c>
      <c r="J88" s="280">
        <f>(NA!AV258/NA!AU258-1)*100</f>
        <v>3.2987625121484676</v>
      </c>
      <c r="K88" s="280">
        <f>(NA!AW258/NA!AV258-1)*100</f>
        <v>1.0232930774115356</v>
      </c>
      <c r="L88" s="280">
        <f>(NA!AX258/NA!AW258-1)*100</f>
        <v>3.6874891000535204</v>
      </c>
      <c r="M88" s="280">
        <f>(NA!AY258/NA!AX258-1)*100</f>
        <v>4.147874740560642</v>
      </c>
      <c r="N88" s="280">
        <f>(NA!AZ258/NA!AY258-1)*100</f>
        <v>6.7059847187936672</v>
      </c>
      <c r="O88" s="280">
        <f>(NA!BA258/NA!AZ258-1)*100</f>
        <v>2.7823540056456819</v>
      </c>
      <c r="P88" s="280">
        <f>(NA!BB258/NA!BA258-1)*100</f>
        <v>2.2471289451485355</v>
      </c>
      <c r="Q88" s="476">
        <f>TREND(H88:P88,H70:P70,Q70)*0.62</f>
        <v>2.1915590642438909</v>
      </c>
      <c r="R88" s="476">
        <f>TREND(I88:Q88,I70:Q70,R70)*0.8</f>
        <v>2.3267769817132375</v>
      </c>
      <c r="S88" s="476">
        <f>TREND(J88:R88,J70:R70,S70)*0.9</f>
        <v>2.4939184241242431</v>
      </c>
      <c r="T88" s="476">
        <f>TREND(K88:S88,K70:S70,T70)*1.02</f>
        <v>2.5701775818439665</v>
      </c>
      <c r="U88" s="476">
        <f>TREND(L88:T88,L70:T70,U70)*1.7</f>
        <v>2.8461814580596068</v>
      </c>
      <c r="V88" s="476">
        <f>TREND(M88:U88,M70:U70,V70)*1.7</f>
        <v>2.782029726486678</v>
      </c>
      <c r="W88" s="266">
        <f>AVERAGE(NA!BE133:BH133)</f>
        <v>2.6730767976286263E-2</v>
      </c>
      <c r="X88" s="459" t="s">
        <v>505</v>
      </c>
      <c r="Y88" s="390" t="str">
        <f>A88&amp;": "&amp;X88</f>
        <v>Hotels and restaurants: In 2015-2018 the hotels and restaurants sub-sector is projected to grow at an average of 7.0 percent. The sub-activity is projected to grow at a rate of 6.3 percent in 2014 from 6.3 percent recorded  in the previous year . The growth will be attributed to an increase in the number of international tourists arrivals, government initiatives to promote domestic tourism and advertisement of tourist attractive sites.</v>
      </c>
      <c r="Z88" s="390"/>
      <c r="AA88" s="390"/>
      <c r="AB88" s="390"/>
      <c r="AC88" s="390"/>
      <c r="AD88" s="390"/>
      <c r="AE88" s="390"/>
      <c r="AF88" s="390"/>
      <c r="AG88" s="390"/>
      <c r="AH88" s="390"/>
      <c r="AI88" s="390"/>
      <c r="AJ88" s="390"/>
      <c r="AK88" s="390"/>
      <c r="AL88" s="390"/>
      <c r="AM88" s="390"/>
      <c r="AN88" s="390"/>
      <c r="AO88" s="390"/>
      <c r="AP88" s="390"/>
      <c r="AQ88" s="390"/>
      <c r="AR88" s="390"/>
      <c r="AS88" s="390"/>
      <c r="AT88" s="390"/>
      <c r="AU88" s="390"/>
      <c r="AV88" s="390"/>
      <c r="AW88" s="279" t="s">
        <v>112</v>
      </c>
      <c r="AZ88" s="285" t="s">
        <v>112</v>
      </c>
      <c r="BA88" s="654">
        <f t="shared" si="56"/>
        <v>3.7525999301796751</v>
      </c>
    </row>
    <row r="89" spans="1:53" x14ac:dyDescent="0.2">
      <c r="A89" s="279" t="s">
        <v>113</v>
      </c>
      <c r="B89" s="280">
        <v>4.3388309080208298</v>
      </c>
      <c r="C89" s="280">
        <f>(NA!AO259/NA!AN259-1)*100</f>
        <v>135.94237481361864</v>
      </c>
      <c r="D89" s="280">
        <f>(NA!AP259/NA!AO259-1)*100</f>
        <v>5.941338063737267</v>
      </c>
      <c r="E89" s="280">
        <f>(NA!AQ259/NA!AP259-1)*100</f>
        <v>5.0195736434108573</v>
      </c>
      <c r="F89" s="280">
        <f>(NA!AR259/NA!AQ259-1)*100</f>
        <v>8.6128278043406503</v>
      </c>
      <c r="G89" s="280">
        <f>(NA!AS259/NA!AR259-1)*100</f>
        <v>6.6902377610971397</v>
      </c>
      <c r="H89" s="280">
        <f>(NA!AT259/NA!AS259-1)*100</f>
        <v>9.1044685396142189</v>
      </c>
      <c r="I89" s="280">
        <f>(NA!AU259/NA!AT259-1)*100</f>
        <v>2.0305812509624266</v>
      </c>
      <c r="J89" s="280">
        <f>(NA!AV259/NA!AU259-1)*100</f>
        <v>1.8048793234305416</v>
      </c>
      <c r="K89" s="280">
        <f>(NA!AW259/NA!AV259-1)*100</f>
        <v>6.9467053181534677</v>
      </c>
      <c r="L89" s="280">
        <f>(NA!AX259/NA!AW259-1)*100</f>
        <v>10.723490969610051</v>
      </c>
      <c r="M89" s="280">
        <f>(NA!AY259/NA!AX259-1)*100</f>
        <v>4.4335272118620095</v>
      </c>
      <c r="N89" s="280">
        <f>(NA!AZ259/NA!AY259-1)*100</f>
        <v>4.1582743748312057</v>
      </c>
      <c r="O89" s="280">
        <f>(NA!BA259/NA!AZ259-1)*100</f>
        <v>12.203681631176222</v>
      </c>
      <c r="P89" s="280">
        <f>(NA!BB259/NA!BA259-1)*100</f>
        <v>12.5</v>
      </c>
      <c r="Q89" s="476">
        <f>TREND(J89:P89,J70:P70,Q70)*0.99</f>
        <v>12.559515760162471</v>
      </c>
      <c r="R89" s="476">
        <f>TREND(K89:Q89,K70:Q70,R70)*0.97</f>
        <v>12.705170728536912</v>
      </c>
      <c r="S89" s="476">
        <f>TREND(L89:R89,L70:R70,S70)*0.9</f>
        <v>12.834308915322344</v>
      </c>
      <c r="T89" s="476">
        <f>TREND(M89:S89,M70:S70,T70)*0.79</f>
        <v>12.870956564178423</v>
      </c>
      <c r="U89" s="476">
        <f>TREND(N89:T89,N70:T70,U70)*0.84</f>
        <v>12.892365580689466</v>
      </c>
      <c r="V89" s="476">
        <f>TREND(O89:U89,O70:U70,V70)*0.99</f>
        <v>12.961752819857274</v>
      </c>
      <c r="W89" s="266">
        <f>AVERAGE(NA!BE134:BH134)</f>
        <v>0.12889845970011887</v>
      </c>
      <c r="X89" s="264" t="s">
        <v>506</v>
      </c>
      <c r="Y89" s="390" t="str">
        <f>A89&amp;": "&amp;X89</f>
        <v>Transport: The transport sub-sector is expected to grow by 7.0 percent in 2014 compared to 6.2 percent in 2013 due to increase in transport and transportation activities. In the medium term, the activity will grow at an average of 7.2 percent. The growth will emanate from improvement in physical infrastructure such as roads, rails, air which will attract movement of goods and passengers during the period. Performance of the activity is also expected to be in line with the performance of other sectors such as agriculture, manufacturing and mining.</v>
      </c>
      <c r="Z89" s="390"/>
      <c r="AA89" s="390"/>
      <c r="AB89" s="390"/>
      <c r="AC89" s="390"/>
      <c r="AD89" s="390"/>
      <c r="AE89" s="390"/>
      <c r="AF89" s="390"/>
      <c r="AG89" s="390"/>
      <c r="AH89" s="390"/>
      <c r="AI89" s="390"/>
      <c r="AJ89" s="390"/>
      <c r="AK89" s="390"/>
      <c r="AL89" s="390"/>
      <c r="AM89" s="390"/>
      <c r="AN89" s="390"/>
      <c r="AO89" s="390"/>
      <c r="AP89" s="390"/>
      <c r="AQ89" s="390"/>
      <c r="AR89" s="390"/>
      <c r="AS89" s="390"/>
      <c r="AT89" s="390"/>
      <c r="AU89" s="390"/>
      <c r="AV89" s="390"/>
      <c r="AW89" s="279" t="s">
        <v>113</v>
      </c>
      <c r="AZ89" s="285" t="s">
        <v>113</v>
      </c>
      <c r="BA89" s="654">
        <f t="shared" si="56"/>
        <v>4.3133097046690621</v>
      </c>
    </row>
    <row r="90" spans="1:53" x14ac:dyDescent="0.2">
      <c r="A90" s="279" t="s">
        <v>114</v>
      </c>
      <c r="B90" s="280">
        <v>5.565507694813121</v>
      </c>
      <c r="C90" s="280">
        <f>(NA!AO260/NA!AN260-1)*100</f>
        <v>170.59583926497891</v>
      </c>
      <c r="D90" s="280">
        <f>(NA!AP260/NA!AO260-1)*100</f>
        <v>10.432423326210504</v>
      </c>
      <c r="E90" s="280">
        <f>(NA!AQ260/NA!AP260-1)*100</f>
        <v>15.648459642389746</v>
      </c>
      <c r="F90" s="280">
        <f>(NA!AR260/NA!AQ260-1)*100</f>
        <v>17.439026930206403</v>
      </c>
      <c r="G90" s="280">
        <f>(NA!AS260/NA!AR260-1)*100</f>
        <v>18.764705186866703</v>
      </c>
      <c r="H90" s="280">
        <f>(NA!AT260/NA!AS260-1)*100</f>
        <v>4.5310501830214012</v>
      </c>
      <c r="I90" s="280">
        <f>(NA!AU260/NA!AT260-1)*100</f>
        <v>17.699097421933786</v>
      </c>
      <c r="J90" s="280">
        <f>(NA!AV260/NA!AU260-1)*100</f>
        <v>11.875198299798928</v>
      </c>
      <c r="K90" s="280">
        <f>(NA!AW260/NA!AV260-1)*100</f>
        <v>26.639078594403909</v>
      </c>
      <c r="L90" s="280">
        <f>(NA!AX260/NA!AW260-1)*100</f>
        <v>24.444497045642532</v>
      </c>
      <c r="M90" s="280">
        <f>(NA!AY260/NA!AX260-1)*100</f>
        <v>8.5795511641156388</v>
      </c>
      <c r="N90" s="280">
        <f>(NA!AZ260/NA!AY260-1)*100</f>
        <v>22.239672938566724</v>
      </c>
      <c r="O90" s="280">
        <f>(NA!BA260/NA!AZ260-1)*100</f>
        <v>13.335188801711052</v>
      </c>
      <c r="P90" s="280">
        <f>(NA!BB260/NA!BA260-1)*100</f>
        <v>8.0215925416508007</v>
      </c>
      <c r="Q90" s="476">
        <f>L90*(L90/I90)^(1/3)*0.295</f>
        <v>8.0305714526718415</v>
      </c>
      <c r="R90" s="476">
        <f>M90*(M90/J90)^(1/3)*1.05</f>
        <v>8.0834191752274158</v>
      </c>
      <c r="S90" s="476">
        <f>N90*(N90/K90)^(1/3)*0.385</f>
        <v>8.0622982112453041</v>
      </c>
      <c r="T90" s="476">
        <f>O90*(O90/L90)^(1/3)*0.77</f>
        <v>8.3900119944855369</v>
      </c>
      <c r="U90" s="476">
        <f>P90*(P90/M90)^(1/3)*1.09</f>
        <v>8.5497307744170623</v>
      </c>
      <c r="V90" s="476">
        <f>Q90*(Q90/N90)^(1/3)*1.5</f>
        <v>8.5778226183367217</v>
      </c>
      <c r="W90" s="266">
        <f>AVERAGE(NA!BE135:BH135)</f>
        <v>8.3949658996211596E-2</v>
      </c>
      <c r="X90" s="264" t="s">
        <v>507</v>
      </c>
      <c r="Y90" s="390" t="str">
        <f>A90&amp;": "&amp;X90</f>
        <v>Communications: In 2014, the communications sub-sector is projected to grow at the rate of 18.3 percent  and projected to grow at an average of 19.1 percent  in the medium term following the scale up of the broadband access connectivity and established data storage centers; expansion of services provided by telecommunication companies and completion of the fiber optic cable installation.</v>
      </c>
      <c r="Z90" s="390"/>
      <c r="AA90" s="390"/>
      <c r="AB90" s="390"/>
      <c r="AC90" s="390"/>
      <c r="AD90" s="390"/>
      <c r="AE90" s="390"/>
      <c r="AF90" s="390"/>
      <c r="AG90" s="390"/>
      <c r="AH90" s="390"/>
      <c r="AI90" s="390"/>
      <c r="AJ90" s="390"/>
      <c r="AK90" s="390"/>
      <c r="AL90" s="390"/>
      <c r="AM90" s="390"/>
      <c r="AN90" s="390"/>
      <c r="AO90" s="390"/>
      <c r="AP90" s="390"/>
      <c r="AQ90" s="390"/>
      <c r="AR90" s="390"/>
      <c r="AS90" s="390"/>
      <c r="AT90" s="390"/>
      <c r="AU90" s="390"/>
      <c r="AV90" s="390"/>
      <c r="AW90" s="279" t="s">
        <v>114</v>
      </c>
      <c r="AZ90" s="285" t="s">
        <v>114</v>
      </c>
      <c r="BA90" s="654">
        <f t="shared" si="56"/>
        <v>11.368448634918039</v>
      </c>
    </row>
    <row r="91" spans="1:53" x14ac:dyDescent="0.2">
      <c r="A91" s="279" t="s">
        <v>115</v>
      </c>
      <c r="B91" s="280">
        <v>3.8858049167327602</v>
      </c>
      <c r="C91" s="280">
        <f>(NA!AO261/NA!AN261-1)*100</f>
        <v>170.71607862356868</v>
      </c>
      <c r="D91" s="280">
        <f>(NA!AP261/NA!AO261-1)*100</f>
        <v>10.077142857142851</v>
      </c>
      <c r="E91" s="280">
        <f>(NA!AQ261/NA!AP261-1)*100</f>
        <v>10.72948841072494</v>
      </c>
      <c r="F91" s="280">
        <f>(NA!AR261/NA!AQ261-1)*100</f>
        <v>8.281617177382028</v>
      </c>
      <c r="G91" s="280">
        <f>(NA!AS261/NA!AR261-1)*100</f>
        <v>11.401104113174654</v>
      </c>
      <c r="H91" s="280">
        <f>(NA!AT261/NA!AS261-1)*100</f>
        <v>19.11077689367222</v>
      </c>
      <c r="I91" s="280">
        <f>(NA!AU261/NA!AT261-1)*100</f>
        <v>21.737307482862111</v>
      </c>
      <c r="J91" s="280">
        <f>(NA!AV261/NA!AU261-1)*100</f>
        <v>18.772261573396243</v>
      </c>
      <c r="K91" s="280">
        <f>(NA!AW261/NA!AV261-1)*100</f>
        <v>18.364462274850535</v>
      </c>
      <c r="L91" s="280">
        <f>(NA!AX261/NA!AW261-1)*100</f>
        <v>12.629633043665113</v>
      </c>
      <c r="M91" s="280">
        <f>(NA!AY261/NA!AX261-1)*100</f>
        <v>14.816019544368153</v>
      </c>
      <c r="N91" s="280">
        <f>(NA!AZ261/NA!AY261-1)*100</f>
        <v>5.1365046162367145</v>
      </c>
      <c r="O91" s="280">
        <f>(NA!BA261/NA!AZ261-1)*100</f>
        <v>6.1649301727801031</v>
      </c>
      <c r="P91" s="280">
        <f>(NA!BB261/NA!BA261-1)*100</f>
        <v>10.785105484342594</v>
      </c>
      <c r="Q91" s="476">
        <f>M91*(M91/I91)^(1/4)*0.8</f>
        <v>10.769684422333222</v>
      </c>
      <c r="R91" s="476">
        <f>N91*(N91/J91)^(1/4)*2.9</f>
        <v>10.773416551985802</v>
      </c>
      <c r="S91" s="476">
        <f>O91*(O91/K91)^(1/4)*2.32</f>
        <v>10.886884943940068</v>
      </c>
      <c r="T91" s="476">
        <f>P91*(P91/L91)^(1/4)*1.1</f>
        <v>11.404480277166588</v>
      </c>
      <c r="U91" s="476">
        <f>Q91*(Q91/M91)^(1/4)*1.18</f>
        <v>11.734182643509762</v>
      </c>
      <c r="V91" s="476">
        <f>R91*(R91/N91)^(1/4)*0.9</f>
        <v>11.668563765446649</v>
      </c>
      <c r="W91" s="266">
        <f>AVERAGE(NA!BE136:BH136)</f>
        <v>0.11423527907515768</v>
      </c>
      <c r="X91" s="264" t="s">
        <v>508</v>
      </c>
      <c r="Y91" s="390" t="str">
        <f>A91&amp;": "&amp;X91</f>
        <v xml:space="preserve">Financial intermediation: The financial intermediation sub-sector is projected to grow by 12.8 percent in 2014, compared to 12.2 percent recorded in 2013 due to increased access of loans,deposit  to the private sector . Improved business environment and investment opportunities will lead to higher financing requirements  and insurance services. This is therefore expected to boost performance of the sub-activity to an annual average growth rate of 13.5 percent in the medium term. </v>
      </c>
      <c r="Z91" s="390"/>
      <c r="AA91" s="390"/>
      <c r="AB91" s="390"/>
      <c r="AC91" s="390"/>
      <c r="AD91" s="390"/>
      <c r="AE91" s="390"/>
      <c r="AF91" s="390"/>
      <c r="AG91" s="390"/>
      <c r="AH91" s="390"/>
      <c r="AI91" s="390"/>
      <c r="AJ91" s="390"/>
      <c r="AK91" s="390"/>
      <c r="AL91" s="390"/>
      <c r="AM91" s="390"/>
      <c r="AN91" s="390"/>
      <c r="AO91" s="390"/>
      <c r="AP91" s="390"/>
      <c r="AQ91" s="390"/>
      <c r="AR91" s="390"/>
      <c r="AS91" s="390"/>
      <c r="AT91" s="390"/>
      <c r="AU91" s="390"/>
      <c r="AV91" s="390"/>
      <c r="AW91" s="279" t="s">
        <v>115</v>
      </c>
      <c r="AZ91" s="285" t="s">
        <v>115</v>
      </c>
      <c r="BA91" s="654">
        <f t="shared" si="56"/>
        <v>19.873448649976858</v>
      </c>
    </row>
    <row r="92" spans="1:53" x14ac:dyDescent="0.2">
      <c r="A92" s="273"/>
      <c r="B92" s="273"/>
      <c r="C92" s="273"/>
      <c r="D92" s="273"/>
      <c r="E92" s="273"/>
      <c r="F92" s="273"/>
      <c r="G92" s="273"/>
      <c r="H92" s="273"/>
      <c r="I92" s="273"/>
      <c r="J92" s="273"/>
      <c r="K92" s="273"/>
      <c r="L92" s="309"/>
      <c r="M92" s="309"/>
      <c r="N92" s="309"/>
      <c r="O92" s="458"/>
      <c r="P92" s="458"/>
      <c r="Q92" s="458"/>
      <c r="R92" s="458"/>
      <c r="S92" s="458"/>
      <c r="T92" s="264"/>
      <c r="U92" s="266"/>
      <c r="W92" s="266"/>
      <c r="X92" s="264"/>
      <c r="Y92" s="390"/>
      <c r="Z92" s="390"/>
      <c r="AA92" s="390"/>
      <c r="AB92" s="390"/>
      <c r="AC92" s="390"/>
      <c r="AD92" s="390"/>
      <c r="AE92" s="390"/>
      <c r="AF92" s="390"/>
      <c r="AG92" s="390"/>
      <c r="AH92" s="390"/>
      <c r="AI92" s="390"/>
      <c r="AJ92" s="390"/>
      <c r="AK92" s="390"/>
      <c r="AL92" s="390"/>
      <c r="AM92" s="390"/>
      <c r="AN92" s="390"/>
      <c r="AO92" s="390"/>
      <c r="AP92" s="390"/>
      <c r="AQ92" s="390"/>
      <c r="AR92" s="390"/>
      <c r="AS92" s="390"/>
      <c r="AT92" s="390"/>
      <c r="AU92" s="390"/>
      <c r="AV92" s="390"/>
      <c r="BA92" s="654" t="e">
        <f t="shared" si="56"/>
        <v>#DIV/0!</v>
      </c>
    </row>
    <row r="93" spans="1:53" x14ac:dyDescent="0.2">
      <c r="A93" s="279" t="s">
        <v>116</v>
      </c>
      <c r="B93" s="280">
        <v>5.0689755198407793</v>
      </c>
      <c r="C93" s="280">
        <f>(NA!AO262/NA!AN262-1)*100</f>
        <v>239.51871059731329</v>
      </c>
      <c r="D93" s="280">
        <f>(NA!AP262/NA!AO262-1)*100</f>
        <v>7.1355784611013995</v>
      </c>
      <c r="E93" s="280">
        <f>(NA!AQ262/NA!AP262-1)*100</f>
        <v>6.5259163183936097</v>
      </c>
      <c r="F93" s="280">
        <f>(NA!AR262/NA!AQ262-1)*100</f>
        <v>6.7633198800477912</v>
      </c>
      <c r="G93" s="280">
        <f>(NA!AS262/NA!AR262-1)*100</f>
        <v>-27.497711219942779</v>
      </c>
      <c r="H93" s="280">
        <f>(NA!AT262/NA!AS262-1)*100</f>
        <v>3.0778109971271617</v>
      </c>
      <c r="I93" s="284">
        <f>(NA!AU262/NA!AT262-1)*100</f>
        <v>3.3924423712301977</v>
      </c>
      <c r="J93" s="284">
        <f>(NA!AV262/NA!AU262-1)*100</f>
        <v>6.7956343591349277</v>
      </c>
      <c r="K93" s="284">
        <f>(NA!AW262/NA!AV262-1)*100</f>
        <v>4.8238597056931898</v>
      </c>
      <c r="L93" s="284">
        <f>(NA!AX262/NA!AW262-1)*100</f>
        <v>8.5189938397542306</v>
      </c>
      <c r="M93" s="284">
        <f>(NA!AY262/NA!AX262-1)*100</f>
        <v>2.8062876583116791</v>
      </c>
      <c r="N93" s="284">
        <f>(NA!AZ262/NA!AY262-1)*100</f>
        <v>-0.17398198028729661</v>
      </c>
      <c r="O93" s="284">
        <f>(NA!BA262/NA!AZ262-1)*100</f>
        <v>3.0500206055814605</v>
      </c>
      <c r="P93" s="284">
        <f>(NA!BB262/NA!BA262-1)*100</f>
        <v>1.771096019335161</v>
      </c>
      <c r="Q93" s="476">
        <f>TREND(I93:P93,I70:P70,Q70)*1.6</f>
        <v>1.8439798468578374</v>
      </c>
      <c r="R93" s="476">
        <f>TREND(M93:Q93,M70:Q70,R70)*1.03</f>
        <v>1.9215877172634266</v>
      </c>
      <c r="S93" s="476">
        <f>TREND(K93:R93,K70:R70,S70)*8.5</f>
        <v>1.702317045951304</v>
      </c>
      <c r="T93" s="476">
        <f>TREND(L93:S93,L70:S70,T70)*12</f>
        <v>1.7113448934323969</v>
      </c>
      <c r="U93" s="476">
        <f>TREND(M93:T93,M70:T70,U70)*1.07</f>
        <v>1.865659747257449</v>
      </c>
      <c r="V93" s="476">
        <f>TREND(N93:U93,N70:U70,V70)*0.9</f>
        <v>1.8998087257720842</v>
      </c>
      <c r="W93" s="266">
        <f>AVERAGE(NA!BD137:BG137)</f>
        <v>1.7532521700425407E-2</v>
      </c>
      <c r="X93" s="264" t="s">
        <v>509</v>
      </c>
      <c r="Y93" s="390" t="str">
        <f>A93&amp;": "&amp;X93</f>
        <v xml:space="preserve">Real estate and business services: Real Estate sub-sector is expected to grow at 6.4 percent in 2014  and in the medium term the growth rate is projected at an average of6.5 percent. The growth will be attributed to high investment in real estate by the National Housing Corporation (NHC), pension funds and private sector(through mortgage refinancing).   Higher investment in real estate by pension funds such as PSPF, NSSF, PPF and other private investment are expected to increase the growth of this industry. Increased economic activities will entail higher demand for business services, for instance consultancy fees, advertisement, and insurance. </v>
      </c>
      <c r="Z93" s="390"/>
      <c r="AA93" s="390"/>
      <c r="AB93" s="390"/>
      <c r="AC93" s="390"/>
      <c r="AD93" s="390"/>
      <c r="AE93" s="390"/>
      <c r="AF93" s="390"/>
      <c r="AG93" s="390"/>
      <c r="AH93" s="390"/>
      <c r="AI93" s="390"/>
      <c r="AJ93" s="390"/>
      <c r="AK93" s="390"/>
      <c r="AL93" s="390"/>
      <c r="AM93" s="390"/>
      <c r="AN93" s="390"/>
      <c r="AO93" s="390"/>
      <c r="AP93" s="390"/>
      <c r="AQ93" s="390"/>
      <c r="AR93" s="390"/>
      <c r="AS93" s="390"/>
      <c r="AT93" s="390"/>
      <c r="AU93" s="390"/>
      <c r="AV93" s="390"/>
      <c r="AW93" s="279" t="s">
        <v>116</v>
      </c>
      <c r="AZ93" s="285" t="s">
        <v>116</v>
      </c>
      <c r="BA93" s="654">
        <f t="shared" si="56"/>
        <v>4.4219625758307624</v>
      </c>
    </row>
    <row r="94" spans="1:53" x14ac:dyDescent="0.2">
      <c r="A94" s="279" t="s">
        <v>117</v>
      </c>
      <c r="B94" s="280">
        <v>10.687022900763354</v>
      </c>
      <c r="C94" s="280">
        <f>(NA!AO263/NA!AN263-1)*100</f>
        <v>190.52492765678136</v>
      </c>
      <c r="D94" s="280">
        <f>(NA!AP263/NA!AO263-1)*100</f>
        <v>7.0295072933721281</v>
      </c>
      <c r="E94" s="280">
        <f>(NA!AQ263/NA!AP263-1)*100</f>
        <v>2.7752475247524666</v>
      </c>
      <c r="F94" s="280">
        <f>(NA!AR263/NA!AQ263-1)*100</f>
        <v>3.9998843964047293</v>
      </c>
      <c r="G94" s="280">
        <f>(NA!AS263/NA!AR263-1)*100</f>
        <v>42.288929907469594</v>
      </c>
      <c r="H94" s="280">
        <f>(NA!AT263/NA!AS263-1)*100</f>
        <v>1.1847346825410332</v>
      </c>
      <c r="I94" s="280">
        <f>(NA!AU263/NA!AT263-1)*100</f>
        <v>7.0943067749726696</v>
      </c>
      <c r="J94" s="280">
        <f>(NA!AV263/NA!AU263-1)*100</f>
        <v>-5.0817629706739869</v>
      </c>
      <c r="K94" s="280">
        <f>(NA!AW263/NA!AV263-1)*100</f>
        <v>-0.42955361693955973</v>
      </c>
      <c r="L94" s="280">
        <f>(NA!AX263/NA!AW263-1)*100</f>
        <v>-1.200892913083873</v>
      </c>
      <c r="M94" s="280">
        <f>(NA!AY263/NA!AX263-1)*100</f>
        <v>12.559913696811043</v>
      </c>
      <c r="N94" s="280">
        <f>(NA!AZ263/NA!AY263-1)*100</f>
        <v>13.312247899953888</v>
      </c>
      <c r="O94" s="280">
        <f>(NA!BA263/NA!AZ263-1)*100</f>
        <v>9.1796537497565325</v>
      </c>
      <c r="P94" s="280">
        <f>(NA!BB263/NA!BA263-1)*100</f>
        <v>4.5804748638569093</v>
      </c>
      <c r="Q94" s="476">
        <f>TREND(I94:P94,I70:P70,Q70)*0.43</f>
        <v>4.6546741859885783</v>
      </c>
      <c r="R94" s="476">
        <f>TREND(J94:Q94,J70:Q70,R70)*0.42</f>
        <v>4.7874061075990628</v>
      </c>
      <c r="S94" s="476">
        <f>TREND(K94:R94,K70:R70,S70)*0.65</f>
        <v>5.1684796030656974</v>
      </c>
      <c r="T94" s="476">
        <f>TREND(L94:S94,L70:S70,T70)*0.95</f>
        <v>5.0341044430614827</v>
      </c>
      <c r="U94" s="476">
        <f>TREND(M94:T94,M70:T70,U70)*3</f>
        <v>5.1124570851188764</v>
      </c>
      <c r="V94" s="476">
        <f>TREND(N94:U94,N70:U70,V70)*2.2</f>
        <v>5.2689166072146696</v>
      </c>
      <c r="W94" s="266">
        <f>AVERAGE(NA!BD138:BG138)</f>
        <v>5.0256118097112834E-2</v>
      </c>
      <c r="X94" s="459" t="s">
        <v>510</v>
      </c>
      <c r="Y94" s="390" t="str">
        <f>A94&amp;": "&amp;X94</f>
        <v xml:space="preserve">Public administration: The activity is projected to grow at a rate of 5.6 percent in 2014 from 5.1 percent  recorded in 2013.  Thereafter, the sub-activity is projected to grow at an average rate of 5.6 percent  between 2015 and 2018 due to  increased financing of public service reforms and new employment to replace retirees for both local and central governments to bridge the existing gap. </v>
      </c>
      <c r="Z94" s="390"/>
      <c r="AA94" s="390"/>
      <c r="AB94" s="390"/>
      <c r="AC94" s="390"/>
      <c r="AD94" s="390"/>
      <c r="AE94" s="390"/>
      <c r="AF94" s="390"/>
      <c r="AG94" s="390"/>
      <c r="AH94" s="390"/>
      <c r="AI94" s="390"/>
      <c r="AJ94" s="390"/>
      <c r="AK94" s="390"/>
      <c r="AL94" s="390"/>
      <c r="AM94" s="390"/>
      <c r="AN94" s="390"/>
      <c r="AO94" s="390"/>
      <c r="AP94" s="390"/>
      <c r="AQ94" s="390"/>
      <c r="AR94" s="390"/>
      <c r="AS94" s="390"/>
      <c r="AT94" s="390"/>
      <c r="AU94" s="390"/>
      <c r="AV94" s="390"/>
      <c r="AW94" s="279" t="s">
        <v>117</v>
      </c>
      <c r="AZ94" s="285" t="s">
        <v>117</v>
      </c>
      <c r="BA94" s="654">
        <f t="shared" si="56"/>
        <v>1.0657594956132386</v>
      </c>
    </row>
    <row r="95" spans="1:53" x14ac:dyDescent="0.2">
      <c r="A95" s="279" t="s">
        <v>118</v>
      </c>
      <c r="B95" s="280">
        <v>3.9841933128386353</v>
      </c>
      <c r="C95" s="280">
        <f>(NA!AO264/NA!AN264-1)*100</f>
        <v>199.54228142779721</v>
      </c>
      <c r="D95" s="280">
        <f>(NA!AP264/NA!AO264-1)*100</f>
        <v>8.6213562855125492</v>
      </c>
      <c r="E95" s="280">
        <f>(NA!AQ264/NA!AP264-1)*100</f>
        <v>8.6729758800269341</v>
      </c>
      <c r="F95" s="280">
        <f>(NA!AR264/NA!AQ264-1)*100</f>
        <v>7.78498543831041</v>
      </c>
      <c r="G95" s="280">
        <f>(NA!AS264/NA!AR264-1)*100</f>
        <v>8.061042478694592</v>
      </c>
      <c r="H95" s="280">
        <f>(NA!AT264/NA!AS264-1)*100</f>
        <v>7.7068738216511612</v>
      </c>
      <c r="I95" s="280">
        <f>(NA!AU264/NA!AT264-1)*100</f>
        <v>13.239383443326936</v>
      </c>
      <c r="J95" s="280">
        <f>(NA!AV264/NA!AU264-1)*100</f>
        <v>9.5418733633559008</v>
      </c>
      <c r="K95" s="280">
        <f>(NA!AW264/NA!AV264-1)*100</f>
        <v>9.1576571676288196</v>
      </c>
      <c r="L95" s="280">
        <f>(NA!AX264/NA!AW264-1)*100</f>
        <v>6.3589836813849887</v>
      </c>
      <c r="M95" s="280">
        <f>(NA!AY264/NA!AX264-1)*100</f>
        <v>5.6205301840794419</v>
      </c>
      <c r="N95" s="280">
        <f>(NA!AZ264/NA!AY264-1)*100</f>
        <v>7.4090812390490424</v>
      </c>
      <c r="O95" s="280">
        <f>(NA!BA264/NA!AZ264-1)*100</f>
        <v>4.2808987768588658</v>
      </c>
      <c r="P95" s="280">
        <f>(NA!BB264/NA!BA264-1)*100</f>
        <v>4.7501294667885663</v>
      </c>
      <c r="Q95" s="476">
        <f>TREND(M95:P95,M70:P70,Q70)*1.2</f>
        <v>4.8963765158142447</v>
      </c>
      <c r="R95" s="476">
        <f>TREND(N95:Q95,N70:Q70,R70)*1.2</f>
        <v>4.280280755620697</v>
      </c>
      <c r="S95" s="476">
        <f>TREND(O95:R95,O70:R70,S70)*0.95</f>
        <v>4.3586186438434673</v>
      </c>
      <c r="T95" s="476">
        <f>TREND(P95:S95,P70:S70,T70)*1.1</f>
        <v>4.5360637170855291</v>
      </c>
      <c r="U95" s="476">
        <f>TREND(Q95:T95,Q70:T70,U70)*1.05</f>
        <v>4.4805440201551336</v>
      </c>
      <c r="V95" s="476">
        <f t="shared" ref="V95" si="58">TREND(R95:U95,R70:U70,V70)*0.985</f>
        <v>4.5393089683742245</v>
      </c>
      <c r="W95" s="266">
        <f>AVERAGE(NA!BD139:BG139)</f>
        <v>4.4138767841762072E-2</v>
      </c>
      <c r="X95" s="459" t="s">
        <v>511</v>
      </c>
      <c r="Y95" s="390" t="str">
        <f>A95&amp;": "&amp;X95</f>
        <v xml:space="preserve">Education: Education economic sub-activity growth rate is projected to grow to 5.9 percent in 2014 compared from 5.9 percent attained in 2013. In the medium term, the activity is projected to grow at an average rate of 6.2 percent resulting from the increase in access to primary, secondary, and tertiary education whilst ensuring availability of teaching and learning facilities and materials. Increased expenditure in education in line with implementation of PEDP II, SEDP and recruitment of new teachers will also boost this activity’s performance. </v>
      </c>
      <c r="Z95" s="390"/>
      <c r="AA95" s="390"/>
      <c r="AB95" s="390"/>
      <c r="AC95" s="390"/>
      <c r="AD95" s="390"/>
      <c r="AE95" s="390"/>
      <c r="AF95" s="390"/>
      <c r="AG95" s="390"/>
      <c r="AH95" s="390"/>
      <c r="AI95" s="390"/>
      <c r="AJ95" s="390"/>
      <c r="AK95" s="390"/>
      <c r="AL95" s="390"/>
      <c r="AM95" s="390"/>
      <c r="AN95" s="390"/>
      <c r="AO95" s="390"/>
      <c r="AP95" s="390"/>
      <c r="AQ95" s="390"/>
      <c r="AR95" s="390"/>
      <c r="AS95" s="390"/>
      <c r="AT95" s="390"/>
      <c r="AU95" s="390"/>
      <c r="AV95" s="390"/>
      <c r="AW95" s="279" t="s">
        <v>118</v>
      </c>
      <c r="AZ95" s="285" t="s">
        <v>118</v>
      </c>
      <c r="BA95" s="654">
        <f t="shared" si="56"/>
        <v>10.162710209444667</v>
      </c>
    </row>
    <row r="96" spans="1:53" x14ac:dyDescent="0.2">
      <c r="A96" s="279" t="s">
        <v>119</v>
      </c>
      <c r="B96" s="280">
        <v>5.1055450829616156</v>
      </c>
      <c r="C96" s="280">
        <f>(NA!AO265/NA!AN265-1)*100</f>
        <v>200.56625102902942</v>
      </c>
      <c r="D96" s="280">
        <f>(NA!AP265/NA!AO265-1)*100</f>
        <v>2.1312601167410739</v>
      </c>
      <c r="E96" s="280">
        <f>(NA!AQ265/NA!AP265-1)*100</f>
        <v>1.979924597171201</v>
      </c>
      <c r="F96" s="280">
        <f>(NA!AR265/NA!AQ265-1)*100</f>
        <v>2.9740389709778103</v>
      </c>
      <c r="G96" s="280">
        <f>(NA!AS265/NA!AR265-1)*100</f>
        <v>2.6343170098672486</v>
      </c>
      <c r="H96" s="280">
        <f>(NA!AT265/NA!AS265-1)*100</f>
        <v>9.9072212283508811</v>
      </c>
      <c r="I96" s="280">
        <f>(NA!AU265/NA!AT265-1)*100</f>
        <v>7.0471475988393983</v>
      </c>
      <c r="J96" s="280">
        <f>(NA!AV265/NA!AU265-1)*100</f>
        <v>5.5209735737903998</v>
      </c>
      <c r="K96" s="280">
        <f>(NA!AW265/NA!AV265-1)*100</f>
        <v>7.4417530349717209</v>
      </c>
      <c r="L96" s="280">
        <f>(NA!AX265/NA!AW265-1)*100</f>
        <v>3.3495759064969377</v>
      </c>
      <c r="M96" s="280">
        <f>(NA!AY265/NA!AX265-1)*100</f>
        <v>5.3333425310116978</v>
      </c>
      <c r="N96" s="280">
        <f>(NA!AZ265/NA!AY265-1)*100</f>
        <v>11.373004964653589</v>
      </c>
      <c r="O96" s="280">
        <f>(NA!BA265/NA!AZ265-1)*100</f>
        <v>8.8328698472726064</v>
      </c>
      <c r="P96" s="280">
        <f>(NA!BB265/NA!BA265-1)*100</f>
        <v>8.1493745189273881</v>
      </c>
      <c r="Q96" s="476">
        <f>TREND(I96:P96,I70:P70,Q70)*0.88</f>
        <v>8.069192536373702</v>
      </c>
      <c r="R96" s="476">
        <f>TREND(J96:Q96,J70:Q70,R70)*0.84</f>
        <v>8.071292424539779</v>
      </c>
      <c r="S96" s="476">
        <f>TREND(K96:R96,K70:R70,S70)*0.86</f>
        <v>8.0791056711678948</v>
      </c>
      <c r="T96" s="476">
        <f>TREND(L96:S96,L70:S70,T70)*0.85</f>
        <v>8.1570991385871654</v>
      </c>
      <c r="U96" s="476">
        <f>TREND(M96:T96,M70:T70,U70)*0.99</f>
        <v>8.2250018169992316</v>
      </c>
      <c r="V96" s="476">
        <f>TREND(N96:U96,N70:U70,V70)*1.13</f>
        <v>8.1890260517609867</v>
      </c>
      <c r="W96" s="266">
        <f>AVERAGE(NA!BD140:BG140)</f>
        <v>8.1331247628235237E-2</v>
      </c>
      <c r="X96" s="459" t="s">
        <v>512</v>
      </c>
      <c r="Y96" s="390" t="str">
        <f>A96&amp;": "&amp;X96</f>
        <v>Health: Health sub-activity is projected to grow by 5.9 percent in 2014 compared to 5.6 percent recorded in 2013. The activity is projected to grow at an average rate of 6.1 percent in the medium term in line with implementation of Primary Health Care Programme and preventive programmes  such as Malaria, TB, HIV/AIDS and other communicable diseases will enhance the  performance in the health sub-activity.</v>
      </c>
      <c r="Z96" s="390"/>
      <c r="AA96" s="390"/>
      <c r="AB96" s="390"/>
      <c r="AC96" s="390"/>
      <c r="AD96" s="390"/>
      <c r="AE96" s="390"/>
      <c r="AF96" s="390"/>
      <c r="AG96" s="390"/>
      <c r="AH96" s="390"/>
      <c r="AI96" s="390"/>
      <c r="AJ96" s="390"/>
      <c r="AK96" s="390"/>
      <c r="AL96" s="390"/>
      <c r="AM96" s="390"/>
      <c r="AN96" s="390"/>
      <c r="AO96" s="390"/>
      <c r="AP96" s="390"/>
      <c r="AQ96" s="390"/>
      <c r="AR96" s="390"/>
      <c r="AS96" s="390"/>
      <c r="AT96" s="390"/>
      <c r="AU96" s="390"/>
      <c r="AV96" s="390"/>
      <c r="AW96" s="279" t="s">
        <v>119</v>
      </c>
      <c r="AZ96" s="285" t="s">
        <v>119</v>
      </c>
      <c r="BA96" s="654">
        <f t="shared" si="56"/>
        <v>7.4917808003268931</v>
      </c>
    </row>
    <row r="97" spans="1:54" x14ac:dyDescent="0.2">
      <c r="A97" s="279" t="s">
        <v>120</v>
      </c>
      <c r="B97" s="280">
        <v>3.0844007766382964</v>
      </c>
      <c r="C97" s="280">
        <f>(NA!AO266/NA!AN266-1)*100</f>
        <v>278.35630184507704</v>
      </c>
      <c r="D97" s="280">
        <f>(NA!AP266/NA!AO266-1)*100</f>
        <v>7.1773731792424078</v>
      </c>
      <c r="E97" s="280">
        <f>(NA!AQ266/NA!AP266-1)*100</f>
        <v>6.9285376170160395</v>
      </c>
      <c r="F97" s="280">
        <f>(NA!AR266/NA!AQ266-1)*100</f>
        <v>7.8489408235599356</v>
      </c>
      <c r="G97" s="280">
        <f>(NA!AS266/NA!AR266-1)*100</f>
        <v>7.4111701297911559</v>
      </c>
      <c r="H97" s="280">
        <f>(NA!AT266/NA!AS266-1)*100</f>
        <v>4.9071438240540166</v>
      </c>
      <c r="I97" s="280">
        <f>(NA!AU266/NA!AT266-1)*100</f>
        <v>5.3878073344183708</v>
      </c>
      <c r="J97" s="280">
        <f>(NA!AV266/NA!AU266-1)*100</f>
        <v>5.2362343011782553</v>
      </c>
      <c r="K97" s="280">
        <f>(NA!AW266/NA!AV266-1)*100</f>
        <v>4.6208190772029534</v>
      </c>
      <c r="L97" s="280">
        <f>(NA!AX266/NA!AW266-1)*100</f>
        <v>5.6092074811621817</v>
      </c>
      <c r="M97" s="280">
        <f>(NA!AY266/NA!AX266-1)*100</f>
        <v>5.8252683546160977</v>
      </c>
      <c r="N97" s="280">
        <f>(NA!AZ266/NA!AY266-1)*100</f>
        <v>6.6491868750604421</v>
      </c>
      <c r="O97" s="280">
        <f>(NA!BA266/NA!AZ266-1)*100</f>
        <v>5.6436038428614888</v>
      </c>
      <c r="P97" s="280">
        <f>(NA!BB266/NA!BA266-1)*100</f>
        <v>5.7602385164287284</v>
      </c>
      <c r="Q97" s="476">
        <f>TREND(I97:P97,I70:P70,Q70)*0.95</f>
        <v>5.8689922976355371</v>
      </c>
      <c r="R97" s="476">
        <f>TREND(J97:Q97,J70:Q70,R70)*0.95</f>
        <v>5.9316538959992213</v>
      </c>
      <c r="S97" s="476">
        <f>TREND(K97:R97,K70:R70,S70)*0.97</f>
        <v>6.048384390047417</v>
      </c>
      <c r="T97" s="476">
        <f t="shared" ref="T97" si="59">TREND(L97:S97,L70:S70,T70)</f>
        <v>5.9911142965694992</v>
      </c>
      <c r="U97" s="476">
        <f>TREND(M97:T97,M70:T70,U70)*0.9</f>
        <v>5.3263693384106023</v>
      </c>
      <c r="V97" s="476">
        <f>TREND(N97:U97,N70:U70,V70)*0.95</f>
        <v>5.2716787651158308</v>
      </c>
      <c r="W97" s="266">
        <f>AVERAGE(NA!BD141:BG141)</f>
        <v>5.8243804802566801E-2</v>
      </c>
      <c r="X97" s="459" t="s">
        <v>513</v>
      </c>
      <c r="Y97" s="390" t="str">
        <f>A97&amp;": "&amp;X97</f>
        <v>Other social and personal services: Other social and personal services are expected to grow at 3.8 percent in 2014 compared to 4.2 percent in 2013, and projected to grow at an average growth rate of 4.2 percent in the medium term as result of increased social services and entartiment .</v>
      </c>
      <c r="Z97" s="390"/>
      <c r="AA97" s="390"/>
      <c r="AB97" s="390"/>
      <c r="AC97" s="390"/>
      <c r="AD97" s="390"/>
      <c r="AE97" s="390"/>
      <c r="AF97" s="390"/>
      <c r="AG97" s="390"/>
      <c r="AH97" s="390"/>
      <c r="AI97" s="390"/>
      <c r="AJ97" s="390"/>
      <c r="AK97" s="390"/>
      <c r="AL97" s="390"/>
      <c r="AM97" s="390"/>
      <c r="AN97" s="390"/>
      <c r="AO97" s="390"/>
      <c r="AP97" s="390"/>
      <c r="AQ97" s="390"/>
      <c r="AR97" s="390"/>
      <c r="AS97" s="390"/>
      <c r="AT97" s="390"/>
      <c r="AU97" s="390"/>
      <c r="AV97" s="390"/>
      <c r="AW97" s="279" t="s">
        <v>285</v>
      </c>
      <c r="AZ97" s="285" t="s">
        <v>120</v>
      </c>
      <c r="BA97" s="654">
        <f t="shared" si="56"/>
        <v>5.177061819883547</v>
      </c>
    </row>
    <row r="98" spans="1:54" x14ac:dyDescent="0.2">
      <c r="A98" s="295" t="s">
        <v>121</v>
      </c>
      <c r="B98" s="291"/>
      <c r="C98" s="291"/>
      <c r="D98" s="291"/>
      <c r="E98" s="291"/>
      <c r="F98" s="291"/>
      <c r="G98" s="291"/>
      <c r="H98" s="291"/>
      <c r="I98" s="291"/>
      <c r="J98" s="291"/>
      <c r="K98" s="291"/>
      <c r="L98" s="292"/>
      <c r="M98" s="292"/>
      <c r="N98" s="292"/>
      <c r="O98" s="292"/>
      <c r="P98" s="292"/>
      <c r="Q98" s="292"/>
      <c r="R98" s="292"/>
      <c r="S98" s="292"/>
      <c r="T98" s="403"/>
      <c r="U98" s="266"/>
      <c r="W98" s="266"/>
      <c r="X98" s="390"/>
      <c r="Y98" s="390"/>
      <c r="Z98" s="390"/>
      <c r="AA98" s="390"/>
      <c r="AB98" s="390"/>
      <c r="AC98" s="390"/>
      <c r="AD98" s="390"/>
      <c r="AE98" s="390"/>
      <c r="AF98" s="390"/>
      <c r="AG98" s="390"/>
      <c r="AH98" s="390"/>
      <c r="AI98" s="390"/>
      <c r="AJ98" s="390"/>
      <c r="AK98" s="390"/>
      <c r="AL98" s="390"/>
      <c r="AM98" s="390"/>
      <c r="AN98" s="390"/>
      <c r="AO98" s="390"/>
      <c r="AP98" s="390"/>
      <c r="AQ98" s="390"/>
      <c r="AR98" s="390"/>
      <c r="AS98" s="390"/>
      <c r="AT98" s="390"/>
      <c r="AU98" s="390"/>
      <c r="AV98" s="390"/>
      <c r="AW98" s="295" t="s">
        <v>121</v>
      </c>
      <c r="BA98" s="654" t="e">
        <f t="shared" si="56"/>
        <v>#DIV/0!</v>
      </c>
    </row>
    <row r="99" spans="1:54" x14ac:dyDescent="0.2">
      <c r="A99" s="279" t="s">
        <v>122</v>
      </c>
      <c r="B99" s="280">
        <v>1.3913066070825542</v>
      </c>
      <c r="C99" s="280">
        <f>(NA!AO268/NA!AN268-1)*100</f>
        <v>132.10261562660583</v>
      </c>
      <c r="D99" s="280">
        <f>(NA!AP268/NA!AO268-1)*100</f>
        <v>7.1625515387462757</v>
      </c>
      <c r="E99" s="280">
        <f>(NA!AQ268/NA!AP268-1)*100</f>
        <v>6.8831763767292609</v>
      </c>
      <c r="F99" s="280">
        <f>(NA!AR268/NA!AQ268-1)*100</f>
        <v>7.8268120442336997</v>
      </c>
      <c r="G99" s="280">
        <f>(NA!AS268/NA!AR268-1)*100</f>
        <v>7.3668982315037379</v>
      </c>
      <c r="H99" s="280">
        <f>(NA!AT268/NA!AS268-1)*100</f>
        <v>23.403094989751636</v>
      </c>
      <c r="I99" s="280">
        <f>(NA!AU268/NA!AT268-1)*100</f>
        <v>11.662610015996599</v>
      </c>
      <c r="J99" s="280">
        <f>(NA!AV268/NA!AU268-1)*100</f>
        <v>6.8277743963964355</v>
      </c>
      <c r="K99" s="280">
        <f>(NA!AW268/NA!AV268-1)*100</f>
        <v>19.958715504322889</v>
      </c>
      <c r="L99" s="280">
        <f>(NA!AX268/NA!AW268-1)*100</f>
        <v>7.9424351458491138</v>
      </c>
      <c r="M99" s="280">
        <f>(NA!AY268/NA!AX268-1)*100</f>
        <v>22.584921978225548</v>
      </c>
      <c r="N99" s="280">
        <f>(NA!AZ268/NA!AY268-1)*100</f>
        <v>1.2306782782577574</v>
      </c>
      <c r="O99" s="280">
        <f>(NA!BA268/NA!AZ268-1)*100</f>
        <v>6.9810275892634444E-2</v>
      </c>
      <c r="P99" s="280">
        <f>(NA!BB268/NA!BA268-1)*100</f>
        <v>9.6694546448068195</v>
      </c>
      <c r="Q99" s="316">
        <f>TREND(N99:P99,N70:P70,Q70)*0.8</f>
        <v>9.6763392796274275</v>
      </c>
      <c r="R99" s="316">
        <f>TREND(O99:Q99,O70:Q70,R70)*0.3</f>
        <v>4.8235191211531854</v>
      </c>
      <c r="S99" s="316">
        <f>TREND(P99:R99,P70:R70,S70)*3.5</f>
        <v>11.236757553732332</v>
      </c>
      <c r="T99" s="316">
        <f>TREND(Q99:S99,Q70:S70,T70)*1.5</f>
        <v>15.208935388413806</v>
      </c>
      <c r="U99" s="316">
        <f>TREND(R99:T99,R70:T70,U70)*0.8</f>
        <v>16.64678956402204</v>
      </c>
      <c r="V99" s="316">
        <f>TREND(S99:U99,S70:U70,V70)*0.6</f>
        <v>11.864515707407373</v>
      </c>
      <c r="W99" s="266">
        <f>AVERAGE(NA!BD142:BG142)</f>
        <v>7.3163602090384305E-2</v>
      </c>
      <c r="X99" s="264" t="s">
        <v>349</v>
      </c>
      <c r="Y99" s="390" t="str">
        <f>A99&amp;": "&amp;X99</f>
        <v xml:space="preserve">less FISIM: Increased economic activities will entail higher demand for  banking services for business services in the economy. </v>
      </c>
      <c r="Z99" s="390"/>
      <c r="AA99" s="390"/>
      <c r="AB99" s="390"/>
      <c r="AC99" s="390"/>
      <c r="AD99" s="390"/>
      <c r="AE99" s="390"/>
      <c r="AF99" s="390"/>
      <c r="AG99" s="390"/>
      <c r="AH99" s="390"/>
      <c r="AI99" s="390"/>
      <c r="AJ99" s="390"/>
      <c r="AK99" s="390"/>
      <c r="AL99" s="390"/>
      <c r="AM99" s="390"/>
      <c r="AN99" s="390"/>
      <c r="AO99" s="390"/>
      <c r="AP99" s="390"/>
      <c r="AQ99" s="390"/>
      <c r="AR99" s="390"/>
      <c r="AS99" s="390"/>
      <c r="AT99" s="390"/>
      <c r="AU99" s="390"/>
      <c r="AV99" s="390"/>
      <c r="AW99" s="296" t="s">
        <v>301</v>
      </c>
      <c r="AZ99" s="289" t="s">
        <v>121</v>
      </c>
      <c r="BA99" s="654">
        <f t="shared" si="56"/>
        <v>13.964493134048224</v>
      </c>
    </row>
    <row r="100" spans="1:54" x14ac:dyDescent="0.2">
      <c r="A100" s="295" t="s">
        <v>293</v>
      </c>
      <c r="B100" s="291"/>
      <c r="C100" s="291"/>
      <c r="D100" s="291"/>
      <c r="E100" s="291"/>
      <c r="F100" s="291"/>
      <c r="G100" s="291"/>
      <c r="H100" s="291"/>
      <c r="I100" s="291"/>
      <c r="J100" s="291"/>
      <c r="K100" s="291"/>
      <c r="L100" s="292"/>
      <c r="M100" s="292"/>
      <c r="N100" s="292"/>
      <c r="O100" s="292"/>
      <c r="P100" s="292"/>
      <c r="Q100" s="292"/>
      <c r="R100" s="292"/>
      <c r="S100" s="292"/>
      <c r="T100" s="403"/>
      <c r="U100" s="266"/>
      <c r="W100" s="266">
        <f>AVERAGE(NA!BD143:BG143)</f>
        <v>0.11979000406830337</v>
      </c>
      <c r="X100" s="264"/>
      <c r="Y100" s="390"/>
      <c r="Z100" s="390"/>
      <c r="AA100" s="390"/>
      <c r="AB100" s="390"/>
      <c r="AC100" s="390"/>
      <c r="AD100" s="390"/>
      <c r="AE100" s="390"/>
      <c r="AF100" s="390"/>
      <c r="AG100" s="390"/>
      <c r="AH100" s="390"/>
      <c r="AI100" s="390"/>
      <c r="AJ100" s="390"/>
      <c r="AK100" s="390"/>
      <c r="AL100" s="390"/>
      <c r="AM100" s="390"/>
      <c r="AN100" s="390"/>
      <c r="AO100" s="390"/>
      <c r="AP100" s="390"/>
      <c r="AQ100" s="390"/>
      <c r="AR100" s="390"/>
      <c r="AS100" s="390"/>
      <c r="AT100" s="390"/>
      <c r="AU100" s="390"/>
      <c r="AV100" s="390"/>
      <c r="AW100" s="297" t="s">
        <v>127</v>
      </c>
      <c r="AZ100" s="289" t="s">
        <v>122</v>
      </c>
      <c r="BA100" s="654" t="e">
        <f t="shared" si="56"/>
        <v>#DIV/0!</v>
      </c>
    </row>
    <row r="101" spans="1:54" x14ac:dyDescent="0.2">
      <c r="A101" s="279" t="s">
        <v>294</v>
      </c>
      <c r="B101" s="280">
        <v>4.9008282476024512</v>
      </c>
      <c r="C101" s="280">
        <f>(NA!AO270/NA!AN270-1)*100</f>
        <v>69.66181084358621</v>
      </c>
      <c r="D101" s="280">
        <f>(NA!AP270/NA!AO270-1)*100</f>
        <v>7.1635535369594328</v>
      </c>
      <c r="E101" s="280">
        <f>(NA!AQ270/NA!AP270-1)*100</f>
        <v>6.8862265317784832</v>
      </c>
      <c r="F101" s="280">
        <f>(NA!AR270/NA!AQ270-1)*100</f>
        <v>7.8282983813669826</v>
      </c>
      <c r="G101" s="280">
        <f>(NA!AS270/NA!AR270-1)*100</f>
        <v>10.999065515613072</v>
      </c>
      <c r="H101" s="280">
        <f>(NA!AT270/NA!AS270-1)*100</f>
        <v>3.4735847060908265</v>
      </c>
      <c r="I101" s="280">
        <f>(NA!AU270/NA!AT270-1)*100</f>
        <v>31.045343757755095</v>
      </c>
      <c r="J101" s="280">
        <f>(NA!AV270/NA!AU270-1)*100</f>
        <v>4.8464950880942492</v>
      </c>
      <c r="K101" s="280">
        <f>(NA!AW270/NA!AV270-1)*100</f>
        <v>12.753339724200519</v>
      </c>
      <c r="L101" s="280">
        <f>(NA!AX270/NA!AW270-1)*100</f>
        <v>3.7665165973066461</v>
      </c>
      <c r="M101" s="280">
        <f>(NA!AY270/NA!AX270-1)*100</f>
        <v>12.135215524450494</v>
      </c>
      <c r="N101" s="280">
        <f>(NA!AZ270/NA!AY270-1)*100</f>
        <v>0.40596144342528451</v>
      </c>
      <c r="O101" s="280">
        <f>(NA!BA270/NA!AZ270-1)*100</f>
        <v>14.216661538001052</v>
      </c>
      <c r="P101" s="316">
        <f>TREND(I101:O101,I70:O70,P70)*3.5</f>
        <v>9.5921477624433464</v>
      </c>
      <c r="Q101" s="316">
        <f>TREND(J101:P101,J70:P70,Q70)*0.95</f>
        <v>9.706202137993488</v>
      </c>
      <c r="R101" s="316">
        <f>TREND(K101:Q101,K70:Q70,R70)*1.1</f>
        <v>10.554867763475166</v>
      </c>
      <c r="S101" s="316">
        <f>TREND(L101:R101,L70:R70,S70)*0.9</f>
        <v>10.937672461504963</v>
      </c>
      <c r="T101" s="316">
        <f>TREND(M101:S101,M70:S70,T70)*0.95</f>
        <v>10.822325721203185</v>
      </c>
      <c r="U101" s="316">
        <f>TREND(N101:T101,N70:T70,U70)*0.8</f>
        <v>10.501676972505084</v>
      </c>
      <c r="V101" s="316">
        <f t="shared" ref="V101" si="60">TREND(O101:U101,O70:U70,V70)*0.95</f>
        <v>9.347786508083658</v>
      </c>
      <c r="W101" s="266">
        <f>AVERAGE(NA!BD144:BG144)</f>
        <v>7.2343352275541783E-2</v>
      </c>
      <c r="X101" s="391" t="s">
        <v>387</v>
      </c>
      <c r="Y101" s="390" t="str">
        <f>A101&amp;": "&amp;X101</f>
        <v xml:space="preserve">Taxes on products: Increased compliance by tax payers due to reduced tax rates and introduction of Electronic Fiscal Devices to major outlets will raise tax revenue. The growth rate is expected to decrease to 6.8 percent in 2013 from 7.3 percent in 2012. In the medium term the annual growth rate is projected at 7.7 percent. </v>
      </c>
      <c r="Z101" s="390"/>
      <c r="AA101" s="390"/>
      <c r="AB101" s="390"/>
      <c r="AC101" s="390"/>
      <c r="AD101" s="390"/>
      <c r="AE101" s="390"/>
      <c r="AF101" s="390"/>
      <c r="AG101" s="390"/>
      <c r="AH101" s="390"/>
      <c r="AI101" s="390"/>
      <c r="AJ101" s="390"/>
      <c r="AK101" s="390"/>
      <c r="AL101" s="390"/>
      <c r="AM101" s="390"/>
      <c r="AN101" s="390"/>
      <c r="AO101" s="390"/>
      <c r="AP101" s="390"/>
      <c r="AQ101" s="390"/>
      <c r="AR101" s="390"/>
      <c r="AS101" s="390"/>
      <c r="AT101" s="390"/>
      <c r="AU101" s="390"/>
      <c r="AV101" s="390"/>
      <c r="AW101" s="296" t="s">
        <v>302</v>
      </c>
      <c r="AZ101" s="289" t="s">
        <v>123</v>
      </c>
      <c r="BA101" s="654">
        <f t="shared" si="56"/>
        <v>13.121807850646725</v>
      </c>
    </row>
    <row r="102" spans="1:54" x14ac:dyDescent="0.2">
      <c r="A102" s="277" t="s">
        <v>303</v>
      </c>
      <c r="B102" s="298">
        <f>NA!AN114/NA!AM114-1</f>
        <v>4.9008282476024512E-2</v>
      </c>
      <c r="C102" s="299">
        <f>NA!AO114/NA!AN114-1</f>
        <v>0.69661810843586203</v>
      </c>
      <c r="D102" s="298">
        <f>NA!AP114/NA!AO114-1</f>
        <v>7.1635535369594328E-2</v>
      </c>
      <c r="E102" s="298">
        <f>NA!AQ114/NA!AP114-1</f>
        <v>6.8862265317784832E-2</v>
      </c>
      <c r="F102" s="298">
        <f>NA!AR114/NA!AQ114-1</f>
        <v>7.8282983813669826E-2</v>
      </c>
      <c r="G102" s="298">
        <f>NA!AS114/NA!AR114-1</f>
        <v>0.10999065515613071</v>
      </c>
      <c r="H102" s="298">
        <f>NA!AT114/NA!AS114-1</f>
        <v>3.4735847060908265E-2</v>
      </c>
      <c r="I102" s="298">
        <f>NA!AU114/NA!AT114-1</f>
        <v>0.31045343757755095</v>
      </c>
      <c r="J102" s="298">
        <f>NA!AV114/NA!AU114-1</f>
        <v>4.8464950880942492E-2</v>
      </c>
      <c r="K102" s="298">
        <f>NA!AW114/NA!AV114-1</f>
        <v>0.12753339724200519</v>
      </c>
      <c r="L102" s="298">
        <f>NA!AX114/NA!AW114-1</f>
        <v>3.7665165973066461E-2</v>
      </c>
      <c r="M102" s="298">
        <f>NA!AY114/NA!AX114-1</f>
        <v>0.12135215524450493</v>
      </c>
      <c r="N102" s="298">
        <v>6.9769841758430484E-2</v>
      </c>
      <c r="O102" s="298">
        <v>6.9769841758430484E-2</v>
      </c>
      <c r="P102" s="298">
        <v>6.9769841758430484E-2</v>
      </c>
      <c r="Q102" s="373">
        <v>6.9769841758430484E-2</v>
      </c>
      <c r="R102" s="373">
        <v>6.9769841758430484E-2</v>
      </c>
      <c r="S102" s="373">
        <v>6.9769841758430484E-2</v>
      </c>
      <c r="T102" s="373">
        <v>6.9769841758430484E-2</v>
      </c>
      <c r="U102" s="373">
        <v>6.9769841758430484E-2</v>
      </c>
      <c r="V102" s="373">
        <v>6.9769841758430484E-2</v>
      </c>
      <c r="W102" s="266">
        <f>AVERAGE(NA!BD145:BG145)</f>
        <v>0.10704135729672098</v>
      </c>
      <c r="X102" s="264"/>
      <c r="Y102" s="390" t="str">
        <f>A102&amp;": "&amp;X102</f>
        <v xml:space="preserve">NON MONETARY: </v>
      </c>
      <c r="Z102" s="390"/>
      <c r="AA102" s="390"/>
      <c r="AB102" s="390"/>
      <c r="AC102" s="390"/>
      <c r="AD102" s="390"/>
      <c r="AE102" s="390"/>
      <c r="AF102" s="390"/>
      <c r="AG102" s="390"/>
      <c r="AH102" s="390"/>
      <c r="AI102" s="390"/>
      <c r="AJ102" s="392"/>
      <c r="AK102" s="392"/>
      <c r="AL102" s="392"/>
      <c r="AM102" s="392"/>
      <c r="AN102" s="392"/>
      <c r="AO102" s="392"/>
      <c r="AP102" s="392"/>
      <c r="AQ102" s="392"/>
      <c r="AR102" s="393"/>
      <c r="AS102" s="394"/>
      <c r="AT102" s="394"/>
      <c r="AU102" s="394"/>
      <c r="AV102" s="394"/>
      <c r="AW102" s="277" t="s">
        <v>286</v>
      </c>
      <c r="AZ102" s="265" t="s">
        <v>124</v>
      </c>
      <c r="BA102" s="654">
        <f t="shared" si="56"/>
        <v>0.13121807850646725</v>
      </c>
    </row>
    <row r="103" spans="1:54" x14ac:dyDescent="0.2">
      <c r="A103" s="277" t="s">
        <v>284</v>
      </c>
      <c r="B103" s="303"/>
      <c r="C103" s="303"/>
      <c r="D103" s="303"/>
      <c r="E103" s="303"/>
      <c r="F103" s="303"/>
      <c r="G103" s="303"/>
      <c r="H103" s="303"/>
      <c r="I103" s="303"/>
      <c r="J103" s="304"/>
      <c r="K103" s="304"/>
      <c r="L103" s="374"/>
      <c r="M103" s="374"/>
      <c r="N103" s="374"/>
      <c r="O103" s="374"/>
      <c r="P103" s="374"/>
      <c r="Q103" s="374"/>
      <c r="R103" s="374"/>
      <c r="S103" s="374"/>
      <c r="T103" s="488"/>
      <c r="U103" s="266"/>
      <c r="W103" s="266"/>
      <c r="X103" s="305"/>
      <c r="Y103" s="390"/>
      <c r="Z103" s="390"/>
      <c r="AA103" s="390"/>
      <c r="AB103" s="390"/>
      <c r="AC103" s="390"/>
      <c r="AD103" s="390"/>
      <c r="AE103" s="390"/>
      <c r="AF103" s="390"/>
      <c r="AG103" s="390"/>
      <c r="AH103" s="390"/>
      <c r="AI103" s="390"/>
      <c r="AJ103" s="395"/>
      <c r="AK103" s="395"/>
      <c r="AL103" s="395"/>
      <c r="AM103" s="395"/>
      <c r="AN103" s="395"/>
      <c r="AO103" s="395"/>
      <c r="AP103" s="395"/>
      <c r="AQ103" s="395"/>
      <c r="AR103" s="395"/>
      <c r="AS103" s="395"/>
      <c r="AT103" s="395"/>
      <c r="AU103" s="395"/>
      <c r="AV103" s="395"/>
      <c r="AW103" s="277" t="s">
        <v>284</v>
      </c>
      <c r="AZ103" s="305"/>
      <c r="BA103" s="654" t="e">
        <f t="shared" si="56"/>
        <v>#DIV/0!</v>
      </c>
    </row>
    <row r="104" spans="1:54" x14ac:dyDescent="0.2">
      <c r="A104" s="277" t="s">
        <v>295</v>
      </c>
      <c r="B104" s="306">
        <f>NA!AN226/NA!AM226-1</f>
        <v>0.11000946046499327</v>
      </c>
      <c r="C104" s="306">
        <f>NA!AO226/NA!AN226-1</f>
        <v>-1</v>
      </c>
      <c r="D104" s="306">
        <f>NA!AP116/NA!AO116-1</f>
        <v>0.15300712327581723</v>
      </c>
      <c r="E104" s="306">
        <f>NA!AQ116/NA!AP116-1</f>
        <v>-1.426218192717954E-2</v>
      </c>
      <c r="F104" s="306">
        <f>NA!AR116/NA!AQ116-1</f>
        <v>7.2066750710376271E-2</v>
      </c>
      <c r="G104" s="306">
        <f>NA!AS116/NA!AR116-1</f>
        <v>7.6676546754945063E-2</v>
      </c>
      <c r="H104" s="306">
        <f>NA!AT116/NA!AS116-1</f>
        <v>4.6605709955305441E-2</v>
      </c>
      <c r="I104" s="300">
        <f>NA!AU116/NA!AT116-1</f>
        <v>8.46438124147737E-2</v>
      </c>
      <c r="J104" s="300">
        <f>NA!AV116/NA!AU116-1</f>
        <v>5.5665956481623535E-2</v>
      </c>
      <c r="K104" s="300">
        <f>NA!AW116/NA!AV116-1</f>
        <v>5.3823461684580076E-2</v>
      </c>
      <c r="L104" s="300">
        <f>NA!AX116/NA!AW116-1</f>
        <v>6.3588860814886905E-2</v>
      </c>
      <c r="M104" s="300">
        <f>NA!AY116/NA!AX116-1</f>
        <v>7.9045075722513625E-2</v>
      </c>
      <c r="N104" s="300">
        <f>NA!AZ116/NA!AY116-1</f>
        <v>5.1410136208195567E-2</v>
      </c>
      <c r="O104" s="300">
        <f>NA!BA116/NA!AZ116-1</f>
        <v>7.2630600302156401E-2</v>
      </c>
      <c r="P104" s="300">
        <f>NA!BB116/NA!BA116-1</f>
        <v>6.965132961535736E-2</v>
      </c>
      <c r="Q104" s="300">
        <f>NA!BC116/NA!BB116-1</f>
        <v>7.0397469530978585E-2</v>
      </c>
      <c r="R104" s="300">
        <f>NA!BD116/NA!BC116-1</f>
        <v>7.1739363954783641E-2</v>
      </c>
      <c r="S104" s="300">
        <f>NA!BE116/NA!BD116-1</f>
        <v>7.3741943963407053E-2</v>
      </c>
      <c r="T104" s="300">
        <f>NA!BF116/NA!BE116-1</f>
        <v>7.5887738158493701E-2</v>
      </c>
      <c r="U104" s="300">
        <f>NA!BG116/NA!BF116-1</f>
        <v>7.9163062985012633E-2</v>
      </c>
      <c r="V104" s="300">
        <f>NA!BH116/NA!BG116-1</f>
        <v>8.1465072834696395E-2</v>
      </c>
      <c r="W104" s="266">
        <f>AVERAGE(NA!BD147:BG147)</f>
        <v>7.5133027265424257E-2</v>
      </c>
      <c r="X104" s="391" t="s">
        <v>92</v>
      </c>
      <c r="Y104" s="390" t="str">
        <f>A104&amp;": "&amp;X104</f>
        <v xml:space="preserve">Agriculture, forestry, hunting &amp; fishing: Improved services and  business environment under BEST programme </v>
      </c>
      <c r="Z104" s="390"/>
      <c r="AA104" s="390"/>
      <c r="AB104" s="390"/>
      <c r="AC104" s="390"/>
      <c r="AD104" s="390"/>
      <c r="AE104" s="390"/>
      <c r="AF104" s="390"/>
      <c r="AG104" s="390"/>
      <c r="AH104" s="390"/>
      <c r="AI104" s="390"/>
      <c r="AJ104" s="395"/>
      <c r="AK104" s="395"/>
      <c r="AL104" s="395"/>
      <c r="AM104" s="395"/>
      <c r="AN104" s="395"/>
      <c r="AO104" s="395"/>
      <c r="AP104" s="395"/>
      <c r="AQ104" s="395"/>
      <c r="AR104" s="395"/>
      <c r="AS104" s="395"/>
      <c r="AT104" s="395"/>
      <c r="AU104" s="395"/>
      <c r="AV104" s="395"/>
      <c r="AW104" s="277" t="s">
        <v>101</v>
      </c>
      <c r="AZ104" s="289" t="s">
        <v>125</v>
      </c>
      <c r="BA104" s="278">
        <f t="shared" si="56"/>
        <v>6.2305159617234228E-2</v>
      </c>
    </row>
    <row r="105" spans="1:54" x14ac:dyDescent="0.2">
      <c r="A105" s="279" t="s">
        <v>102</v>
      </c>
      <c r="B105" s="280">
        <v>3.200006375043829</v>
      </c>
      <c r="C105" s="280">
        <f>(NA!AO274/NA!AN274-1)*100</f>
        <v>-100</v>
      </c>
      <c r="D105" s="280" t="e">
        <f>(NA!AS274/NA!AO274-1)*100</f>
        <v>#DIV/0!</v>
      </c>
      <c r="E105" s="280">
        <f>(NA!AQ274/NA!AS274-1)*100</f>
        <v>-100</v>
      </c>
      <c r="F105" s="280" t="e">
        <f>(NA!AR274/NA!AQ274-1)*100</f>
        <v>#DIV/0!</v>
      </c>
      <c r="G105" s="280" t="e">
        <f>(NA!AS274/NA!AR274-1)*100</f>
        <v>#DIV/0!</v>
      </c>
      <c r="H105" s="280">
        <f>(NA!AT274/NA!AS274-1)*100</f>
        <v>-0.49850704763987341</v>
      </c>
      <c r="I105" s="280">
        <f>(NA!AU274/NA!AT274-1)*100</f>
        <v>-1.3592356503705605</v>
      </c>
      <c r="J105" s="280">
        <f>(NA!AV274/NA!AU274-1)*100</f>
        <v>7.8046620990491089</v>
      </c>
      <c r="K105" s="280">
        <f>(NA!AW274/NA!AV274-1)*100</f>
        <v>7.6626315759143804</v>
      </c>
      <c r="L105" s="280">
        <f>(NA!AX274/NA!AW274-1)*100</f>
        <v>0.7399144498735577</v>
      </c>
      <c r="M105" s="280">
        <f>(NA!AY274/NA!AX274-1)*100</f>
        <v>7.8138013091058722</v>
      </c>
      <c r="N105" s="280">
        <f>(NA!AZ274/NA!AY274-1)*100</f>
        <v>4.1885645664023752</v>
      </c>
      <c r="O105" s="280">
        <f>(NA!BA274/NA!AZ274-1)*100</f>
        <v>1.2955814626935291</v>
      </c>
      <c r="P105" s="280">
        <f>(NA!BB274/NA!BA274-1)*100</f>
        <v>5.186551819124241</v>
      </c>
      <c r="Q105" s="475">
        <f>TREND(L105:P105,L4:P4,Q4)*0.5</f>
        <v>2.2786995945332933</v>
      </c>
      <c r="R105" s="475">
        <f t="shared" ref="R105" si="61">TREND(M105:Q105,M4:Q4,R4)*0.5</f>
        <v>0.5654874487224788</v>
      </c>
      <c r="S105" s="475">
        <f t="shared" ref="S105" si="62">TREND(N105:R105,N4:R4,S4)*0.5</f>
        <v>0.41203307361956831</v>
      </c>
      <c r="T105" s="475">
        <f t="shared" ref="T105" si="63">TREND(O105:S105,O4:S4,T4)*0.5</f>
        <v>1.5611167586826014E-2</v>
      </c>
      <c r="U105" s="475">
        <f t="shared" ref="U105" si="64">TREND(P105:T105,P4:T4,U4)*0.5</f>
        <v>-0.98544386323965227</v>
      </c>
      <c r="V105" s="475">
        <f t="shared" ref="V105" si="65">TREND(Q105:U105,Q4:U4,V4)*0.5</f>
        <v>-0.83308573737997449</v>
      </c>
      <c r="W105" s="266"/>
      <c r="X105" s="391" t="s">
        <v>95</v>
      </c>
      <c r="Y105" s="390" t="str">
        <f>A105&amp;": "&amp;X105</f>
        <v>Crops: The sector is expected to decline consistent with increased monetization of the sector.  Implementation of Business and property formalization (MKURABITA).</v>
      </c>
      <c r="Z105" s="390"/>
      <c r="AA105" s="390"/>
      <c r="AB105" s="390"/>
      <c r="AC105" s="390"/>
      <c r="AD105" s="390"/>
      <c r="AE105" s="390"/>
      <c r="AF105" s="390"/>
      <c r="AG105" s="390"/>
      <c r="AH105" s="390"/>
      <c r="AI105" s="390"/>
      <c r="AJ105" s="390"/>
      <c r="AK105" s="390"/>
      <c r="AL105" s="390"/>
      <c r="AM105" s="390"/>
      <c r="AN105" s="390"/>
      <c r="AO105" s="390"/>
      <c r="AP105" s="390"/>
      <c r="AQ105" s="390"/>
      <c r="AR105" s="390"/>
      <c r="AS105" s="390"/>
      <c r="AT105" s="390"/>
      <c r="AU105" s="390"/>
      <c r="AV105" s="390"/>
      <c r="AW105" s="279" t="s">
        <v>102</v>
      </c>
      <c r="AZ105" s="289"/>
      <c r="BA105" s="278"/>
      <c r="BB105" s="264"/>
    </row>
    <row r="106" spans="1:54" x14ac:dyDescent="0.2">
      <c r="A106" s="279" t="s">
        <v>103</v>
      </c>
      <c r="B106" s="280">
        <v>15.421814108328991</v>
      </c>
      <c r="C106" s="280">
        <f>(NA!AO275/NA!AN275-1)*100</f>
        <v>-100</v>
      </c>
      <c r="D106" s="280" t="e">
        <f>(NA!AP275/NA!AO275-1)*100</f>
        <v>#DIV/0!</v>
      </c>
      <c r="E106" s="280" t="e">
        <f>(NA!AQ275/NA!AP275-1)*100</f>
        <v>#DIV/0!</v>
      </c>
      <c r="F106" s="280" t="e">
        <f>(NA!AR275/NA!AQ275-1)*100</f>
        <v>#DIV/0!</v>
      </c>
      <c r="G106" s="280" t="e">
        <f>(NA!AS275/NA!AR275-1)*100</f>
        <v>#DIV/0!</v>
      </c>
      <c r="H106" s="280">
        <f>(NA!AT275/NA!AS275-1)*100</f>
        <v>7.3836430848579271</v>
      </c>
      <c r="I106" s="280">
        <f>(NA!AU275/NA!AT275-1)*100</f>
        <v>5.8689018310475349</v>
      </c>
      <c r="J106" s="280">
        <f>(NA!AV275/NA!AU275-1)*100</f>
        <v>9.0399999830213407</v>
      </c>
      <c r="K106" s="280">
        <f>(NA!AW275/NA!AV275-1)*100</f>
        <v>5.2963258762732668</v>
      </c>
      <c r="L106" s="280">
        <f>(NA!AX275/NA!AW275-1)*100</f>
        <v>1.9978963060350852</v>
      </c>
      <c r="M106" s="280">
        <f>(NA!AY275/NA!AX275-1)*100</f>
        <v>4.7130656244647628</v>
      </c>
      <c r="N106" s="280">
        <f>(NA!AZ275/NA!AY275-1)*100</f>
        <v>1.8292561163802956</v>
      </c>
      <c r="O106" s="280">
        <f>(NA!BA275/NA!AZ275-1)*100</f>
        <v>1.7165506160559563</v>
      </c>
      <c r="P106" s="280">
        <f>(NA!BB275/NA!BA275-1)*100</f>
        <v>-0.5199015813969976</v>
      </c>
      <c r="Q106" s="475">
        <f>TREND(L106:O106,L4:O4,Q4)*0.4</f>
        <v>0.50377834537052879</v>
      </c>
      <c r="R106" s="475">
        <f>TREND(M106:P106,M4:P4,R4)</f>
        <v>-3.5993197973925817</v>
      </c>
      <c r="S106" s="475">
        <f>TREND(N106:Q106,N4:Q4,S4)</f>
        <v>-1.2920890545663042</v>
      </c>
      <c r="T106" s="475">
        <f>TREND(O106:R106,O4:R4,T4)*0.3</f>
        <v>-1.7094297192278189</v>
      </c>
      <c r="U106" s="475">
        <f t="shared" ref="U106" si="66">TREND(P106:S106,P4:S4,U4)*0.3</f>
        <v>-1.0421292656373906</v>
      </c>
      <c r="V106" s="475">
        <f t="shared" ref="V106" si="67">TREND(Q106:T106,Q4:T4,V4)*0.3</f>
        <v>-0.91218082928793365</v>
      </c>
      <c r="W106" s="266"/>
      <c r="AW106" s="279" t="s">
        <v>103</v>
      </c>
      <c r="BA106" s="278"/>
      <c r="BB106" s="264"/>
    </row>
    <row r="107" spans="1:54" x14ac:dyDescent="0.2">
      <c r="A107" s="279" t="s">
        <v>287</v>
      </c>
      <c r="B107" s="280">
        <v>2.6991325189633875</v>
      </c>
      <c r="C107" s="280">
        <f>(NA!AO276/NA!AN276-1)*100</f>
        <v>-100</v>
      </c>
      <c r="D107" s="280" t="e">
        <f>(NA!AP276/NA!AO276-1)*100</f>
        <v>#DIV/0!</v>
      </c>
      <c r="E107" s="280" t="e">
        <f>(NA!AQ276/NA!AP276-1)*100</f>
        <v>#DIV/0!</v>
      </c>
      <c r="F107" s="280" t="e">
        <f>(NA!AR276/NA!AQ276-1)*100</f>
        <v>#DIV/0!</v>
      </c>
      <c r="G107" s="280" t="e">
        <f>(NA!AS276/NA!AR276-1)*100</f>
        <v>#DIV/0!</v>
      </c>
      <c r="H107" s="280">
        <f>(NA!AT276/NA!AS276-1)*100</f>
        <v>7.3661840371143539</v>
      </c>
      <c r="I107" s="280">
        <f>(NA!AU276/NA!AT276-1)*100</f>
        <v>5.1137869479747078</v>
      </c>
      <c r="J107" s="280">
        <f>(NA!AV276/NA!AU276-1)*100</f>
        <v>4.1834257199495628</v>
      </c>
      <c r="K107" s="280">
        <f>(NA!AW276/NA!AV276-1)*100</f>
        <v>4.864806076154693</v>
      </c>
      <c r="L107" s="280">
        <f>(NA!AX276/NA!AW276-1)*100</f>
        <v>3.42034249428389</v>
      </c>
      <c r="M107" s="280">
        <f>(NA!AY276/NA!AX276-1)*100</f>
        <v>3.3439735334315435</v>
      </c>
      <c r="N107" s="280">
        <f>(NA!AZ276/NA!AY276-1)*100</f>
        <v>3.4741160172962138</v>
      </c>
      <c r="O107" s="280">
        <f>(NA!BA276/NA!AZ276-1)*100</f>
        <v>4.7488639550195666</v>
      </c>
      <c r="P107" s="280">
        <f>(NA!BB276/NA!BA276-1)*100</f>
        <v>5.0992902919394734</v>
      </c>
      <c r="Q107" s="475">
        <f>TREND(L107:P107,L4:P4,Q4)*0.8</f>
        <v>4.356922450771072</v>
      </c>
      <c r="R107" s="475">
        <f>TREND(M107:Q107,M4:Q4,R4)*0.6</f>
        <v>3.1799729294930104</v>
      </c>
      <c r="S107" s="475">
        <f>TREND(N107:R107,N4:R4,S4)*0.5</f>
        <v>1.9388824124737027</v>
      </c>
      <c r="T107" s="475">
        <f t="shared" ref="T107" si="68">TREND(O107:S107,O4:S4,T4)</f>
        <v>1.6030022736779301</v>
      </c>
      <c r="U107" s="475">
        <f t="shared" ref="U107" si="69">TREND(P107:T107,P4:T4,U4)</f>
        <v>0.4124292492249424</v>
      </c>
      <c r="V107" s="475">
        <f t="shared" ref="V107" si="70">TREND(Q107:U107,Q4:U4,V4)</f>
        <v>-0.54154525454396207</v>
      </c>
      <c r="W107" s="266"/>
      <c r="AW107" s="279" t="s">
        <v>287</v>
      </c>
      <c r="BB107" s="294"/>
    </row>
    <row r="108" spans="1:54" x14ac:dyDescent="0.2">
      <c r="A108" s="286" t="s">
        <v>105</v>
      </c>
      <c r="B108" s="280">
        <v>3.1136044880785363</v>
      </c>
      <c r="C108" s="287">
        <f>(NA!AO277/NA!AN277-1)*100</f>
        <v>-100</v>
      </c>
      <c r="D108" s="287" t="e">
        <f>(NA!AP277/NA!AO277-1)*100</f>
        <v>#DIV/0!</v>
      </c>
      <c r="E108" s="287" t="e">
        <f>(NA!AQ277/NA!AP277-1)*100</f>
        <v>#DIV/0!</v>
      </c>
      <c r="F108" s="287" t="e">
        <f>(NA!AR277/NA!AQ277-1)*100</f>
        <v>#DIV/0!</v>
      </c>
      <c r="G108" s="287" t="e">
        <f>(NA!AS277/NA!AR277-1)*100</f>
        <v>#DIV/0!</v>
      </c>
      <c r="H108" s="287">
        <f>(NA!AT277/NA!AS277-1)*100</f>
        <v>2.8307665111453773</v>
      </c>
      <c r="I108" s="287">
        <f>(NA!AU277/NA!AT277-1)*100</f>
        <v>0.87103170004934061</v>
      </c>
      <c r="J108" s="287">
        <f>(NA!AV277/NA!AU277-1)*100</f>
        <v>7.2479917236117242</v>
      </c>
      <c r="K108" s="287">
        <f>(NA!AW277/NA!AV277-1)*100</f>
        <v>18.751202250184427</v>
      </c>
      <c r="L108" s="287">
        <f>(NA!AX277/NA!AW277-1)*100</f>
        <v>0.90749389993947105</v>
      </c>
      <c r="M108" s="287">
        <f>(NA!AY277/NA!AX277-1)*100</f>
        <v>-0.62187600831900003</v>
      </c>
      <c r="N108" s="287">
        <f>(NA!AZ277/NA!AY277-1)*100</f>
        <v>2.8881659731208265</v>
      </c>
      <c r="O108" s="287">
        <f>(NA!BA277/NA!AZ277-1)*100</f>
        <v>4.9135453420009689</v>
      </c>
      <c r="P108" s="287">
        <f>(NA!BB277/NA!BA277-1)*100</f>
        <v>2.0002893474834638</v>
      </c>
      <c r="Q108" s="475">
        <v>2</v>
      </c>
      <c r="R108" s="475">
        <f>TREND(L108:P108,L4:P4,Q4)*0.4</f>
        <v>1.7335309537870671</v>
      </c>
      <c r="S108" s="475">
        <f>TREND(M108:Q108,M4:Q4,R4)*0.4</f>
        <v>1.4171150192630195</v>
      </c>
      <c r="T108" s="475">
        <f t="shared" ref="T108" si="71">TREND(N108:R108,N4:R4,S4)*0.6</f>
        <v>0.68415702544666601</v>
      </c>
      <c r="U108" s="475">
        <f t="shared" ref="U108" si="72">TREND(O108:S108,O4:S4,T4)*0.6</f>
        <v>0.14100625245318951</v>
      </c>
      <c r="V108" s="475">
        <f>TREND(P108:T108,P4:T4,U4)*0.4</f>
        <v>0.24098943270114434</v>
      </c>
      <c r="W108" s="266"/>
      <c r="AW108" s="277" t="s">
        <v>105</v>
      </c>
      <c r="AZ108" s="289" t="s">
        <v>55</v>
      </c>
      <c r="BA108" s="307"/>
      <c r="BB108" s="294"/>
    </row>
    <row r="109" spans="1:54" x14ac:dyDescent="0.2">
      <c r="A109" s="277" t="s">
        <v>297</v>
      </c>
      <c r="B109" s="291"/>
      <c r="C109" s="291"/>
      <c r="D109" s="291"/>
      <c r="E109" s="291"/>
      <c r="F109" s="291"/>
      <c r="G109" s="291"/>
      <c r="H109" s="291"/>
      <c r="I109" s="291"/>
      <c r="J109" s="291"/>
      <c r="K109" s="291"/>
      <c r="L109" s="291"/>
      <c r="M109" s="291"/>
      <c r="N109" s="291"/>
      <c r="O109" s="291"/>
      <c r="P109" s="291"/>
      <c r="Q109" s="292"/>
      <c r="R109" s="292"/>
      <c r="S109" s="292"/>
      <c r="T109" s="403"/>
      <c r="U109" s="403"/>
      <c r="V109" s="403"/>
      <c r="W109" s="266"/>
      <c r="AW109" s="277" t="s">
        <v>106</v>
      </c>
      <c r="AZ109" s="289" t="s">
        <v>22</v>
      </c>
      <c r="BA109" s="266"/>
      <c r="BB109" s="294"/>
    </row>
    <row r="110" spans="1:54" x14ac:dyDescent="0.2">
      <c r="A110" s="279" t="s">
        <v>108</v>
      </c>
      <c r="B110" s="280">
        <v>2.5048601764617873</v>
      </c>
      <c r="C110" s="280">
        <f>(NA!AO279/NA!AN279-1)*100</f>
        <v>-100</v>
      </c>
      <c r="D110" s="280" t="e">
        <f>(NA!AP279/NA!AO279-1)*100</f>
        <v>#DIV/0!</v>
      </c>
      <c r="E110" s="280" t="e">
        <f>(NA!AQ279/NA!AP279-1)*100</f>
        <v>#DIV/0!</v>
      </c>
      <c r="F110" s="280" t="e">
        <f>(NA!AR279/NA!AQ279-1)*100</f>
        <v>#DIV/0!</v>
      </c>
      <c r="G110" s="280" t="e">
        <f>(NA!AS279/NA!AR279-1)*100</f>
        <v>#DIV/0!</v>
      </c>
      <c r="H110" s="280">
        <f>(NA!AT279/NA!AS279-1)*100</f>
        <v>0.17356896116971221</v>
      </c>
      <c r="I110" s="280">
        <f>(NA!AU279/NA!AT279-1)*100</f>
        <v>-9.4390152989762495</v>
      </c>
      <c r="J110" s="280">
        <f>(NA!AV279/NA!AU279-1)*100</f>
        <v>2.3282616937038592</v>
      </c>
      <c r="K110" s="280">
        <f>(NA!AW279/NA!AV279-1)*100</f>
        <v>7.4906327642467518</v>
      </c>
      <c r="L110" s="280">
        <f>(NA!AX279/NA!AW279-1)*100</f>
        <v>-1.1302487635681202</v>
      </c>
      <c r="M110" s="280">
        <f>(NA!AY279/NA!AX279-1)*100</f>
        <v>-1.2480878109254578</v>
      </c>
      <c r="N110" s="280">
        <f>(NA!AZ279/NA!AY279-1)*100</f>
        <v>2.8292568664190387</v>
      </c>
      <c r="O110" s="280">
        <f>(NA!BA279/NA!AZ279-1)*100</f>
        <v>2.6549626737814913</v>
      </c>
      <c r="P110" s="280">
        <f>(NA!BB279/NA!BA279-1)*100</f>
        <v>3.7333455902639257</v>
      </c>
      <c r="Q110" s="475">
        <v>3.3</v>
      </c>
      <c r="R110" s="475">
        <f>TREND(L110:P110,L4:P4,Q4)*0.5</f>
        <v>2.7284587344527154</v>
      </c>
      <c r="S110" s="475">
        <f t="shared" ref="S110" si="73">TREND(M110:Q110,M4:Q4,R4)*0.5</f>
        <v>2.6269873838083413</v>
      </c>
      <c r="T110" s="475">
        <f t="shared" ref="T110" si="74">TREND(N110:R110,N4:R4,S4)*0.5</f>
        <v>1.5911185458345898</v>
      </c>
      <c r="U110" s="475">
        <f t="shared" ref="U110" si="75">TREND(O110:S110,O4:S4,T4)*0.5</f>
        <v>1.3452498228670322</v>
      </c>
      <c r="V110" s="475">
        <f t="shared" ref="V110" si="76">TREND(P110:T110,P4:T4,U4)*0.5</f>
        <v>0.65437101967842182</v>
      </c>
      <c r="W110" s="266"/>
      <c r="AW110" s="279" t="s">
        <v>108</v>
      </c>
      <c r="AZ110" s="289" t="s">
        <v>30</v>
      </c>
      <c r="BA110" s="266"/>
      <c r="BB110" s="294"/>
    </row>
    <row r="111" spans="1:54" x14ac:dyDescent="0.2">
      <c r="A111" s="279" t="s">
        <v>109</v>
      </c>
      <c r="B111" s="280">
        <v>4.5998146321045263</v>
      </c>
      <c r="C111" s="280">
        <f>(NA!AO280/NA!AN280-1)*100</f>
        <v>-100</v>
      </c>
      <c r="D111" s="280" t="e">
        <f>(NA!AP280/NA!AO280-1)*100</f>
        <v>#DIV/0!</v>
      </c>
      <c r="E111" s="280" t="e">
        <f>(NA!AQ280/NA!AP280-1)*100</f>
        <v>#DIV/0!</v>
      </c>
      <c r="F111" s="280" t="e">
        <f>(NA!AR280/NA!AQ280-1)*100</f>
        <v>#DIV/0!</v>
      </c>
      <c r="G111" s="280" t="e">
        <f>(NA!AS280/NA!AR280-1)*100</f>
        <v>#DIV/0!</v>
      </c>
      <c r="H111" s="280">
        <f>(NA!AT280/NA!AS280-1)*100</f>
        <v>26.94874032124115</v>
      </c>
      <c r="I111" s="280">
        <f>(NA!AU280/NA!AT280-1)*100</f>
        <v>13.41268936957729</v>
      </c>
      <c r="J111" s="280">
        <f>(NA!AV280/NA!AU280-1)*100</f>
        <v>10.590132070113413</v>
      </c>
      <c r="K111" s="280">
        <f>(NA!AW280/NA!AV280-1)*100</f>
        <v>-5.6485749287343179</v>
      </c>
      <c r="L111" s="280">
        <f>(NA!AX280/NA!AW280-1)*100</f>
        <v>10.399077531411361</v>
      </c>
      <c r="M111" s="280">
        <f>(NA!AY280/NA!AX280-1)*100</f>
        <v>28.336114560641402</v>
      </c>
      <c r="N111" s="280">
        <f>(NA!AZ280/NA!AY280-1)*100</f>
        <v>2.8011168779092932</v>
      </c>
      <c r="O111" s="280">
        <f>(NA!BA280/NA!AZ280-1)*100</f>
        <v>18.398585515494716</v>
      </c>
      <c r="P111" s="280">
        <f>(NA!BB280/NA!BA280-1)*100</f>
        <v>4.903919970638615</v>
      </c>
      <c r="Q111" s="475">
        <v>4</v>
      </c>
      <c r="R111" s="475">
        <f>TREND(N111:P111,N4:P4,Q4)*0.3</f>
        <v>3.2412031642231796</v>
      </c>
      <c r="S111" s="475">
        <f t="shared" ref="S111" si="77">TREND(O111:Q111,O4:Q4,R4)*0.2</f>
        <v>-1.0595500706902385</v>
      </c>
      <c r="T111" s="475">
        <f t="shared" ref="T111" si="78">TREND(P111:R111,P4:R4,S4)*0.2</f>
        <v>0.47713151437437773</v>
      </c>
      <c r="U111" s="475">
        <f t="shared" ref="U111" si="79">TREND(Q111:S111,Q4:S4,T4)*0.2</f>
        <v>-0.5997998079024911</v>
      </c>
      <c r="V111" s="475">
        <f t="shared" ref="V111" si="80">TREND(R111:T111,R4:T4,U4)*0.2</f>
        <v>-0.37556202277592093</v>
      </c>
      <c r="W111" s="266"/>
      <c r="AW111" s="279" t="s">
        <v>109</v>
      </c>
      <c r="BB111" s="294"/>
    </row>
    <row r="112" spans="1:54" x14ac:dyDescent="0.2">
      <c r="A112" s="277" t="s">
        <v>110</v>
      </c>
      <c r="B112" s="291"/>
      <c r="C112" s="291"/>
      <c r="D112" s="291"/>
      <c r="E112" s="291"/>
      <c r="F112" s="291"/>
      <c r="G112" s="291"/>
      <c r="H112" s="291"/>
      <c r="I112" s="291"/>
      <c r="J112" s="291"/>
      <c r="K112" s="291"/>
      <c r="L112" s="291"/>
      <c r="M112" s="291"/>
      <c r="N112" s="291"/>
      <c r="O112" s="291"/>
      <c r="P112" s="291"/>
      <c r="Q112" s="292"/>
      <c r="R112" s="292"/>
      <c r="S112" s="292"/>
      <c r="T112" s="403"/>
      <c r="U112" s="403"/>
      <c r="V112" s="403"/>
      <c r="W112" s="266"/>
      <c r="AW112" s="277" t="s">
        <v>110</v>
      </c>
      <c r="BA112" s="308"/>
      <c r="BB112" s="264"/>
    </row>
    <row r="113" spans="1:54" x14ac:dyDescent="0.2">
      <c r="A113" s="279" t="s">
        <v>288</v>
      </c>
      <c r="B113" s="280">
        <v>4.6999849359457224</v>
      </c>
      <c r="C113" s="280">
        <f>(NA!AO282/NA!AN282-1)*100</f>
        <v>-100</v>
      </c>
      <c r="D113" s="280" t="e">
        <f>(NA!AP282/NA!AO282-1)*100</f>
        <v>#DIV/0!</v>
      </c>
      <c r="E113" s="280" t="e">
        <f>(NA!AQ282/NA!AP282-1)*100</f>
        <v>#DIV/0!</v>
      </c>
      <c r="F113" s="280" t="e">
        <f>(NA!AR282/NA!AQ282-1)*100</f>
        <v>#DIV/0!</v>
      </c>
      <c r="G113" s="280" t="e">
        <f>(NA!AS282/NA!AR282-1)*100</f>
        <v>#DIV/0!</v>
      </c>
      <c r="H113" s="280">
        <f>(NA!AT282/NA!AS282-1)*100</f>
        <v>-0.23359904196221803</v>
      </c>
      <c r="I113" s="280">
        <f>(NA!AU282/NA!AT282-1)*100</f>
        <v>-0.13756138168820042</v>
      </c>
      <c r="J113" s="280">
        <f>(NA!AV282/NA!AU282-1)*100</f>
        <v>-5.7063487347264186E-2</v>
      </c>
      <c r="K113" s="280">
        <f>(NA!AW282/NA!AV282-1)*100</f>
        <v>3.8705709544895051E-2</v>
      </c>
      <c r="L113" s="280">
        <f>(NA!AX282/NA!AW282-1)*100</f>
        <v>0.13704353197256935</v>
      </c>
      <c r="M113" s="280">
        <f>(NA!AY282/NA!AX282-1)*100</f>
        <v>0.23465112266536359</v>
      </c>
      <c r="N113" s="280">
        <f>(NA!AZ282/NA!AY282-1)*100</f>
        <v>0.33134451118508323</v>
      </c>
      <c r="O113" s="280">
        <f>(NA!BA282/NA!AZ282-1)*100</f>
        <v>0.42694675815444505</v>
      </c>
      <c r="P113" s="280">
        <f>(NA!BB282/NA!BA282-1)*100</f>
        <v>0.52128918494667165</v>
      </c>
      <c r="Q113" s="475">
        <v>0.3</v>
      </c>
      <c r="R113" s="475">
        <f>TREND(L113:P113,L4:P4,Q4)</f>
        <v>0.61849110421601949</v>
      </c>
      <c r="S113" s="475">
        <f t="shared" ref="S113" si="81">TREND(M113:Q113,M4:Q4,R4)</f>
        <v>0.4590390439195744</v>
      </c>
      <c r="T113" s="475">
        <f t="shared" ref="T113" si="82">TREND(N113:R113,N4:R4,S4)</f>
        <v>0.57381824007266857</v>
      </c>
      <c r="U113" s="475">
        <f>TREND(O113:S113,O4:S4,T4)*0.6</f>
        <v>0.30814149929233564</v>
      </c>
      <c r="V113" s="475">
        <f>TREND(P113:T113,P4:T4,U4)*0.2</f>
        <v>0.11475133217649187</v>
      </c>
      <c r="W113" s="266"/>
      <c r="AW113" s="279" t="s">
        <v>288</v>
      </c>
      <c r="AZ113" s="289" t="s">
        <v>93</v>
      </c>
      <c r="BA113" s="308"/>
      <c r="BB113" s="265" t="s">
        <v>98</v>
      </c>
    </row>
    <row r="114" spans="1:54" x14ac:dyDescent="0.2">
      <c r="A114" s="286" t="s">
        <v>298</v>
      </c>
      <c r="B114" s="273"/>
      <c r="C114" s="273"/>
      <c r="D114" s="273"/>
      <c r="E114" s="273"/>
      <c r="F114" s="273"/>
      <c r="G114" s="273"/>
      <c r="H114" s="273"/>
      <c r="I114" s="273"/>
      <c r="J114" s="273"/>
      <c r="K114" s="273"/>
      <c r="U114" s="266"/>
      <c r="W114" s="266"/>
      <c r="AW114" s="277" t="s">
        <v>289</v>
      </c>
      <c r="AZ114" s="289" t="s">
        <v>94</v>
      </c>
      <c r="BA114" s="308"/>
      <c r="BB114" s="264" t="s">
        <v>96</v>
      </c>
    </row>
    <row r="115" spans="1:54" x14ac:dyDescent="0.2">
      <c r="A115" s="273"/>
      <c r="B115" s="273"/>
      <c r="C115" s="273"/>
      <c r="D115" s="273"/>
      <c r="E115" s="273"/>
      <c r="F115" s="273"/>
      <c r="G115" s="273"/>
      <c r="H115" s="273"/>
      <c r="I115" s="273"/>
      <c r="J115" s="273"/>
      <c r="K115" s="273"/>
      <c r="U115" s="266"/>
      <c r="W115" s="266"/>
      <c r="X115" s="309"/>
      <c r="AZ115" s="289" t="s">
        <v>3</v>
      </c>
      <c r="BA115" s="264"/>
    </row>
    <row r="116" spans="1:54" s="309" customFormat="1" x14ac:dyDescent="0.2">
      <c r="A116" s="310" t="s">
        <v>55</v>
      </c>
      <c r="B116" s="274">
        <f>NA!AN21/NA!AN7</f>
        <v>0.16354673229001759</v>
      </c>
      <c r="C116" s="274">
        <f>NA!AO21/NA!AO7</f>
        <v>0.13927288520190065</v>
      </c>
      <c r="D116" s="274">
        <f>NA!AP21/NA!AP7</f>
        <v>0.13774402809500483</v>
      </c>
      <c r="E116" s="274">
        <f>NA!AQ21/NA!AQ7</f>
        <v>0.15539457549530181</v>
      </c>
      <c r="F116" s="274">
        <f>NA!AR21/NA!AR7</f>
        <v>0.18348887394065275</v>
      </c>
      <c r="G116" s="274">
        <f>NA!AS21/NA!AS7</f>
        <v>0.20580177033922087</v>
      </c>
      <c r="H116" s="274">
        <f>NA!AT21/NA!AT7</f>
        <v>0.20770452072329049</v>
      </c>
      <c r="I116" s="274">
        <f>NA!AU21/NA!AU7</f>
        <v>0.22740964737444069</v>
      </c>
      <c r="J116" s="311">
        <f>TREND(H50:I50,H4:I4,J4)</f>
        <v>0.24711477402558302</v>
      </c>
      <c r="K116" s="311">
        <f>TREND(I50:J50,I4:J4,K4)*0.92</f>
        <v>0.24547430862258468</v>
      </c>
      <c r="L116" s="312">
        <f>TREND(J50:K50,J4:K4,L4)*0.97</f>
        <v>0.23651882792299897</v>
      </c>
      <c r="M116" s="312">
        <f>TREND(K50:L50,K4:L4,M4)</f>
        <v>0.22756334722341265</v>
      </c>
      <c r="N116" s="312">
        <f t="shared" ref="N116:P116" si="83">TREND(L50:M50,L4:M4,N4)*0.99</f>
        <v>0.21642178785858379</v>
      </c>
      <c r="O116" s="312">
        <f t="shared" si="83"/>
        <v>0.20322742620881803</v>
      </c>
      <c r="P116" s="312">
        <f t="shared" si="83"/>
        <v>0.18813273391346236</v>
      </c>
      <c r="Q116" s="312">
        <f t="shared" ref="Q116" si="84">TREND(O50:P50,O4:P4,Q4)*0.99</f>
        <v>0.17130766120192525</v>
      </c>
      <c r="R116" s="312">
        <f t="shared" ref="R116" si="85">TREND(P50:Q50,P4:Q4,R4)*0.99</f>
        <v>0.15293776260548475</v>
      </c>
      <c r="S116" s="312">
        <f t="shared" ref="S116" si="86">TREND(Q50:R50,Q4:R4,S4)*0.99</f>
        <v>0.13322218536895222</v>
      </c>
      <c r="T116" s="312">
        <f t="shared" ref="T116" si="87">TREND(R50:S50,R4:S4,T4)*0.99</f>
        <v>0.11237154205109412</v>
      </c>
      <c r="U116" s="312">
        <f t="shared" ref="U116" si="88">TREND(S50:T50,S4:T4,U4)*0.99</f>
        <v>0.16027604581758456</v>
      </c>
      <c r="V116" s="312">
        <f t="shared" ref="V116" si="89">TREND(T50:U50,T4:U4,V4)*0.99</f>
        <v>0.27063471445929893</v>
      </c>
      <c r="W116" s="745"/>
      <c r="AA116" s="292"/>
      <c r="AB116" s="292"/>
      <c r="AC116" s="292"/>
      <c r="AD116" s="292"/>
      <c r="AE116" s="292"/>
      <c r="AF116" s="292"/>
      <c r="AG116" s="292"/>
      <c r="AH116" s="292"/>
      <c r="AI116" s="292"/>
    </row>
    <row r="117" spans="1:54" s="309" customFormat="1" x14ac:dyDescent="0.2">
      <c r="A117" s="310" t="s">
        <v>22</v>
      </c>
      <c r="B117" s="274">
        <f>NA!AN24/NA!AN55</f>
        <v>1.4720694257652109E-2</v>
      </c>
      <c r="C117" s="274">
        <f>NA!AO24/NA!AO55</f>
        <v>1.2358870316491192E-2</v>
      </c>
      <c r="D117" s="274">
        <f>NA!AP24/NA!AP55</f>
        <v>1.2038653947139355E-2</v>
      </c>
      <c r="E117" s="274">
        <f>NA!AQ24/NA!AQ55</f>
        <v>1.0172517938810072E-2</v>
      </c>
      <c r="F117" s="274">
        <f>NA!AR24/NA!AR55</f>
        <v>1.1511198160377276E-2</v>
      </c>
      <c r="G117" s="274">
        <f>NA!AS24/NA!AS55</f>
        <v>1.177606963218612E-2</v>
      </c>
      <c r="H117" s="274">
        <f>NA!AT24/NA!AT55</f>
        <v>1.0980797456437199E-2</v>
      </c>
      <c r="I117" s="274">
        <f>H51+(($J51-H51)/COLUMNS(I51:$J51))</f>
        <v>1.165174078573019E-2</v>
      </c>
      <c r="J117" s="276">
        <f t="shared" ref="J117:P117" si="90">AVERAGE(B51:E51)</f>
        <v>1.2322684115023182E-2</v>
      </c>
      <c r="K117" s="276">
        <f t="shared" si="90"/>
        <v>1.1520310090704472E-2</v>
      </c>
      <c r="L117" s="266">
        <f t="shared" si="90"/>
        <v>1.1374609919628204E-2</v>
      </c>
      <c r="M117" s="266">
        <f t="shared" si="90"/>
        <v>1.1110145796952667E-2</v>
      </c>
      <c r="N117" s="266">
        <f t="shared" si="90"/>
        <v>1.1479951508682697E-2</v>
      </c>
      <c r="O117" s="266">
        <f t="shared" si="90"/>
        <v>1.1682822997344171E-2</v>
      </c>
      <c r="P117" s="266">
        <f t="shared" si="90"/>
        <v>1.1618883111973762E-2</v>
      </c>
      <c r="Q117" s="266">
        <f t="shared" ref="Q117" si="91">AVERAGE(I51:L51)</f>
        <v>1.1717336227771512E-2</v>
      </c>
      <c r="R117" s="266">
        <f t="shared" ref="R117" si="92">AVERAGE(J51:M51)</f>
        <v>1.1581937480577132E-2</v>
      </c>
      <c r="S117" s="266">
        <f t="shared" ref="S117" si="93">AVERAGE(K51:N51)</f>
        <v>1.137125432899201E-2</v>
      </c>
      <c r="T117" s="266">
        <f t="shared" ref="T117" si="94">AVERAGE(L51:O51)</f>
        <v>1.1411882555651936E-2</v>
      </c>
      <c r="U117" s="266">
        <f t="shared" ref="U117" si="95">AVERAGE(M51:P51)</f>
        <v>1.1472950853738324E-2</v>
      </c>
      <c r="V117" s="266">
        <f t="shared" ref="V117" si="96">AVERAGE(N51:Q51)</f>
        <v>1.1624748461443036E-2</v>
      </c>
      <c r="W117" s="745"/>
      <c r="AA117" s="292"/>
      <c r="AB117" s="292"/>
      <c r="AC117" s="292"/>
      <c r="AD117" s="292"/>
      <c r="AE117" s="292"/>
      <c r="AF117" s="292"/>
      <c r="AG117" s="292"/>
      <c r="AH117" s="292"/>
      <c r="AI117" s="292"/>
    </row>
    <row r="118" spans="1:54" s="309" customFormat="1" x14ac:dyDescent="0.2">
      <c r="A118" s="313" t="s">
        <v>30</v>
      </c>
      <c r="B118" s="314">
        <f>NA!AN33/NA!AN55</f>
        <v>0.1804202073417778</v>
      </c>
      <c r="C118" s="314">
        <f>NA!AO33/NA!AO55</f>
        <v>0.43796493914561674</v>
      </c>
      <c r="D118" s="314">
        <f>NA!AP33/NA!AP55</f>
        <v>0.41993970415549953</v>
      </c>
      <c r="E118" s="314">
        <f>NA!AQ33/NA!AQ55</f>
        <v>0.39391045880209119</v>
      </c>
      <c r="F118" s="314">
        <f>NA!AR33/NA!AR55</f>
        <v>0.3610830728539981</v>
      </c>
      <c r="G118" s="314">
        <f>NA!AS33/NA!AS55</f>
        <v>0.35830828845505125</v>
      </c>
      <c r="H118" s="314">
        <f>NA!AT33/NA!AT55</f>
        <v>0.32382444419546258</v>
      </c>
      <c r="I118" s="314">
        <f>NA!AU33/NA!AU55</f>
        <v>0.3487044845743798</v>
      </c>
      <c r="J118" s="315">
        <f t="shared" ref="J118:P118" si="97">TREND(C52:I52,C4:I4,J4)</f>
        <v>0.30687447688589486</v>
      </c>
      <c r="K118" s="315">
        <f t="shared" si="97"/>
        <v>0.29225409585708206</v>
      </c>
      <c r="L118" s="315">
        <f t="shared" si="97"/>
        <v>0.28028131956743607</v>
      </c>
      <c r="M118" s="315">
        <f t="shared" si="97"/>
        <v>0.26855236714630237</v>
      </c>
      <c r="N118" s="315">
        <f t="shared" si="97"/>
        <v>0.25228501068314557</v>
      </c>
      <c r="O118" s="315">
        <f t="shared" si="97"/>
        <v>0.23875150088544927</v>
      </c>
      <c r="P118" s="315">
        <f t="shared" si="97"/>
        <v>0.21785194905950789</v>
      </c>
      <c r="Q118" s="315">
        <f t="shared" ref="Q118" si="98">TREND(J52:P52,J4:P4,Q4)</f>
        <v>0.20782594825401546</v>
      </c>
      <c r="R118" s="315">
        <f t="shared" ref="R118" si="99">TREND(K52:Q52,K4:Q4,R4)</f>
        <v>0.19283687733814858</v>
      </c>
      <c r="S118" s="315">
        <f t="shared" ref="S118" si="100">TREND(L52:R52,L4:R4,S4)</f>
        <v>0.1771665352625611</v>
      </c>
      <c r="T118" s="315">
        <f t="shared" ref="T118" si="101">TREND(M52:S52,M4:S4,T4)</f>
        <v>0.16161298195092755</v>
      </c>
      <c r="U118" s="315">
        <f t="shared" ref="U118" si="102">TREND(N52:T52,N4:T4,U4)</f>
        <v>0.14687567346713593</v>
      </c>
      <c r="V118" s="315">
        <f t="shared" ref="V118" si="103">TREND(O52:U52,O4:U4,V4)</f>
        <v>0.13202237667917061</v>
      </c>
      <c r="W118" s="745">
        <f>AVERAGE(NA!BD161:BG161)</f>
        <v>3.461764761098686E-2</v>
      </c>
      <c r="X118" s="309" t="s">
        <v>351</v>
      </c>
      <c r="AA118" s="292"/>
      <c r="AB118" s="292"/>
      <c r="AC118" s="292"/>
      <c r="AD118" s="292"/>
      <c r="AE118" s="292"/>
      <c r="AF118" s="292"/>
      <c r="AG118" s="292"/>
      <c r="AH118" s="292"/>
      <c r="AI118" s="292"/>
    </row>
    <row r="119" spans="1:54" s="309" customFormat="1" x14ac:dyDescent="0.2">
      <c r="A119" s="265"/>
      <c r="B119" s="265"/>
      <c r="C119" s="265"/>
      <c r="D119" s="265"/>
      <c r="E119" s="265"/>
      <c r="F119" s="265"/>
      <c r="G119" s="262"/>
      <c r="H119" s="262"/>
      <c r="I119" s="262"/>
      <c r="J119" s="316">
        <v>1.1000000000000001</v>
      </c>
      <c r="K119" s="316">
        <v>1.1000000000000001</v>
      </c>
      <c r="L119" s="316">
        <v>1.1000000000000001</v>
      </c>
      <c r="M119" s="316">
        <v>1.1000000000000001</v>
      </c>
      <c r="N119" s="316">
        <v>1.1000000000000001</v>
      </c>
      <c r="O119" s="316">
        <v>1.1000000000000001</v>
      </c>
      <c r="P119" s="316"/>
      <c r="Q119" s="316"/>
      <c r="R119" s="316"/>
      <c r="S119" s="316"/>
      <c r="T119" s="486"/>
      <c r="U119" s="266"/>
      <c r="AA119" s="292"/>
      <c r="AB119" s="292"/>
      <c r="AC119" s="292"/>
      <c r="AD119" s="292"/>
      <c r="AE119" s="292"/>
      <c r="AF119" s="292"/>
      <c r="AG119" s="292"/>
      <c r="AH119" s="292"/>
      <c r="AI119" s="292"/>
    </row>
    <row r="120" spans="1:54" s="309" customFormat="1" x14ac:dyDescent="0.2">
      <c r="A120" s="265"/>
      <c r="B120" s="265"/>
      <c r="C120" s="265"/>
      <c r="D120" s="265"/>
      <c r="E120" s="265"/>
      <c r="F120" s="317"/>
      <c r="G120" s="317"/>
      <c r="H120" s="317"/>
      <c r="I120" s="317"/>
      <c r="J120" s="318">
        <f>Prices!T7</f>
        <v>0.10664911125740617</v>
      </c>
      <c r="K120" s="318">
        <f>Prices!U7</f>
        <v>7.1980963712076074E-2</v>
      </c>
      <c r="L120" s="318">
        <f>Prices!V7</f>
        <v>0.10821904094503965</v>
      </c>
      <c r="M120" s="318">
        <f>Prices!W7</f>
        <v>0.17488708220415528</v>
      </c>
      <c r="N120" s="319">
        <f>Prices!X7</f>
        <v>7.6426264800861121E-2</v>
      </c>
      <c r="O120" s="319"/>
      <c r="P120" s="319"/>
      <c r="Q120" s="319"/>
      <c r="R120" s="319"/>
      <c r="S120" s="319"/>
      <c r="T120" s="319"/>
      <c r="U120" s="266"/>
      <c r="AA120" s="292"/>
      <c r="AB120" s="292"/>
      <c r="AC120" s="292"/>
      <c r="AD120" s="292"/>
      <c r="AE120" s="292"/>
      <c r="AF120" s="292"/>
      <c r="AG120" s="292"/>
      <c r="AH120" s="292"/>
      <c r="AI120" s="292"/>
    </row>
    <row r="121" spans="1:54" s="309" customFormat="1" x14ac:dyDescent="0.2">
      <c r="A121" s="289" t="s">
        <v>93</v>
      </c>
      <c r="B121" s="265"/>
      <c r="C121" s="265"/>
      <c r="D121" s="265"/>
      <c r="E121" s="265"/>
      <c r="F121" s="308"/>
      <c r="G121" s="308"/>
      <c r="H121" s="262">
        <v>6.6932270916334691E-2</v>
      </c>
      <c r="I121" s="262">
        <v>6.4227035100821395E-2</v>
      </c>
      <c r="J121" s="307">
        <f t="shared" ref="J121:O121" si="104">J55</f>
        <v>0.13473684210526304</v>
      </c>
      <c r="K121" s="307">
        <f t="shared" si="104"/>
        <v>0.12244897959183687</v>
      </c>
      <c r="L121" s="307">
        <f t="shared" si="104"/>
        <v>5.5526725480020911E-2</v>
      </c>
      <c r="M121" s="307">
        <f t="shared" si="104"/>
        <v>0.19754178957718782</v>
      </c>
      <c r="N121" s="307">
        <f t="shared" si="104"/>
        <v>0.12059154001762828</v>
      </c>
      <c r="O121" s="307">
        <f t="shared" si="104"/>
        <v>5.5654474066129112E-2</v>
      </c>
      <c r="P121" s="307">
        <f>CHOOSE([2]Indicators!$E$2,P62,P62,P62,P62,P64)</f>
        <v>0.05</v>
      </c>
      <c r="Q121" s="307">
        <f>CHOOSE([2]Indicators!$E$2,Q62,Q62,Q62,Q62,Q64)</f>
        <v>0.05</v>
      </c>
      <c r="R121" s="307">
        <f>CHOOSE(A1,R62,R62,R62,R62,R64)</f>
        <v>0.05</v>
      </c>
      <c r="S121" s="307">
        <f>CHOOSE(A1,S62,S62,S62,S62,S64)</f>
        <v>0.05</v>
      </c>
      <c r="T121" s="307">
        <v>0.05</v>
      </c>
      <c r="U121" s="307">
        <v>0.05</v>
      </c>
      <c r="V121" s="307">
        <v>0.05</v>
      </c>
      <c r="AA121" s="292"/>
      <c r="AB121" s="292"/>
      <c r="AC121" s="292"/>
      <c r="AD121" s="292"/>
      <c r="AE121" s="292"/>
      <c r="AF121" s="292"/>
      <c r="AG121" s="292"/>
      <c r="AH121" s="292"/>
      <c r="AI121" s="292"/>
    </row>
    <row r="122" spans="1:54" s="309" customFormat="1" x14ac:dyDescent="0.2">
      <c r="A122" s="289" t="s">
        <v>94</v>
      </c>
      <c r="B122" s="265"/>
      <c r="C122" s="265"/>
      <c r="D122" s="265"/>
      <c r="E122" s="265"/>
      <c r="F122" s="308"/>
      <c r="G122" s="308">
        <v>1</v>
      </c>
      <c r="H122" s="308">
        <v>1</v>
      </c>
      <c r="I122" s="308">
        <v>1</v>
      </c>
      <c r="J122" s="308">
        <v>1</v>
      </c>
      <c r="K122" s="308">
        <v>1</v>
      </c>
      <c r="L122" s="308">
        <v>1</v>
      </c>
      <c r="M122" s="308">
        <v>1</v>
      </c>
      <c r="N122" s="308">
        <v>1</v>
      </c>
      <c r="O122" s="308">
        <v>1</v>
      </c>
      <c r="P122" s="308">
        <v>2</v>
      </c>
      <c r="Q122" s="308">
        <v>3</v>
      </c>
      <c r="R122" s="308"/>
      <c r="S122" s="308"/>
      <c r="T122" s="487"/>
      <c r="U122" s="266"/>
      <c r="AA122" s="292"/>
      <c r="AB122" s="292"/>
      <c r="AC122" s="292"/>
      <c r="AD122" s="292"/>
      <c r="AE122" s="292"/>
      <c r="AF122" s="292"/>
      <c r="AG122" s="292"/>
      <c r="AH122" s="292"/>
      <c r="AI122" s="292"/>
    </row>
    <row r="123" spans="1:54" s="309" customFormat="1" x14ac:dyDescent="0.2">
      <c r="A123" s="289" t="s">
        <v>3</v>
      </c>
      <c r="B123" s="265"/>
      <c r="C123" s="265"/>
      <c r="D123" s="265"/>
      <c r="E123" s="265"/>
      <c r="F123" s="308"/>
      <c r="G123" s="308"/>
      <c r="H123" s="308"/>
      <c r="I123" s="320">
        <v>0.14000000000000001</v>
      </c>
      <c r="J123" s="320">
        <v>0.08</v>
      </c>
      <c r="K123" s="320">
        <v>9.5000000000000001E-2</v>
      </c>
      <c r="L123" s="320">
        <v>0.08</v>
      </c>
      <c r="M123" s="320">
        <v>0.11</v>
      </c>
      <c r="N123" s="320">
        <v>0.13</v>
      </c>
      <c r="O123" s="320">
        <v>0.13</v>
      </c>
      <c r="P123" s="320">
        <v>0.13</v>
      </c>
      <c r="Q123" s="320">
        <v>0.13</v>
      </c>
      <c r="R123" s="320">
        <v>0.13</v>
      </c>
      <c r="S123" s="320">
        <v>0.13</v>
      </c>
      <c r="T123" s="320">
        <v>0.13</v>
      </c>
      <c r="U123" s="320">
        <v>0.13</v>
      </c>
      <c r="V123" s="320">
        <v>0.13</v>
      </c>
      <c r="AA123" s="292"/>
      <c r="AB123" s="292"/>
      <c r="AC123" s="292"/>
      <c r="AD123" s="292"/>
      <c r="AE123" s="292"/>
      <c r="AF123" s="292"/>
      <c r="AG123" s="292"/>
      <c r="AH123" s="292"/>
      <c r="AI123" s="292"/>
    </row>
    <row r="124" spans="1:54" s="309" customFormat="1" x14ac:dyDescent="0.2">
      <c r="A124" s="265"/>
      <c r="B124" s="265"/>
      <c r="C124" s="265"/>
      <c r="D124" s="265"/>
      <c r="E124" s="265"/>
      <c r="F124" s="308"/>
      <c r="G124" s="308"/>
      <c r="H124" s="308"/>
      <c r="I124" s="308"/>
      <c r="J124" s="262">
        <f>[2]Indicators!T44</f>
        <v>0.1504854252977772</v>
      </c>
      <c r="K124" s="262">
        <f>[2]Indicators!U44</f>
        <v>0.10233388919401754</v>
      </c>
      <c r="L124" s="262">
        <f>[2]Indicators!V44</f>
        <v>0.17276542587638888</v>
      </c>
      <c r="M124" s="262">
        <f>[2]Indicators!W44</f>
        <v>8.1704546304704362E-2</v>
      </c>
      <c r="N124" s="262">
        <f>[2]Indicators!X44</f>
        <v>2.9079608891814601E-2</v>
      </c>
      <c r="O124" s="262"/>
      <c r="P124" s="262"/>
      <c r="Q124" s="262"/>
      <c r="R124" s="262"/>
      <c r="S124" s="262"/>
      <c r="T124" s="324"/>
      <c r="U124" s="266"/>
      <c r="AA124" s="292"/>
      <c r="AB124" s="292"/>
      <c r="AC124" s="292"/>
      <c r="AD124" s="292"/>
      <c r="AE124" s="292"/>
      <c r="AF124" s="292"/>
      <c r="AG124" s="292"/>
      <c r="AH124" s="292"/>
      <c r="AI124" s="292"/>
    </row>
    <row r="125" spans="1:54" s="309" customFormat="1" x14ac:dyDescent="0.2">
      <c r="A125" s="265"/>
      <c r="B125" s="265"/>
      <c r="C125" s="265"/>
      <c r="D125" s="265"/>
      <c r="E125" s="265"/>
      <c r="F125" s="308"/>
      <c r="G125" s="308"/>
      <c r="H125" s="321" t="s">
        <v>99</v>
      </c>
      <c r="I125" s="322">
        <v>6.5000000000000002E-2</v>
      </c>
      <c r="J125" s="322">
        <v>4.4999999999999998E-2</v>
      </c>
      <c r="K125" s="322">
        <v>4.4999999999999998E-2</v>
      </c>
      <c r="L125" s="322">
        <v>4.4999999999999998E-2</v>
      </c>
      <c r="M125" s="308"/>
      <c r="N125" s="308"/>
      <c r="O125" s="308"/>
      <c r="P125" s="308"/>
      <c r="Q125" s="308"/>
      <c r="R125" s="308"/>
      <c r="S125" s="308"/>
      <c r="T125" s="487"/>
      <c r="U125" s="401"/>
      <c r="AA125" s="292"/>
      <c r="AB125" s="292"/>
      <c r="AC125" s="292"/>
      <c r="AD125" s="292"/>
      <c r="AE125" s="292"/>
      <c r="AF125" s="292"/>
      <c r="AG125" s="292"/>
      <c r="AH125" s="292"/>
      <c r="AI125" s="292"/>
    </row>
    <row r="126" spans="1:54" s="309" customFormat="1" x14ac:dyDescent="0.2">
      <c r="T126" s="288"/>
      <c r="U126" s="262"/>
      <c r="AA126" s="292"/>
      <c r="AB126" s="292"/>
      <c r="AC126" s="292"/>
      <c r="AD126" s="292"/>
      <c r="AE126" s="292"/>
      <c r="AF126" s="292"/>
      <c r="AG126" s="292"/>
      <c r="AH126" s="292"/>
      <c r="AI126" s="292"/>
    </row>
    <row r="127" spans="1:54" s="309" customFormat="1" x14ac:dyDescent="0.2">
      <c r="J127" s="323">
        <f>[2]Indicators!T39</f>
        <v>0.19456273432247562</v>
      </c>
      <c r="K127" s="323">
        <f>[2]Indicators!U39</f>
        <v>0.23909950432265448</v>
      </c>
      <c r="L127" s="323">
        <f>[2]Indicators!V39</f>
        <v>0.23730614320126708</v>
      </c>
      <c r="M127" s="323">
        <f>[2]Indicators!W39</f>
        <v>0.23622754652336653</v>
      </c>
      <c r="N127" s="323">
        <f>[2]Indicators!X39</f>
        <v>0.23890588526610279</v>
      </c>
      <c r="O127" s="323">
        <v>0.23890588526610279</v>
      </c>
      <c r="P127" s="323">
        <v>0.23890588526610279</v>
      </c>
      <c r="Q127" s="323">
        <v>0.23890588526610279</v>
      </c>
      <c r="R127" s="323">
        <v>0.23890588526610279</v>
      </c>
      <c r="S127" s="323">
        <v>0.23890588526610279</v>
      </c>
      <c r="T127" s="323">
        <v>0.23890588526610279</v>
      </c>
      <c r="AA127" s="292"/>
      <c r="AB127" s="292"/>
      <c r="AC127" s="292"/>
      <c r="AD127" s="292"/>
      <c r="AE127" s="292"/>
      <c r="AF127" s="292"/>
      <c r="AG127" s="292"/>
      <c r="AH127" s="292"/>
      <c r="AI127" s="292"/>
    </row>
    <row r="128" spans="1:54" s="309" customFormat="1" x14ac:dyDescent="0.2">
      <c r="A128" s="309" t="s">
        <v>307</v>
      </c>
      <c r="J128" s="307">
        <f>Prices!AV13</f>
        <v>0.10276276276276275</v>
      </c>
      <c r="K128" s="307">
        <v>7.4999999999999997E-2</v>
      </c>
      <c r="L128" s="307">
        <v>0.05</v>
      </c>
      <c r="M128" s="307">
        <v>0.05</v>
      </c>
      <c r="N128" s="307">
        <v>0.05</v>
      </c>
      <c r="O128" s="307">
        <v>0.05</v>
      </c>
      <c r="P128" s="307">
        <v>0.05</v>
      </c>
      <c r="Q128" s="307">
        <v>0.05</v>
      </c>
      <c r="R128" s="307">
        <v>0.05</v>
      </c>
      <c r="S128" s="307">
        <v>0.05</v>
      </c>
      <c r="T128" s="307">
        <v>0.05</v>
      </c>
      <c r="AA128" s="292"/>
      <c r="AB128" s="292"/>
      <c r="AC128" s="292"/>
      <c r="AD128" s="292"/>
      <c r="AE128" s="292"/>
      <c r="AF128" s="292"/>
      <c r="AG128" s="292"/>
      <c r="AH128" s="292"/>
      <c r="AI128" s="292"/>
    </row>
    <row r="129" spans="1:35" s="309" customFormat="1" x14ac:dyDescent="0.2">
      <c r="T129" s="288"/>
      <c r="AA129" s="292"/>
      <c r="AB129" s="292"/>
      <c r="AC129" s="292"/>
      <c r="AD129" s="292"/>
      <c r="AE129" s="292"/>
      <c r="AF129" s="292"/>
      <c r="AG129" s="292"/>
      <c r="AH129" s="292"/>
      <c r="AI129" s="292"/>
    </row>
    <row r="130" spans="1:35" s="309" customFormat="1" x14ac:dyDescent="0.2">
      <c r="A130" s="309" t="s">
        <v>306</v>
      </c>
      <c r="J130" s="307">
        <v>0.12</v>
      </c>
      <c r="K130" s="307">
        <v>0.115</v>
      </c>
      <c r="L130" s="307">
        <v>0.08</v>
      </c>
      <c r="M130" s="307">
        <v>7.0000000000000007E-2</v>
      </c>
      <c r="N130" s="307">
        <v>0.05</v>
      </c>
      <c r="O130" s="307">
        <v>0.05</v>
      </c>
      <c r="P130" s="307">
        <v>0.05</v>
      </c>
      <c r="Q130" s="307">
        <v>0.05</v>
      </c>
      <c r="R130" s="307">
        <v>0.05</v>
      </c>
      <c r="S130" s="307">
        <v>0.05</v>
      </c>
      <c r="T130" s="307">
        <v>0.05</v>
      </c>
      <c r="AA130" s="292"/>
      <c r="AB130" s="292"/>
      <c r="AC130" s="292"/>
      <c r="AD130" s="292"/>
      <c r="AE130" s="292"/>
      <c r="AF130" s="292"/>
      <c r="AG130" s="292"/>
      <c r="AH130" s="292"/>
      <c r="AI130" s="292"/>
    </row>
    <row r="131" spans="1:35" s="309" customFormat="1" x14ac:dyDescent="0.2">
      <c r="T131" s="288"/>
      <c r="AA131" s="292"/>
      <c r="AB131" s="292"/>
      <c r="AC131" s="292"/>
      <c r="AD131" s="292"/>
      <c r="AE131" s="292"/>
      <c r="AF131" s="292"/>
      <c r="AG131" s="292"/>
      <c r="AH131" s="292"/>
      <c r="AI131" s="292"/>
    </row>
    <row r="132" spans="1:35" s="309" customFormat="1" x14ac:dyDescent="0.2">
      <c r="A132" s="265"/>
      <c r="B132" s="265"/>
      <c r="C132" s="265"/>
      <c r="D132" s="265"/>
      <c r="E132" s="266"/>
      <c r="F132" s="265"/>
      <c r="G132" s="265"/>
      <c r="H132" s="324"/>
      <c r="I132" s="266"/>
      <c r="J132" s="307">
        <v>9.5000000000000001E-2</v>
      </c>
      <c r="K132" s="307">
        <v>0.06</v>
      </c>
      <c r="L132" s="307">
        <v>0.05</v>
      </c>
      <c r="M132" s="307">
        <v>0.05</v>
      </c>
      <c r="N132" s="307">
        <v>0.05</v>
      </c>
      <c r="O132" s="307">
        <v>0.05</v>
      </c>
      <c r="P132" s="307">
        <v>0.05</v>
      </c>
      <c r="Q132" s="307">
        <v>0.05</v>
      </c>
      <c r="R132" s="307">
        <v>0.05</v>
      </c>
      <c r="S132" s="307">
        <v>0.05</v>
      </c>
      <c r="T132" s="307">
        <v>0.05</v>
      </c>
      <c r="AA132" s="292"/>
      <c r="AB132" s="292"/>
      <c r="AC132" s="292"/>
      <c r="AD132" s="292"/>
      <c r="AE132" s="292"/>
      <c r="AF132" s="292"/>
      <c r="AG132" s="292"/>
      <c r="AH132" s="292"/>
      <c r="AI132" s="292"/>
    </row>
    <row r="138" spans="1:35" x14ac:dyDescent="0.2">
      <c r="A138" s="265" t="s">
        <v>309</v>
      </c>
      <c r="J138" s="326">
        <f t="shared" ref="J138:T138" si="105">CHOOSE($A$1,J139,J140,J141)</f>
        <v>1</v>
      </c>
      <c r="K138" s="326">
        <f t="shared" si="105"/>
        <v>1</v>
      </c>
      <c r="L138" s="326">
        <f t="shared" si="105"/>
        <v>1</v>
      </c>
      <c r="M138" s="326">
        <f t="shared" si="105"/>
        <v>1</v>
      </c>
      <c r="N138" s="326">
        <f t="shared" si="105"/>
        <v>1</v>
      </c>
      <c r="O138" s="326">
        <f t="shared" si="105"/>
        <v>1</v>
      </c>
      <c r="P138" s="326">
        <f t="shared" si="105"/>
        <v>1</v>
      </c>
      <c r="Q138" s="326">
        <f t="shared" si="105"/>
        <v>1</v>
      </c>
      <c r="R138" s="326">
        <f t="shared" si="105"/>
        <v>1</v>
      </c>
      <c r="S138" s="326">
        <f t="shared" si="105"/>
        <v>1</v>
      </c>
      <c r="T138" s="326">
        <f t="shared" si="105"/>
        <v>1</v>
      </c>
      <c r="U138" s="326">
        <f t="shared" ref="U138:V138" si="106">CHOOSE($A$1,U139,U140,U141)</f>
        <v>1</v>
      </c>
      <c r="V138" s="326">
        <f t="shared" si="106"/>
        <v>1</v>
      </c>
    </row>
    <row r="139" spans="1:35" x14ac:dyDescent="0.2">
      <c r="A139" s="265" t="s">
        <v>308</v>
      </c>
      <c r="J139" s="261">
        <v>1</v>
      </c>
      <c r="K139" s="261">
        <v>1</v>
      </c>
      <c r="L139" s="261">
        <v>1</v>
      </c>
      <c r="M139" s="261">
        <v>1</v>
      </c>
      <c r="N139" s="261">
        <v>1</v>
      </c>
      <c r="O139" s="261">
        <v>1</v>
      </c>
      <c r="P139" s="261">
        <v>1</v>
      </c>
      <c r="Q139" s="261">
        <v>1</v>
      </c>
      <c r="R139" s="261">
        <v>1</v>
      </c>
      <c r="S139" s="261">
        <v>1</v>
      </c>
      <c r="T139" s="261">
        <v>1</v>
      </c>
      <c r="U139" s="261">
        <v>1</v>
      </c>
      <c r="V139" s="261">
        <v>1</v>
      </c>
    </row>
    <row r="140" spans="1:35" x14ac:dyDescent="0.2">
      <c r="A140" s="265" t="s">
        <v>350</v>
      </c>
      <c r="J140" s="261">
        <v>1</v>
      </c>
      <c r="K140" s="261">
        <v>1</v>
      </c>
      <c r="L140" s="261">
        <v>1</v>
      </c>
      <c r="M140" s="261">
        <v>1</v>
      </c>
      <c r="N140" s="261">
        <v>1.04</v>
      </c>
      <c r="O140" s="261">
        <v>1.1000000000000001</v>
      </c>
      <c r="P140" s="261">
        <v>1.1499999999999999</v>
      </c>
      <c r="Q140" s="261">
        <v>1.1599999999999999</v>
      </c>
      <c r="R140" s="261">
        <v>1.1599999999999999</v>
      </c>
      <c r="S140" s="261">
        <v>1.1599999999999999</v>
      </c>
      <c r="T140" s="261">
        <v>1.1599999999999999</v>
      </c>
      <c r="U140" s="261">
        <v>1.1599999999999999</v>
      </c>
      <c r="V140" s="261">
        <v>1.1599999999999999</v>
      </c>
    </row>
    <row r="141" spans="1:35" x14ac:dyDescent="0.2">
      <c r="A141" s="265" t="s">
        <v>1</v>
      </c>
      <c r="J141" s="261">
        <v>1</v>
      </c>
      <c r="K141" s="261">
        <v>1</v>
      </c>
      <c r="L141" s="261">
        <v>1</v>
      </c>
      <c r="M141" s="261">
        <v>0.83</v>
      </c>
      <c r="N141" s="261">
        <v>0.86</v>
      </c>
      <c r="O141" s="261">
        <v>0.9</v>
      </c>
      <c r="P141" s="261">
        <v>0.93</v>
      </c>
      <c r="Q141" s="261">
        <v>0.96</v>
      </c>
      <c r="R141" s="261">
        <v>1</v>
      </c>
      <c r="S141" s="261">
        <v>1</v>
      </c>
      <c r="T141" s="261">
        <v>1</v>
      </c>
      <c r="U141" s="261">
        <v>1</v>
      </c>
      <c r="V141" s="261">
        <v>1</v>
      </c>
    </row>
    <row r="143" spans="1:35" x14ac:dyDescent="0.2">
      <c r="M143" s="265">
        <v>0.93</v>
      </c>
    </row>
    <row r="146" spans="17:22" x14ac:dyDescent="0.2">
      <c r="Q146" s="265" t="s">
        <v>614</v>
      </c>
    </row>
    <row r="147" spans="17:22" x14ac:dyDescent="0.2">
      <c r="Q147" s="275">
        <v>7.2261133599685001E-2</v>
      </c>
      <c r="R147" s="275">
        <v>7.4150623530932602E-2</v>
      </c>
      <c r="S147" s="275">
        <v>7.6684660479323305E-2</v>
      </c>
      <c r="T147" s="275">
        <v>7.9356969087090001E-2</v>
      </c>
      <c r="U147" s="275">
        <v>8.0117834249839606E-2</v>
      </c>
      <c r="V147" s="275">
        <v>8.0117834249839606E-2</v>
      </c>
    </row>
    <row r="148" spans="17:22" x14ac:dyDescent="0.2">
      <c r="Q148" s="323">
        <f>NA!BC222</f>
        <v>73781984.738659635</v>
      </c>
      <c r="R148" s="323">
        <f>NA!BD222</f>
        <v>83312648.337055027</v>
      </c>
      <c r="S148" s="323">
        <f>NA!BE222</f>
        <v>94703163.941584483</v>
      </c>
      <c r="T148" s="323">
        <f>NA!BF222</f>
        <v>102038747.79724026</v>
      </c>
      <c r="U148" s="323">
        <f>NA!BG222</f>
        <v>121825658.75704308</v>
      </c>
      <c r="V148" s="323">
        <f>NA!BH222</f>
        <v>147196802.71368036</v>
      </c>
    </row>
    <row r="149" spans="17:22" x14ac:dyDescent="0.2">
      <c r="Q149" s="414">
        <v>0.08</v>
      </c>
      <c r="R149" s="414">
        <v>8.4000000000000005E-2</v>
      </c>
      <c r="S149" s="414">
        <v>8.4000000000000005E-2</v>
      </c>
      <c r="T149" s="414"/>
      <c r="U149" s="401"/>
      <c r="V149" s="305"/>
    </row>
    <row r="150" spans="17:22" x14ac:dyDescent="0.2">
      <c r="Q150" s="267">
        <f>NA!BC164/NA!BB164-1</f>
        <v>0.42709191627247556</v>
      </c>
      <c r="R150" s="267">
        <f>NA!BD164/NA!BC164-1</f>
        <v>-3.6940012694659741E-2</v>
      </c>
      <c r="S150" s="267">
        <f>NA!BE164/NA!BD164-1</f>
        <v>-3.1344146834124564E-2</v>
      </c>
      <c r="T150" s="267">
        <f>NA!BF164/NA!BE164-1</f>
        <v>-4.1265077260939975E-2</v>
      </c>
      <c r="U150" s="267">
        <f>NA!BG164/NA!BF164-1</f>
        <v>-1</v>
      </c>
      <c r="V150" s="267" t="e">
        <f>NA!BH164/NA!BG164-1</f>
        <v>#DIV/0!</v>
      </c>
    </row>
    <row r="151" spans="17:22" x14ac:dyDescent="0.2">
      <c r="Q151" s="475" t="e">
        <f>TREND(H151:N151,H145:N145,Q145)*0.5</f>
        <v>#VALUE!</v>
      </c>
      <c r="R151" s="475" t="e">
        <f>TREND(I151:O151,I145:O145,R145)*0.66</f>
        <v>#VALUE!</v>
      </c>
      <c r="S151" s="476" t="e">
        <f>TREND(J151:P151,J145:P145,S145)*2.5</f>
        <v>#VALUE!</v>
      </c>
      <c r="T151" s="476" t="e">
        <f>TREND(K151:Q151,K145:Q145,T145)*1.25</f>
        <v>#VALUE!</v>
      </c>
      <c r="U151" s="476" t="e">
        <f>TREND(L151:R151,L145:R145,U145)*1.15</f>
        <v>#VALUE!</v>
      </c>
      <c r="V151" s="418" t="e">
        <f>TREND(M151:S151,M145:S145,V145)*0.83</f>
        <v>#VALUE!</v>
      </c>
    </row>
    <row r="152" spans="17:22" x14ac:dyDescent="0.2">
      <c r="Q152" s="476" t="e">
        <f>TREND(L152:O152,L145:O145,Q145)*1.5</f>
        <v>#VALUE!</v>
      </c>
      <c r="R152" s="476" t="e">
        <f>TREND(L152:P152,L145:P145,R145)*1.06</f>
        <v>#VALUE!</v>
      </c>
      <c r="S152" s="476" t="e">
        <f>TREND(M152:Q152,M145:Q145,S145)*0.85</f>
        <v>#VALUE!</v>
      </c>
      <c r="T152" s="476" t="e">
        <f>TREND(N152:R152,N145:R145,T145)*0.9</f>
        <v>#VALUE!</v>
      </c>
      <c r="U152" s="476" t="e">
        <f>TREND(O152:S152,O145:S145,U145)*0.82</f>
        <v>#VALUE!</v>
      </c>
      <c r="V152" s="635" t="e">
        <f>TREND(P152:T152,P145:T145,V145)*0.85</f>
        <v>#VALUE!</v>
      </c>
    </row>
    <row r="153" spans="17:22" x14ac:dyDescent="0.2">
      <c r="Q153" s="476" t="e">
        <f>TREND(J153:P153,J145:P145,Q145)*1.2</f>
        <v>#VALUE!</v>
      </c>
      <c r="R153" s="476" t="e">
        <f>TREND(K153:Q153,K145:Q145,R145)*1.1</f>
        <v>#VALUE!</v>
      </c>
      <c r="S153" s="476" t="e">
        <f>TREND(L153:R153,L145:R145,S145)*0.92</f>
        <v>#VALUE!</v>
      </c>
      <c r="T153" s="476" t="e">
        <f>TREND(M153:S153,M145:S145,T145)*0.9</f>
        <v>#VALUE!</v>
      </c>
      <c r="U153" s="476" t="e">
        <f>TREND(N153:T153,N145:T145,U145)*0.91</f>
        <v>#VALUE!</v>
      </c>
      <c r="V153" s="476" t="e">
        <f>TREND(O153:U153,O145:U145,V145)*0.96</f>
        <v>#VALUE!</v>
      </c>
    </row>
    <row r="154" spans="17:22" x14ac:dyDescent="0.2">
      <c r="Q154" s="472" t="e">
        <f>TREND(J154:P154,J145:P145,Q145)*1.4</f>
        <v>#VALUE!</v>
      </c>
      <c r="R154" s="472" t="e">
        <f>TREND(K154:Q154,K145:Q145,R145)*0.8</f>
        <v>#VALUE!</v>
      </c>
      <c r="S154" s="472" t="e">
        <f>TREND(L154:R154,L145:R145,S145)*0.93</f>
        <v>#VALUE!</v>
      </c>
      <c r="T154" s="472" t="e">
        <f>TREND(M154:S154,M145:S145,T145)</f>
        <v>#VALUE!</v>
      </c>
      <c r="U154" s="472" t="e">
        <f>TREND(N154:T154,N145:T145,U145)*0.9</f>
        <v>#VALUE!</v>
      </c>
      <c r="V154" s="472" t="e">
        <f t="shared" ref="V154" si="107">TREND(O154:U154,O145:U145,V145)</f>
        <v>#VALUE!</v>
      </c>
    </row>
    <row r="155" spans="17:22" x14ac:dyDescent="0.2">
      <c r="Q155" s="287"/>
      <c r="R155" s="287"/>
      <c r="S155" s="287"/>
      <c r="T155" s="397"/>
      <c r="U155" s="266"/>
    </row>
    <row r="156" spans="17:22" x14ac:dyDescent="0.2">
      <c r="Q156" s="476" t="e">
        <f>TREND(M156:P156,M145:P145,Q145)*1</f>
        <v>#VALUE!</v>
      </c>
      <c r="R156" s="476" t="e">
        <f>TREND(O156:Q156,O145:Q145,R145)*0.73</f>
        <v>#VALUE!</v>
      </c>
      <c r="S156" s="476" t="e">
        <f>TREND(Q156:R156,Q145:R145,S145)*0.98</f>
        <v>#VALUE!</v>
      </c>
      <c r="T156" s="476" t="e">
        <f>TREND(Q156:S156,Q145:S145,T145)*1.01</f>
        <v>#VALUE!</v>
      </c>
      <c r="U156" s="476" t="e">
        <f>TREND(R156:T156,R145:T145,U145)*0.99</f>
        <v>#VALUE!</v>
      </c>
      <c r="V156" s="635" t="e">
        <f>TREND(S156:U156,S145:U145,V145)*0.9</f>
        <v>#VALUE!</v>
      </c>
    </row>
    <row r="157" spans="17:22" x14ac:dyDescent="0.2">
      <c r="Q157" s="476" t="e">
        <f>TREND(I157:P157,I145:P145,Q145)*1.65</f>
        <v>#VALUE!</v>
      </c>
      <c r="R157" s="476" t="e">
        <f>TREND(J157:Q157,J145:Q145,R145)*1.35</f>
        <v>#VALUE!</v>
      </c>
      <c r="S157" s="476" t="e">
        <f>TREND(K157:R157,K145:R145,S145)*1.02</f>
        <v>#VALUE!</v>
      </c>
      <c r="T157" s="476" t="e">
        <f>TREND(L157:S157,L145:S145,T145)*1.08</f>
        <v>#VALUE!</v>
      </c>
      <c r="U157" s="476" t="e">
        <f>TREND(M157:T157,M145:T145,U145)*0.95</f>
        <v>#VALUE!</v>
      </c>
      <c r="V157" s="476" t="e">
        <f>TREND(N157:U157,N145:U145,V145)*0.9</f>
        <v>#VALUE!</v>
      </c>
    </row>
    <row r="158" spans="17:22" x14ac:dyDescent="0.2">
      <c r="Q158" s="476" t="e">
        <f>TREND(N158:P158,N145:P145,Q145)*0.65</f>
        <v>#VALUE!</v>
      </c>
      <c r="R158" s="490" t="e">
        <f>TREND(O158:Q158,O145:Q145,R145)*1.3</f>
        <v>#VALUE!</v>
      </c>
      <c r="S158" s="490" t="e">
        <f>TREND(P158:R158,P145:R145,S145)*0.99</f>
        <v>#VALUE!</v>
      </c>
      <c r="T158" s="490" t="e">
        <f>TREND(Q158:S158,Q145:S145,T145)*1.05</f>
        <v>#VALUE!</v>
      </c>
      <c r="U158" s="490" t="e">
        <f>TREND(R158:T158,R145:T145,U145)*0.98</f>
        <v>#VALUE!</v>
      </c>
      <c r="V158" s="490" t="e">
        <f>TREND(S158:U158,S145:U145,V145)*0.95</f>
        <v>#VALUE!</v>
      </c>
    </row>
    <row r="159" spans="17:22" x14ac:dyDescent="0.2">
      <c r="Q159" s="476" t="e">
        <f>TREND(I159:P159,I145:P145,Q145)*0.8</f>
        <v>#VALUE!</v>
      </c>
      <c r="R159" s="476" t="e">
        <f>TREND(J159:Q159,J145:Q145,R145)*1.2</f>
        <v>#VALUE!</v>
      </c>
      <c r="S159" s="476" t="e">
        <f>TREND(K159:R159,K145:R145,S145)*1.07</f>
        <v>#VALUE!</v>
      </c>
      <c r="T159" s="476" t="e">
        <f>TREND(L159:S159,L145:S145,T145)*0.9</f>
        <v>#VALUE!</v>
      </c>
      <c r="U159" s="476" t="e">
        <f>TREND(M159:T159,M145:T145,U145)*0.77</f>
        <v>#VALUE!</v>
      </c>
      <c r="V159" s="476" t="e">
        <f>TREND(N159:U159,N145:U145,V145)*0.92</f>
        <v>#VALUE!</v>
      </c>
    </row>
    <row r="160" spans="17:22" x14ac:dyDescent="0.2">
      <c r="Q160" s="476">
        <f>P160*(P160/$J$85)^(1/6)*0.8</f>
        <v>0</v>
      </c>
      <c r="R160" s="476">
        <f>Q160*(Q160/$J$85)^(1/6)*0.94</f>
        <v>0</v>
      </c>
      <c r="S160" s="476">
        <f>R160*(R160/$J$85)^(1/6)*0.95</f>
        <v>0</v>
      </c>
      <c r="T160" s="476">
        <f>S160*(S160/$J$85)^(1/6)*0.944</f>
        <v>0</v>
      </c>
      <c r="U160" s="476">
        <f>T160*(T160/$J$85)^(1/6)*0.95</f>
        <v>0</v>
      </c>
      <c r="V160" s="476">
        <f>U160*(U160/$J$85)^(1/6)*0.94</f>
        <v>0</v>
      </c>
    </row>
    <row r="161" spans="17:22" x14ac:dyDescent="0.2">
      <c r="Q161" s="477"/>
      <c r="R161" s="477"/>
      <c r="S161" s="477"/>
      <c r="T161" s="489"/>
      <c r="U161" s="266"/>
    </row>
    <row r="162" spans="17:22" x14ac:dyDescent="0.2">
      <c r="Q162" s="476" t="e">
        <f>TREND(J162:P162,J145:P145,Q145)*1.3</f>
        <v>#VALUE!</v>
      </c>
      <c r="R162" s="476" t="e">
        <f>TREND(K162:Q162,K145:Q145,R145)*1.06</f>
        <v>#VALUE!</v>
      </c>
      <c r="S162" s="476" t="e">
        <f>TREND(L162:R162,L145:R145,S145)*1.1</f>
        <v>#VALUE!</v>
      </c>
      <c r="T162" s="476" t="e">
        <f>TREND(M162:S162,M145:S145,T145)*0.95</f>
        <v>#VALUE!</v>
      </c>
      <c r="U162" s="476" t="e">
        <f>TREND(N162:T162,N145:T145,U145)*0.8</f>
        <v>#VALUE!</v>
      </c>
      <c r="V162" s="476" t="e">
        <f>TREND(O162:U162,O145:U145,V145)*0.8</f>
        <v>#VALUE!</v>
      </c>
    </row>
    <row r="163" spans="17:22" x14ac:dyDescent="0.2">
      <c r="Q163" s="476" t="e">
        <f>TREND(H163:P163,H145:P145,Q145)*0.62</f>
        <v>#VALUE!</v>
      </c>
      <c r="R163" s="476" t="e">
        <f>TREND(I163:Q163,I145:Q145,R145)*0.8</f>
        <v>#VALUE!</v>
      </c>
      <c r="S163" s="476" t="e">
        <f>TREND(J163:R163,J145:R145,S145)*0.97</f>
        <v>#VALUE!</v>
      </c>
      <c r="T163" s="476" t="e">
        <f>TREND(K163:S163,K145:S145,T145)*1.02</f>
        <v>#VALUE!</v>
      </c>
      <c r="U163" s="476" t="e">
        <f>TREND(L163:T163,L145:T145,U145)*1.5</f>
        <v>#VALUE!</v>
      </c>
      <c r="V163" s="476" t="e">
        <f>TREND(M163:U163,M145:U145,V145)*1.7</f>
        <v>#VALUE!</v>
      </c>
    </row>
    <row r="164" spans="17:22" x14ac:dyDescent="0.2">
      <c r="Q164" s="476" t="e">
        <f>TREND(J164:P164,J145:P145,Q145)</f>
        <v>#VALUE!</v>
      </c>
      <c r="R164" s="476" t="e">
        <f>TREND(K164:Q164,K145:Q145,R145)*0.97</f>
        <v>#VALUE!</v>
      </c>
      <c r="S164" s="476" t="e">
        <f>TREND(L164:R164,L145:R145,S145)*0.9</f>
        <v>#VALUE!</v>
      </c>
      <c r="T164" s="476" t="e">
        <f>TREND(M164:S164,M145:S145,T145)*0.79</f>
        <v>#VALUE!</v>
      </c>
      <c r="U164" s="476" t="e">
        <f>TREND(N164:T164,N145:T145,U145)*0.84</f>
        <v>#VALUE!</v>
      </c>
      <c r="V164" s="476" t="e">
        <f>TREND(O164:U164,O145:U145,V145)*0.99</f>
        <v>#VALUE!</v>
      </c>
    </row>
    <row r="165" spans="17:22" x14ac:dyDescent="0.2">
      <c r="Q165" s="476" t="e">
        <f>L165*(L165/I165)^(1/3)*0.3</f>
        <v>#DIV/0!</v>
      </c>
      <c r="R165" s="476" t="e">
        <f>M165*(M165/J165)^(1/3)*1.08</f>
        <v>#DIV/0!</v>
      </c>
      <c r="S165" s="476" t="e">
        <f>N165*(N165/K165)^(1/3)*0.4</f>
        <v>#DIV/0!</v>
      </c>
      <c r="T165" s="476" t="e">
        <f>O165*(O165/L165)^(1/3)*0.77</f>
        <v>#DIV/0!</v>
      </c>
      <c r="U165" s="476" t="e">
        <f>P165*(P165/M165)^(1/3)*1.09</f>
        <v>#DIV/0!</v>
      </c>
      <c r="V165" s="476" t="e">
        <f>Q165*(Q165/N165)^(1/3)*1.45</f>
        <v>#DIV/0!</v>
      </c>
    </row>
    <row r="166" spans="17:22" x14ac:dyDescent="0.2">
      <c r="Q166" s="476" t="e">
        <f>M166*(M166/I166)^(1/4)*0.85</f>
        <v>#DIV/0!</v>
      </c>
      <c r="R166" s="476" t="e">
        <f>N166*(N166/J166)^(1/4)*3.1</f>
        <v>#DIV/0!</v>
      </c>
      <c r="S166" s="476" t="e">
        <f>O166*(O166/K166)^(1/4)*2.2</f>
        <v>#DIV/0!</v>
      </c>
      <c r="T166" s="476" t="e">
        <f>P166*(P166/L166)^(1/4)</f>
        <v>#DIV/0!</v>
      </c>
      <c r="U166" s="476" t="e">
        <f>Q166*(Q166/M166)^(1/4)*0.98</f>
        <v>#DIV/0!</v>
      </c>
      <c r="V166" s="476" t="e">
        <f>R166*(R166/N166)^(1/4)*0.75</f>
        <v>#DIV/0!</v>
      </c>
    </row>
    <row r="167" spans="17:22" x14ac:dyDescent="0.2">
      <c r="Q167" s="458"/>
      <c r="R167" s="458"/>
      <c r="S167" s="458"/>
      <c r="T167" s="264"/>
      <c r="U167" s="266"/>
    </row>
    <row r="168" spans="17:22" x14ac:dyDescent="0.2">
      <c r="Q168" s="476" t="e">
        <f>TREND(I168:P168,I145:P145,Q145)*1.6</f>
        <v>#VALUE!</v>
      </c>
      <c r="R168" s="476" t="e">
        <f>TREND(M168:Q168,M145:Q145,R145)*1.1</f>
        <v>#VALUE!</v>
      </c>
      <c r="S168" s="476" t="e">
        <f>TREND(K168:R168,K145:R145,S145)*8.5</f>
        <v>#VALUE!</v>
      </c>
      <c r="T168" s="476" t="e">
        <f>TREND(L168:S168,L145:S145,T145)*4.8</f>
        <v>#VALUE!</v>
      </c>
      <c r="U168" s="476" t="e">
        <f>TREND(M168:T168,M145:T145,U145)*1.07</f>
        <v>#VALUE!</v>
      </c>
      <c r="V168" s="476" t="e">
        <f>TREND(N168:U168,N145:U145,V145)*0.9</f>
        <v>#VALUE!</v>
      </c>
    </row>
    <row r="169" spans="17:22" x14ac:dyDescent="0.2">
      <c r="Q169" s="476" t="e">
        <f>TREND(I169:P169,I145:P145,Q145)*0.44</f>
        <v>#VALUE!</v>
      </c>
      <c r="R169" s="476" t="e">
        <f>TREND(J169:Q169,J145:Q145,R145)*0.44</f>
        <v>#VALUE!</v>
      </c>
      <c r="S169" s="476" t="e">
        <f>TREND(K169:R169,K145:R145,S145)*0.65</f>
        <v>#VALUE!</v>
      </c>
      <c r="T169" s="476" t="e">
        <f>TREND(L169:S169,L145:S145,T145)*0.95</f>
        <v>#VALUE!</v>
      </c>
      <c r="U169" s="476" t="e">
        <f>TREND(M169:T169,M145:T145,U145)*2.6</f>
        <v>#VALUE!</v>
      </c>
      <c r="V169" s="476" t="e">
        <f>TREND(N169:U169,N145:U145,V145)*2.01</f>
        <v>#VALUE!</v>
      </c>
    </row>
    <row r="170" spans="17:22" x14ac:dyDescent="0.2">
      <c r="Q170" s="476" t="e">
        <f>TREND(M170:P170,M145:P145,Q145)*1.2</f>
        <v>#VALUE!</v>
      </c>
      <c r="R170" s="476" t="e">
        <f>TREND(N170:Q170,N145:Q145,R145)*1.2</f>
        <v>#VALUE!</v>
      </c>
      <c r="S170" s="476" t="e">
        <f>TREND(O170:R170,O145:R145,S145)*1.001</f>
        <v>#VALUE!</v>
      </c>
      <c r="T170" s="476" t="e">
        <f>TREND(P170:S170,P145:S145,T145)*0.998</f>
        <v>#VALUE!</v>
      </c>
      <c r="U170" s="476" t="e">
        <f>TREND(Q170:T170,Q145:T145,U145)*1.05</f>
        <v>#VALUE!</v>
      </c>
      <c r="V170" s="476" t="e">
        <f t="shared" ref="V170" si="108">TREND(R170:U170,R145:U145,V145)*0.985</f>
        <v>#VALUE!</v>
      </c>
    </row>
    <row r="171" spans="17:22" x14ac:dyDescent="0.2">
      <c r="Q171" s="476" t="e">
        <f>TREND(I171:P171,I145:P145,Q145)*0.9</f>
        <v>#VALUE!</v>
      </c>
      <c r="R171" s="476" t="e">
        <f>TREND(J171:Q171,J145:Q145,R145)*0.86</f>
        <v>#VALUE!</v>
      </c>
      <c r="S171" s="476" t="e">
        <f>TREND(K171:R171,K145:R145,S145)*0.86</f>
        <v>#VALUE!</v>
      </c>
      <c r="T171" s="476" t="e">
        <f>TREND(L171:S171,L145:S145,T145)*0.85</f>
        <v>#VALUE!</v>
      </c>
      <c r="U171" s="476" t="e">
        <f>TREND(M171:T171,M145:T145,U145)*0.99</f>
        <v>#VALUE!</v>
      </c>
      <c r="V171" s="476" t="e">
        <f>TREND(N171:U171,N145:U145,V145)*1.12</f>
        <v>#VALUE!</v>
      </c>
    </row>
    <row r="172" spans="17:22" x14ac:dyDescent="0.2">
      <c r="Q172" s="476" t="e">
        <f t="shared" ref="Q172" si="109">TREND(I172:P172,I145:P145,Q145)</f>
        <v>#VALUE!</v>
      </c>
      <c r="R172" s="476" t="e">
        <f t="shared" ref="R172" si="110">TREND(J172:Q172,J145:Q145,R145)</f>
        <v>#VALUE!</v>
      </c>
      <c r="S172" s="476" t="e">
        <f t="shared" ref="S172" si="111">TREND(K172:R172,K145:R145,S145)</f>
        <v>#VALUE!</v>
      </c>
      <c r="T172" s="476" t="e">
        <f t="shared" ref="T172" si="112">TREND(L172:S172,L145:S145,T145)</f>
        <v>#VALUE!</v>
      </c>
      <c r="U172" s="476" t="e">
        <f>TREND(M172:T172,M145:T145,U145)*0.9</f>
        <v>#VALUE!</v>
      </c>
      <c r="V172" s="476" t="e">
        <f>TREND(N172:U172,N145:U145,V145)*0.95</f>
        <v>#VALUE!</v>
      </c>
    </row>
    <row r="173" spans="17:22" x14ac:dyDescent="0.2">
      <c r="Q173" s="292"/>
      <c r="R173" s="292"/>
      <c r="S173" s="292"/>
      <c r="T173" s="403"/>
      <c r="U173" s="266"/>
    </row>
    <row r="174" spans="17:22" x14ac:dyDescent="0.2">
      <c r="Q174" s="316" t="e">
        <f>TREND(N174:P174,N145:P145,Q145)*0.9</f>
        <v>#VALUE!</v>
      </c>
      <c r="R174" s="316" t="e">
        <f>TREND(O174:Q174,O145:Q145,R145)*0.2</f>
        <v>#VALUE!</v>
      </c>
      <c r="S174" s="316" t="e">
        <f>TREND(P174:R174,P145:R145,S145)*0.9</f>
        <v>#VALUE!</v>
      </c>
      <c r="T174" s="316" t="e">
        <f>TREND(Q174:S174,Q145:S145,T145)*0.1</f>
        <v>#VALUE!</v>
      </c>
      <c r="U174" s="316" t="e">
        <f>TREND(R174:T174,R145:T145,U145)*0.7</f>
        <v>#VALUE!</v>
      </c>
      <c r="V174" s="316" t="e">
        <f>TREND(S174:U174,S145:U145,V145)*0.5</f>
        <v>#VALUE!</v>
      </c>
    </row>
    <row r="175" spans="17:22" x14ac:dyDescent="0.2">
      <c r="Q175" s="292"/>
      <c r="R175" s="292"/>
      <c r="S175" s="292"/>
      <c r="T175" s="403"/>
      <c r="U175" s="266"/>
    </row>
    <row r="176" spans="17:22" x14ac:dyDescent="0.2">
      <c r="Q176" s="316" t="e">
        <f t="shared" ref="Q176" si="113">TREND(J176:P176,J145:P145,Q145)</f>
        <v>#VALUE!</v>
      </c>
      <c r="R176" s="316" t="e">
        <f>TREND(K176:Q176,K145:Q145,R145)*1.1</f>
        <v>#VALUE!</v>
      </c>
      <c r="S176" s="316" t="e">
        <f>TREND(L176:R176,L145:R145,S145)*0.9</f>
        <v>#VALUE!</v>
      </c>
      <c r="T176" s="316" t="e">
        <f>TREND(M176:S176,M145:S145,T145)*0.95</f>
        <v>#VALUE!</v>
      </c>
      <c r="U176" s="316" t="e">
        <f>TREND(N176:T176,N145:T145,U145)*0.8</f>
        <v>#VALUE!</v>
      </c>
      <c r="V176" s="316" t="e">
        <f t="shared" ref="V176" si="114">TREND(O176:U176,O145:U145,V145)*0.95</f>
        <v>#VALUE!</v>
      </c>
    </row>
    <row r="177" spans="17:22" x14ac:dyDescent="0.2">
      <c r="Q177" s="373">
        <v>6.9769841758430484E-2</v>
      </c>
      <c r="R177" s="373">
        <v>6.9769841758430484E-2</v>
      </c>
      <c r="S177" s="373">
        <v>6.9769841758430484E-2</v>
      </c>
      <c r="T177" s="373">
        <v>6.9769841758430484E-2</v>
      </c>
      <c r="U177" s="373">
        <v>6.9769841758430484E-2</v>
      </c>
      <c r="V177" s="373">
        <v>6.9769841758430484E-2</v>
      </c>
    </row>
    <row r="178" spans="17:22" x14ac:dyDescent="0.2">
      <c r="Q178" s="374"/>
      <c r="R178" s="374"/>
      <c r="S178" s="374"/>
      <c r="T178" s="488"/>
      <c r="U178" s="266"/>
    </row>
    <row r="179" spans="17:22" x14ac:dyDescent="0.2">
      <c r="Q179" s="300" t="e">
        <f>NA!BC191/NA!BB191-1</f>
        <v>#DIV/0!</v>
      </c>
      <c r="R179" s="300" t="e">
        <f>NA!BD191/NA!BC191-1</f>
        <v>#DIV/0!</v>
      </c>
      <c r="S179" s="300" t="e">
        <f>NA!BE191/NA!BD191-1</f>
        <v>#DIV/0!</v>
      </c>
      <c r="T179" s="300" t="e">
        <f>NA!BF191/NA!BE191-1</f>
        <v>#DIV/0!</v>
      </c>
      <c r="U179" s="300" t="e">
        <f>NA!BG191/NA!BF191-1</f>
        <v>#DIV/0!</v>
      </c>
      <c r="V179" s="300" t="e">
        <f>NA!BH191/NA!BG191-1</f>
        <v>#DIV/0!</v>
      </c>
    </row>
    <row r="180" spans="17:22" x14ac:dyDescent="0.2">
      <c r="Q180" s="475" t="e">
        <f>TREND(L180:P180,L79:P79,Q79)*0.5</f>
        <v>#VALUE!</v>
      </c>
      <c r="R180" s="475" t="e">
        <f t="shared" ref="R180" si="115">TREND(M180:Q180,M79:Q79,R79)*0.5</f>
        <v>#VALUE!</v>
      </c>
      <c r="S180" s="475" t="e">
        <f t="shared" ref="S180" si="116">TREND(N180:R180,N79:R79,S79)*0.5</f>
        <v>#VALUE!</v>
      </c>
      <c r="T180" s="475" t="e">
        <f t="shared" ref="T180" si="117">TREND(O180:S180,O79:S79,T79)*0.5</f>
        <v>#VALUE!</v>
      </c>
      <c r="U180" s="475" t="e">
        <f t="shared" ref="U180" si="118">TREND(P180:T180,P79:T79,U79)*0.5</f>
        <v>#VALUE!</v>
      </c>
      <c r="V180" s="475" t="e">
        <f t="shared" ref="V180" si="119">TREND(Q180:U180,Q79:U79,V79)*0.5</f>
        <v>#VALUE!</v>
      </c>
    </row>
    <row r="181" spans="17:22" x14ac:dyDescent="0.2">
      <c r="Q181" s="475" t="e">
        <f>TREND(L181:O181,L79:O79,Q79)*0.4</f>
        <v>#VALUE!</v>
      </c>
      <c r="R181" s="475" t="e">
        <f>TREND(M181:P181,M79:P79,R79)</f>
        <v>#VALUE!</v>
      </c>
      <c r="S181" s="475" t="e">
        <f>TREND(N181:Q181,N79:Q79,S79)</f>
        <v>#VALUE!</v>
      </c>
      <c r="T181" s="475" t="e">
        <f>TREND(O181:R181,O79:R79,T79)*0.3</f>
        <v>#VALUE!</v>
      </c>
      <c r="U181" s="475" t="e">
        <f t="shared" ref="U181" si="120">TREND(P181:S181,P79:S79,U79)*0.3</f>
        <v>#VALUE!</v>
      </c>
      <c r="V181" s="475" t="e">
        <f t="shared" ref="V181" si="121">TREND(Q181:T181,Q79:T79,V79)*0.3</f>
        <v>#VALUE!</v>
      </c>
    </row>
    <row r="182" spans="17:22" x14ac:dyDescent="0.2">
      <c r="Q182" s="475" t="e">
        <f>TREND(L182:P182,L79:P79,Q79)*0.8</f>
        <v>#VALUE!</v>
      </c>
      <c r="R182" s="475" t="e">
        <f>TREND(M182:Q182,M79:Q79,R79)*0.6</f>
        <v>#VALUE!</v>
      </c>
      <c r="S182" s="475" t="e">
        <f>TREND(N182:R182,N79:R79,S79)*0.5</f>
        <v>#VALUE!</v>
      </c>
      <c r="T182" s="475" t="e">
        <f t="shared" ref="T182" si="122">TREND(O182:S182,O79:S79,T79)</f>
        <v>#VALUE!</v>
      </c>
      <c r="U182" s="475" t="e">
        <f t="shared" ref="U182" si="123">TREND(P182:T182,P79:T79,U79)</f>
        <v>#VALUE!</v>
      </c>
      <c r="V182" s="475" t="e">
        <f t="shared" ref="V182" si="124">TREND(Q182:U182,Q79:U79,V79)</f>
        <v>#VALUE!</v>
      </c>
    </row>
    <row r="183" spans="17:22" x14ac:dyDescent="0.2">
      <c r="Q183" s="475">
        <v>2</v>
      </c>
      <c r="R183" s="475" t="e">
        <f>TREND(L183:P183,L79:P79,Q79)*0.4</f>
        <v>#VALUE!</v>
      </c>
      <c r="S183" s="475" t="e">
        <f>TREND(M183:Q183,M79:Q79,R79)*0.4</f>
        <v>#VALUE!</v>
      </c>
      <c r="T183" s="475" t="e">
        <f t="shared" ref="T183" si="125">TREND(N183:R183,N79:R79,S79)*0.6</f>
        <v>#VALUE!</v>
      </c>
      <c r="U183" s="475" t="e">
        <f t="shared" ref="U183" si="126">TREND(O183:S183,O79:S79,T79)*0.6</f>
        <v>#VALUE!</v>
      </c>
      <c r="V183" s="475" t="e">
        <f>TREND(P183:T183,P79:T79,U79)*0.4</f>
        <v>#VALUE!</v>
      </c>
    </row>
    <row r="184" spans="17:22" x14ac:dyDescent="0.2">
      <c r="Q184" s="292"/>
      <c r="R184" s="292"/>
      <c r="S184" s="292"/>
      <c r="T184" s="403"/>
      <c r="U184" s="403"/>
      <c r="V184" s="403"/>
    </row>
    <row r="185" spans="17:22" x14ac:dyDescent="0.2">
      <c r="Q185" s="475">
        <v>3.3</v>
      </c>
      <c r="R185" s="475" t="e">
        <f>TREND(L185:P185,L79:P79,Q79)*0.5</f>
        <v>#VALUE!</v>
      </c>
      <c r="S185" s="475" t="e">
        <f t="shared" ref="S185" si="127">TREND(M185:Q185,M79:Q79,R79)*0.5</f>
        <v>#VALUE!</v>
      </c>
      <c r="T185" s="475" t="e">
        <f t="shared" ref="T185" si="128">TREND(N185:R185,N79:R79,S79)*0.5</f>
        <v>#VALUE!</v>
      </c>
      <c r="U185" s="475" t="e">
        <f t="shared" ref="U185" si="129">TREND(O185:S185,O79:S79,T79)*0.5</f>
        <v>#VALUE!</v>
      </c>
      <c r="V185" s="475" t="e">
        <f t="shared" ref="V185" si="130">TREND(P185:T185,P79:T79,U79)*0.5</f>
        <v>#VALUE!</v>
      </c>
    </row>
    <row r="186" spans="17:22" x14ac:dyDescent="0.2">
      <c r="Q186" s="475">
        <v>4</v>
      </c>
      <c r="R186" s="475" t="e">
        <f>TREND(N186:P186,N79:P79,Q79)*0.3</f>
        <v>#VALUE!</v>
      </c>
      <c r="S186" s="475" t="e">
        <f t="shared" ref="S186" si="131">TREND(O186:Q186,O79:Q79,R79)*0.2</f>
        <v>#VALUE!</v>
      </c>
      <c r="T186" s="475" t="e">
        <f t="shared" ref="T186" si="132">TREND(P186:R186,P79:R79,S79)*0.2</f>
        <v>#VALUE!</v>
      </c>
      <c r="U186" s="475" t="e">
        <f t="shared" ref="U186" si="133">TREND(Q186:S186,Q79:S79,T79)*0.2</f>
        <v>#VALUE!</v>
      </c>
      <c r="V186" s="475" t="e">
        <f t="shared" ref="V186" si="134">TREND(R186:T186,R79:T79,U79)*0.2</f>
        <v>#VALUE!</v>
      </c>
    </row>
    <row r="187" spans="17:22" x14ac:dyDescent="0.2">
      <c r="Q187" s="292"/>
      <c r="R187" s="292"/>
      <c r="S187" s="292"/>
      <c r="T187" s="403"/>
      <c r="U187" s="403"/>
      <c r="V187" s="403"/>
    </row>
    <row r="188" spans="17:22" x14ac:dyDescent="0.2">
      <c r="Q188" s="475">
        <v>0.3</v>
      </c>
      <c r="R188" s="475" t="e">
        <f>TREND(L188:P188,L79:P79,Q79)</f>
        <v>#VALUE!</v>
      </c>
      <c r="S188" s="475" t="e">
        <f t="shared" ref="S188" si="135">TREND(M188:Q188,M79:Q79,R79)</f>
        <v>#VALUE!</v>
      </c>
      <c r="T188" s="475" t="e">
        <f t="shared" ref="T188" si="136">TREND(N188:R188,N79:R79,S79)</f>
        <v>#VALUE!</v>
      </c>
      <c r="U188" s="475" t="e">
        <f>TREND(O188:S188,O79:S79,T79)*0.6</f>
        <v>#VALUE!</v>
      </c>
      <c r="V188" s="475" t="e">
        <f>TREND(P188:T188,P79:T79,U79)*0.2</f>
        <v>#VALUE!</v>
      </c>
    </row>
    <row r="189" spans="17:22" x14ac:dyDescent="0.2">
      <c r="U189" s="266"/>
    </row>
    <row r="190" spans="17:22" x14ac:dyDescent="0.2">
      <c r="U190" s="266"/>
    </row>
    <row r="191" spans="17:22" x14ac:dyDescent="0.2">
      <c r="Q191" s="312" t="e">
        <f t="shared" ref="Q191" si="137">TREND(O125:P125,O79:P79,Q79)*0.99</f>
        <v>#VALUE!</v>
      </c>
      <c r="R191" s="312" t="e">
        <f t="shared" ref="R191" si="138">TREND(P125:Q125,P79:Q79,R79)*0.99</f>
        <v>#VALUE!</v>
      </c>
      <c r="S191" s="312" t="e">
        <f t="shared" ref="S191" si="139">TREND(Q125:R125,Q79:R79,S79)*0.99</f>
        <v>#VALUE!</v>
      </c>
      <c r="T191" s="312" t="e">
        <f t="shared" ref="T191" si="140">TREND(R125:S125,R79:S79,T79)*0.99</f>
        <v>#VALUE!</v>
      </c>
      <c r="U191" s="312" t="e">
        <f t="shared" ref="U191" si="141">TREND(S125:T125,S79:T79,U79)*0.99</f>
        <v>#VALUE!</v>
      </c>
      <c r="V191" s="312" t="e">
        <f t="shared" ref="V191" si="142">TREND(T125:U125,T79:U79,V79)*0.99</f>
        <v>#VALUE!</v>
      </c>
    </row>
    <row r="192" spans="17:22" x14ac:dyDescent="0.2">
      <c r="Q192" s="266" t="e">
        <f t="shared" ref="Q192" si="143">AVERAGE(I126:L126)</f>
        <v>#DIV/0!</v>
      </c>
      <c r="R192" s="266" t="e">
        <f t="shared" ref="R192" si="144">AVERAGE(J126:M126)</f>
        <v>#DIV/0!</v>
      </c>
      <c r="S192" s="266" t="e">
        <f t="shared" ref="S192" si="145">AVERAGE(K126:N126)</f>
        <v>#DIV/0!</v>
      </c>
      <c r="T192" s="266" t="e">
        <f t="shared" ref="T192" si="146">AVERAGE(L126:O126)</f>
        <v>#DIV/0!</v>
      </c>
      <c r="U192" s="266" t="e">
        <f t="shared" ref="U192" si="147">AVERAGE(M126:P126)</f>
        <v>#DIV/0!</v>
      </c>
      <c r="V192" s="266" t="e">
        <f t="shared" ref="V192" si="148">AVERAGE(N126:Q126)</f>
        <v>#DIV/0!</v>
      </c>
    </row>
    <row r="193" spans="17:22" x14ac:dyDescent="0.2">
      <c r="Q193" s="315">
        <f t="shared" ref="Q193" si="149">TREND(J127:P127,J79:P79,Q79)</f>
        <v>0.23335621460597886</v>
      </c>
      <c r="R193" s="315">
        <f t="shared" ref="R193" si="150">TREND(K127:Q127,K79:Q79,R79)</f>
        <v>0.23837975185176258</v>
      </c>
      <c r="S193" s="315">
        <f t="shared" ref="S193" si="151">TREND(L127:R127,L79:R79,S79)</f>
        <v>0.23850407377676441</v>
      </c>
      <c r="T193" s="315">
        <f t="shared" ref="T193" si="152">TREND(M127:S127,M79:S79,T79)</f>
        <v>0.23868061131936355</v>
      </c>
      <c r="U193" s="315">
        <f t="shared" ref="U193" si="153">TREND(N127:T127,N79:T79,U79)</f>
        <v>0.23890588526610279</v>
      </c>
      <c r="V193" s="315" t="e">
        <f t="shared" ref="V193" si="154">TREND(O127:U127,O79:U79,V79)</f>
        <v>#VALUE!</v>
      </c>
    </row>
    <row r="194" spans="17:22" x14ac:dyDescent="0.2">
      <c r="Q194" s="316"/>
      <c r="R194" s="316"/>
      <c r="S194" s="316"/>
      <c r="T194" s="486"/>
      <c r="U194" s="266"/>
      <c r="V194" s="309"/>
    </row>
    <row r="195" spans="17:22" x14ac:dyDescent="0.2">
      <c r="Q195" s="319"/>
      <c r="R195" s="319"/>
      <c r="S195" s="319"/>
      <c r="T195" s="319"/>
      <c r="U195" s="266"/>
      <c r="V195" s="309"/>
    </row>
    <row r="196" spans="17:22" x14ac:dyDescent="0.2">
      <c r="Q196" s="307">
        <f>CHOOSE([2]Indicators!$E$2,Q137,Q137,Q137,Q137,Q139)</f>
        <v>0</v>
      </c>
      <c r="R196" s="307" t="e">
        <f>CHOOSE(A76,R137,R137,R137,R137,R139)</f>
        <v>#VALUE!</v>
      </c>
      <c r="S196" s="307" t="e">
        <f>CHOOSE(A76,S137,S137,S137,S137,S139)</f>
        <v>#VALUE!</v>
      </c>
      <c r="T196" s="307">
        <v>0.05</v>
      </c>
      <c r="U196" s="307">
        <v>0.05</v>
      </c>
      <c r="V196" s="307">
        <v>0.05</v>
      </c>
    </row>
    <row r="197" spans="17:22" x14ac:dyDescent="0.2">
      <c r="Q197" s="308">
        <v>3</v>
      </c>
      <c r="R197" s="308"/>
      <c r="S197" s="308"/>
      <c r="T197" s="487"/>
      <c r="U197" s="266"/>
      <c r="V197" s="309"/>
    </row>
    <row r="198" spans="17:22" x14ac:dyDescent="0.2">
      <c r="Q198" s="320">
        <v>0.13</v>
      </c>
      <c r="R198" s="320">
        <v>0.13</v>
      </c>
      <c r="S198" s="320">
        <v>0.13</v>
      </c>
      <c r="T198" s="320">
        <v>0.13</v>
      </c>
      <c r="U198" s="320">
        <v>0.13</v>
      </c>
      <c r="V198" s="320">
        <v>0.13</v>
      </c>
    </row>
    <row r="204" spans="17:22" x14ac:dyDescent="0.2">
      <c r="Q204" s="265" t="s">
        <v>615</v>
      </c>
    </row>
    <row r="205" spans="17:22" x14ac:dyDescent="0.2">
      <c r="Q205" s="323">
        <f>NA!BC279</f>
        <v>88245.604251016994</v>
      </c>
      <c r="R205" s="323">
        <f>NA!BD279</f>
        <v>90653.349147974441</v>
      </c>
      <c r="S205" s="323">
        <f>NA!BE279</f>
        <v>93034.801193091451</v>
      </c>
      <c r="T205" s="323">
        <f>NA!BF279</f>
        <v>94515.095168955057</v>
      </c>
      <c r="U205" s="323">
        <f>NA!BG279</f>
        <v>95786.55931929803</v>
      </c>
      <c r="V205" s="323">
        <f>NA!BH279</f>
        <v>96413.358804230593</v>
      </c>
    </row>
    <row r="206" spans="17:22" x14ac:dyDescent="0.2">
      <c r="Q206" s="414">
        <v>0.08</v>
      </c>
      <c r="R206" s="414">
        <v>8.4000000000000005E-2</v>
      </c>
      <c r="S206" s="414">
        <v>8.4000000000000005E-2</v>
      </c>
      <c r="T206" s="414"/>
      <c r="U206" s="401"/>
      <c r="V206" s="305"/>
    </row>
    <row r="207" spans="17:22" x14ac:dyDescent="0.2">
      <c r="Q207" s="267">
        <f>NA!BC221/NA!BB221-1</f>
        <v>0.67560098295468518</v>
      </c>
      <c r="R207" s="267">
        <f>NA!BD221/NA!BC221-1</f>
        <v>9.918980532221644E-2</v>
      </c>
      <c r="S207" s="267">
        <f>NA!BE221/NA!BD221-1</f>
        <v>0.17243542461633865</v>
      </c>
      <c r="T207" s="267">
        <f>NA!BF221/NA!BE221-1</f>
        <v>0.16361024742297925</v>
      </c>
      <c r="U207" s="267">
        <f>NA!BG221/NA!BF221-1</f>
        <v>0.28311468520424232</v>
      </c>
      <c r="V207" s="267">
        <f>NA!BH221/NA!BG221-1</f>
        <v>0.24169612435222221</v>
      </c>
    </row>
    <row r="208" spans="17:22" x14ac:dyDescent="0.2">
      <c r="Q208" s="475" t="e">
        <f>TREND(H208:N208,H202:N202,Q202)*0.5</f>
        <v>#VALUE!</v>
      </c>
      <c r="R208" s="475" t="e">
        <f>TREND(I208:O208,I202:O202,R202)*0.66</f>
        <v>#VALUE!</v>
      </c>
      <c r="S208" s="476" t="e">
        <f>TREND(J208:P208,J202:P202,S202)*2.5</f>
        <v>#VALUE!</v>
      </c>
      <c r="T208" s="476" t="e">
        <f>TREND(K208:Q208,K202:Q202,T202)*1.25</f>
        <v>#VALUE!</v>
      </c>
      <c r="U208" s="476" t="e">
        <f>TREND(L208:R208,L202:R202,U202)*1.15</f>
        <v>#VALUE!</v>
      </c>
      <c r="V208" s="418" t="e">
        <f>TREND(M208:S208,M202:S202,V202)*0.83</f>
        <v>#VALUE!</v>
      </c>
    </row>
    <row r="209" spans="17:22" x14ac:dyDescent="0.2">
      <c r="Q209" s="476" t="e">
        <f>TREND(L209:O209,L202:O202,Q202)*1.5</f>
        <v>#VALUE!</v>
      </c>
      <c r="R209" s="476" t="e">
        <f>TREND(L209:P209,L202:P202,R202)*1.06</f>
        <v>#VALUE!</v>
      </c>
      <c r="S209" s="476" t="e">
        <f>TREND(M209:Q209,M202:Q202,S202)*0.85</f>
        <v>#VALUE!</v>
      </c>
      <c r="T209" s="476" t="e">
        <f>TREND(N209:R209,N202:R202,T202)*0.9</f>
        <v>#VALUE!</v>
      </c>
      <c r="U209" s="476" t="e">
        <f>TREND(O209:S209,O202:S202,U202)*0.82</f>
        <v>#VALUE!</v>
      </c>
      <c r="V209" s="635" t="e">
        <f>TREND(P209:T209,P202:T202,V202)*0.85</f>
        <v>#VALUE!</v>
      </c>
    </row>
    <row r="210" spans="17:22" x14ac:dyDescent="0.2">
      <c r="Q210" s="476" t="e">
        <f>TREND(J210:P210,J202:P202,Q202)*1.2</f>
        <v>#VALUE!</v>
      </c>
      <c r="R210" s="476" t="e">
        <f>TREND(K210:Q210,K202:Q202,R202)*1.1</f>
        <v>#VALUE!</v>
      </c>
      <c r="S210" s="476" t="e">
        <f>TREND(L210:R210,L202:R202,S202)*0.92</f>
        <v>#VALUE!</v>
      </c>
      <c r="T210" s="476" t="e">
        <f>TREND(M210:S210,M202:S202,T202)*0.9</f>
        <v>#VALUE!</v>
      </c>
      <c r="U210" s="476" t="e">
        <f>TREND(N210:T210,N202:T202,U202)*0.91</f>
        <v>#VALUE!</v>
      </c>
      <c r="V210" s="476" t="e">
        <f>TREND(O210:U210,O202:U202,V202)*0.96</f>
        <v>#VALUE!</v>
      </c>
    </row>
    <row r="211" spans="17:22" x14ac:dyDescent="0.2">
      <c r="Q211" s="472" t="e">
        <f>TREND(J211:P211,J202:P202,Q202)*1.4</f>
        <v>#VALUE!</v>
      </c>
      <c r="R211" s="472" t="e">
        <f>TREND(K211:Q211,K202:Q202,R202)*0.8</f>
        <v>#VALUE!</v>
      </c>
      <c r="S211" s="472" t="e">
        <f>TREND(L211:R211,L202:R202,S202)*0.93</f>
        <v>#VALUE!</v>
      </c>
      <c r="T211" s="472" t="e">
        <f>TREND(M211:S211,M202:S202,T202)</f>
        <v>#VALUE!</v>
      </c>
      <c r="U211" s="472" t="e">
        <f>TREND(N211:T211,N202:T202,U202)*0.9</f>
        <v>#VALUE!</v>
      </c>
      <c r="V211" s="472" t="e">
        <f t="shared" ref="V211" si="155">TREND(O211:U211,O202:U202,V202)</f>
        <v>#VALUE!</v>
      </c>
    </row>
    <row r="212" spans="17:22" x14ac:dyDescent="0.2">
      <c r="Q212" s="287"/>
      <c r="R212" s="287"/>
      <c r="S212" s="287"/>
      <c r="T212" s="397"/>
      <c r="U212" s="266"/>
    </row>
    <row r="213" spans="17:22" x14ac:dyDescent="0.2">
      <c r="Q213" s="476" t="e">
        <f>TREND(M213:P213,M202:P202,Q202)*1.1</f>
        <v>#VALUE!</v>
      </c>
      <c r="R213" s="476" t="e">
        <f>TREND(O213:Q213,O202:Q202,R202)*0.8</f>
        <v>#VALUE!</v>
      </c>
      <c r="S213" s="476" t="e">
        <f>TREND(Q213:R213,Q202:R202,S202)*1</f>
        <v>#VALUE!</v>
      </c>
      <c r="T213" s="476" t="e">
        <f>TREND(Q213:S213,Q202:S202,T202)*1.3</f>
        <v>#VALUE!</v>
      </c>
      <c r="U213" s="476" t="e">
        <f>TREND(R213:T213,R202:T202,U202)*1</f>
        <v>#VALUE!</v>
      </c>
      <c r="V213" s="476" t="e">
        <f>TREND(S213:U213,S202:U202,V202)*0.9</f>
        <v>#VALUE!</v>
      </c>
    </row>
    <row r="214" spans="17:22" x14ac:dyDescent="0.2">
      <c r="Q214" s="476" t="e">
        <f>TREND(I214:P214,I202:P202,Q202)*1.6</f>
        <v>#VALUE!</v>
      </c>
      <c r="R214" s="476" t="e">
        <f>TREND(J214:Q214,J202:Q202,R202)*1.3</f>
        <v>#VALUE!</v>
      </c>
      <c r="S214" s="476" t="e">
        <f>TREND(K214:R214,K202:R202,S202)*1.2</f>
        <v>#VALUE!</v>
      </c>
      <c r="T214" s="476" t="e">
        <f>TREND(L214:S214,L202:S202,T202)*1.95</f>
        <v>#VALUE!</v>
      </c>
      <c r="U214" s="476" t="e">
        <f>TREND(M214:T214,M202:T202,U202)*1.1</f>
        <v>#VALUE!</v>
      </c>
      <c r="V214" s="476" t="e">
        <f>TREND(N214:U214,N202:U202,V202)*1</f>
        <v>#VALUE!</v>
      </c>
    </row>
    <row r="215" spans="17:22" x14ac:dyDescent="0.2">
      <c r="Q215" s="476" t="e">
        <f>TREND(N215:P215,N202:P202,Q202)*0.65</f>
        <v>#VALUE!</v>
      </c>
      <c r="R215" s="490" t="e">
        <f>TREND(O215:Q215,O202:Q202,R202)*1.03</f>
        <v>#VALUE!</v>
      </c>
      <c r="S215" s="490" t="e">
        <f>TREND(P215:R215,P202:R202,S202)*1.2</f>
        <v>#VALUE!</v>
      </c>
      <c r="T215" s="490" t="e">
        <f>TREND(Q215:S215,Q202:S202,T202)*1.95</f>
        <v>#VALUE!</v>
      </c>
      <c r="U215" s="490" t="e">
        <f>TREND(R215:T215,R202:T202,U202)*1</f>
        <v>#VALUE!</v>
      </c>
      <c r="V215" s="490" t="e">
        <f>TREND(S215:U215,S202:U202,V202)*1.5</f>
        <v>#VALUE!</v>
      </c>
    </row>
    <row r="216" spans="17:22" x14ac:dyDescent="0.2">
      <c r="Q216" s="476" t="e">
        <f>TREND(I216:P216,I202:P202,Q202)*0.8</f>
        <v>#VALUE!</v>
      </c>
      <c r="R216" s="476" t="e">
        <f>TREND(J216:Q216,J202:Q202,R202)*1.2</f>
        <v>#VALUE!</v>
      </c>
      <c r="S216" s="476" t="e">
        <f>TREND(K216:R216,K202:R202,S202)*1.07</f>
        <v>#VALUE!</v>
      </c>
      <c r="T216" s="476" t="e">
        <f>TREND(L216:S216,L202:S202,T202)*0.9</f>
        <v>#VALUE!</v>
      </c>
      <c r="U216" s="476" t="e">
        <f>TREND(M216:T216,M202:T202,U202)*0.77</f>
        <v>#VALUE!</v>
      </c>
      <c r="V216" s="476" t="e">
        <f>TREND(N216:U216,N202:U202,V202)*0.9</f>
        <v>#VALUE!</v>
      </c>
    </row>
    <row r="217" spans="17:22" x14ac:dyDescent="0.2">
      <c r="Q217" s="476">
        <f>P217*(P217/$J$85)^(1/6)*0.75</f>
        <v>0</v>
      </c>
      <c r="R217" s="476">
        <f>Q217*(Q217/$J$85)^(1/6)*1</f>
        <v>0</v>
      </c>
      <c r="S217" s="476">
        <f>R217*(R217/$J$85)^(1/6)*0.85</f>
        <v>0</v>
      </c>
      <c r="T217" s="476">
        <f>S217*(S217/$J$85)^(1/6)*1.6</f>
        <v>0</v>
      </c>
      <c r="U217" s="476">
        <f>T217*(T217/$J$85)^(1/6)*0.8</f>
        <v>0</v>
      </c>
      <c r="V217" s="476">
        <f>U217*(U217/$J$85)^(1/6)*0.7</f>
        <v>0</v>
      </c>
    </row>
    <row r="218" spans="17:22" x14ac:dyDescent="0.2">
      <c r="Q218" s="477"/>
      <c r="R218" s="477"/>
      <c r="S218" s="477"/>
      <c r="T218" s="489"/>
      <c r="U218" s="266"/>
    </row>
    <row r="219" spans="17:22" x14ac:dyDescent="0.2">
      <c r="Q219" s="476" t="e">
        <f>TREND(J219:P219,J202:P202,Q202)*1.3</f>
        <v>#VALUE!</v>
      </c>
      <c r="R219" s="476" t="e">
        <f>TREND(K219:Q219,K202:Q202,R202)*1.06</f>
        <v>#VALUE!</v>
      </c>
      <c r="S219" s="476" t="e">
        <f>TREND(L219:R219,L202:R202,S202)*1.1</f>
        <v>#VALUE!</v>
      </c>
      <c r="T219" s="476" t="e">
        <f>TREND(M219:S219,M202:S202,T202)*0.95</f>
        <v>#VALUE!</v>
      </c>
      <c r="U219" s="476" t="e">
        <f>TREND(N219:T219,N202:T202,U202)*0.7</f>
        <v>#VALUE!</v>
      </c>
      <c r="V219" s="476" t="e">
        <f>TREND(O219:U219,O202:U202,V202)*0.8</f>
        <v>#VALUE!</v>
      </c>
    </row>
    <row r="220" spans="17:22" x14ac:dyDescent="0.2">
      <c r="Q220" s="476" t="e">
        <f>TREND(H220:P220,H202:P202,Q202)*0.62</f>
        <v>#VALUE!</v>
      </c>
      <c r="R220" s="476" t="e">
        <f>TREND(I220:Q220,I202:Q202,R202)*0.8</f>
        <v>#VALUE!</v>
      </c>
      <c r="S220" s="476" t="e">
        <f>TREND(J220:R220,J202:R202,S202)*0.97</f>
        <v>#VALUE!</v>
      </c>
      <c r="T220" s="476" t="e">
        <f>TREND(K220:S220,K202:S202,T202)*1.02</f>
        <v>#VALUE!</v>
      </c>
      <c r="U220" s="476" t="e">
        <f>TREND(L220:T220,L202:T202,U202)*1.5</f>
        <v>#VALUE!</v>
      </c>
      <c r="V220" s="476" t="e">
        <f>TREND(M220:U220,M202:U202,V202)*1.7</f>
        <v>#VALUE!</v>
      </c>
    </row>
    <row r="221" spans="17:22" x14ac:dyDescent="0.2">
      <c r="Q221" s="476" t="e">
        <f>TREND(J221:P221,J202:P202,Q202)</f>
        <v>#VALUE!</v>
      </c>
      <c r="R221" s="476" t="e">
        <f>TREND(K221:Q221,K202:Q202,R202)*0.97</f>
        <v>#VALUE!</v>
      </c>
      <c r="S221" s="476" t="e">
        <f>TREND(L221:R221,L202:R202,S202)*0.9</f>
        <v>#VALUE!</v>
      </c>
      <c r="T221" s="476" t="e">
        <f>TREND(M221:S221,M202:S202,T202)*0.79</f>
        <v>#VALUE!</v>
      </c>
      <c r="U221" s="476" t="e">
        <f>TREND(N221:T221,N202:T202,U202)*0.7</f>
        <v>#VALUE!</v>
      </c>
      <c r="V221" s="476" t="e">
        <f>TREND(O221:U221,O202:U202,V202)*0.99</f>
        <v>#VALUE!</v>
      </c>
    </row>
    <row r="222" spans="17:22" x14ac:dyDescent="0.2">
      <c r="Q222" s="476" t="e">
        <f>L222*(L222/I222)^(1/3)*0.3</f>
        <v>#DIV/0!</v>
      </c>
      <c r="R222" s="476" t="e">
        <f>M222*(M222/J222)^(1/3)*1.08</f>
        <v>#DIV/0!</v>
      </c>
      <c r="S222" s="476" t="e">
        <f>N222*(N222/K222)^(1/3)*0.4</f>
        <v>#DIV/0!</v>
      </c>
      <c r="T222" s="476" t="e">
        <f>O222*(O222/L222)^(1/3)*0.77</f>
        <v>#DIV/0!</v>
      </c>
      <c r="U222" s="476" t="e">
        <f>P222*(P222/M222)^(1/3)*1.09</f>
        <v>#DIV/0!</v>
      </c>
      <c r="V222" s="476" t="e">
        <f>Q222*(Q222/N222)^(1/3)*1.45</f>
        <v>#DIV/0!</v>
      </c>
    </row>
    <row r="223" spans="17:22" x14ac:dyDescent="0.2">
      <c r="Q223" s="476" t="e">
        <f>M223*(M223/I223)^(1/4)*0.85</f>
        <v>#DIV/0!</v>
      </c>
      <c r="R223" s="476" t="e">
        <f>N223*(N223/J223)^(1/4)*3.1</f>
        <v>#DIV/0!</v>
      </c>
      <c r="S223" s="476" t="e">
        <f>O223*(O223/K223)^(1/4)*2.2</f>
        <v>#DIV/0!</v>
      </c>
      <c r="T223" s="476" t="e">
        <f>P223*(P223/L223)^(1/4)</f>
        <v>#DIV/0!</v>
      </c>
      <c r="U223" s="476" t="e">
        <f>Q223*(Q223/M223)^(1/4)*0.9</f>
        <v>#DIV/0!</v>
      </c>
      <c r="V223" s="476" t="e">
        <f>R223*(R223/N223)^(1/4)*0.75</f>
        <v>#DIV/0!</v>
      </c>
    </row>
    <row r="224" spans="17:22" x14ac:dyDescent="0.2">
      <c r="Q224" s="458"/>
      <c r="R224" s="458"/>
      <c r="S224" s="458"/>
      <c r="T224" s="264"/>
      <c r="U224" s="266"/>
    </row>
    <row r="225" spans="17:22" x14ac:dyDescent="0.2">
      <c r="Q225" s="476" t="e">
        <f>TREND(I225:P225,I202:P202,Q202)*1.6</f>
        <v>#VALUE!</v>
      </c>
      <c r="R225" s="476" t="e">
        <f>TREND(M225:Q225,M202:Q202,R202)*1.1</f>
        <v>#VALUE!</v>
      </c>
      <c r="S225" s="476" t="e">
        <f>TREND(K225:R225,K202:R202,S202)*8.5</f>
        <v>#VALUE!</v>
      </c>
      <c r="T225" s="476" t="e">
        <f>TREND(L225:S225,L202:S202,T202)*4.8</f>
        <v>#VALUE!</v>
      </c>
      <c r="U225" s="476" t="e">
        <f>TREND(M225:T225,M202:T202,U202)*1.07</f>
        <v>#VALUE!</v>
      </c>
      <c r="V225" s="476" t="e">
        <f>TREND(N225:U225,N202:U202,V202)*0.9</f>
        <v>#VALUE!</v>
      </c>
    </row>
    <row r="226" spans="17:22" x14ac:dyDescent="0.2">
      <c r="Q226" s="476" t="e">
        <f>TREND(I226:P226,I202:P202,Q202)*0.44</f>
        <v>#VALUE!</v>
      </c>
      <c r="R226" s="476" t="e">
        <f>TREND(J226:Q226,J202:Q202,R202)*0.44</f>
        <v>#VALUE!</v>
      </c>
      <c r="S226" s="476" t="e">
        <f>TREND(K226:R226,K202:R202,S202)*0.65</f>
        <v>#VALUE!</v>
      </c>
      <c r="T226" s="476" t="e">
        <f>TREND(L226:S226,L202:S202,T202)*0.95</f>
        <v>#VALUE!</v>
      </c>
      <c r="U226" s="476" t="e">
        <f>TREND(M226:T226,M202:T202,U202)*2.6</f>
        <v>#VALUE!</v>
      </c>
      <c r="V226" s="476" t="e">
        <f>TREND(N226:U226,N202:U202,V202)*2.01</f>
        <v>#VALUE!</v>
      </c>
    </row>
    <row r="227" spans="17:22" x14ac:dyDescent="0.2">
      <c r="Q227" s="476" t="e">
        <f>TREND(M227:P227,M202:P202,Q202)*1.2</f>
        <v>#VALUE!</v>
      </c>
      <c r="R227" s="476" t="e">
        <f>TREND(N227:Q227,N202:Q202,R202)*1.2</f>
        <v>#VALUE!</v>
      </c>
      <c r="S227" s="476" t="e">
        <f>TREND(O227:R227,O202:R202,S202)*1.001</f>
        <v>#VALUE!</v>
      </c>
      <c r="T227" s="476" t="e">
        <f>TREND(P227:S227,P202:S202,T202)*0.998</f>
        <v>#VALUE!</v>
      </c>
      <c r="U227" s="476" t="e">
        <f>TREND(Q227:T227,Q202:T202,U202)*1.05</f>
        <v>#VALUE!</v>
      </c>
      <c r="V227" s="476" t="e">
        <f t="shared" ref="V227" si="156">TREND(R227:U227,R202:U202,V202)*0.985</f>
        <v>#VALUE!</v>
      </c>
    </row>
    <row r="228" spans="17:22" x14ac:dyDescent="0.2">
      <c r="Q228" s="476" t="e">
        <f>TREND(I228:P228,I202:P202,Q202)*0.9</f>
        <v>#VALUE!</v>
      </c>
      <c r="R228" s="476" t="e">
        <f>TREND(J228:Q228,J202:Q202,R202)*0.86</f>
        <v>#VALUE!</v>
      </c>
      <c r="S228" s="476" t="e">
        <f>TREND(K228:R228,K202:R202,S202)*0.86</f>
        <v>#VALUE!</v>
      </c>
      <c r="T228" s="476" t="e">
        <f>TREND(L228:S228,L202:S202,T202)*0.85</f>
        <v>#VALUE!</v>
      </c>
      <c r="U228" s="476" t="e">
        <f>TREND(M228:T228,M202:T202,U202)*0.99</f>
        <v>#VALUE!</v>
      </c>
      <c r="V228" s="476" t="e">
        <f>TREND(N228:U228,N202:U202,V202)*1.12</f>
        <v>#VALUE!</v>
      </c>
    </row>
    <row r="229" spans="17:22" x14ac:dyDescent="0.2">
      <c r="Q229" s="476" t="e">
        <f t="shared" ref="Q229" si="157">TREND(I229:P229,I202:P202,Q202)</f>
        <v>#VALUE!</v>
      </c>
      <c r="R229" s="476" t="e">
        <f t="shared" ref="R229" si="158">TREND(J229:Q229,J202:Q202,R202)</f>
        <v>#VALUE!</v>
      </c>
      <c r="S229" s="476" t="e">
        <f t="shared" ref="S229" si="159">TREND(K229:R229,K202:R202,S202)</f>
        <v>#VALUE!</v>
      </c>
      <c r="T229" s="476" t="e">
        <f t="shared" ref="T229" si="160">TREND(L229:S229,L202:S202,T202)</f>
        <v>#VALUE!</v>
      </c>
      <c r="U229" s="476" t="e">
        <f>TREND(M229:T229,M202:T202,U202)*0.9</f>
        <v>#VALUE!</v>
      </c>
      <c r="V229" s="476" t="e">
        <f>TREND(N229:U229,N202:U202,V202)*0.95</f>
        <v>#VALUE!</v>
      </c>
    </row>
    <row r="230" spans="17:22" x14ac:dyDescent="0.2">
      <c r="Q230" s="292"/>
      <c r="R230" s="292"/>
      <c r="S230" s="292"/>
      <c r="T230" s="403"/>
      <c r="U230" s="266"/>
    </row>
    <row r="231" spans="17:22" x14ac:dyDescent="0.2">
      <c r="Q231" s="316" t="e">
        <f>TREND(N231:P231,N202:P202,Q202)*0.9</f>
        <v>#VALUE!</v>
      </c>
      <c r="R231" s="316" t="e">
        <f>TREND(O231:Q231,O202:Q202,R202)*0.2</f>
        <v>#VALUE!</v>
      </c>
      <c r="S231" s="316" t="e">
        <f>TREND(P231:R231,P202:R202,S202)*0.9</f>
        <v>#VALUE!</v>
      </c>
      <c r="T231" s="316" t="e">
        <f>TREND(Q231:S231,Q202:S202,T202)*0.1</f>
        <v>#VALUE!</v>
      </c>
      <c r="U231" s="316" t="e">
        <f>TREND(R231:T231,R202:T202,U202)*0.7</f>
        <v>#VALUE!</v>
      </c>
      <c r="V231" s="316" t="e">
        <f>TREND(S231:U231,S202:U202,V202)*0.5</f>
        <v>#VALUE!</v>
      </c>
    </row>
    <row r="232" spans="17:22" x14ac:dyDescent="0.2">
      <c r="Q232" s="292"/>
      <c r="R232" s="292"/>
      <c r="S232" s="292"/>
      <c r="T232" s="403"/>
      <c r="U232" s="266"/>
    </row>
    <row r="233" spans="17:22" x14ac:dyDescent="0.2">
      <c r="Q233" s="316" t="e">
        <f t="shared" ref="Q233" si="161">TREND(J233:P233,J202:P202,Q202)</f>
        <v>#VALUE!</v>
      </c>
      <c r="R233" s="316" t="e">
        <f>TREND(K233:Q233,K202:Q202,R202)*1.1</f>
        <v>#VALUE!</v>
      </c>
      <c r="S233" s="316" t="e">
        <f>TREND(L233:R233,L202:R202,S202)*0.9</f>
        <v>#VALUE!</v>
      </c>
      <c r="T233" s="316" t="e">
        <f>TREND(M233:S233,M202:S202,T202)*0.95</f>
        <v>#VALUE!</v>
      </c>
      <c r="U233" s="316" t="e">
        <f>TREND(N233:T233,N202:T202,U202)*0.8</f>
        <v>#VALUE!</v>
      </c>
      <c r="V233" s="316" t="e">
        <f t="shared" ref="V233" si="162">TREND(O233:U233,O202:U202,V202)*0.95</f>
        <v>#VALUE!</v>
      </c>
    </row>
    <row r="234" spans="17:22" x14ac:dyDescent="0.2">
      <c r="Q234" s="373">
        <v>6.9769841758430484E-2</v>
      </c>
      <c r="R234" s="373">
        <v>6.9769841758430484E-2</v>
      </c>
      <c r="S234" s="373">
        <v>6.9769841758430484E-2</v>
      </c>
      <c r="T234" s="373">
        <v>6.9769841758430484E-2</v>
      </c>
      <c r="U234" s="373">
        <v>6.9769841758430484E-2</v>
      </c>
      <c r="V234" s="373">
        <v>6.9769841758430484E-2</v>
      </c>
    </row>
    <row r="235" spans="17:22" x14ac:dyDescent="0.2">
      <c r="Q235" s="374"/>
      <c r="R235" s="374"/>
      <c r="S235" s="374"/>
      <c r="T235" s="488"/>
      <c r="U235" s="266"/>
    </row>
    <row r="236" spans="17:22" x14ac:dyDescent="0.2">
      <c r="Q236" s="300">
        <f>NA!BC248/NA!BB248-1</f>
        <v>5.5907570673217499E-2</v>
      </c>
      <c r="R236" s="300">
        <f>NA!BD248/NA!BC248-1</f>
        <v>5.7804874070896961E-2</v>
      </c>
      <c r="S236" s="300">
        <f>NA!BE248/NA!BD248-1</f>
        <v>5.8692066142065125E-2</v>
      </c>
      <c r="T236" s="300">
        <f>NA!BF248/NA!BE248-1</f>
        <v>6.034761002638156E-2</v>
      </c>
      <c r="U236" s="300">
        <f>NA!BG248/NA!BF248-1</f>
        <v>6.1361689668580022E-2</v>
      </c>
      <c r="V236" s="300">
        <f>NA!BH248/NA!BG248-1</f>
        <v>6.249715379502252E-2</v>
      </c>
    </row>
    <row r="237" spans="17:22" x14ac:dyDescent="0.2">
      <c r="Q237" s="475" t="e">
        <f>TREND(L237:P237,L136:P136,Q136)*0.5</f>
        <v>#VALUE!</v>
      </c>
      <c r="R237" s="475" t="e">
        <f t="shared" ref="R237" si="163">TREND(M237:Q237,M136:Q136,R136)*0.5</f>
        <v>#VALUE!</v>
      </c>
      <c r="S237" s="475" t="e">
        <f t="shared" ref="S237" si="164">TREND(N237:R237,N136:R136,S136)*0.5</f>
        <v>#VALUE!</v>
      </c>
      <c r="T237" s="475" t="e">
        <f t="shared" ref="T237" si="165">TREND(O237:S237,O136:S136,T136)*0.5</f>
        <v>#VALUE!</v>
      </c>
      <c r="U237" s="475" t="e">
        <f t="shared" ref="U237" si="166">TREND(P237:T237,P136:T136,U136)*0.5</f>
        <v>#VALUE!</v>
      </c>
      <c r="V237" s="475" t="e">
        <f t="shared" ref="V237" si="167">TREND(Q237:U237,Q136:U136,V136)*0.5</f>
        <v>#VALUE!</v>
      </c>
    </row>
    <row r="238" spans="17:22" x14ac:dyDescent="0.2">
      <c r="Q238" s="475" t="e">
        <f>TREND(L238:O238,L136:O136,Q136)*0.4</f>
        <v>#VALUE!</v>
      </c>
      <c r="R238" s="475" t="e">
        <f>TREND(M238:P238,M136:P136,R136)</f>
        <v>#VALUE!</v>
      </c>
      <c r="S238" s="475" t="e">
        <f>TREND(N238:Q238,N136:Q136,S136)</f>
        <v>#VALUE!</v>
      </c>
      <c r="T238" s="475" t="e">
        <f>TREND(O238:R238,O136:R136,T136)*0.3</f>
        <v>#VALUE!</v>
      </c>
      <c r="U238" s="475" t="e">
        <f t="shared" ref="U238" si="168">TREND(P238:S238,P136:S136,U136)*0.3</f>
        <v>#VALUE!</v>
      </c>
      <c r="V238" s="475" t="e">
        <f t="shared" ref="V238" si="169">TREND(Q238:T238,Q136:T136,V136)*0.3</f>
        <v>#VALUE!</v>
      </c>
    </row>
    <row r="239" spans="17:22" x14ac:dyDescent="0.2">
      <c r="Q239" s="475" t="e">
        <f>TREND(L239:P239,L136:P136,Q136)*0.8</f>
        <v>#VALUE!</v>
      </c>
      <c r="R239" s="475" t="e">
        <f>TREND(M239:Q239,M136:Q136,R136)*0.6</f>
        <v>#VALUE!</v>
      </c>
      <c r="S239" s="475" t="e">
        <f>TREND(N239:R239,N136:R136,S136)*0.5</f>
        <v>#VALUE!</v>
      </c>
      <c r="T239" s="475" t="e">
        <f t="shared" ref="T239" si="170">TREND(O239:S239,O136:S136,T136)</f>
        <v>#VALUE!</v>
      </c>
      <c r="U239" s="475" t="e">
        <f t="shared" ref="U239" si="171">TREND(P239:T239,P136:T136,U136)</f>
        <v>#VALUE!</v>
      </c>
      <c r="V239" s="475" t="e">
        <f t="shared" ref="V239" si="172">TREND(Q239:U239,Q136:U136,V136)</f>
        <v>#VALUE!</v>
      </c>
    </row>
    <row r="240" spans="17:22" x14ac:dyDescent="0.2">
      <c r="Q240" s="475">
        <v>2</v>
      </c>
      <c r="R240" s="475" t="e">
        <f>TREND(L240:P240,L136:P136,Q136)*0.4</f>
        <v>#VALUE!</v>
      </c>
      <c r="S240" s="475" t="e">
        <f>TREND(M240:Q240,M136:Q136,R136)*0.4</f>
        <v>#VALUE!</v>
      </c>
      <c r="T240" s="475" t="e">
        <f t="shared" ref="T240" si="173">TREND(N240:R240,N136:R136,S136)*0.6</f>
        <v>#VALUE!</v>
      </c>
      <c r="U240" s="475" t="e">
        <f t="shared" ref="U240" si="174">TREND(O240:S240,O136:S136,T136)*0.6</f>
        <v>#VALUE!</v>
      </c>
      <c r="V240" s="475" t="e">
        <f>TREND(P240:T240,P136:T136,U136)*0.4</f>
        <v>#VALUE!</v>
      </c>
    </row>
    <row r="241" spans="17:22" x14ac:dyDescent="0.2">
      <c r="Q241" s="292"/>
      <c r="R241" s="292"/>
      <c r="S241" s="292"/>
      <c r="T241" s="403"/>
      <c r="U241" s="403"/>
      <c r="V241" s="403"/>
    </row>
    <row r="242" spans="17:22" x14ac:dyDescent="0.2">
      <c r="Q242" s="475">
        <v>3.3</v>
      </c>
      <c r="R242" s="475" t="e">
        <f>TREND(L242:P242,L136:P136,Q136)*0.5</f>
        <v>#VALUE!</v>
      </c>
      <c r="S242" s="475" t="e">
        <f t="shared" ref="S242" si="175">TREND(M242:Q242,M136:Q136,R136)*0.5</f>
        <v>#VALUE!</v>
      </c>
      <c r="T242" s="475" t="e">
        <f t="shared" ref="T242" si="176">TREND(N242:R242,N136:R136,S136)*0.5</f>
        <v>#VALUE!</v>
      </c>
      <c r="U242" s="475" t="e">
        <f t="shared" ref="U242" si="177">TREND(O242:S242,O136:S136,T136)*0.5</f>
        <v>#VALUE!</v>
      </c>
      <c r="V242" s="475" t="e">
        <f t="shared" ref="V242" si="178">TREND(P242:T242,P136:T136,U136)*0.5</f>
        <v>#VALUE!</v>
      </c>
    </row>
    <row r="243" spans="17:22" x14ac:dyDescent="0.2">
      <c r="Q243" s="475">
        <v>4</v>
      </c>
      <c r="R243" s="475" t="e">
        <f>TREND(N243:P243,N136:P136,Q136)*0.3</f>
        <v>#VALUE!</v>
      </c>
      <c r="S243" s="475" t="e">
        <f t="shared" ref="S243" si="179">TREND(O243:Q243,O136:Q136,R136)*0.2</f>
        <v>#VALUE!</v>
      </c>
      <c r="T243" s="475" t="e">
        <f t="shared" ref="T243" si="180">TREND(P243:R243,P136:R136,S136)*0.2</f>
        <v>#VALUE!</v>
      </c>
      <c r="U243" s="475" t="e">
        <f t="shared" ref="U243" si="181">TREND(Q243:S243,Q136:S136,T136)*0.2</f>
        <v>#VALUE!</v>
      </c>
      <c r="V243" s="475" t="e">
        <f t="shared" ref="V243" si="182">TREND(R243:T243,R136:T136,U136)*0.2</f>
        <v>#VALUE!</v>
      </c>
    </row>
    <row r="244" spans="17:22" x14ac:dyDescent="0.2">
      <c r="Q244" s="292"/>
      <c r="R244" s="292"/>
      <c r="S244" s="292"/>
      <c r="T244" s="403"/>
      <c r="U244" s="403"/>
      <c r="V244" s="403"/>
    </row>
    <row r="245" spans="17:22" x14ac:dyDescent="0.2">
      <c r="Q245" s="475">
        <v>0.3</v>
      </c>
      <c r="R245" s="475" t="e">
        <f>TREND(L245:P245,L136:P136,Q136)</f>
        <v>#VALUE!</v>
      </c>
      <c r="S245" s="475" t="e">
        <f t="shared" ref="S245" si="183">TREND(M245:Q245,M136:Q136,R136)</f>
        <v>#VALUE!</v>
      </c>
      <c r="T245" s="475" t="e">
        <f t="shared" ref="T245" si="184">TREND(N245:R245,N136:R136,S136)</f>
        <v>#VALUE!</v>
      </c>
      <c r="U245" s="475" t="e">
        <f>TREND(O245:S245,O136:S136,T136)*0.6</f>
        <v>#VALUE!</v>
      </c>
      <c r="V245" s="475" t="e">
        <f>TREND(P245:T245,P136:T136,U136)*0.2</f>
        <v>#VALUE!</v>
      </c>
    </row>
    <row r="246" spans="17:22" x14ac:dyDescent="0.2">
      <c r="U246" s="266"/>
    </row>
    <row r="247" spans="17:22" x14ac:dyDescent="0.2">
      <c r="U247" s="266"/>
    </row>
    <row r="248" spans="17:22" x14ac:dyDescent="0.2">
      <c r="Q248" s="312" t="e">
        <f t="shared" ref="Q248" si="185">TREND(O182:P182,O136:P136,Q136)*0.99</f>
        <v>#VALUE!</v>
      </c>
      <c r="R248" s="312" t="e">
        <f t="shared" ref="R248" si="186">TREND(P182:Q182,P136:Q136,R136)*0.99</f>
        <v>#VALUE!</v>
      </c>
      <c r="S248" s="312" t="e">
        <f t="shared" ref="S248" si="187">TREND(Q182:R182,Q136:R136,S136)*0.99</f>
        <v>#VALUE!</v>
      </c>
      <c r="T248" s="312" t="e">
        <f t="shared" ref="T248" si="188">TREND(R182:S182,R136:S136,T136)*0.99</f>
        <v>#VALUE!</v>
      </c>
      <c r="U248" s="312" t="e">
        <f t="shared" ref="U248" si="189">TREND(S182:T182,S136:T136,U136)*0.99</f>
        <v>#VALUE!</v>
      </c>
      <c r="V248" s="312" t="e">
        <f t="shared" ref="V248" si="190">TREND(T182:U182,T136:U136,V136)*0.99</f>
        <v>#VALUE!</v>
      </c>
    </row>
    <row r="249" spans="17:22" x14ac:dyDescent="0.2">
      <c r="Q249" s="266" t="e">
        <f t="shared" ref="Q249" si="191">AVERAGE(I183:L183)</f>
        <v>#DIV/0!</v>
      </c>
      <c r="R249" s="266" t="e">
        <f t="shared" ref="R249" si="192">AVERAGE(J183:M183)</f>
        <v>#DIV/0!</v>
      </c>
      <c r="S249" s="266" t="e">
        <f t="shared" ref="S249" si="193">AVERAGE(K183:N183)</f>
        <v>#DIV/0!</v>
      </c>
      <c r="T249" s="266" t="e">
        <f t="shared" ref="T249" si="194">AVERAGE(L183:O183)</f>
        <v>#DIV/0!</v>
      </c>
      <c r="U249" s="266" t="e">
        <f t="shared" ref="U249" si="195">AVERAGE(M183:P183)</f>
        <v>#DIV/0!</v>
      </c>
      <c r="V249" s="266">
        <f t="shared" ref="V249" si="196">AVERAGE(N183:Q183)</f>
        <v>2</v>
      </c>
    </row>
    <row r="250" spans="17:22" x14ac:dyDescent="0.2">
      <c r="Q250" s="315" t="e">
        <f t="shared" ref="Q250" si="197">TREND(J184:P184,J136:P136,Q136)</f>
        <v>#VALUE!</v>
      </c>
      <c r="R250" s="315" t="e">
        <f t="shared" ref="R250" si="198">TREND(K184:Q184,K136:Q136,R136)</f>
        <v>#VALUE!</v>
      </c>
      <c r="S250" s="315" t="e">
        <f t="shared" ref="S250" si="199">TREND(L184:R184,L136:R136,S136)</f>
        <v>#VALUE!</v>
      </c>
      <c r="T250" s="315" t="e">
        <f t="shared" ref="T250" si="200">TREND(M184:S184,M136:S136,T136)</f>
        <v>#VALUE!</v>
      </c>
      <c r="U250" s="315" t="e">
        <f t="shared" ref="U250" si="201">TREND(N184:T184,N136:T136,U136)</f>
        <v>#VALUE!</v>
      </c>
      <c r="V250" s="315" t="e">
        <f t="shared" ref="V250" si="202">TREND(O184:U184,O136:U136,V136)</f>
        <v>#VALUE!</v>
      </c>
    </row>
    <row r="251" spans="17:22" x14ac:dyDescent="0.2">
      <c r="Q251" s="316"/>
      <c r="R251" s="316"/>
      <c r="S251" s="316"/>
      <c r="T251" s="486"/>
      <c r="U251" s="266"/>
      <c r="V251" s="309"/>
    </row>
    <row r="252" spans="17:22" x14ac:dyDescent="0.2">
      <c r="Q252" s="319"/>
      <c r="R252" s="319"/>
      <c r="S252" s="319"/>
      <c r="T252" s="319"/>
      <c r="U252" s="266"/>
      <c r="V252" s="309"/>
    </row>
    <row r="253" spans="17:22" x14ac:dyDescent="0.2">
      <c r="Q253" s="307">
        <f>CHOOSE([2]Indicators!$E$2,Q194,Q194,Q194,Q194,Q196)</f>
        <v>0</v>
      </c>
      <c r="R253" s="307" t="e">
        <f>CHOOSE(A133,R194,R194,R194,R194,R196)</f>
        <v>#VALUE!</v>
      </c>
      <c r="S253" s="307" t="e">
        <f>CHOOSE(A133,S194,S194,S194,S194,S196)</f>
        <v>#VALUE!</v>
      </c>
      <c r="T253" s="307">
        <v>0.05</v>
      </c>
      <c r="U253" s="307">
        <v>0.05</v>
      </c>
      <c r="V253" s="307">
        <v>0.05</v>
      </c>
    </row>
    <row r="254" spans="17:22" x14ac:dyDescent="0.2">
      <c r="Q254" s="308">
        <v>3</v>
      </c>
      <c r="R254" s="308"/>
      <c r="S254" s="308"/>
      <c r="T254" s="487"/>
      <c r="U254" s="266"/>
      <c r="V254" s="309"/>
    </row>
    <row r="255" spans="17:22" x14ac:dyDescent="0.2">
      <c r="Q255" s="320">
        <v>0.13</v>
      </c>
      <c r="R255" s="320">
        <v>0.13</v>
      </c>
      <c r="S255" s="320">
        <v>0.13</v>
      </c>
      <c r="T255" s="320">
        <v>0.13</v>
      </c>
      <c r="U255" s="320">
        <v>0.13</v>
      </c>
      <c r="V255" s="320">
        <v>0.13</v>
      </c>
    </row>
  </sheetData>
  <phoneticPr fontId="0" type="noConversion"/>
  <pageMargins left="0.75" right="0.75" top="1" bottom="1" header="0.5" footer="0.5"/>
  <pageSetup scale="56"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Z326"/>
  <sheetViews>
    <sheetView tabSelected="1" topLeftCell="E1" zoomScale="87" zoomScaleNormal="87" workbookViewId="0">
      <pane xSplit="1" ySplit="4" topLeftCell="G35" activePane="bottomRight" state="frozen"/>
      <selection activeCell="E2" sqref="E2"/>
      <selection pane="topRight" activeCell="E2" sqref="E2"/>
      <selection pane="bottomLeft" activeCell="E2" sqref="E2"/>
      <selection pane="bottomRight" activeCell="E2" sqref="E2"/>
    </sheetView>
  </sheetViews>
  <sheetFormatPr defaultRowHeight="12.75" x14ac:dyDescent="0.2"/>
  <cols>
    <col min="5" max="5" width="34" customWidth="1"/>
    <col min="6" max="7" width="9.85546875" bestFit="1" customWidth="1"/>
    <col min="8" max="8" width="9.7109375" bestFit="1" customWidth="1"/>
    <col min="9" max="16" width="10.7109375" customWidth="1"/>
    <col min="17" max="17" width="10.140625" customWidth="1"/>
    <col min="18" max="18" width="10.7109375" customWidth="1"/>
    <col min="19" max="19" width="10.28515625" customWidth="1"/>
    <col min="20" max="22" width="10" customWidth="1"/>
    <col min="23" max="24" width="9.85546875" bestFit="1" customWidth="1"/>
    <col min="25" max="28" width="10.42578125" bestFit="1" customWidth="1"/>
    <col min="32" max="32" width="20.5703125" bestFit="1" customWidth="1"/>
    <col min="33" max="35" width="10.42578125" bestFit="1" customWidth="1"/>
    <col min="36" max="36" width="11" bestFit="1" customWidth="1"/>
    <col min="37" max="37" width="11.140625" customWidth="1"/>
    <col min="38" max="38" width="10.140625" customWidth="1"/>
    <col min="39" max="41" width="11" customWidth="1"/>
    <col min="42" max="44" width="12" bestFit="1" customWidth="1"/>
  </cols>
  <sheetData>
    <row r="1" spans="1:182" x14ac:dyDescent="0.2">
      <c r="AJ1" s="17"/>
    </row>
    <row r="2" spans="1:182" x14ac:dyDescent="0.2">
      <c r="A2" s="2" t="s">
        <v>4</v>
      </c>
      <c r="B2" s="2" t="s">
        <v>5</v>
      </c>
      <c r="E2" s="1" t="s">
        <v>82</v>
      </c>
    </row>
    <row r="4" spans="1:182" x14ac:dyDescent="0.2">
      <c r="A4" t="s">
        <v>44</v>
      </c>
      <c r="B4" t="s">
        <v>45</v>
      </c>
      <c r="C4" t="s">
        <v>46</v>
      </c>
      <c r="D4" t="s">
        <v>47</v>
      </c>
      <c r="F4" s="1" t="s">
        <v>56</v>
      </c>
      <c r="G4" s="1" t="s">
        <v>57</v>
      </c>
      <c r="H4" s="1" t="s">
        <v>58</v>
      </c>
      <c r="I4" s="1" t="s">
        <v>59</v>
      </c>
      <c r="J4" s="1" t="s">
        <v>60</v>
      </c>
      <c r="K4" s="1" t="s">
        <v>61</v>
      </c>
      <c r="L4" s="1" t="s">
        <v>62</v>
      </c>
      <c r="M4" s="1" t="s">
        <v>63</v>
      </c>
      <c r="N4" s="1" t="s">
        <v>64</v>
      </c>
      <c r="O4" s="1" t="s">
        <v>65</v>
      </c>
      <c r="P4" s="14" t="s">
        <v>66</v>
      </c>
      <c r="Q4" s="14" t="s">
        <v>67</v>
      </c>
      <c r="R4" s="14" t="s">
        <v>68</v>
      </c>
      <c r="S4" s="14" t="s">
        <v>69</v>
      </c>
      <c r="T4" s="31" t="s">
        <v>70</v>
      </c>
      <c r="U4" s="14" t="s">
        <v>71</v>
      </c>
      <c r="V4" s="31" t="s">
        <v>142</v>
      </c>
      <c r="W4" s="6"/>
      <c r="X4" s="6"/>
      <c r="Y4" s="6"/>
      <c r="Z4" s="6"/>
      <c r="AA4" s="6"/>
      <c r="AB4" s="6"/>
      <c r="AF4" s="6">
        <v>1999</v>
      </c>
      <c r="AG4" s="6">
        <v>2000</v>
      </c>
      <c r="AH4" s="6">
        <v>2001</v>
      </c>
      <c r="AI4" s="6">
        <v>2002</v>
      </c>
      <c r="AJ4" s="6">
        <v>2003</v>
      </c>
      <c r="AK4" s="6">
        <v>2004</v>
      </c>
      <c r="AL4" s="6">
        <v>2005</v>
      </c>
      <c r="AM4" s="6">
        <v>2006</v>
      </c>
      <c r="AN4" s="6">
        <v>2007</v>
      </c>
      <c r="AO4" s="6">
        <v>2008</v>
      </c>
      <c r="AP4" s="6">
        <v>2009</v>
      </c>
      <c r="AQ4" s="6">
        <v>2010</v>
      </c>
      <c r="AR4" s="6">
        <v>2011</v>
      </c>
      <c r="AS4" s="6">
        <v>2012</v>
      </c>
      <c r="AT4" s="6">
        <v>2013</v>
      </c>
      <c r="AU4" s="6">
        <v>2014</v>
      </c>
      <c r="AV4" s="6">
        <v>2015</v>
      </c>
      <c r="AW4" s="6">
        <v>2016</v>
      </c>
      <c r="AX4" s="6">
        <v>2017</v>
      </c>
      <c r="AY4" s="6">
        <v>2018</v>
      </c>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9"/>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row>
    <row r="6" spans="1:182" x14ac:dyDescent="0.2">
      <c r="E6" s="256" t="s">
        <v>6</v>
      </c>
      <c r="G6" s="10"/>
      <c r="H6" s="10"/>
      <c r="I6" s="10"/>
      <c r="J6" s="10"/>
      <c r="K6" s="10"/>
      <c r="L6" s="10"/>
      <c r="M6" s="10"/>
      <c r="N6" s="10"/>
      <c r="O6" s="10"/>
      <c r="P6" s="10"/>
      <c r="Q6" s="10"/>
      <c r="R6" s="10"/>
      <c r="S6" s="10"/>
      <c r="W6" s="5"/>
      <c r="AJ6" s="5"/>
    </row>
    <row r="7" spans="1:182" x14ac:dyDescent="0.2">
      <c r="E7" s="246" t="s">
        <v>7</v>
      </c>
      <c r="G7" s="10"/>
      <c r="H7" s="10"/>
      <c r="I7" s="10"/>
      <c r="J7" s="10">
        <f>NA!J7/NA!J$7</f>
        <v>1</v>
      </c>
      <c r="K7" s="10">
        <f>NA!K7/NA!K$7</f>
        <v>1</v>
      </c>
      <c r="L7" s="10">
        <f>NA!L7/NA!L$7</f>
        <v>1</v>
      </c>
      <c r="M7" s="10">
        <f>NA!M7/NA!M$7</f>
        <v>1</v>
      </c>
      <c r="N7" s="10">
        <f>NA!N7/NA!N$7</f>
        <v>1</v>
      </c>
      <c r="O7" s="10">
        <f>NA!O7/NA!O$7</f>
        <v>1</v>
      </c>
      <c r="P7" s="10">
        <f>NA!P7/NA!P$7</f>
        <v>1</v>
      </c>
      <c r="Q7" s="10">
        <f>NA!Q7/NA!Q$7</f>
        <v>1</v>
      </c>
      <c r="R7" s="10">
        <f>NA!R7/NA!R$7</f>
        <v>1</v>
      </c>
      <c r="S7" s="10">
        <f>NA!S7/NA!S$7</f>
        <v>1</v>
      </c>
      <c r="T7" s="10">
        <f>NA!T7/NA!T$7</f>
        <v>1</v>
      </c>
      <c r="U7" s="10">
        <f>NA!U7/NA!U$7</f>
        <v>1</v>
      </c>
      <c r="V7" s="10">
        <f>NA!V7/NA!V$7</f>
        <v>1</v>
      </c>
      <c r="W7" s="10"/>
      <c r="X7" s="10"/>
      <c r="Y7" s="10"/>
      <c r="Z7" s="10"/>
      <c r="AA7" s="10"/>
      <c r="AB7" s="10"/>
      <c r="AF7" s="10">
        <f>NA!AM7/NA!AM$7</f>
        <v>1</v>
      </c>
      <c r="AG7" s="10">
        <f>NA!AN7/NA!AN$7</f>
        <v>1</v>
      </c>
      <c r="AH7" s="10">
        <f>NA!AO7/NA!AO$7</f>
        <v>1</v>
      </c>
      <c r="AI7" s="10">
        <f>NA!AP7/NA!AP$7</f>
        <v>1</v>
      </c>
      <c r="AJ7" s="10">
        <f>NA!AQ7/NA!AQ$7</f>
        <v>1</v>
      </c>
      <c r="AK7" s="10">
        <f>NA!AR7/NA!AR$7</f>
        <v>1</v>
      </c>
      <c r="AL7" s="10">
        <f>NA!AS7/NA!AS$7</f>
        <v>1</v>
      </c>
      <c r="AM7" s="10">
        <f>NA!AT7/NA!AT$7</f>
        <v>1</v>
      </c>
      <c r="AN7" s="10">
        <f>NA!AU7/NA!AU$7</f>
        <v>1</v>
      </c>
      <c r="AO7" s="10">
        <f>NA!AV7/NA!AV$7</f>
        <v>1</v>
      </c>
      <c r="AP7" s="10">
        <f>NA!AW7/NA!AW$7</f>
        <v>1</v>
      </c>
      <c r="AQ7" s="10">
        <f>NA!AX7/NA!AX$7</f>
        <v>1</v>
      </c>
      <c r="AR7" s="10">
        <f>NA!AY7/NA!AY$7</f>
        <v>1</v>
      </c>
      <c r="AS7" s="10">
        <f>NA!AZ7/NA!AZ$7</f>
        <v>1</v>
      </c>
      <c r="AT7" s="10">
        <f>NA!BA7/NA!BA$7</f>
        <v>1</v>
      </c>
      <c r="AU7" s="10">
        <f>NA!BB7/NA!BB$7</f>
        <v>1</v>
      </c>
      <c r="AV7" s="10">
        <f>NA!BC7/NA!BC$7</f>
        <v>1</v>
      </c>
      <c r="AW7" s="10">
        <f>NA!BD7/NA!BD$7</f>
        <v>1</v>
      </c>
      <c r="AX7" s="10">
        <f>NA!BE7/NA!BE$7</f>
        <v>1</v>
      </c>
      <c r="AY7" s="10">
        <f>NA!BF7/NA!BF$7</f>
        <v>1</v>
      </c>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row>
    <row r="8" spans="1:182" x14ac:dyDescent="0.2">
      <c r="E8" s="246" t="s">
        <v>8</v>
      </c>
      <c r="G8" s="10"/>
      <c r="H8" s="10"/>
      <c r="I8" s="10"/>
      <c r="J8" s="10">
        <f>NA!J8/NA!J$7</f>
        <v>3.2852874446230904E-2</v>
      </c>
      <c r="K8" s="10">
        <f>NA!K8/NA!K$7</f>
        <v>2.8905060951787177E-2</v>
      </c>
      <c r="L8" s="10">
        <f>NA!L8/NA!L$7</f>
        <v>3.1508389459892719E-2</v>
      </c>
      <c r="M8" s="10">
        <f>NA!M8/NA!M$7</f>
        <v>2.9796914052703797E-2</v>
      </c>
      <c r="N8" s="10">
        <f>NA!N8/NA!N$7</f>
        <v>3.1339002230585153E-2</v>
      </c>
      <c r="O8" s="10">
        <f>NA!O8/NA!O$7</f>
        <v>3.2280049296833889E-2</v>
      </c>
      <c r="P8" s="10">
        <f>NA!P8/NA!P$7</f>
        <v>3.7954446106938482E-2</v>
      </c>
      <c r="Q8" s="10">
        <f>NA!Q8/NA!Q$7</f>
        <v>3.988514855914535E-2</v>
      </c>
      <c r="R8" s="10">
        <f>NA!R8/NA!R$7</f>
        <v>3.4394618858762223E-2</v>
      </c>
      <c r="S8" s="10">
        <f>NA!S8/NA!S$7</f>
        <v>3.7320694418340558E-2</v>
      </c>
      <c r="T8" s="10">
        <f>NA!T8/NA!T$7</f>
        <v>3.6366215588250698E-2</v>
      </c>
      <c r="U8" s="10">
        <f>NA!U8/NA!U$7</f>
        <v>3.6258672877693521E-2</v>
      </c>
      <c r="V8" s="10">
        <f>NA!V8/NA!V$7</f>
        <v>3.3592244954549363E-2</v>
      </c>
      <c r="W8" s="10"/>
      <c r="X8" s="10"/>
      <c r="Y8" s="10"/>
      <c r="Z8" s="10"/>
      <c r="AA8" s="10"/>
      <c r="AB8" s="10"/>
      <c r="AF8" s="10">
        <f>NA!AM8/NA!AM$7</f>
        <v>2.2442666727586897E-2</v>
      </c>
      <c r="AG8" s="10">
        <f>NA!AN8/NA!AN$7</f>
        <v>3.2695044603754622E-2</v>
      </c>
      <c r="AH8" s="10">
        <f>NA!AO8/NA!AO$7</f>
        <v>2.8980084877317163E-2</v>
      </c>
      <c r="AI8" s="10">
        <f>NA!AP8/NA!AP$7</f>
        <v>3.0518166180233963E-2</v>
      </c>
      <c r="AJ8" s="10">
        <f>NA!AQ8/NA!AQ$7</f>
        <v>3.1795501397372215E-2</v>
      </c>
      <c r="AK8" s="10">
        <f>NA!AR8/NA!AR$7</f>
        <v>3.4757633899098389E-2</v>
      </c>
      <c r="AL8" s="10">
        <f>NA!AS8/NA!AS$7</f>
        <v>3.0654414498692995E-2</v>
      </c>
      <c r="AM8" s="10">
        <f>NA!AT8/NA!AT$7</f>
        <v>3.5640144218542315E-2</v>
      </c>
      <c r="AN8" s="10">
        <f>NA!AU8/NA!AU$7</f>
        <v>3.681317704957339E-2</v>
      </c>
      <c r="AO8" s="10">
        <f>NA!AV8/NA!AV$7</f>
        <v>3.8287423072825559E-2</v>
      </c>
      <c r="AP8" s="10">
        <f>NA!AW8/NA!AW$7</f>
        <v>3.5460994821730166E-2</v>
      </c>
      <c r="AQ8" s="10">
        <f>NA!AX8/NA!AX$7</f>
        <v>3.5569996071653433E-2</v>
      </c>
      <c r="AR8" s="10">
        <f>NA!AY8/NA!AY$7</f>
        <v>3.3149668597686567E-2</v>
      </c>
      <c r="AS8" s="10">
        <f>NA!AZ8/NA!AZ$7</f>
        <v>3.5292649390751878E-2</v>
      </c>
      <c r="AT8" s="10">
        <f>NA!BA8/NA!BA$7</f>
        <v>3.4229765864667222E-2</v>
      </c>
      <c r="AU8" s="10">
        <f>NA!BB8/NA!BB$7</f>
        <v>2.917180123876062E-2</v>
      </c>
      <c r="AV8" s="10">
        <f>NA!BC8/NA!BC$7</f>
        <v>3.3388417915562796E-2</v>
      </c>
      <c r="AW8" s="10">
        <f>NA!BD8/NA!BD$7</f>
        <v>3.7725062312239682E-2</v>
      </c>
      <c r="AX8" s="10">
        <f>NA!BE8/NA!BE$7</f>
        <v>3.7963031963593664E-2</v>
      </c>
      <c r="AY8" s="10">
        <f>NA!BF8/NA!BF$7</f>
        <v>4.0982220088834967E-2</v>
      </c>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row>
    <row r="9" spans="1:182" x14ac:dyDescent="0.2">
      <c r="E9" s="246" t="s">
        <v>9</v>
      </c>
      <c r="G9" s="10"/>
      <c r="H9" s="10"/>
      <c r="I9" s="10"/>
      <c r="J9" s="10">
        <f>NA!J9/NA!J$7</f>
        <v>0.96714712555376903</v>
      </c>
      <c r="K9" s="10">
        <f>NA!K9/NA!K$7</f>
        <v>0.97109493904821276</v>
      </c>
      <c r="L9" s="10">
        <f>NA!L9/NA!L$7</f>
        <v>0.96849161054010724</v>
      </c>
      <c r="M9" s="10">
        <f>NA!M9/NA!M$7</f>
        <v>0.97020308594729632</v>
      </c>
      <c r="N9" s="10">
        <f>NA!N9/NA!N$7</f>
        <v>0.96866099776941483</v>
      </c>
      <c r="O9" s="10">
        <f>NA!O9/NA!O$7</f>
        <v>0.96771995070316619</v>
      </c>
      <c r="P9" s="10">
        <f>NA!P9/NA!P$7</f>
        <v>0.96204555389306146</v>
      </c>
      <c r="Q9" s="10">
        <f>NA!Q9/NA!Q$7</f>
        <v>0.96011485144085462</v>
      </c>
      <c r="R9" s="10">
        <f>NA!R9/NA!R$7</f>
        <v>0.96560538114123773</v>
      </c>
      <c r="S9" s="10">
        <f>NA!S9/NA!S$7</f>
        <v>0.96267930558165948</v>
      </c>
      <c r="T9" s="10">
        <f>NA!T9/NA!T$7</f>
        <v>0.96363378441174929</v>
      </c>
      <c r="U9" s="10">
        <f>NA!U9/NA!U$7</f>
        <v>0.96374132712230653</v>
      </c>
      <c r="V9" s="10">
        <f>NA!V9/NA!V$7</f>
        <v>0.96640775504545073</v>
      </c>
      <c r="W9" s="10"/>
      <c r="X9" s="10"/>
      <c r="Y9" s="10"/>
      <c r="Z9" s="10"/>
      <c r="AA9" s="10"/>
      <c r="AB9" s="10"/>
      <c r="AF9" s="10">
        <f>NA!AM9/NA!AM$7</f>
        <v>0.97755733327241312</v>
      </c>
      <c r="AG9" s="10">
        <f>NA!AN9/NA!AN$7</f>
        <v>0.96730495539624539</v>
      </c>
      <c r="AH9" s="10">
        <f>NA!AO9/NA!AO$7</f>
        <v>0.97101991512268282</v>
      </c>
      <c r="AI9" s="10">
        <f>NA!AP9/NA!AP$7</f>
        <v>0.96948183381976605</v>
      </c>
      <c r="AJ9" s="10">
        <f>NA!AQ9/NA!AQ$7</f>
        <v>0.96820449860262781</v>
      </c>
      <c r="AK9" s="10">
        <f>NA!AR9/NA!AR$7</f>
        <v>0.96524236610090153</v>
      </c>
      <c r="AL9" s="10">
        <f>NA!AS9/NA!AS$7</f>
        <v>0.96934558550130689</v>
      </c>
      <c r="AM9" s="10">
        <f>NA!AT9/NA!AT$7</f>
        <v>0.96435985578145766</v>
      </c>
      <c r="AN9" s="10">
        <f>NA!AU9/NA!AU$7</f>
        <v>0.96318682295042657</v>
      </c>
      <c r="AO9" s="10">
        <f>NA!AV9/NA!AV$7</f>
        <v>0.96171257692717449</v>
      </c>
      <c r="AP9" s="10">
        <f>NA!AW9/NA!AW$7</f>
        <v>0.96453900517826974</v>
      </c>
      <c r="AQ9" s="10">
        <f>NA!AX9/NA!AX$7</f>
        <v>0.96443000392834655</v>
      </c>
      <c r="AR9" s="10">
        <f>NA!AY9/NA!AY$7</f>
        <v>0.96685033140231347</v>
      </c>
      <c r="AS9" s="10">
        <f>NA!AZ9/NA!AZ$7</f>
        <v>0.96470735060924817</v>
      </c>
      <c r="AT9" s="10">
        <f>NA!BA9/NA!BA$7</f>
        <v>0.96577023413533269</v>
      </c>
      <c r="AU9" s="10">
        <f>NA!BB9/NA!BB$7</f>
        <v>0.97082819876123927</v>
      </c>
      <c r="AV9" s="10">
        <f>NA!BC9/NA!BC$7</f>
        <v>0.96661158208443732</v>
      </c>
      <c r="AW9" s="10">
        <f>NA!BD9/NA!BD$7</f>
        <v>0.96227493768776029</v>
      </c>
      <c r="AX9" s="10">
        <f>NA!BE9/NA!BE$7</f>
        <v>0.96203696803640637</v>
      </c>
      <c r="AY9" s="10">
        <f>NA!BF9/NA!BF$7</f>
        <v>0.9590177799111651</v>
      </c>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c r="FB9" s="10"/>
      <c r="FC9" s="10"/>
      <c r="FD9" s="10"/>
      <c r="FE9" s="10"/>
      <c r="FF9" s="10"/>
      <c r="FG9" s="10"/>
      <c r="FH9" s="10"/>
      <c r="FI9" s="10"/>
      <c r="FJ9" s="10"/>
      <c r="FK9" s="10"/>
      <c r="FL9" s="10"/>
      <c r="FM9" s="10"/>
      <c r="FN9" s="10"/>
      <c r="FO9" s="10"/>
      <c r="FP9" s="10"/>
      <c r="FQ9" s="10"/>
      <c r="FR9" s="10"/>
      <c r="FS9" s="10"/>
      <c r="FT9" s="10"/>
      <c r="FU9" s="10"/>
      <c r="FV9" s="10"/>
      <c r="FW9" s="10"/>
      <c r="FX9" s="10"/>
      <c r="FY9" s="10"/>
      <c r="FZ9" s="10"/>
    </row>
    <row r="10" spans="1:182" x14ac:dyDescent="0.2">
      <c r="E10" s="246" t="s">
        <v>10</v>
      </c>
      <c r="G10" s="10"/>
      <c r="H10" s="10"/>
      <c r="I10" s="10"/>
      <c r="J10" s="10">
        <f>NA!J10/NA!J$7</f>
        <v>3.3130591923966793E-2</v>
      </c>
      <c r="K10" s="10">
        <f>NA!K10/NA!K$7</f>
        <v>2.9098637045572043E-2</v>
      </c>
      <c r="L10" s="10">
        <f>NA!L10/NA!L$7</f>
        <v>3.0296593337642893E-2</v>
      </c>
      <c r="M10" s="10">
        <f>NA!M10/NA!M$7</f>
        <v>2.5687702082651975E-2</v>
      </c>
      <c r="N10" s="10">
        <f>NA!N10/NA!N$7</f>
        <v>2.4751511036112991E-2</v>
      </c>
      <c r="O10" s="10">
        <f>NA!O10/NA!O$7</f>
        <v>2.5745598111207694E-2</v>
      </c>
      <c r="P10" s="10">
        <f>NA!P10/NA!P$7</f>
        <v>2.7530470211680744E-2</v>
      </c>
      <c r="Q10" s="10">
        <f>NA!Q10/NA!Q$7</f>
        <v>3.0611673516490936E-2</v>
      </c>
      <c r="R10" s="10">
        <f>NA!R10/NA!R$7</f>
        <v>3.6700051490367536E-2</v>
      </c>
      <c r="S10" s="10">
        <f>NA!S10/NA!S$7</f>
        <v>3.4163420081383816E-2</v>
      </c>
      <c r="T10" s="10">
        <f>NA!T10/NA!T$7</f>
        <v>3.4034527852011068E-2</v>
      </c>
      <c r="U10" s="10">
        <f>NA!U10/NA!U$7</f>
        <v>3.4807514755349898E-2</v>
      </c>
      <c r="V10" s="10">
        <f>NA!V10/NA!V$7</f>
        <v>3.5271019084747023E-2</v>
      </c>
      <c r="W10" s="10"/>
      <c r="X10" s="10"/>
      <c r="Y10" s="10"/>
      <c r="Z10" s="10"/>
      <c r="AA10" s="10"/>
      <c r="AB10" s="10"/>
      <c r="AF10" s="10">
        <f>NA!AM10/NA!AM$7</f>
        <v>3.6900004015196747E-2</v>
      </c>
      <c r="AG10" s="10">
        <f>NA!AN10/NA!AN$7</f>
        <v>3.2209247657458036E-2</v>
      </c>
      <c r="AH10" s="10">
        <f>NA!AO10/NA!AO$7</f>
        <v>2.6113319391032137E-2</v>
      </c>
      <c r="AI10" s="10">
        <f>NA!AP10/NA!AP$7</f>
        <v>2.4913621541039953E-2</v>
      </c>
      <c r="AJ10" s="10">
        <f>NA!AQ10/NA!AQ$7</f>
        <v>2.4960838521004301E-2</v>
      </c>
      <c r="AK10" s="10">
        <f>NA!AR10/NA!AR$7</f>
        <v>2.4458733665269062E-2</v>
      </c>
      <c r="AL10" s="10">
        <f>NA!AS10/NA!AS$7</f>
        <v>3.0817831026154617E-2</v>
      </c>
      <c r="AM10" s="10">
        <f>NA!AT10/NA!AT$7</f>
        <v>3.5092374790859367E-2</v>
      </c>
      <c r="AN10" s="10">
        <f>NA!AU10/NA!AU$7</f>
        <v>3.5975557626378329E-2</v>
      </c>
      <c r="AO10" s="10">
        <f>NA!AV10/NA!AV$7</f>
        <v>3.2474396768659236E-2</v>
      </c>
      <c r="AP10" s="10">
        <f>NA!AW10/NA!AW$7</f>
        <v>3.5750015648486712E-2</v>
      </c>
      <c r="AQ10" s="10">
        <f>NA!AX10/NA!AX$7</f>
        <v>3.3775150343760767E-2</v>
      </c>
      <c r="AR10" s="10">
        <f>NA!AY10/NA!AY$7</f>
        <v>3.5628142516919079E-2</v>
      </c>
      <c r="AS10" s="10">
        <f>NA!AZ10/NA!AZ$7</f>
        <v>3.189311760932502E-2</v>
      </c>
      <c r="AT10" s="10">
        <f>NA!BA10/NA!BA$7</f>
        <v>3.3732721029386653E-2</v>
      </c>
      <c r="AU10" s="10">
        <f>NA!BB10/NA!BB$7</f>
        <v>3.9033629874006555E-2</v>
      </c>
      <c r="AV10" s="10">
        <f>NA!BC10/NA!BC$7</f>
        <v>4.1009185920710282E-2</v>
      </c>
      <c r="AW10" s="10">
        <f>NA!BD10/NA!BD$7</f>
        <v>4.2217096308862556E-2</v>
      </c>
      <c r="AX10" s="10">
        <f>NA!BE10/NA!BE$7</f>
        <v>4.1014111338441871E-2</v>
      </c>
      <c r="AY10" s="10">
        <f>NA!BF10/NA!BF$7</f>
        <v>4.3092749136875531E-2</v>
      </c>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c r="FY10" s="10"/>
      <c r="FZ10" s="10"/>
    </row>
    <row r="11" spans="1:182" x14ac:dyDescent="0.2">
      <c r="E11" s="246" t="s">
        <v>11</v>
      </c>
      <c r="G11" s="10"/>
      <c r="H11" s="10"/>
      <c r="I11" s="10"/>
      <c r="J11" s="10">
        <f>NA!J12/NA!J$7</f>
        <v>0.9340165336298023</v>
      </c>
      <c r="K11" s="10">
        <f>NA!K12/NA!K$7</f>
        <v>0.94199630200264073</v>
      </c>
      <c r="L11" s="10">
        <f>NA!L12/NA!L$7</f>
        <v>0.93819501720246434</v>
      </c>
      <c r="M11" s="10">
        <f>NA!M12/NA!M$7</f>
        <v>0.94451538386464429</v>
      </c>
      <c r="N11" s="10">
        <f>NA!N12/NA!N$7</f>
        <v>0.94390948673330188</v>
      </c>
      <c r="O11" s="10">
        <f>NA!O12/NA!O$7</f>
        <v>0.9419743525919585</v>
      </c>
      <c r="P11" s="10">
        <f>NA!P12/NA!P$7</f>
        <v>0.9345150836813807</v>
      </c>
      <c r="Q11" s="10">
        <f>NA!Q12/NA!Q$7</f>
        <v>0.92950317792436377</v>
      </c>
      <c r="R11" s="10">
        <f>NA!R12/NA!R$7</f>
        <v>0.92890532965087025</v>
      </c>
      <c r="S11" s="10">
        <f>NA!S12/NA!S$7</f>
        <v>0.92851588550027575</v>
      </c>
      <c r="T11" s="10">
        <f>NA!T12/NA!T$7</f>
        <v>0.9295992565597383</v>
      </c>
      <c r="U11" s="10">
        <f>NA!U12/NA!U$7</f>
        <v>0.9289338123669566</v>
      </c>
      <c r="V11" s="10">
        <f>NA!V12/NA!V$7</f>
        <v>0.93113673596070368</v>
      </c>
      <c r="W11" s="10"/>
      <c r="X11" s="10"/>
      <c r="Y11" s="10"/>
      <c r="Z11" s="10"/>
      <c r="AA11" s="10"/>
      <c r="AB11" s="10"/>
      <c r="AF11" s="10">
        <f>NA!AM12/NA!AM$7</f>
        <v>0.94065732925721623</v>
      </c>
      <c r="AG11" s="10">
        <f>NA!AN12/NA!AN$7</f>
        <v>0.93509570773878736</v>
      </c>
      <c r="AH11" s="10">
        <f>NA!AO12/NA!AO$7</f>
        <v>0.9449065957316507</v>
      </c>
      <c r="AI11" s="10">
        <f>NA!AP12/NA!AP$7</f>
        <v>0.94456821227872612</v>
      </c>
      <c r="AJ11" s="10">
        <f>NA!AQ12/NA!AQ$7</f>
        <v>0.94324366008162353</v>
      </c>
      <c r="AK11" s="10">
        <f>NA!AR12/NA!AR$7</f>
        <v>0.94078363243563246</v>
      </c>
      <c r="AL11" s="10">
        <f>NA!AS12/NA!AS$7</f>
        <v>0.93852775447515235</v>
      </c>
      <c r="AM11" s="10">
        <f>NA!AT12/NA!AT$7</f>
        <v>0.9292674809905983</v>
      </c>
      <c r="AN11" s="10">
        <f>NA!AU12/NA!AU$7</f>
        <v>0.92721126532404818</v>
      </c>
      <c r="AO11" s="10">
        <f>NA!AV12/NA!AV$7</f>
        <v>0.92923818015851523</v>
      </c>
      <c r="AP11" s="10">
        <f>NA!AW12/NA!AW$7</f>
        <v>0.92878898952978306</v>
      </c>
      <c r="AQ11" s="10">
        <f>NA!AX12/NA!AX$7</f>
        <v>0.93065485358458566</v>
      </c>
      <c r="AR11" s="10">
        <f>NA!AY12/NA!AY$7</f>
        <v>0.93122218888539443</v>
      </c>
      <c r="AS11" s="10">
        <f>NA!AZ12/NA!AZ$7</f>
        <v>0.93281423299992317</v>
      </c>
      <c r="AT11" s="10">
        <f>NA!BA12/NA!BA$7</f>
        <v>0.93203751310594596</v>
      </c>
      <c r="AU11" s="10">
        <f>NA!BB12/NA!BB$7</f>
        <v>0.93179456888723278</v>
      </c>
      <c r="AV11" s="10">
        <f>NA!BC12/NA!BC$7</f>
        <v>0.92560239616372697</v>
      </c>
      <c r="AW11" s="10">
        <f>NA!BD12/NA!BD$7</f>
        <v>0.92005784137889779</v>
      </c>
      <c r="AX11" s="10">
        <f>NA!BE12/NA!BE$7</f>
        <v>0.92102285669796446</v>
      </c>
      <c r="AY11" s="10">
        <f>NA!BF12/NA!BF$7</f>
        <v>0.91592503077428955</v>
      </c>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row>
    <row r="12" spans="1:182" x14ac:dyDescent="0.2">
      <c r="E12" s="246" t="s">
        <v>12</v>
      </c>
      <c r="G12" s="10"/>
      <c r="H12" s="10"/>
      <c r="I12" s="10"/>
      <c r="J12" s="10">
        <f>NA!J13/NA!J$7</f>
        <v>1.0862359042276729E-2</v>
      </c>
      <c r="K12" s="10">
        <f>NA!K13/NA!K$7</f>
        <v>9.7541850919936838E-3</v>
      </c>
      <c r="L12" s="10">
        <f>NA!L13/NA!L$7</f>
        <v>8.4927562794777246E-3</v>
      </c>
      <c r="M12" s="10">
        <f>NA!M13/NA!M$7</f>
        <v>8.5023271825752627E-3</v>
      </c>
      <c r="N12" s="10">
        <f>NA!N13/NA!N$7</f>
        <v>8.231266662471726E-3</v>
      </c>
      <c r="O12" s="10">
        <f>NA!O13/NA!O$7</f>
        <v>7.9048313388973643E-3</v>
      </c>
      <c r="P12" s="10">
        <f>NA!P13/NA!P$7</f>
        <v>7.3700190474694808E-3</v>
      </c>
      <c r="Q12" s="10">
        <f>NA!Q13/NA!Q$7</f>
        <v>5.1758961821419111E-3</v>
      </c>
      <c r="R12" s="10">
        <f>NA!R13/NA!R$7</f>
        <v>8.7312181295773981E-3</v>
      </c>
      <c r="S12" s="10">
        <f>NA!S13/NA!S$7</f>
        <v>1.285931343108692E-2</v>
      </c>
      <c r="T12" s="10">
        <f>NA!T13/NA!T$7</f>
        <v>1.3061644659844652E-2</v>
      </c>
      <c r="U12" s="10">
        <f>NA!U13/NA!U$7</f>
        <v>5.9228561610442515E-3</v>
      </c>
      <c r="V12" s="10">
        <f>NA!V13/NA!V$7</f>
        <v>5.9223440476751663E-3</v>
      </c>
      <c r="W12" s="10"/>
      <c r="X12" s="10"/>
      <c r="Y12" s="10"/>
      <c r="Z12" s="10"/>
      <c r="AA12" s="10"/>
      <c r="AB12" s="10"/>
      <c r="AF12" s="10">
        <f>NA!AM13/NA!AM$7</f>
        <v>1.0007601182960058E-2</v>
      </c>
      <c r="AG12" s="10">
        <f>NA!AN13/NA!AN$7</f>
        <v>9.606172807857534E-3</v>
      </c>
      <c r="AH12" s="10">
        <f>NA!AO13/NA!AO$7</f>
        <v>8.2927636358787211E-3</v>
      </c>
      <c r="AI12" s="10">
        <f>NA!AP13/NA!AP$7</f>
        <v>8.2714879519806481E-3</v>
      </c>
      <c r="AJ12" s="10">
        <f>NA!AQ13/NA!AQ$7</f>
        <v>7.8728268268770055E-3</v>
      </c>
      <c r="AK12" s="10">
        <f>NA!AR13/NA!AR$7</f>
        <v>7.6283066887615301E-3</v>
      </c>
      <c r="AL12" s="10">
        <f>NA!AS13/NA!AS$7</f>
        <v>6.7277673687251198E-3</v>
      </c>
      <c r="AM12" s="10">
        <f>NA!AT13/NA!AT$7</f>
        <v>6.9624518282593124E-3</v>
      </c>
      <c r="AN12" s="10">
        <f>NA!AU13/NA!AU$7</f>
        <v>1.1116825878330915E-2</v>
      </c>
      <c r="AO12" s="10">
        <f>NA!AV13/NA!AV$7</f>
        <v>1.280446857754919E-2</v>
      </c>
      <c r="AP12" s="10">
        <f>NA!AW13/NA!AW$7</f>
        <v>9.5181192432436112E-3</v>
      </c>
      <c r="AQ12" s="10">
        <f>NA!AX13/NA!AX$7</f>
        <v>6.0171540183306411E-3</v>
      </c>
      <c r="AR12" s="10">
        <f>NA!AY13/NA!AY$7</f>
        <v>5.8155296120808988E-3</v>
      </c>
      <c r="AS12" s="10">
        <f>NA!AZ13/NA!AZ$7</f>
        <v>5.4624440668786037E-3</v>
      </c>
      <c r="AT12" s="10">
        <f>NA!BA13/NA!BA$7</f>
        <v>5.2960810018752632E-3</v>
      </c>
      <c r="AU12" s="10">
        <f>NA!BB13/NA!BB$7</f>
        <v>6.2959352045898623E-3</v>
      </c>
      <c r="AV12" s="10">
        <f>NA!BC13/NA!BC$7</f>
        <v>6.4722947229788842E-3</v>
      </c>
      <c r="AW12" s="10">
        <f>NA!BD13/NA!BD$7</f>
        <v>8.2607008301478751E-3</v>
      </c>
      <c r="AX12" s="10">
        <f>NA!BE13/NA!BE$7</f>
        <v>9.3362042106927418E-3</v>
      </c>
      <c r="AY12" s="10">
        <f>NA!BF13/NA!BF$7</f>
        <v>9.7117919659878219E-3</v>
      </c>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c r="FB12" s="10"/>
      <c r="FC12" s="10"/>
      <c r="FD12" s="10"/>
      <c r="FE12" s="10"/>
      <c r="FF12" s="10"/>
      <c r="FG12" s="10"/>
      <c r="FH12" s="10"/>
      <c r="FI12" s="10"/>
      <c r="FJ12" s="10"/>
      <c r="FK12" s="10"/>
      <c r="FL12" s="10"/>
      <c r="FM12" s="10"/>
      <c r="FN12" s="10"/>
      <c r="FO12" s="10"/>
      <c r="FP12" s="10"/>
      <c r="FQ12" s="10"/>
      <c r="FR12" s="10"/>
      <c r="FS12" s="10"/>
      <c r="FT12" s="10"/>
      <c r="FU12" s="10"/>
      <c r="FV12" s="10"/>
      <c r="FW12" s="10"/>
      <c r="FX12" s="10"/>
      <c r="FY12" s="10"/>
      <c r="FZ12" s="10"/>
    </row>
    <row r="13" spans="1:182" x14ac:dyDescent="0.2">
      <c r="E13" s="246" t="s">
        <v>13</v>
      </c>
      <c r="G13" s="10"/>
      <c r="H13" s="10"/>
      <c r="I13" s="10"/>
      <c r="J13" s="10">
        <f>NA!J14/NA!J$7</f>
        <v>0.92315417458752558</v>
      </c>
      <c r="K13" s="10">
        <f>NA!K14/NA!K$7</f>
        <v>0.93224211691064707</v>
      </c>
      <c r="L13" s="10">
        <f>NA!L14/NA!L$7</f>
        <v>0.92970226092298658</v>
      </c>
      <c r="M13" s="10">
        <f>NA!M14/NA!M$7</f>
        <v>0.93601305668206902</v>
      </c>
      <c r="N13" s="10">
        <f>NA!N14/NA!N$7</f>
        <v>0.93567822007083012</v>
      </c>
      <c r="O13" s="10">
        <f>NA!O14/NA!O$7</f>
        <v>0.9340695212530612</v>
      </c>
      <c r="P13" s="10">
        <f>NA!P14/NA!P$7</f>
        <v>0.92714506463391122</v>
      </c>
      <c r="Q13" s="10">
        <f>NA!Q14/NA!Q$7</f>
        <v>0.92432728174222167</v>
      </c>
      <c r="R13" s="10">
        <f>NA!R14/NA!R$7</f>
        <v>0.92017411152129269</v>
      </c>
      <c r="S13" s="10">
        <f>NA!S14/NA!S$7</f>
        <v>0.91565657206918882</v>
      </c>
      <c r="T13" s="10">
        <f>NA!T14/NA!T$7</f>
        <v>0.91653761189989369</v>
      </c>
      <c r="U13" s="10">
        <f>NA!U14/NA!U$7</f>
        <v>0.92301095620591234</v>
      </c>
      <c r="V13" s="10">
        <f>NA!V14/NA!V$7</f>
        <v>0.92521439191302857</v>
      </c>
      <c r="W13" s="10"/>
      <c r="X13" s="10"/>
      <c r="Y13" s="10"/>
      <c r="Z13" s="10"/>
      <c r="AA13" s="10"/>
      <c r="AB13" s="10"/>
      <c r="AF13" s="10">
        <f>NA!AM14/NA!AM$7</f>
        <v>0.93064972807425617</v>
      </c>
      <c r="AG13" s="10">
        <f>NA!AN14/NA!AN$7</f>
        <v>0.92548953493092989</v>
      </c>
      <c r="AH13" s="10">
        <f>NA!AO14/NA!AO$7</f>
        <v>0.93661383209577198</v>
      </c>
      <c r="AI13" s="10">
        <f>NA!AP14/NA!AP$7</f>
        <v>0.93629672432674538</v>
      </c>
      <c r="AJ13" s="10">
        <f>NA!AQ14/NA!AQ$7</f>
        <v>0.93537083325474646</v>
      </c>
      <c r="AK13" s="10">
        <f>NA!AR14/NA!AR$7</f>
        <v>0.93315532574687099</v>
      </c>
      <c r="AL13" s="10">
        <f>NA!AS14/NA!AS$7</f>
        <v>0.9317999871064272</v>
      </c>
      <c r="AM13" s="10">
        <f>NA!AT14/NA!AT$7</f>
        <v>0.92230502916233903</v>
      </c>
      <c r="AN13" s="10">
        <f>NA!AU14/NA!AU$7</f>
        <v>0.91609443944571733</v>
      </c>
      <c r="AO13" s="10">
        <f>NA!AV14/NA!AV$7</f>
        <v>0.91643371158096598</v>
      </c>
      <c r="AP13" s="10">
        <f>NA!AW14/NA!AW$7</f>
        <v>0.91927087028653953</v>
      </c>
      <c r="AQ13" s="10">
        <f>NA!AX14/NA!AX$7</f>
        <v>0.92463769956625508</v>
      </c>
      <c r="AR13" s="10">
        <f>NA!AY14/NA!AY$7</f>
        <v>0.92540665927331367</v>
      </c>
      <c r="AS13" s="10">
        <f>NA!AZ14/NA!AZ$7</f>
        <v>0.9273517889330446</v>
      </c>
      <c r="AT13" s="10">
        <f>NA!BA14/NA!BA$7</f>
        <v>0.92674143210407067</v>
      </c>
      <c r="AU13" s="10">
        <f>NA!BB14/NA!BB$7</f>
        <v>0.92549863368264296</v>
      </c>
      <c r="AV13" s="10">
        <f>NA!BC14/NA!BC$7</f>
        <v>0.91913010144074814</v>
      </c>
      <c r="AW13" s="10">
        <f>NA!BD14/NA!BD$7</f>
        <v>0.91179714054874994</v>
      </c>
      <c r="AX13" s="10">
        <f>NA!BE14/NA!BE$7</f>
        <v>0.91168665248727176</v>
      </c>
      <c r="AY13" s="10">
        <f>NA!BF14/NA!BF$7</f>
        <v>0.90621323880830174</v>
      </c>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c r="FB13" s="10"/>
      <c r="FC13" s="10"/>
      <c r="FD13" s="10"/>
      <c r="FE13" s="10"/>
      <c r="FF13" s="10"/>
      <c r="FG13" s="10"/>
      <c r="FH13" s="10"/>
      <c r="FI13" s="10"/>
      <c r="FJ13" s="10"/>
      <c r="FK13" s="10"/>
      <c r="FL13" s="10"/>
      <c r="FM13" s="10"/>
      <c r="FN13" s="10"/>
      <c r="FO13" s="10"/>
      <c r="FP13" s="10"/>
      <c r="FQ13" s="10"/>
      <c r="FR13" s="10"/>
      <c r="FS13" s="10"/>
      <c r="FT13" s="10"/>
      <c r="FU13" s="10"/>
      <c r="FV13" s="10"/>
      <c r="FW13" s="10"/>
      <c r="FX13" s="10"/>
      <c r="FY13" s="10"/>
      <c r="FZ13" s="10"/>
    </row>
    <row r="14" spans="1:182" x14ac:dyDescent="0.2">
      <c r="E14" s="246"/>
      <c r="G14" s="10"/>
      <c r="H14" s="10"/>
      <c r="I14" s="10"/>
      <c r="J14" s="5"/>
      <c r="K14" s="5"/>
      <c r="L14" s="5"/>
      <c r="M14" s="5"/>
      <c r="N14" s="5"/>
      <c r="O14" s="5"/>
      <c r="P14" s="5"/>
      <c r="Q14" s="5"/>
      <c r="R14" s="5"/>
      <c r="S14" s="5"/>
      <c r="T14" s="5"/>
      <c r="U14" s="5"/>
      <c r="V14" s="5"/>
      <c r="W14" s="5"/>
      <c r="X14" s="5"/>
      <c r="Y14" s="5"/>
      <c r="Z14" s="5"/>
      <c r="AA14" s="5"/>
      <c r="AB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row>
    <row r="15" spans="1:182" x14ac:dyDescent="0.2">
      <c r="E15" s="256" t="s">
        <v>14</v>
      </c>
      <c r="G15" s="10"/>
      <c r="H15" s="10"/>
      <c r="I15" s="10"/>
      <c r="J15" s="5"/>
      <c r="K15" s="5"/>
      <c r="L15" s="5"/>
      <c r="M15" s="5"/>
      <c r="N15" s="5"/>
      <c r="O15" s="5"/>
      <c r="P15" s="5"/>
      <c r="Q15" s="5"/>
      <c r="R15" s="5"/>
      <c r="S15" s="5"/>
      <c r="T15" s="5"/>
      <c r="U15" s="5"/>
      <c r="V15" s="5"/>
      <c r="W15" s="5"/>
      <c r="X15" s="5"/>
      <c r="Y15" s="5"/>
      <c r="Z15" s="5"/>
      <c r="AA15" s="5"/>
      <c r="AB15" s="5"/>
      <c r="AF15" s="5"/>
      <c r="AG15" s="5"/>
      <c r="AH15" s="5"/>
      <c r="AI15" s="5"/>
      <c r="AJ15" s="5"/>
      <c r="AK15" s="5"/>
      <c r="AL15" s="32"/>
      <c r="AM15" s="32"/>
      <c r="AN15" s="32"/>
      <c r="AO15" s="32"/>
      <c r="AP15" s="32"/>
      <c r="AQ15" s="32"/>
      <c r="AR15" s="32"/>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row>
    <row r="16" spans="1:182" x14ac:dyDescent="0.2">
      <c r="E16" s="246" t="s">
        <v>15</v>
      </c>
      <c r="G16" s="10"/>
      <c r="H16" s="10"/>
      <c r="I16" s="10"/>
      <c r="J16" s="10">
        <f>NA!J17/NA!J$7</f>
        <v>0.92946907203457363</v>
      </c>
      <c r="K16" s="10">
        <f>NA!K17/NA!K$7</f>
        <v>0.91313893548405711</v>
      </c>
      <c r="L16" s="10">
        <f>NA!L17/NA!L$7</f>
        <v>0.89651967410617495</v>
      </c>
      <c r="M16" s="10">
        <f>NA!M17/NA!M$7</f>
        <v>0.88714529254362018</v>
      </c>
      <c r="N16" s="10">
        <f>NA!N17/NA!N$7</f>
        <v>0.86672465994444015</v>
      </c>
      <c r="O16" s="10">
        <f>NA!O17/NA!O$7</f>
        <v>0.87207802516058941</v>
      </c>
      <c r="P16" s="10">
        <f>NA!P17/NA!P$7</f>
        <v>0.86347057083560919</v>
      </c>
      <c r="Q16" s="10">
        <f>NA!Q17/NA!Q$7</f>
        <v>0.86959007862672044</v>
      </c>
      <c r="R16" s="10">
        <f>NA!R17/NA!R$7</f>
        <v>0.8777561112529596</v>
      </c>
      <c r="S16" s="10">
        <f>NA!S17/NA!S$7</f>
        <v>0.87595369085225083</v>
      </c>
      <c r="T16" s="10">
        <f>NA!T17/NA!T$7</f>
        <v>0.87637308580000928</v>
      </c>
      <c r="U16" s="10">
        <f>NA!U17/NA!U$7</f>
        <v>0.86002838635416412</v>
      </c>
      <c r="V16" s="10">
        <f>NA!V17/NA!V$7</f>
        <v>0.84164649922489421</v>
      </c>
      <c r="W16" s="10"/>
      <c r="X16" s="10"/>
      <c r="Y16" s="10"/>
      <c r="Z16" s="10"/>
      <c r="AA16" s="10"/>
      <c r="AB16" s="10"/>
      <c r="AF16" s="10">
        <f>NA!AM17/NA!AM$7</f>
        <v>0.92785294659118456</v>
      </c>
      <c r="AG16" s="10">
        <f>NA!AN17/NA!AN$7</f>
        <v>0.89945948608768445</v>
      </c>
      <c r="AH16" s="10">
        <f>NA!AO17/NA!AO$7</f>
        <v>0.89193764920333374</v>
      </c>
      <c r="AI16" s="10">
        <f>NA!AP17/NA!AP$7</f>
        <v>0.87717362406350796</v>
      </c>
      <c r="AJ16" s="10">
        <f>NA!AQ17/NA!AQ$7</f>
        <v>0.87651866921400245</v>
      </c>
      <c r="AK16" s="10">
        <f>NA!AR17/NA!AR$7</f>
        <v>0.86739711847441425</v>
      </c>
      <c r="AL16" s="10">
        <f>NA!AS17/NA!AS$7</f>
        <v>0.86369703356518379</v>
      </c>
      <c r="AM16" s="10">
        <f>NA!AT17/NA!AT$7</f>
        <v>0.87847631511697444</v>
      </c>
      <c r="AN16" s="10">
        <f>NA!AU17/NA!AU$7</f>
        <v>0.86921704729717109</v>
      </c>
      <c r="AO16" s="10">
        <f>NA!AV17/NA!AV$7</f>
        <v>0.88837913696369242</v>
      </c>
      <c r="AP16" s="10">
        <f>NA!AW17/NA!AW$7</f>
        <v>0.86420574646962722</v>
      </c>
      <c r="AQ16" s="10">
        <f>NA!AX17/NA!AX$7</f>
        <v>0.84985333413225805</v>
      </c>
      <c r="AR16" s="10">
        <f>NA!AY17/NA!AY$7</f>
        <v>0.87826233056261194</v>
      </c>
      <c r="AS16" s="10">
        <f>NA!AZ17/NA!AZ$7</f>
        <v>0.85315727500634209</v>
      </c>
      <c r="AT16" s="10">
        <f>NA!BA17/NA!BA$7</f>
        <v>0.87073020800682266</v>
      </c>
      <c r="AU16" s="10">
        <f>NA!BB17/NA!BB$7</f>
        <v>0.91093502394165404</v>
      </c>
      <c r="AV16" s="10">
        <f>NA!BC17/NA!BC$7</f>
        <v>0.91753250835807165</v>
      </c>
      <c r="AW16" s="10">
        <f>NA!BD17/NA!BD$7</f>
        <v>0.93435485179102629</v>
      </c>
      <c r="AX16" s="10">
        <f>NA!BE17/NA!BE$7</f>
        <v>0.94889457104503216</v>
      </c>
      <c r="AY16" s="10">
        <f>NA!BF17/NA!BF$7</f>
        <v>0</v>
      </c>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row>
    <row r="17" spans="5:182" x14ac:dyDescent="0.2">
      <c r="E17" s="246" t="s">
        <v>16</v>
      </c>
      <c r="G17" s="10"/>
      <c r="H17" s="10"/>
      <c r="I17" s="10"/>
      <c r="J17" s="10">
        <f>NA!J18/NA!J$7</f>
        <v>8.2717229559741909E-2</v>
      </c>
      <c r="K17" s="10">
        <f>NA!K18/NA!K$7</f>
        <v>5.2283232699303295E-2</v>
      </c>
      <c r="L17" s="10">
        <f>NA!L18/NA!L$7</f>
        <v>6.1395042628176084E-2</v>
      </c>
      <c r="M17" s="10">
        <f>NA!M18/NA!M$7</f>
        <v>7.8159789275835279E-2</v>
      </c>
      <c r="N17" s="10">
        <f>NA!N18/NA!N$7</f>
        <v>9.5160733224525382E-2</v>
      </c>
      <c r="O17" s="10">
        <f>NA!O18/NA!O$7</f>
        <v>0.10327042167326331</v>
      </c>
      <c r="P17" s="10">
        <f>NA!P18/NA!P$7</f>
        <v>0.10604079753643134</v>
      </c>
      <c r="Q17" s="10">
        <f>NA!Q18/NA!Q$7</f>
        <v>0.10707778797986109</v>
      </c>
      <c r="R17" s="10">
        <f>NA!R18/NA!R$7</f>
        <v>0.11851210802626781</v>
      </c>
      <c r="S17" s="10">
        <f>NA!S18/NA!S$7</f>
        <v>0.10885777776909873</v>
      </c>
      <c r="T17" s="10">
        <f>NA!T18/NA!T$7</f>
        <v>0.12064938632429302</v>
      </c>
      <c r="U17" s="10">
        <f>NA!U18/NA!U$7</f>
        <v>0.12135777555203422</v>
      </c>
      <c r="V17" s="10">
        <f>NA!V18/NA!V$7</f>
        <v>0.13352295856671276</v>
      </c>
      <c r="W17" s="10"/>
      <c r="X17" s="10"/>
      <c r="Y17" s="10"/>
      <c r="Z17" s="10"/>
      <c r="AA17" s="10"/>
      <c r="AB17" s="10"/>
      <c r="AF17" s="10">
        <f>NA!AM18/NA!AM$7</f>
        <v>7.1566407755698808E-2</v>
      </c>
      <c r="AG17" s="10">
        <f>NA!AN18/NA!AN$7</f>
        <v>5.6728504250314268E-2</v>
      </c>
      <c r="AH17" s="10">
        <f>NA!AO18/NA!AO$7</f>
        <v>7.0414705877235154E-2</v>
      </c>
      <c r="AI17" s="10">
        <f>NA!AP18/NA!AP$7</f>
        <v>8.775766103603741E-2</v>
      </c>
      <c r="AJ17" s="10">
        <f>NA!AQ18/NA!AQ$7</f>
        <v>9.2292086142472418E-2</v>
      </c>
      <c r="AK17" s="10">
        <f>NA!AR18/NA!AR$7</f>
        <v>0.1075288178183057</v>
      </c>
      <c r="AL17" s="10">
        <f>NA!AS18/NA!AS$7</f>
        <v>9.4834791157699938E-2</v>
      </c>
      <c r="AM17" s="10">
        <f>NA!AT18/NA!AT$7</f>
        <v>0.1025275315686027</v>
      </c>
      <c r="AN17" s="10">
        <f>NA!AU18/NA!AU$7</f>
        <v>0.12445927996535915</v>
      </c>
      <c r="AO17" s="10">
        <f>NA!AV18/NA!AV$7</f>
        <v>0.11444327676604286</v>
      </c>
      <c r="AP17" s="10">
        <f>NA!AW18/NA!AW$7</f>
        <v>0.12024266029213362</v>
      </c>
      <c r="AQ17" s="10">
        <f>NA!AX18/NA!AX$7</f>
        <v>0.1267379931178243</v>
      </c>
      <c r="AR17" s="10">
        <f>NA!AY18/NA!AY$7</f>
        <v>0.12001827923164499</v>
      </c>
      <c r="AS17" s="10">
        <f>NA!AZ18/NA!AZ$7</f>
        <v>0.11160730827797702</v>
      </c>
      <c r="AT17" s="10">
        <f>NA!BA18/NA!BA$7</f>
        <v>0.11405632387144038</v>
      </c>
      <c r="AU17" s="10">
        <f>NA!BB18/NA!BB$7</f>
        <v>0.10765323665034066</v>
      </c>
      <c r="AV17" s="10">
        <f>NA!BC18/NA!BC$7</f>
        <v>0.1147895311170372</v>
      </c>
      <c r="AW17" s="10">
        <f>NA!BD18/NA!BD$7</f>
        <v>0.1000575490926441</v>
      </c>
      <c r="AX17" s="10">
        <f>NA!BE18/NA!BE$7</f>
        <v>8.8727935393235133E-2</v>
      </c>
      <c r="AY17" s="10">
        <f>NA!BF18/NA!BF$7</f>
        <v>8.9761773768602574E-2</v>
      </c>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c r="FB17" s="10"/>
      <c r="FC17" s="10"/>
      <c r="FD17" s="10"/>
      <c r="FE17" s="10"/>
      <c r="FF17" s="10"/>
      <c r="FG17" s="10"/>
      <c r="FH17" s="10"/>
      <c r="FI17" s="10"/>
      <c r="FJ17" s="10"/>
      <c r="FK17" s="10"/>
      <c r="FL17" s="10"/>
      <c r="FM17" s="10"/>
      <c r="FN17" s="10"/>
      <c r="FO17" s="10"/>
      <c r="FP17" s="10"/>
      <c r="FQ17" s="10"/>
      <c r="FR17" s="10"/>
      <c r="FS17" s="10"/>
      <c r="FT17" s="10"/>
      <c r="FU17" s="10"/>
      <c r="FV17" s="10"/>
      <c r="FW17" s="10"/>
      <c r="FX17" s="10"/>
      <c r="FY17" s="10"/>
      <c r="FZ17" s="10"/>
    </row>
    <row r="18" spans="5:182" x14ac:dyDescent="0.2">
      <c r="E18" s="246" t="s">
        <v>17</v>
      </c>
      <c r="G18" s="10"/>
      <c r="H18" s="10"/>
      <c r="I18" s="10"/>
      <c r="J18" s="10">
        <f>NA!J19/NA!J$7</f>
        <v>3.0156362862058033E-3</v>
      </c>
      <c r="K18" s="10">
        <f>NA!K19/NA!K$7</f>
        <v>-2.7800261990800983E-2</v>
      </c>
      <c r="L18" s="10">
        <f>NA!L19/NA!L$7</f>
        <v>-2.4094324837686122E-2</v>
      </c>
      <c r="M18" s="10">
        <f>NA!M19/NA!M$7</f>
        <v>-4.0783815492768287E-4</v>
      </c>
      <c r="N18" s="10">
        <f>NA!N19/NA!N$7</f>
        <v>4.1020779199811928E-3</v>
      </c>
      <c r="O18" s="10">
        <f>NA!O19/NA!O$7</f>
        <v>1.4981518209621592E-3</v>
      </c>
      <c r="P18" s="10">
        <f>NA!P19/NA!P$7</f>
        <v>3.4028853540460573E-3</v>
      </c>
      <c r="Q18" s="10">
        <f>NA!Q19/NA!Q$7</f>
        <v>-2.2381445391512766E-3</v>
      </c>
      <c r="R18" s="10">
        <f>NA!R19/NA!R$7</f>
        <v>7.6568525346962938E-3</v>
      </c>
      <c r="S18" s="10">
        <f>NA!S19/NA!S$7</f>
        <v>1.0077534919090083E-2</v>
      </c>
      <c r="T18" s="10">
        <f>NA!T19/NA!T$7</f>
        <v>2.3356862302635566E-4</v>
      </c>
      <c r="U18" s="10">
        <f>NA!U19/NA!U$7</f>
        <v>-4.095160425377449E-3</v>
      </c>
      <c r="V18" s="10">
        <f>NA!V19/NA!V$7</f>
        <v>9.7812540592947649E-3</v>
      </c>
      <c r="W18" s="10"/>
      <c r="X18" s="10"/>
      <c r="Y18" s="10"/>
      <c r="Z18" s="10"/>
      <c r="AA18" s="10"/>
      <c r="AB18" s="10"/>
      <c r="AF18" s="10">
        <f>NA!AM19/NA!AM$7</f>
        <v>-1.2956369486719389E-2</v>
      </c>
      <c r="AG18" s="10">
        <f>NA!AN19/NA!AN$7</f>
        <v>-3.3950015701569705E-2</v>
      </c>
      <c r="AH18" s="10">
        <f>NA!AO19/NA!AO$7</f>
        <v>-3.9959645824956492E-3</v>
      </c>
      <c r="AI18" s="10">
        <f>NA!AP19/NA!AP$7</f>
        <v>3.8946153115522789E-3</v>
      </c>
      <c r="AJ18" s="10">
        <f>NA!AQ19/NA!AQ$7</f>
        <v>2.4632424625515886E-3</v>
      </c>
      <c r="AK18" s="10">
        <f>NA!AR19/NA!AR$7</f>
        <v>1.789974254116491E-5</v>
      </c>
      <c r="AL18" s="10">
        <f>NA!AS19/NA!AS$7</f>
        <v>1.5786636365112035E-5</v>
      </c>
      <c r="AM18" s="10">
        <f>NA!AT19/NA!AT$7</f>
        <v>6.8710526921820381E-3</v>
      </c>
      <c r="AN18" s="10">
        <f>NA!AU19/NA!AU$7</f>
        <v>1.3198251795174096E-2</v>
      </c>
      <c r="AO18" s="10">
        <f>NA!AV19/NA!AV$7</f>
        <v>1.3007664052199167E-2</v>
      </c>
      <c r="AP18" s="10">
        <f>NA!AW19/NA!AW$7</f>
        <v>-5.1392575067365784E-3</v>
      </c>
      <c r="AQ18" s="10">
        <f>NA!AX19/NA!AX$7</f>
        <v>7.0206360281552726E-4</v>
      </c>
      <c r="AR18" s="10">
        <f>NA!AY19/NA!AY$7</f>
        <v>7.2432923987876281E-3</v>
      </c>
      <c r="AS18" s="10">
        <f>NA!AZ19/NA!AZ$7</f>
        <v>-9.9938429617945973E-5</v>
      </c>
      <c r="AT18" s="10">
        <f>NA!BA19/NA!BA$7</f>
        <v>2.8896224389272848E-3</v>
      </c>
      <c r="AU18" s="10">
        <f>NA!BB19/NA!BB$7</f>
        <v>-6.5093643763106069E-4</v>
      </c>
      <c r="AV18" s="10">
        <f>NA!BC19/NA!BC$7</f>
        <v>-4.6011613899466846E-3</v>
      </c>
      <c r="AW18" s="10">
        <f>NA!BD19/NA!BD$7</f>
        <v>-6.6317660354988017E-3</v>
      </c>
      <c r="AX18" s="10">
        <f>NA!BE19/NA!BE$7</f>
        <v>-8.9322382767254606E-3</v>
      </c>
      <c r="AY18" s="10">
        <f>NA!BF19/NA!BF$7</f>
        <v>-1.1353642954759904E-2</v>
      </c>
      <c r="AZ18" s="10"/>
      <c r="BA18" s="10"/>
      <c r="BB18" s="10"/>
      <c r="BC18" s="1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c r="FB18" s="10"/>
      <c r="FC18" s="10"/>
      <c r="FD18" s="10"/>
      <c r="FE18" s="10"/>
      <c r="FF18" s="10"/>
      <c r="FG18" s="10"/>
      <c r="FH18" s="10"/>
      <c r="FI18" s="10"/>
      <c r="FJ18" s="10"/>
      <c r="FK18" s="10"/>
      <c r="FL18" s="10"/>
      <c r="FM18" s="10"/>
      <c r="FN18" s="10"/>
      <c r="FO18" s="10"/>
      <c r="FP18" s="10"/>
      <c r="FQ18" s="10"/>
      <c r="FR18" s="10"/>
      <c r="FS18" s="10"/>
      <c r="FT18" s="10"/>
      <c r="FU18" s="10"/>
      <c r="FV18" s="10"/>
      <c r="FW18" s="10"/>
      <c r="FX18" s="10"/>
      <c r="FY18" s="10"/>
      <c r="FZ18" s="10"/>
    </row>
    <row r="19" spans="5:182" x14ac:dyDescent="0.2">
      <c r="E19" s="246" t="s">
        <v>18</v>
      </c>
      <c r="G19" s="10"/>
      <c r="H19" s="10"/>
      <c r="I19" s="10"/>
      <c r="J19" s="10">
        <f>NA!J20/NA!J$7</f>
        <v>0.84675184247483171</v>
      </c>
      <c r="K19" s="10">
        <f>NA!K20/NA!K$7</f>
        <v>0.86085570278475376</v>
      </c>
      <c r="L19" s="10">
        <f>NA!L20/NA!L$7</f>
        <v>0.83512463147799887</v>
      </c>
      <c r="M19" s="10">
        <f>NA!M20/NA!M$7</f>
        <v>0.80898550326778484</v>
      </c>
      <c r="N19" s="10">
        <f>NA!N20/NA!N$7</f>
        <v>0.77156392671991481</v>
      </c>
      <c r="O19" s="10">
        <f>NA!O20/NA!O$7</f>
        <v>0.76880760348732613</v>
      </c>
      <c r="P19" s="10">
        <f>NA!P20/NA!P$7</f>
        <v>0.75742977329917782</v>
      </c>
      <c r="Q19" s="10">
        <f>NA!Q20/NA!Q$7</f>
        <v>0.76251229064685933</v>
      </c>
      <c r="R19" s="10">
        <f>NA!R20/NA!R$7</f>
        <v>0.75924400322669183</v>
      </c>
      <c r="S19" s="10">
        <f>NA!S20/NA!S$7</f>
        <v>0.76709591308315195</v>
      </c>
      <c r="T19" s="10">
        <f>NA!T20/NA!T$7</f>
        <v>0.75572369947571627</v>
      </c>
      <c r="U19" s="10">
        <f>NA!U20/NA!U$7</f>
        <v>0.73867061080212992</v>
      </c>
      <c r="V19" s="10">
        <f>NA!V20/NA!V$7</f>
        <v>0.70812354065818151</v>
      </c>
      <c r="W19" s="10"/>
      <c r="X19" s="10"/>
      <c r="Y19" s="10"/>
      <c r="Z19" s="10"/>
      <c r="AA19" s="10"/>
      <c r="AB19" s="10"/>
      <c r="AF19" s="10">
        <f>NA!AM20/NA!AM$7</f>
        <v>0.85628653883548578</v>
      </c>
      <c r="AG19" s="10">
        <f>NA!AN20/NA!AN$7</f>
        <v>0.84273098183737027</v>
      </c>
      <c r="AH19" s="10">
        <f>NA!AO20/NA!AO$7</f>
        <v>0.82152294332609854</v>
      </c>
      <c r="AI19" s="10">
        <f>NA!AP20/NA!AP$7</f>
        <v>0.78941596302747052</v>
      </c>
      <c r="AJ19" s="10">
        <f>NA!AQ20/NA!AQ$7</f>
        <v>0.78422658307153004</v>
      </c>
      <c r="AK19" s="10">
        <f>NA!AR20/NA!AR$7</f>
        <v>0.75986830065610855</v>
      </c>
      <c r="AL19" s="10">
        <f>NA!AS20/NA!AS$7</f>
        <v>0.7688622424074838</v>
      </c>
      <c r="AM19" s="10">
        <f>NA!AT20/NA!AT$7</f>
        <v>0.77594878354837171</v>
      </c>
      <c r="AN19" s="10">
        <f>NA!AU20/NA!AU$7</f>
        <v>0.74475776733181187</v>
      </c>
      <c r="AO19" s="10">
        <f>NA!AV20/NA!AV$7</f>
        <v>0.77393586019764959</v>
      </c>
      <c r="AP19" s="10">
        <f>NA!AW20/NA!AW$7</f>
        <v>0.74396308617749363</v>
      </c>
      <c r="AQ19" s="10">
        <f>NA!AX20/NA!AX$7</f>
        <v>0.72311534101443387</v>
      </c>
      <c r="AR19" s="10">
        <f>NA!AY20/NA!AY$7</f>
        <v>0.75824405133096695</v>
      </c>
      <c r="AS19" s="10">
        <f>NA!AZ20/NA!AZ$7</f>
        <v>0.74154996672836504</v>
      </c>
      <c r="AT19" s="10">
        <f>NA!BA20/NA!BA$7</f>
        <v>0.75667388413538228</v>
      </c>
      <c r="AU19" s="10">
        <f>NA!BB20/NA!BB$7</f>
        <v>0.80328178729131339</v>
      </c>
      <c r="AV19" s="10">
        <f>NA!BC20/NA!BC$7</f>
        <v>0.80274297724103438</v>
      </c>
      <c r="AW19" s="10">
        <f>NA!BD20/NA!BD$7</f>
        <v>0.8342973026983822</v>
      </c>
      <c r="AX19" s="10">
        <f>NA!BE20/NA!BE$7</f>
        <v>0.86016663565179707</v>
      </c>
      <c r="AY19" s="10">
        <f>NA!BF20/NA!BF$7</f>
        <v>0.84509184045981511</v>
      </c>
      <c r="AZ19" s="10"/>
      <c r="BA19" s="10"/>
      <c r="BB19" s="10"/>
      <c r="BC19" s="1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c r="FB19" s="10"/>
      <c r="FC19" s="10"/>
      <c r="FD19" s="10"/>
      <c r="FE19" s="10"/>
      <c r="FF19" s="10"/>
      <c r="FG19" s="10"/>
      <c r="FH19" s="10"/>
      <c r="FI19" s="10"/>
      <c r="FJ19" s="10"/>
      <c r="FK19" s="10"/>
      <c r="FL19" s="10"/>
      <c r="FM19" s="10"/>
      <c r="FN19" s="10"/>
      <c r="FO19" s="10"/>
      <c r="FP19" s="10"/>
      <c r="FQ19" s="10"/>
      <c r="FR19" s="10"/>
      <c r="FS19" s="10"/>
      <c r="FT19" s="10"/>
      <c r="FU19" s="10"/>
      <c r="FV19" s="10"/>
      <c r="FW19" s="10"/>
      <c r="FX19" s="10"/>
      <c r="FY19" s="10"/>
      <c r="FZ19" s="10"/>
    </row>
    <row r="20" spans="5:182" x14ac:dyDescent="0.2">
      <c r="E20" s="246" t="s">
        <v>19</v>
      </c>
      <c r="G20" s="10"/>
      <c r="H20" s="10"/>
      <c r="I20" s="10"/>
      <c r="J20" s="10">
        <f>NA!J21/NA!J$7</f>
        <v>0.18109844925403501</v>
      </c>
      <c r="K20" s="10">
        <f>NA!K21/NA!K$7</f>
        <v>0.1668176117498211</v>
      </c>
      <c r="L20" s="10">
        <f>NA!L21/NA!L$7</f>
        <v>0.15027133750733734</v>
      </c>
      <c r="M20" s="10">
        <f>NA!M21/NA!M$7</f>
        <v>0.13962719314416519</v>
      </c>
      <c r="N20" s="10">
        <f>NA!N21/NA!N$7</f>
        <v>0.14845974035603693</v>
      </c>
      <c r="O20" s="10">
        <f>NA!O21/NA!O$7</f>
        <v>0.17194327854645089</v>
      </c>
      <c r="P20" s="10">
        <f>NA!P21/NA!P$7</f>
        <v>0.1962564467316292</v>
      </c>
      <c r="Q20" s="10">
        <f>NA!Q21/NA!Q$7</f>
        <v>0.20796769505990889</v>
      </c>
      <c r="R20" s="10">
        <f>NA!R21/NA!R$7</f>
        <v>0.21974739216335068</v>
      </c>
      <c r="S20" s="10">
        <f>NA!S21/NA!S$7</f>
        <v>0.22496420451971244</v>
      </c>
      <c r="T20" s="10">
        <f>NA!T21/NA!T$7</f>
        <v>0.2177856796816805</v>
      </c>
      <c r="U20" s="10">
        <f>NA!U21/NA!U$7</f>
        <v>0.22323488388257209</v>
      </c>
      <c r="V20" s="10">
        <f>NA!V21/NA!V$7</f>
        <v>0.24390629340821887</v>
      </c>
      <c r="W20" s="10"/>
      <c r="X20" s="10"/>
      <c r="Y20" s="10"/>
      <c r="Z20" s="10"/>
      <c r="AA20" s="10"/>
      <c r="AB20" s="10"/>
      <c r="AF20" s="10">
        <f>NA!AM21/NA!AM$7</f>
        <v>0.17050976385104449</v>
      </c>
      <c r="AG20" s="10">
        <f>NA!AN21/NA!AN$7</f>
        <v>0.16354673229001759</v>
      </c>
      <c r="AH20" s="10">
        <f>NA!AO21/NA!AO$7</f>
        <v>0.13927288520190065</v>
      </c>
      <c r="AI20" s="10">
        <f>NA!AP21/NA!AP$7</f>
        <v>0.13774402809500483</v>
      </c>
      <c r="AJ20" s="10">
        <f>NA!AQ21/NA!AQ$7</f>
        <v>0.15539457549530181</v>
      </c>
      <c r="AK20" s="10">
        <f>NA!AR21/NA!AR$7</f>
        <v>0.18348887394065275</v>
      </c>
      <c r="AL20" s="10">
        <f>NA!AS21/NA!AS$7</f>
        <v>0.20580177033922087</v>
      </c>
      <c r="AM20" s="10">
        <f>NA!AT21/NA!AT$7</f>
        <v>0.20770452072329049</v>
      </c>
      <c r="AN20" s="10">
        <f>NA!AU21/NA!AU$7</f>
        <v>0.22740964737444069</v>
      </c>
      <c r="AO20" s="10">
        <f>NA!AV21/NA!AV$7</f>
        <v>0.22095609182597314</v>
      </c>
      <c r="AP20" s="10">
        <f>NA!AW21/NA!AW$7</f>
        <v>0.21477199990976611</v>
      </c>
      <c r="AQ20" s="10">
        <f>NA!AX21/NA!AX$7</f>
        <v>0.23090465119885389</v>
      </c>
      <c r="AR20" s="10">
        <f>NA!AY21/NA!AY$7</f>
        <v>0.25460486844368679</v>
      </c>
      <c r="AS20" s="10">
        <f>NA!AZ21/NA!AZ$7</f>
        <v>0.24499388644776682</v>
      </c>
      <c r="AT20" s="10">
        <f>NA!BA21/NA!BA$7</f>
        <v>0.23918088355735115</v>
      </c>
      <c r="AU20" s="10">
        <f>NA!BB21/NA!BB$7</f>
        <v>0.18813273391346236</v>
      </c>
      <c r="AV20" s="10">
        <f>NA!BC21/NA!BC$7</f>
        <v>0.17130766120192525</v>
      </c>
      <c r="AW20" s="10">
        <f>NA!BD21/NA!BD$7</f>
        <v>0.15293776260548475</v>
      </c>
      <c r="AX20" s="10">
        <f>NA!BE21/NA!BE$7</f>
        <v>0.13322218536895222</v>
      </c>
      <c r="AY20" s="10">
        <f>NA!BF21/NA!BF$7</f>
        <v>0.14755859057214379</v>
      </c>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c r="FB20" s="10"/>
      <c r="FC20" s="10"/>
      <c r="FD20" s="10"/>
      <c r="FE20" s="10"/>
      <c r="FF20" s="10"/>
      <c r="FG20" s="10"/>
      <c r="FH20" s="10"/>
      <c r="FI20" s="10"/>
      <c r="FJ20" s="10"/>
      <c r="FK20" s="10"/>
      <c r="FL20" s="10"/>
      <c r="FM20" s="10"/>
      <c r="FN20" s="10"/>
      <c r="FO20" s="10"/>
      <c r="FP20" s="10"/>
      <c r="FQ20" s="10"/>
      <c r="FR20" s="10"/>
      <c r="FS20" s="10"/>
      <c r="FT20" s="10"/>
      <c r="FU20" s="10"/>
      <c r="FV20" s="10"/>
      <c r="FW20" s="10"/>
      <c r="FX20" s="10"/>
      <c r="FY20" s="10"/>
      <c r="FZ20" s="10"/>
    </row>
    <row r="21" spans="5:182" x14ac:dyDescent="0.2">
      <c r="E21" s="246" t="s">
        <v>20</v>
      </c>
      <c r="G21" s="10"/>
      <c r="H21" s="10"/>
      <c r="I21" s="10"/>
      <c r="J21" s="10">
        <f>NA!J22/NA!J$7</f>
        <v>2.0215982903679493E-2</v>
      </c>
      <c r="K21" s="10">
        <f>NA!K22/NA!K$7</f>
        <v>4.6816939244761213E-2</v>
      </c>
      <c r="L21" s="10">
        <f>NA!L22/NA!L$7</f>
        <v>2.7082094429360541E-2</v>
      </c>
      <c r="M21" s="10">
        <f>NA!M22/NA!M$7</f>
        <v>2.9180275367980877E-2</v>
      </c>
      <c r="N21" s="10">
        <f>NA!N22/NA!N$7</f>
        <v>2.380952172005088E-2</v>
      </c>
      <c r="O21" s="10">
        <f>NA!O22/NA!O$7</f>
        <v>4.6536710011671763E-2</v>
      </c>
      <c r="P21" s="10">
        <f>NA!P22/NA!P$7</f>
        <v>5.9788408651269269E-2</v>
      </c>
      <c r="Q21" s="10">
        <f>NA!Q22/NA!Q$7</f>
        <v>6.0240412590639593E-2</v>
      </c>
      <c r="R21" s="10">
        <f>NA!R22/NA!R$7</f>
        <v>5.3414885705897412E-2</v>
      </c>
      <c r="S21" s="10">
        <f>NA!S22/NA!S$7</f>
        <v>6.0836843654969622E-2</v>
      </c>
      <c r="T21" s="10">
        <f>NA!T22/NA!T$7</f>
        <v>5.8888129504614285E-2</v>
      </c>
      <c r="U21" s="10">
        <f>NA!U22/NA!U$7</f>
        <v>6.337610748941655E-2</v>
      </c>
      <c r="V21" s="10">
        <f>NA!V22/NA!V$7</f>
        <v>5.4514410730397748E-2</v>
      </c>
      <c r="W21" s="10"/>
      <c r="X21" s="10"/>
      <c r="Y21" s="10"/>
      <c r="Z21" s="10"/>
      <c r="AA21" s="10"/>
      <c r="AB21" s="10"/>
      <c r="AF21" s="10">
        <f>NA!AM22/NA!AM$7</f>
        <v>4.5126110409605458E-2</v>
      </c>
      <c r="AG21" s="10">
        <f>NA!AN22/NA!AN$7</f>
        <v>3.1288846062372026E-2</v>
      </c>
      <c r="AH21" s="10">
        <f>NA!AO22/NA!AO$7</f>
        <v>2.6391108472072822E-2</v>
      </c>
      <c r="AI21" s="10">
        <f>NA!AP22/NA!AP$7</f>
        <v>2.5676189620420904E-2</v>
      </c>
      <c r="AJ21" s="10">
        <f>NA!AQ22/NA!AQ$7</f>
        <v>4.1499280198219704E-2</v>
      </c>
      <c r="AK21" s="10">
        <f>NA!AR22/NA!AR$7</f>
        <v>5.9586736648193216E-2</v>
      </c>
      <c r="AL21" s="10">
        <f>NA!AS22/NA!AS$7</f>
        <v>5.2552384006943495E-2</v>
      </c>
      <c r="AM21" s="10">
        <f>NA!AT22/NA!AT$7</f>
        <v>5.5222137072325463E-2</v>
      </c>
      <c r="AN21" s="10">
        <f>NA!AU22/NA!AU$7</f>
        <v>6.1306402423169364E-2</v>
      </c>
      <c r="AO21" s="10">
        <f>NA!AV22/NA!AV$7</f>
        <v>5.1869961066341695E-2</v>
      </c>
      <c r="AP21" s="10">
        <f>NA!AW22/NA!AW$7</f>
        <v>6.4359374263550387E-2</v>
      </c>
      <c r="AQ21" s="10">
        <f>NA!AX22/NA!AX$7</f>
        <v>6.0582839849061813E-2</v>
      </c>
      <c r="AR21" s="10">
        <f>NA!AY22/NA!AY$7</f>
        <v>6.3269745734824787E-2</v>
      </c>
      <c r="AS21" s="10">
        <f>NA!AZ22/NA!AZ$7</f>
        <v>5.806148194175182E-2</v>
      </c>
      <c r="AT21" s="10">
        <f>NA!BA22/NA!BA$7</f>
        <v>5.501529467767912E-2</v>
      </c>
      <c r="AU21" s="10">
        <f>NA!BB22/NA!BB$7</f>
        <v>5.0113572024271823E-2</v>
      </c>
      <c r="AV21" s="10">
        <f>NA!BC22/NA!BC$7</f>
        <v>5.0021503284841215E-2</v>
      </c>
      <c r="AW21" s="10">
        <f>NA!BD22/NA!BD$7</f>
        <v>6.3544957540589225E-2</v>
      </c>
      <c r="AX21" s="10">
        <f>NA!BE22/NA!BE$7</f>
        <v>6.4565160752871123E-2</v>
      </c>
      <c r="AY21" s="10">
        <f>NA!BF22/NA!BF$7</f>
        <v>6.7503668283544441E-2</v>
      </c>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row>
    <row r="22" spans="5:182" x14ac:dyDescent="0.2">
      <c r="E22" s="246" t="s">
        <v>21</v>
      </c>
      <c r="G22" s="10"/>
      <c r="H22" s="10"/>
      <c r="I22" s="10"/>
      <c r="J22" s="10">
        <f>NA!J23/NA!J$7</f>
        <v>0.16088246635035552</v>
      </c>
      <c r="K22" s="10">
        <f>NA!K23/NA!K$7</f>
        <v>0.12000067250505989</v>
      </c>
      <c r="L22" s="10">
        <f>NA!L23/NA!L$7</f>
        <v>0.1231892430779768</v>
      </c>
      <c r="M22" s="10">
        <f>NA!M23/NA!M$7</f>
        <v>0.1104469177761843</v>
      </c>
      <c r="N22" s="10">
        <f>NA!N23/NA!N$7</f>
        <v>0.12465021863598606</v>
      </c>
      <c r="O22" s="10">
        <f>NA!O23/NA!O$7</f>
        <v>0.12540656853477911</v>
      </c>
      <c r="P22" s="10">
        <f>NA!P23/NA!P$7</f>
        <v>0.13646803808035993</v>
      </c>
      <c r="Q22" s="10">
        <f>NA!Q23/NA!Q$7</f>
        <v>0.14772728246926931</v>
      </c>
      <c r="R22" s="10">
        <f>NA!R23/NA!R$7</f>
        <v>0.16633250645745329</v>
      </c>
      <c r="S22" s="10">
        <f>NA!S23/NA!S$7</f>
        <v>0.16412736086474281</v>
      </c>
      <c r="T22" s="10">
        <f>NA!T23/NA!T$7</f>
        <v>0.15889755017706625</v>
      </c>
      <c r="U22" s="10">
        <f>NA!U23/NA!U$7</f>
        <v>0.15985877639315557</v>
      </c>
      <c r="V22" s="10">
        <f>NA!V23/NA!V$7</f>
        <v>0.18939188267782114</v>
      </c>
      <c r="W22" s="10"/>
      <c r="X22" s="10"/>
      <c r="Y22" s="10"/>
      <c r="Z22" s="10"/>
      <c r="AA22" s="10"/>
      <c r="AB22" s="10"/>
      <c r="AF22" s="10">
        <f>NA!AM23/NA!AM$7</f>
        <v>0.12538365344143904</v>
      </c>
      <c r="AG22" s="10">
        <f>NA!AN23/NA!AN$7</f>
        <v>0.13225788622764556</v>
      </c>
      <c r="AH22" s="10">
        <f>NA!AO23/NA!AO$7</f>
        <v>0.11288177672982783</v>
      </c>
      <c r="AI22" s="10">
        <f>NA!AP23/NA!AP$7</f>
        <v>0.11206783847458392</v>
      </c>
      <c r="AJ22" s="10">
        <f>NA!AQ23/NA!AQ$7</f>
        <v>0.1138952952970821</v>
      </c>
      <c r="AK22" s="10">
        <f>NA!AR23/NA!AR$7</f>
        <v>0.12390213729245954</v>
      </c>
      <c r="AL22" s="10">
        <f>NA!AS23/NA!AS$7</f>
        <v>0.15324938633227736</v>
      </c>
      <c r="AM22" s="10">
        <f>NA!AT23/NA!AT$7</f>
        <v>0.15248238365096503</v>
      </c>
      <c r="AN22" s="10">
        <f>NA!AU23/NA!AU$7</f>
        <v>0.16610324495127129</v>
      </c>
      <c r="AO22" s="10">
        <f>NA!AV23/NA!AV$7</f>
        <v>0.16908613075963144</v>
      </c>
      <c r="AP22" s="10">
        <f>NA!AW23/NA!AW$7</f>
        <v>0.15041262564621571</v>
      </c>
      <c r="AQ22" s="10">
        <f>NA!AX23/NA!AX$7</f>
        <v>0.17032181134979207</v>
      </c>
      <c r="AR22" s="10">
        <f>NA!AY23/NA!AY$7</f>
        <v>0.19133512270886199</v>
      </c>
      <c r="AS22" s="10">
        <f>NA!AZ23/NA!AZ$7</f>
        <v>0.186932404506015</v>
      </c>
      <c r="AT22" s="10">
        <f>NA!BA23/NA!BA$7</f>
        <v>0.18416558887967202</v>
      </c>
      <c r="AU22" s="10">
        <f>NA!BB23/NA!BB$7</f>
        <v>0.13801916188919053</v>
      </c>
      <c r="AV22" s="10">
        <f>NA!BC23/NA!BC$7</f>
        <v>0.12128615791708405</v>
      </c>
      <c r="AW22" s="10">
        <f>NA!BD23/NA!BD$7</f>
        <v>8.9392805064895525E-2</v>
      </c>
      <c r="AX22" s="10">
        <f>NA!BE23/NA!BE$7</f>
        <v>6.86570246160811E-2</v>
      </c>
      <c r="AY22" s="10">
        <f>NA!BF23/NA!BF$7</f>
        <v>8.0054922288599339E-2</v>
      </c>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row>
    <row r="23" spans="5:182" x14ac:dyDescent="0.2">
      <c r="E23" s="246" t="s">
        <v>22</v>
      </c>
      <c r="G23" s="10"/>
      <c r="H23" s="10"/>
      <c r="I23" s="10"/>
      <c r="J23" s="10">
        <f>NA!J24/NA!J$7</f>
        <v>5.1562458816223145E-3</v>
      </c>
      <c r="K23" s="10">
        <f>NA!K24/NA!K$7</f>
        <v>4.7382339093571145E-3</v>
      </c>
      <c r="L23" s="10">
        <f>NA!L24/NA!L$7</f>
        <v>4.0806210074933883E-3</v>
      </c>
      <c r="M23" s="10">
        <f>NA!M24/NA!M$7</f>
        <v>3.6088494420159567E-3</v>
      </c>
      <c r="N23" s="10">
        <f>NA!N24/NA!N$7</f>
        <v>3.242810414222658E-3</v>
      </c>
      <c r="O23" s="10">
        <f>NA!O24/NA!O$7</f>
        <v>3.2397583053750557E-3</v>
      </c>
      <c r="P23" s="10">
        <f>NA!P24/NA!P$7</f>
        <v>3.4117820246909285E-3</v>
      </c>
      <c r="Q23" s="10">
        <f>NA!Q24/NA!Q$7</f>
        <v>3.2702868074950668E-3</v>
      </c>
      <c r="R23" s="10">
        <f>NA!R24/NA!R$7</f>
        <v>3.2958604740823019E-3</v>
      </c>
      <c r="S23" s="10">
        <f>NA!S24/NA!S$7</f>
        <v>3.3202226323325815E-3</v>
      </c>
      <c r="T23" s="10">
        <f>NA!T24/NA!T$7</f>
        <v>3.6596600794970716E-3</v>
      </c>
      <c r="U23" s="10">
        <f>NA!U24/NA!U$7</f>
        <v>3.8622143242977194E-3</v>
      </c>
      <c r="V23" s="10">
        <f>NA!V24/NA!V$7</f>
        <v>4.0409022244848611E-3</v>
      </c>
      <c r="W23" s="10"/>
      <c r="X23" s="10"/>
      <c r="Y23" s="10"/>
      <c r="Z23" s="10"/>
      <c r="AA23" s="10"/>
      <c r="AB23" s="10"/>
      <c r="AF23" s="10">
        <f>NA!AM24/NA!AM$7</f>
        <v>4.8841408032608939E-3</v>
      </c>
      <c r="AG23" s="10">
        <f>NA!AN24/NA!AN$7</f>
        <v>4.6089749164365725E-3</v>
      </c>
      <c r="AH23" s="10">
        <f>NA!AO24/NA!AO$7</f>
        <v>3.6587601792132688E-3</v>
      </c>
      <c r="AI23" s="10">
        <f>NA!AP24/NA!AP$7</f>
        <v>3.5085541124394767E-3</v>
      </c>
      <c r="AJ23" s="10">
        <f>NA!AQ24/NA!AQ$7</f>
        <v>2.9607630091349497E-3</v>
      </c>
      <c r="AK23" s="10">
        <f>NA!AR24/NA!AR$7</f>
        <v>3.4287961491138034E-3</v>
      </c>
      <c r="AL23" s="10">
        <f>NA!AS24/NA!AS$7</f>
        <v>3.3669622417394338E-3</v>
      </c>
      <c r="AM23" s="10">
        <f>NA!AT24/NA!AT$7</f>
        <v>3.1597861884788739E-3</v>
      </c>
      <c r="AN23" s="10">
        <f>NA!AU24/NA!AU$7</f>
        <v>3.3718546746254493E-3</v>
      </c>
      <c r="AO23" s="10">
        <f>NA!AV24/NA!AV$7</f>
        <v>3.2483663301355117E-3</v>
      </c>
      <c r="AP23" s="10">
        <f>NA!AW24/NA!AW$7</f>
        <v>4.0120513257470812E-3</v>
      </c>
      <c r="AQ23" s="10">
        <f>NA!AX24/NA!AX$7</f>
        <v>3.7398489065573687E-3</v>
      </c>
      <c r="AR23" s="10">
        <f>NA!AY24/NA!AY$7</f>
        <v>4.2891700103398775E-3</v>
      </c>
      <c r="AS23" s="10">
        <f>NA!AZ24/NA!AZ$7</f>
        <v>3.7783655661224836E-3</v>
      </c>
      <c r="AT23" s="10">
        <f>NA!BA24/NA!BA$7</f>
        <v>3.4191774731293775E-3</v>
      </c>
      <c r="AU23" s="10">
        <f>NA!BB24/NA!BB$7</f>
        <v>3.4070145521987879E-3</v>
      </c>
      <c r="AV23" s="10">
        <f>NA!BC24/NA!BC$7</f>
        <v>2.6156156703146943E-3</v>
      </c>
      <c r="AW23" s="10">
        <f>NA!BD24/NA!BD$7</f>
        <v>2.4707253252910649E-3</v>
      </c>
      <c r="AX23" s="10">
        <f>NA!BE24/NA!BE$7</f>
        <v>2.3449859218772529E-3</v>
      </c>
      <c r="AY23" s="10">
        <f>NA!BF24/NA!BF$7</f>
        <v>2.2606829939016853E-3</v>
      </c>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row>
    <row r="24" spans="5:182" x14ac:dyDescent="0.2">
      <c r="E24" s="246" t="s">
        <v>23</v>
      </c>
      <c r="G24" s="10"/>
      <c r="H24" s="10"/>
      <c r="I24" s="10"/>
      <c r="J24" s="10">
        <f>NA!J25/NA!J$7</f>
        <v>0.11584001315760824</v>
      </c>
      <c r="K24" s="10">
        <f>NA!K25/NA!K$7</f>
        <v>0.13825878716659787</v>
      </c>
      <c r="L24" s="10">
        <f>NA!L25/NA!L$7</f>
        <v>0.13159074542613086</v>
      </c>
      <c r="M24" s="10">
        <f>NA!M25/NA!M$7</f>
        <v>0.1414876540409013</v>
      </c>
      <c r="N24" s="10">
        <f>NA!N25/NA!N$7</f>
        <v>0.14986284040607473</v>
      </c>
      <c r="O24" s="10">
        <f>NA!O25/NA!O$7</f>
        <v>0.15914504441876007</v>
      </c>
      <c r="P24" s="10">
        <f>NA!P25/NA!P$7</f>
        <v>0.17113462032491064</v>
      </c>
      <c r="Q24" s="10">
        <f>NA!Q25/NA!Q$7</f>
        <v>0.18059006777439718</v>
      </c>
      <c r="R24" s="10">
        <f>NA!R25/NA!R$7</f>
        <v>0.19002208549073271</v>
      </c>
      <c r="S24" s="10">
        <f>NA!S25/NA!S$7</f>
        <v>0.19920785868750884</v>
      </c>
      <c r="T24" s="10">
        <f>NA!T25/NA!T$7</f>
        <v>0.18026916138565471</v>
      </c>
      <c r="U24" s="10">
        <f>NA!U25/NA!U$7</f>
        <v>0.18385810740304528</v>
      </c>
      <c r="V24" s="10">
        <f>NA!V25/NA!V$7</f>
        <v>0.21411710225479774</v>
      </c>
      <c r="W24" s="10"/>
      <c r="X24" s="10"/>
      <c r="Y24" s="10"/>
      <c r="Z24" s="10"/>
      <c r="AA24" s="10"/>
      <c r="AB24" s="10"/>
      <c r="AF24" s="10">
        <f>NA!AM25/NA!AM$7</f>
        <v>0.12529652312522832</v>
      </c>
      <c r="AG24" s="10">
        <f>NA!AN25/NA!AN$7</f>
        <v>0.13364428490898247</v>
      </c>
      <c r="AH24" s="10">
        <f>NA!AO25/NA!AO$7</f>
        <v>0.13955463794598319</v>
      </c>
      <c r="AI24" s="10">
        <f>NA!AP25/NA!AP$7</f>
        <v>0.14459827685950913</v>
      </c>
      <c r="AJ24" s="10">
        <f>NA!AQ25/NA!AQ$7</f>
        <v>0.15387965128560363</v>
      </c>
      <c r="AK24" s="10">
        <f>NA!AR25/NA!AR$7</f>
        <v>0.16828392435335027</v>
      </c>
      <c r="AL24" s="10">
        <f>NA!AS25/NA!AS$7</f>
        <v>0.17577124055585669</v>
      </c>
      <c r="AM24" s="10">
        <f>NA!AT25/NA!AT$7</f>
        <v>0.1838105775158784</v>
      </c>
      <c r="AN24" s="10">
        <f>NA!AU25/NA!AU$7</f>
        <v>0.18919822570996261</v>
      </c>
      <c r="AO24" s="10">
        <f>NA!AV25/NA!AV$7</f>
        <v>0.20254595754024649</v>
      </c>
      <c r="AP24" s="10">
        <f>NA!AW25/NA!AW$7</f>
        <v>0.17697230155465885</v>
      </c>
      <c r="AQ24" s="10">
        <f>NA!AX25/NA!AX$7</f>
        <v>0.20280524685974791</v>
      </c>
      <c r="AR24" s="10">
        <f>NA!AY25/NA!AY$7</f>
        <v>0.21718039309955983</v>
      </c>
      <c r="AS24" s="10">
        <f>NA!AZ25/NA!AZ$7</f>
        <v>0.22096557869910285</v>
      </c>
      <c r="AT24" s="10">
        <f>NA!BA25/NA!BA$7</f>
        <v>0.18959884851300624</v>
      </c>
      <c r="AU24" s="10">
        <f>NA!BB25/NA!BB$7</f>
        <v>0.18428477541842653</v>
      </c>
      <c r="AV24" s="10">
        <f>NA!BC25/NA!BC$7</f>
        <v>0.21311663943696418</v>
      </c>
      <c r="AW24" s="10">
        <f>NA!BD25/NA!BD$7</f>
        <v>0.22163899816983496</v>
      </c>
      <c r="AX24" s="10">
        <f>NA!BE25/NA!BE$7</f>
        <v>0.21872475102039898</v>
      </c>
      <c r="AY24" s="10">
        <f>NA!BF25/NA!BF$7</f>
        <v>0.22222654575067369</v>
      </c>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row>
    <row r="25" spans="5:182" x14ac:dyDescent="0.2">
      <c r="E25" s="246" t="s">
        <v>24</v>
      </c>
      <c r="G25" s="10"/>
      <c r="H25" s="10"/>
      <c r="I25" s="10"/>
      <c r="J25" s="10">
        <f>NA!J26/NA!J$7</f>
        <v>-0.23156378032783914</v>
      </c>
      <c r="K25" s="10">
        <f>NA!K26/NA!K$7</f>
        <v>-0.22295356830983321</v>
      </c>
      <c r="L25" s="10">
        <f>NA!L26/NA!L$7</f>
        <v>-0.18246237804713664</v>
      </c>
      <c r="M25" s="10">
        <f>NA!M26/NA!M$7</f>
        <v>-0.17186898917070254</v>
      </c>
      <c r="N25" s="10">
        <f>NA!N26/NA!N$7</f>
        <v>-0.16829005112077453</v>
      </c>
      <c r="O25" s="10">
        <f>NA!O26/NA!O$7</f>
        <v>-0.20640610643117538</v>
      </c>
      <c r="P25" s="10">
        <f>NA!P26/NA!P$7</f>
        <v>-0.23427341991683989</v>
      </c>
      <c r="Q25" s="10">
        <f>NA!Q26/NA!Q$7</f>
        <v>-0.26141812826852168</v>
      </c>
      <c r="R25" s="10">
        <f>NA!R26/NA!R$7</f>
        <v>-0.29082144938112536</v>
      </c>
      <c r="S25" s="10">
        <f>NA!S26/NA!S$7</f>
        <v>-0.30344597669180468</v>
      </c>
      <c r="T25" s="10">
        <f>NA!T26/NA!T$7</f>
        <v>-0.27808758694684166</v>
      </c>
      <c r="U25" s="10">
        <f>NA!U26/NA!U$7</f>
        <v>-0.27098359196407928</v>
      </c>
      <c r="V25" s="10">
        <f>NA!V26/NA!V$7</f>
        <v>-0.30371079711239585</v>
      </c>
      <c r="W25" s="10"/>
      <c r="X25" s="10"/>
      <c r="Y25" s="10"/>
      <c r="Z25" s="10"/>
      <c r="AA25" s="10"/>
      <c r="AB25" s="10"/>
      <c r="AF25" s="10">
        <f>NA!AM26/NA!AM$7</f>
        <v>-0.22854337437071828</v>
      </c>
      <c r="AG25" s="10">
        <f>NA!AN26/NA!AN$7</f>
        <v>-0.20125947820312115</v>
      </c>
      <c r="AH25" s="10">
        <f>NA!AO26/NA!AO$7</f>
        <v>-0.17442393253043079</v>
      </c>
      <c r="AI25" s="10">
        <f>NA!AP26/NA!AP$7</f>
        <v>-0.1630244831304615</v>
      </c>
      <c r="AJ25" s="10">
        <f>NA!AQ26/NA!AQ$7</f>
        <v>-0.18875365900404292</v>
      </c>
      <c r="AK25" s="10">
        <f>NA!AR26/NA!AR$7</f>
        <v>-0.22259871291753106</v>
      </c>
      <c r="AL25" s="10">
        <f>NA!AS26/NA!AS$7</f>
        <v>-0.24863700670200065</v>
      </c>
      <c r="AM25" s="10">
        <f>NA!AT26/NA!AT$7</f>
        <v>-0.27315119954462219</v>
      </c>
      <c r="AN25" s="10">
        <f>NA!AU26/NA!AU$7</f>
        <v>-0.28919677505619984</v>
      </c>
      <c r="AO25" s="10">
        <f>NA!AV26/NA!AV$7</f>
        <v>-0.31512955266004755</v>
      </c>
      <c r="AP25" s="10">
        <f>NA!AW26/NA!AW$7</f>
        <v>-0.25996209925979935</v>
      </c>
      <c r="AQ25" s="10">
        <f>NA!AX26/NA!AX$7</f>
        <v>-0.28730308109741715</v>
      </c>
      <c r="AR25" s="10">
        <f>NA!AY26/NA!AY$7</f>
        <v>-0.35433676211619847</v>
      </c>
      <c r="AS25" s="10">
        <f>NA!AZ26/NA!AZ$7</f>
        <v>-0.32289510571933433</v>
      </c>
      <c r="AT25" s="10">
        <f>NA!BA26/NA!BA$7</f>
        <v>-0.30292911755030938</v>
      </c>
      <c r="AU25" s="10">
        <f>NA!BB26/NA!BB$7</f>
        <v>-0.2867595478257417</v>
      </c>
      <c r="AV25" s="10">
        <f>NA!BC26/NA!BC$7</f>
        <v>-0.30457242466727574</v>
      </c>
      <c r="AW25" s="10">
        <f>NA!BD26/NA!BD$7</f>
        <v>-0.31140233789163702</v>
      </c>
      <c r="AX25" s="10">
        <f>NA!BE26/NA!BE$7</f>
        <v>-0.30318649335626063</v>
      </c>
      <c r="AY25" s="10">
        <f>NA!BF26/NA!BF$7</f>
        <v>-0.30689943354513693</v>
      </c>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row>
    <row r="26" spans="5:182" x14ac:dyDescent="0.2">
      <c r="E26" s="246" t="s">
        <v>25</v>
      </c>
      <c r="G26" s="10"/>
      <c r="H26" s="10"/>
      <c r="I26" s="10"/>
      <c r="J26" s="10">
        <f>NA!J27/NA!J$7</f>
        <v>0</v>
      </c>
      <c r="K26" s="10">
        <f>NA!K27/NA!K$7</f>
        <v>0</v>
      </c>
      <c r="L26" s="10">
        <f>NA!L27/NA!L$7</f>
        <v>0</v>
      </c>
      <c r="M26" s="10">
        <f>NA!M27/NA!M$7</f>
        <v>0</v>
      </c>
      <c r="N26" s="10">
        <f>NA!N27/NA!N$7</f>
        <v>0</v>
      </c>
      <c r="O26" s="10">
        <f>NA!O27/NA!O$7</f>
        <v>0</v>
      </c>
      <c r="P26" s="10">
        <f>NA!P27/NA!P$7</f>
        <v>0</v>
      </c>
      <c r="Q26" s="10">
        <f>NA!Q27/NA!Q$7</f>
        <v>0</v>
      </c>
      <c r="R26" s="10">
        <f>NA!R27/NA!R$7</f>
        <v>0</v>
      </c>
      <c r="S26" s="10">
        <f>NA!S27/NA!S$7</f>
        <v>0</v>
      </c>
      <c r="T26" s="10">
        <f>NA!T27/NA!T$7</f>
        <v>0</v>
      </c>
      <c r="U26" s="10">
        <f>NA!U27/NA!U$7</f>
        <v>0</v>
      </c>
      <c r="V26" s="10">
        <f>NA!V27/NA!V$7</f>
        <v>0</v>
      </c>
      <c r="W26" s="10"/>
      <c r="X26" s="10"/>
      <c r="Y26" s="10"/>
      <c r="Z26" s="10"/>
      <c r="AA26" s="10"/>
      <c r="AB26" s="10"/>
      <c r="AF26" s="10">
        <f>NA!AM27/NA!AM$7</f>
        <v>0</v>
      </c>
      <c r="AG26" s="10">
        <f>NA!AN27/NA!AN$7</f>
        <v>0</v>
      </c>
      <c r="AH26" s="10">
        <f>NA!AO27/NA!AO$7</f>
        <v>0</v>
      </c>
      <c r="AI26" s="10">
        <f>NA!AP27/NA!AP$7</f>
        <v>0</v>
      </c>
      <c r="AJ26" s="10">
        <f>NA!AQ27/NA!AQ$7</f>
        <v>0</v>
      </c>
      <c r="AK26" s="10">
        <f>NA!AR27/NA!AR$7</f>
        <v>0</v>
      </c>
      <c r="AL26" s="10">
        <f>NA!AS27/NA!AS$7</f>
        <v>0</v>
      </c>
      <c r="AM26" s="10">
        <f>NA!AT27/NA!AT$7</f>
        <v>0</v>
      </c>
      <c r="AN26" s="10">
        <f>NA!AU27/NA!AU$7</f>
        <v>0</v>
      </c>
      <c r="AO26" s="10">
        <f>NA!AV27/NA!AV$7</f>
        <v>0</v>
      </c>
      <c r="AP26" s="10">
        <f>NA!AW27/NA!AW$7</f>
        <v>0</v>
      </c>
      <c r="AQ26" s="10">
        <f>NA!AX27/NA!AX$7</f>
        <v>0</v>
      </c>
      <c r="AR26" s="10">
        <f>NA!AY27/NA!AY$7</f>
        <v>0</v>
      </c>
      <c r="AS26" s="10">
        <f>NA!AZ27/NA!AZ$7</f>
        <v>0</v>
      </c>
      <c r="AT26" s="10">
        <f>NA!BA27/NA!BA$7</f>
        <v>0</v>
      </c>
      <c r="AU26" s="10">
        <f>NA!BB27/NA!BB$7</f>
        <v>0</v>
      </c>
      <c r="AV26" s="10">
        <f>NA!BC27/NA!BC$7</f>
        <v>0</v>
      </c>
      <c r="AW26" s="10">
        <f>NA!BD27/NA!BD$7</f>
        <v>0</v>
      </c>
      <c r="AX26" s="10">
        <f>NA!BE27/NA!BE$7</f>
        <v>0</v>
      </c>
      <c r="AY26" s="10">
        <f>NA!BF27/NA!BF$7</f>
        <v>0.93485361422841762</v>
      </c>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row>
    <row r="27" spans="5:182" x14ac:dyDescent="0.2">
      <c r="E27" s="246" t="s">
        <v>26</v>
      </c>
      <c r="G27" s="10"/>
      <c r="H27" s="10"/>
      <c r="I27" s="10"/>
      <c r="J27" s="5"/>
      <c r="K27" s="5"/>
      <c r="L27" s="5"/>
      <c r="M27" s="5"/>
      <c r="N27" s="5"/>
      <c r="O27" s="5"/>
      <c r="P27" s="5"/>
      <c r="Q27" s="5"/>
      <c r="R27" s="5"/>
      <c r="S27" s="5"/>
      <c r="T27" s="5"/>
      <c r="U27" s="5"/>
      <c r="V27" s="5"/>
      <c r="W27" s="5"/>
      <c r="X27" s="5"/>
      <c r="Y27" s="5"/>
      <c r="Z27" s="5"/>
      <c r="AA27" s="5"/>
      <c r="AB27" s="5"/>
      <c r="AF27" s="5"/>
      <c r="AG27" s="5"/>
      <c r="AH27" s="13"/>
      <c r="AI27" s="13">
        <f>(AI20/AH20-1)*100</f>
        <v>-1.0977421087237982</v>
      </c>
      <c r="AJ27" s="13">
        <f>(AJ20/AI20-1)*100</f>
        <v>12.814020066353105</v>
      </c>
      <c r="AK27" s="13">
        <f>(AK20/AJ20-1)*100</f>
        <v>18.079330218447897</v>
      </c>
      <c r="AL27" s="13">
        <f>(AL20/AK20-1)*100</f>
        <v>12.160353878341933</v>
      </c>
      <c r="AM27" s="13">
        <f>(AM20/AL20-1)*100</f>
        <v>0.92455491560317071</v>
      </c>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row>
    <row r="28" spans="5:182" x14ac:dyDescent="0.2">
      <c r="E28" s="246"/>
      <c r="G28" s="10"/>
      <c r="H28" s="10"/>
      <c r="I28" s="10"/>
      <c r="J28" s="5"/>
      <c r="K28" s="5"/>
      <c r="L28" s="5"/>
      <c r="M28" s="5"/>
      <c r="N28" s="5"/>
      <c r="O28" s="5"/>
      <c r="P28" s="5"/>
      <c r="Q28" s="5"/>
      <c r="R28" s="5"/>
      <c r="S28" s="5"/>
      <c r="T28" s="5"/>
      <c r="U28" s="5"/>
      <c r="V28" s="5"/>
      <c r="W28" s="5"/>
      <c r="X28" s="5"/>
      <c r="Y28" s="5"/>
      <c r="Z28" s="5"/>
      <c r="AA28" s="5"/>
      <c r="AB28" s="5"/>
      <c r="AF28" s="5"/>
      <c r="AG28" s="5"/>
      <c r="AH28" s="13"/>
      <c r="AI28" s="13"/>
      <c r="AJ28" s="13"/>
      <c r="AK28" s="13"/>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row>
    <row r="29" spans="5:182" x14ac:dyDescent="0.2">
      <c r="E29" s="256" t="s">
        <v>27</v>
      </c>
      <c r="G29" s="10"/>
      <c r="H29" s="10"/>
      <c r="I29" s="10"/>
      <c r="J29" s="5"/>
      <c r="K29" s="5"/>
      <c r="L29" s="5"/>
      <c r="M29" s="5"/>
      <c r="N29" s="5"/>
      <c r="O29" s="5"/>
      <c r="P29" s="5"/>
      <c r="Q29" s="5"/>
      <c r="R29" s="5"/>
      <c r="S29" s="5"/>
      <c r="T29" s="5"/>
      <c r="U29" s="5"/>
      <c r="V29" s="5"/>
      <c r="W29" s="5"/>
      <c r="X29" s="5"/>
      <c r="Y29" s="5"/>
      <c r="Z29" s="5"/>
      <c r="AA29" s="5"/>
      <c r="AB29" s="5"/>
      <c r="AF29" s="5"/>
      <c r="AG29" s="5"/>
      <c r="AH29" s="13"/>
      <c r="AI29" s="13"/>
      <c r="AJ29" s="13"/>
      <c r="AK29" s="13"/>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row>
    <row r="30" spans="5:182" x14ac:dyDescent="0.2">
      <c r="E30" s="246" t="s">
        <v>28</v>
      </c>
      <c r="G30" s="10"/>
      <c r="H30" s="10"/>
      <c r="I30" s="10"/>
      <c r="J30" s="5"/>
      <c r="K30" s="5"/>
      <c r="L30" s="5"/>
      <c r="M30" s="5"/>
      <c r="N30" s="5"/>
      <c r="O30" s="5"/>
      <c r="P30" s="5"/>
      <c r="Q30" s="5"/>
      <c r="R30" s="5"/>
      <c r="S30" s="5"/>
      <c r="T30" s="5"/>
      <c r="U30" s="5"/>
      <c r="V30" s="5"/>
      <c r="W30" s="5"/>
      <c r="X30" s="5"/>
      <c r="Y30" s="5"/>
      <c r="Z30" s="5"/>
      <c r="AA30" s="5"/>
      <c r="AB30" s="5"/>
      <c r="AF30" s="5"/>
      <c r="AG30" s="5"/>
      <c r="AH30" s="13"/>
      <c r="AI30" s="13"/>
      <c r="AJ30" s="13"/>
      <c r="AK30" s="13"/>
      <c r="AL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row>
    <row r="31" spans="5:182" x14ac:dyDescent="0.2">
      <c r="E31" s="246" t="s">
        <v>29</v>
      </c>
      <c r="G31" s="10"/>
      <c r="H31" s="10"/>
      <c r="I31" s="10"/>
      <c r="J31" s="10">
        <f>NA!J32/NA!J$7</f>
        <v>0.84588930154129571</v>
      </c>
      <c r="K31" s="10">
        <f>NA!K32/NA!K$7</f>
        <v>0.8603201289204796</v>
      </c>
      <c r="L31" s="10">
        <f>NA!L32/NA!L$7</f>
        <v>0.81157050612103965</v>
      </c>
      <c r="M31" s="10">
        <f>NA!M32/NA!M$7</f>
        <v>0.79492890050846354</v>
      </c>
      <c r="N31" s="10">
        <f>NA!N32/NA!N$7</f>
        <v>0.80640669201631687</v>
      </c>
      <c r="O31" s="10">
        <f>NA!O32/NA!O$7</f>
        <v>0.81031987163377794</v>
      </c>
      <c r="P31" s="10">
        <f>NA!P32/NA!P$7</f>
        <v>0.80526332097343178</v>
      </c>
      <c r="Q31" s="10">
        <f>NA!Q32/NA!Q$7</f>
        <v>0.81854041171146263</v>
      </c>
      <c r="R31" s="10">
        <f>NA!R32/NA!R$7</f>
        <v>0.81964508601980279</v>
      </c>
      <c r="S31" s="10">
        <f>NA!S32/NA!S$7</f>
        <v>0.80508025831061469</v>
      </c>
      <c r="T31" s="10">
        <f>NA!T32/NA!T$7</f>
        <v>0.8068196385149512</v>
      </c>
      <c r="U31" s="10">
        <f>NA!U32/NA!U$7</f>
        <v>0.82096923784872045</v>
      </c>
      <c r="V31" s="10">
        <f>NA!V32/NA!V$7</f>
        <v>0.82679712968834274</v>
      </c>
      <c r="W31" s="10"/>
      <c r="X31" s="10"/>
      <c r="Y31" s="10"/>
      <c r="Z31" s="10"/>
      <c r="AA31" s="10"/>
      <c r="AB31" s="10"/>
      <c r="AF31" s="10">
        <f>NA!AM32/NA!AM$7</f>
        <v>0.85770989037147338</v>
      </c>
      <c r="AG31" s="10">
        <f>NA!AN32/NA!AN$7</f>
        <v>0.85990861128921336</v>
      </c>
      <c r="AH31" s="10">
        <f>NA!AO32/NA!AO$7</f>
        <v>0.78249209192589275</v>
      </c>
      <c r="AI31" s="10">
        <f>NA!AP32/NA!AP$7</f>
        <v>0.80842428795272558</v>
      </c>
      <c r="AJ31" s="10">
        <f>NA!AQ32/NA!AQ$7</f>
        <v>0.80926036946445434</v>
      </c>
      <c r="AK31" s="10">
        <f>NA!AR32/NA!AR$7</f>
        <v>0.81389770534004058</v>
      </c>
      <c r="AL31" s="10">
        <f>NA!AS32/NA!AS$7</f>
        <v>0.82054685433768459</v>
      </c>
      <c r="AM31" s="10">
        <f>NA!AT32/NA!AT$7</f>
        <v>0.83718776396425121</v>
      </c>
      <c r="AN31" s="10">
        <f>NA!AU32/NA!AU$7</f>
        <v>0.81333646243754543</v>
      </c>
      <c r="AO31" s="10">
        <f>NA!AV32/NA!AV$7</f>
        <v>0.80339138277894473</v>
      </c>
      <c r="AP31" s="10">
        <f>NA!AW32/NA!AW$7</f>
        <v>0.81664948183189323</v>
      </c>
      <c r="AQ31" s="10">
        <f>NA!AX32/NA!AX$7</f>
        <v>0.8207866717061707</v>
      </c>
      <c r="AR31" s="10">
        <f>NA!AY32/NA!AY$7</f>
        <v>0.82547032961813294</v>
      </c>
      <c r="AS31" s="10">
        <f>NA!AZ32/NA!AZ$7</f>
        <v>0.83107320129840789</v>
      </c>
      <c r="AT31" s="10">
        <f>NA!BA32/NA!BA$7</f>
        <v>0.83366961003181062</v>
      </c>
      <c r="AU31" s="10">
        <f>NA!BB32/NA!BB$7</f>
        <v>0.8446830129061289</v>
      </c>
      <c r="AV31" s="10">
        <f>NA!BC32/NA!BC$7</f>
        <v>0.85133441052493386</v>
      </c>
      <c r="AW31" s="10">
        <f>NA!BD32/NA!BD$7</f>
        <v>0.84605789403391929</v>
      </c>
      <c r="AX31" s="10">
        <f>NA!BE32/NA!BE$7</f>
        <v>0.84828185679577883</v>
      </c>
      <c r="AY31" s="10">
        <f>NA!BF32/NA!BF$7</f>
        <v>0</v>
      </c>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row>
    <row r="32" spans="5:182" x14ac:dyDescent="0.2">
      <c r="E32" s="246" t="s">
        <v>30</v>
      </c>
      <c r="G32" s="10"/>
      <c r="H32" s="10"/>
      <c r="I32" s="10"/>
      <c r="J32" s="10">
        <f>NA!J33/NA!J$7</f>
        <v>6.1929368693606913E-2</v>
      </c>
      <c r="K32" s="10">
        <f>NA!K33/NA!K$7</f>
        <v>5.7687541271420902E-2</v>
      </c>
      <c r="L32" s="10">
        <f>NA!L33/NA!L$7</f>
        <v>9.9164118547555552E-2</v>
      </c>
      <c r="M32" s="10">
        <f>NA!M33/NA!M$7</f>
        <v>0.12684056441164174</v>
      </c>
      <c r="N32" s="10">
        <f>NA!N33/NA!N$7</f>
        <v>0.11925896658786646</v>
      </c>
      <c r="O32" s="10">
        <f>NA!O33/NA!O$7</f>
        <v>0.11183733231189973</v>
      </c>
      <c r="P32" s="10">
        <f>NA!P33/NA!P$7</f>
        <v>0.10532903701453192</v>
      </c>
      <c r="Q32" s="10">
        <f>NA!Q33/NA!Q$7</f>
        <v>9.7863504248905067E-2</v>
      </c>
      <c r="R32" s="10">
        <f>NA!R33/NA!R$7</f>
        <v>9.3771789568229888E-2</v>
      </c>
      <c r="S32" s="10">
        <f>NA!S33/NA!S$7</f>
        <v>9.9897029781570834E-2</v>
      </c>
      <c r="T32" s="10">
        <f>NA!T33/NA!T$7</f>
        <v>9.9468910450590545E-2</v>
      </c>
      <c r="U32" s="10">
        <f>NA!U33/NA!U$7</f>
        <v>8.8623441475058656E-2</v>
      </c>
      <c r="V32" s="10">
        <f>NA!V33/NA!V$7</f>
        <v>8.0582101687861757E-2</v>
      </c>
      <c r="W32" s="10"/>
      <c r="X32" s="10"/>
      <c r="Y32" s="10"/>
      <c r="Z32" s="10"/>
      <c r="AA32" s="10"/>
      <c r="AB32" s="10"/>
      <c r="AF32" s="10">
        <f>NA!AM33/NA!AM$7</f>
        <v>5.904083870538978E-2</v>
      </c>
      <c r="AG32" s="10">
        <f>NA!AN33/NA!AN$7</f>
        <v>5.6488654373368433E-2</v>
      </c>
      <c r="AH32" s="10">
        <f>NA!AO33/NA!AO$7</f>
        <v>0.12965656554380653</v>
      </c>
      <c r="AI32" s="10">
        <f>NA!AP33/NA!AP$7</f>
        <v>0.12238753455833844</v>
      </c>
      <c r="AJ32" s="10">
        <f>NA!AQ33/NA!AQ$7</f>
        <v>0.11464963958264919</v>
      </c>
      <c r="AK32" s="10">
        <f>NA!AR33/NA!AR$7</f>
        <v>0.10755442070084126</v>
      </c>
      <c r="AL32" s="10">
        <f>NA!AS33/NA!AS$7</f>
        <v>0.10244593619191091</v>
      </c>
      <c r="AM32" s="10">
        <f>NA!AT33/NA!AT$7</f>
        <v>9.3182303955605464E-2</v>
      </c>
      <c r="AN32" s="10">
        <f>NA!AU33/NA!AU$7</f>
        <v>9.3066105238388805E-2</v>
      </c>
      <c r="AO32" s="10">
        <f>NA!AV33/NA!AV$7</f>
        <v>0.10458770514626979</v>
      </c>
      <c r="AP32" s="10">
        <f>NA!AW33/NA!AW$7</f>
        <v>9.4907926230860293E-2</v>
      </c>
      <c r="AQ32" s="10">
        <f>NA!AX33/NA!AX$7</f>
        <v>8.3365095489968913E-2</v>
      </c>
      <c r="AR32" s="10">
        <f>NA!AY33/NA!AY$7</f>
        <v>7.8247281153233442E-2</v>
      </c>
      <c r="AS32" s="10">
        <f>NA!AZ33/NA!AZ$7</f>
        <v>7.8067760125593536E-2</v>
      </c>
      <c r="AT32" s="10">
        <f>NA!BA33/NA!BA$7</f>
        <v>7.408004652262358E-2</v>
      </c>
      <c r="AU32" s="10">
        <f>NA!BB33/NA!BB$7</f>
        <v>6.3880904344903663E-2</v>
      </c>
      <c r="AV32" s="10">
        <f>NA!BC33/NA!BC$7</f>
        <v>4.6392183034129592E-2</v>
      </c>
      <c r="AW32" s="10">
        <f>NA!BD33/NA!BD$7</f>
        <v>4.1137068585321769E-2</v>
      </c>
      <c r="AX32" s="10">
        <f>NA!BE33/NA!BE$7</f>
        <v>3.653537411077349E-2</v>
      </c>
      <c r="AY32" s="10">
        <f>NA!BF33/NA!BF$7</f>
        <v>3.201537678892892E-2</v>
      </c>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row>
    <row r="33" spans="5:182" x14ac:dyDescent="0.2">
      <c r="E33" s="246" t="s">
        <v>31</v>
      </c>
      <c r="G33" s="10"/>
      <c r="H33" s="10"/>
      <c r="I33" s="10"/>
      <c r="J33" s="10">
        <f>NA!J34/NA!J$7</f>
        <v>-1.6107313459933687E-3</v>
      </c>
      <c r="K33" s="10">
        <f>NA!K34/NA!K$7</f>
        <v>7.6417524363186812E-4</v>
      </c>
      <c r="L33" s="10">
        <f>NA!L34/NA!L$7</f>
        <v>8.3507936445931957E-4</v>
      </c>
      <c r="M33" s="10">
        <f>NA!M34/NA!M$7</f>
        <v>6.2440789019723624E-4</v>
      </c>
      <c r="N33" s="10">
        <f>NA!N34/NA!N$7</f>
        <v>5.0057448371357445E-4</v>
      </c>
      <c r="O33" s="10">
        <f>NA!O34/NA!O$7</f>
        <v>5.0487860021683234E-4</v>
      </c>
      <c r="P33" s="10">
        <f>NA!P34/NA!P$7</f>
        <v>5.6601560550728375E-4</v>
      </c>
      <c r="Q33" s="10">
        <f>NA!Q34/NA!Q$7</f>
        <v>5.1926596380658379E-4</v>
      </c>
      <c r="R33" s="10">
        <f>NA!R34/NA!R$7</f>
        <v>2.543967421997718E-4</v>
      </c>
      <c r="S33" s="10">
        <f>NA!S34/NA!S$7</f>
        <v>3.9832264631325525E-4</v>
      </c>
      <c r="T33" s="10">
        <f>NA!T34/NA!T$7</f>
        <v>2.8303420935149571E-4</v>
      </c>
      <c r="U33" s="10">
        <f>NA!U34/NA!U$7</f>
        <v>3.8542771012585957E-4</v>
      </c>
      <c r="V33" s="10">
        <f>NA!V34/NA!V$7</f>
        <v>4.9243725352781872E-4</v>
      </c>
      <c r="W33" s="10"/>
      <c r="X33" s="10"/>
      <c r="Y33" s="10"/>
      <c r="Z33" s="10"/>
      <c r="AA33" s="10"/>
      <c r="AB33" s="10"/>
      <c r="AF33" s="10">
        <f>NA!AM34/NA!AM$7</f>
        <v>7.4285273836423651E-4</v>
      </c>
      <c r="AG33" s="10">
        <f>NA!AN34/NA!AN$7</f>
        <v>7.8923579149157909E-4</v>
      </c>
      <c r="AH33" s="10">
        <f>NA!AO34/NA!AO$7</f>
        <v>7.8190080808177595E-4</v>
      </c>
      <c r="AI33" s="10">
        <f>NA!AP34/NA!AP$7</f>
        <v>5.3182650019093912E-4</v>
      </c>
      <c r="AJ33" s="10">
        <f>NA!AQ34/NA!AQ$7</f>
        <v>4.9683746190465935E-4</v>
      </c>
      <c r="AK33" s="10">
        <f>NA!AR34/NA!AR$7</f>
        <v>5.1649415522628239E-4</v>
      </c>
      <c r="AL33" s="10">
        <f>NA!AS34/NA!AS$7</f>
        <v>6.0540375603733475E-4</v>
      </c>
      <c r="AM33" s="10">
        <f>NA!AT34/NA!AT$7</f>
        <v>3.3689984675935224E-4</v>
      </c>
      <c r="AN33" s="10">
        <f>NA!AU34/NA!AU$7</f>
        <v>2.7861372146708625E-4</v>
      </c>
      <c r="AO33" s="10">
        <f>NA!AV34/NA!AV$7</f>
        <v>3.3542282953849452E-4</v>
      </c>
      <c r="AP33" s="10">
        <f>NA!AW34/NA!AW$7</f>
        <v>3.9212384328510892E-4</v>
      </c>
      <c r="AQ33" s="10">
        <f>NA!AX34/NA!AX$7</f>
        <v>3.8914813069164172E-4</v>
      </c>
      <c r="AR33" s="10">
        <f>NA!AY34/NA!AY$7</f>
        <v>7.2133773728707987E-4</v>
      </c>
      <c r="AS33" s="10">
        <f>NA!AZ34/NA!AZ$7</f>
        <v>5.4595543392462994E-4</v>
      </c>
      <c r="AT33" s="10">
        <f>NA!BA34/NA!BA$7</f>
        <v>6.7601664344196463E-4</v>
      </c>
      <c r="AU33" s="10">
        <f>NA!BB34/NA!BB$7</f>
        <v>6.7098930960327963E-4</v>
      </c>
      <c r="AV33" s="10">
        <f>NA!BC34/NA!BC$7</f>
        <v>6.8913070295914471E-4</v>
      </c>
      <c r="AW33" s="10">
        <f>NA!BD34/NA!BD$7</f>
        <v>6.7875083119477262E-4</v>
      </c>
      <c r="AX33" s="10">
        <f>NA!BE34/NA!BE$7</f>
        <v>6.2473059515790635E-4</v>
      </c>
      <c r="AY33" s="10">
        <f>NA!BF34/NA!BF$7</f>
        <v>5.9840579964971319E-4</v>
      </c>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row>
    <row r="34" spans="5:182" x14ac:dyDescent="0.2">
      <c r="E34" s="246" t="s">
        <v>52</v>
      </c>
      <c r="G34" s="10"/>
      <c r="H34" s="10"/>
      <c r="I34" s="10"/>
      <c r="J34" s="10">
        <f>NA!J35/NA!J$7</f>
        <v>-1.6107313459933687E-3</v>
      </c>
      <c r="K34" s="10">
        <f>NA!K35/NA!K$7</f>
        <v>-1.9241880040381523E-3</v>
      </c>
      <c r="L34" s="10">
        <f>NA!L35/NA!L$7</f>
        <v>-1.8201461587780954E-3</v>
      </c>
      <c r="M34" s="10">
        <f>NA!M35/NA!M$7</f>
        <v>-1.7644837168983405E-3</v>
      </c>
      <c r="N34" s="10">
        <f>NA!N35/NA!N$7</f>
        <v>-1.3388037139052326E-3</v>
      </c>
      <c r="O34" s="10">
        <f>NA!O35/NA!O$7</f>
        <v>-1.47315257749443E-3</v>
      </c>
      <c r="P34" s="10">
        <f>NA!P35/NA!P$7</f>
        <v>-1.9798125878550178E-3</v>
      </c>
      <c r="Q34" s="10">
        <f>NA!Q35/NA!Q$7</f>
        <v>-9.7434467249662082E-4</v>
      </c>
      <c r="R34" s="10">
        <f>NA!R35/NA!R$7</f>
        <v>-1.4692669903157731E-3</v>
      </c>
      <c r="S34" s="10">
        <f>NA!S35/NA!S$7</f>
        <v>-1.2959606539674252E-3</v>
      </c>
      <c r="T34" s="10">
        <f>NA!T35/NA!T$7</f>
        <v>-1.2531994248051439E-3</v>
      </c>
      <c r="U34" s="10">
        <f>NA!U35/NA!U$7</f>
        <v>-1.249025814521354E-3</v>
      </c>
      <c r="V34" s="10">
        <f>NA!V35/NA!V$7</f>
        <v>-1.1766935840077741E-3</v>
      </c>
      <c r="W34" s="10"/>
      <c r="X34" s="10"/>
      <c r="Y34" s="10"/>
      <c r="Z34" s="10"/>
      <c r="AA34" s="10"/>
      <c r="AB34" s="10"/>
      <c r="AF34" s="10">
        <f>NA!AM35/NA!AM$7</f>
        <v>-1.5976785736238261E-3</v>
      </c>
      <c r="AG34" s="10">
        <f>NA!AN35/NA!AN$7</f>
        <v>-1.9968370595544989E-3</v>
      </c>
      <c r="AH34" s="10">
        <f>NA!AO35/NA!AO$7</f>
        <v>-1.7397628916940553E-3</v>
      </c>
      <c r="AI34" s="10">
        <f>NA!AP35/NA!AP$7</f>
        <v>-1.6013863423731992E-3</v>
      </c>
      <c r="AJ34" s="10">
        <f>NA!AQ35/NA!AQ$7</f>
        <v>-1.5939171345655376E-3</v>
      </c>
      <c r="AK34" s="10">
        <f>NA!AR35/NA!AR$7</f>
        <v>-1.796588259790537E-3</v>
      </c>
      <c r="AL34" s="10">
        <f>NA!AS35/NA!AS$7</f>
        <v>-1.4694501444313282E-3</v>
      </c>
      <c r="AM34" s="10">
        <f>NA!AT35/NA!AT$7</f>
        <v>-1.2682166278030317E-3</v>
      </c>
      <c r="AN34" s="10">
        <f>NA!AU35/NA!AU$7</f>
        <v>-1.3388017975693276E-3</v>
      </c>
      <c r="AO34" s="10">
        <f>NA!AV35/NA!AV$7</f>
        <v>-1.0176773440263812E-3</v>
      </c>
      <c r="AP34" s="10">
        <f>NA!AW35/NA!AW$7</f>
        <v>-1.3704760943444949E-3</v>
      </c>
      <c r="AQ34" s="10">
        <f>NA!AX35/NA!AX$7</f>
        <v>-1.4031920223631818E-3</v>
      </c>
      <c r="AR34" s="10">
        <f>NA!AY35/NA!AY$7</f>
        <v>-1.2041925079638717E-3</v>
      </c>
      <c r="AS34" s="10">
        <f>NA!AZ35/NA!AZ$7</f>
        <v>-1.4503932320215701E-3</v>
      </c>
      <c r="AT34" s="10">
        <f>NA!BA35/NA!BA$7</f>
        <v>-1.5226017716399114E-3</v>
      </c>
      <c r="AU34" s="10">
        <f>NA!BB35/NA!BB$7</f>
        <v>-1.0354888285138905E-3</v>
      </c>
      <c r="AV34" s="10">
        <f>NA!BC35/NA!BC$7</f>
        <v>-9.2011549387057843E-4</v>
      </c>
      <c r="AW34" s="10">
        <f>NA!BD35/NA!BD$7</f>
        <v>-9.0625646713765574E-4</v>
      </c>
      <c r="AX34" s="10">
        <f>NA!BE35/NA!BE$7</f>
        <v>-8.341295745951633E-4</v>
      </c>
      <c r="AY34" s="10">
        <f>NA!BF35/NA!BF$7</f>
        <v>-7.9898115918419148E-4</v>
      </c>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row>
    <row r="35" spans="5:182" x14ac:dyDescent="0.2">
      <c r="E35" s="246" t="s">
        <v>32</v>
      </c>
      <c r="G35" s="10"/>
      <c r="H35" s="10"/>
      <c r="I35" s="10"/>
      <c r="J35" s="10">
        <f>NA!J36/NA!J$7</f>
        <v>7.6845825412474436E-2</v>
      </c>
      <c r="K35" s="10">
        <f>NA!K36/NA!K$7</f>
        <v>6.7757883089352905E-2</v>
      </c>
      <c r="L35" s="10">
        <f>NA!L36/NA!L$7</f>
        <v>7.0297739077013338E-2</v>
      </c>
      <c r="M35" s="10">
        <f>NA!M36/NA!M$7</f>
        <v>6.3986943317931033E-2</v>
      </c>
      <c r="N35" s="10">
        <f>NA!N36/NA!N$7</f>
        <v>6.4321779929169876E-2</v>
      </c>
      <c r="O35" s="10">
        <f>NA!O36/NA!O$7</f>
        <v>6.5930478746938942E-2</v>
      </c>
      <c r="P35" s="10">
        <f>NA!P36/NA!P$7</f>
        <v>7.2854935366088697E-2</v>
      </c>
      <c r="Q35" s="10">
        <f>NA!Q36/NA!Q$7</f>
        <v>7.5672718257778201E-2</v>
      </c>
      <c r="R35" s="10">
        <f>NA!R36/NA!R$7</f>
        <v>7.9825888478707169E-2</v>
      </c>
      <c r="S35" s="10">
        <f>NA!S36/NA!S$7</f>
        <v>8.4343427930811288E-2</v>
      </c>
      <c r="T35" s="10">
        <f>NA!T36/NA!T$7</f>
        <v>8.3462388100106422E-2</v>
      </c>
      <c r="U35" s="10">
        <f>NA!U36/NA!U$7</f>
        <v>7.6989043794087664E-2</v>
      </c>
      <c r="V35" s="10">
        <f>NA!V36/NA!V$7</f>
        <v>7.4785608086971544E-2</v>
      </c>
      <c r="W35" s="10"/>
      <c r="X35" s="10"/>
      <c r="Y35" s="10"/>
      <c r="Z35" s="10"/>
      <c r="AA35" s="10"/>
      <c r="AB35" s="10"/>
      <c r="AF35" s="10">
        <f>NA!AM36/NA!AM$7</f>
        <v>6.6510586274118863E-2</v>
      </c>
      <c r="AG35" s="10">
        <f>NA!AN36/NA!AN$7</f>
        <v>7.2389179948113461E-2</v>
      </c>
      <c r="AH35" s="10">
        <f>NA!AO36/NA!AO$7</f>
        <v>6.3212363517484785E-2</v>
      </c>
      <c r="AI35" s="10">
        <f>NA!AP36/NA!AP$7</f>
        <v>6.3081172435551086E-2</v>
      </c>
      <c r="AJ35" s="10">
        <f>NA!AQ36/NA!AQ$7</f>
        <v>6.4021724879802622E-2</v>
      </c>
      <c r="AK35" s="10">
        <f>NA!AR36/NA!AR$7</f>
        <v>6.5976451816536191E-2</v>
      </c>
      <c r="AL35" s="10">
        <f>NA!AS36/NA!AS$7</f>
        <v>5.8187778460650895E-2</v>
      </c>
      <c r="AM35" s="10">
        <f>NA!AT36/NA!AT$7</f>
        <v>6.9830460703200814E-2</v>
      </c>
      <c r="AN35" s="10">
        <f>NA!AU36/NA!AU$7</f>
        <v>8.1721501226215576E-2</v>
      </c>
      <c r="AO35" s="10">
        <f>NA!AV36/NA!AV$7</f>
        <v>8.1478252495540332E-2</v>
      </c>
      <c r="AP35" s="10">
        <f>NA!AW36/NA!AW$7</f>
        <v>7.9268711239370557E-2</v>
      </c>
      <c r="AQ35" s="10">
        <f>NA!AX36/NA!AX$7</f>
        <v>7.7583721273529568E-2</v>
      </c>
      <c r="AR35" s="10">
        <f>NA!AY36/NA!AY$7</f>
        <v>7.7422482860550493E-2</v>
      </c>
      <c r="AS35" s="10">
        <f>NA!AZ36/NA!AZ$7</f>
        <v>7.633460582846463E-2</v>
      </c>
      <c r="AT35" s="10">
        <f>NA!BA36/NA!BA$7</f>
        <v>7.6500325897216379E-2</v>
      </c>
      <c r="AU35" s="10">
        <f>NA!BB36/NA!BB$7</f>
        <v>7.8281658173205301E-2</v>
      </c>
      <c r="AV35" s="10">
        <f>NA!BC36/NA!BC$7</f>
        <v>8.5597812297124098E-2</v>
      </c>
      <c r="AW35" s="10">
        <f>NA!BD36/NA!BD$7</f>
        <v>9.3433054584614386E-2</v>
      </c>
      <c r="AX35" s="10">
        <f>NA!BE36/NA!BE$7</f>
        <v>9.3639266511865368E-2</v>
      </c>
      <c r="AY35" s="10">
        <f>NA!BF36/NA!BF$7</f>
        <v>9.9641817774509547E-2</v>
      </c>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row>
    <row r="36" spans="5:182" x14ac:dyDescent="0.2">
      <c r="E36" s="246" t="s">
        <v>33</v>
      </c>
      <c r="G36" s="10"/>
      <c r="H36" s="10"/>
      <c r="I36" s="10"/>
      <c r="J36" s="10">
        <f>NA!J37/NA!J$7</f>
        <v>0</v>
      </c>
      <c r="K36" s="10">
        <f>NA!K37/NA!K$7</f>
        <v>0</v>
      </c>
      <c r="L36" s="10">
        <f>NA!L37/NA!L$7</f>
        <v>0</v>
      </c>
      <c r="M36" s="10">
        <f>NA!M37/NA!M$7</f>
        <v>0</v>
      </c>
      <c r="N36" s="10">
        <f>NA!N37/NA!N$7</f>
        <v>0</v>
      </c>
      <c r="O36" s="10">
        <f>NA!O37/NA!O$7</f>
        <v>0</v>
      </c>
      <c r="P36" s="10">
        <f>NA!P37/NA!P$7</f>
        <v>0</v>
      </c>
      <c r="Q36" s="10">
        <f>NA!Q37/NA!Q$7</f>
        <v>0</v>
      </c>
      <c r="R36" s="10">
        <f>NA!R37/NA!R$7</f>
        <v>0</v>
      </c>
      <c r="S36" s="10">
        <f>NA!S37/NA!S$7</f>
        <v>0</v>
      </c>
      <c r="T36" s="10">
        <f>NA!T37/NA!T$7</f>
        <v>0</v>
      </c>
      <c r="U36" s="10">
        <f>NA!U37/NA!U$7</f>
        <v>0</v>
      </c>
      <c r="V36" s="10">
        <f>NA!V37/NA!V$7</f>
        <v>0</v>
      </c>
      <c r="W36" s="10"/>
      <c r="X36" s="10"/>
      <c r="Y36" s="10"/>
      <c r="Z36" s="10"/>
      <c r="AA36" s="10"/>
      <c r="AB36" s="10"/>
      <c r="AF36" s="10">
        <f>NA!AM37/NA!AM$7</f>
        <v>0</v>
      </c>
      <c r="AG36" s="10">
        <f>NA!AN37/NA!AN$7</f>
        <v>0</v>
      </c>
      <c r="AH36" s="10">
        <f>NA!AO37/NA!AO$7</f>
        <v>0</v>
      </c>
      <c r="AI36" s="10">
        <f>NA!AP37/NA!AP$7</f>
        <v>0</v>
      </c>
      <c r="AJ36" s="10">
        <f>NA!AQ37/NA!AQ$7</f>
        <v>0</v>
      </c>
      <c r="AK36" s="10">
        <f>NA!AR37/NA!AR$7</f>
        <v>0</v>
      </c>
      <c r="AL36" s="10">
        <f>NA!AS37/NA!AS$7</f>
        <v>0</v>
      </c>
      <c r="AM36" s="10">
        <f>NA!AT37/NA!AT$7</f>
        <v>0</v>
      </c>
      <c r="AN36" s="10">
        <f>NA!AU37/NA!AU$7</f>
        <v>0</v>
      </c>
      <c r="AO36" s="10">
        <f>NA!AV37/NA!AV$7</f>
        <v>0</v>
      </c>
      <c r="AP36" s="10">
        <f>NA!AW37/NA!AW$7</f>
        <v>0</v>
      </c>
      <c r="AQ36" s="10">
        <f>NA!AX37/NA!AX$7</f>
        <v>0</v>
      </c>
      <c r="AR36" s="10">
        <f>NA!AY37/NA!AY$7</f>
        <v>0</v>
      </c>
      <c r="AS36" s="10">
        <f>NA!AZ37/NA!AZ$7</f>
        <v>1.6204963806650698E-8</v>
      </c>
      <c r="AT36" s="10">
        <f>NA!BA37/NA!BA$7</f>
        <v>2.8042655756460175E-8</v>
      </c>
      <c r="AU36" s="10">
        <f>NA!BB37/NA!BB$7</f>
        <v>2.5532495651441792E-8</v>
      </c>
      <c r="AV36" s="10">
        <f>NA!BC37/NA!BC$7</f>
        <v>2.244232025708921E-8</v>
      </c>
      <c r="AW36" s="10">
        <f>NA!BD37/NA!BD$7</f>
        <v>1.9902069096180926E-8</v>
      </c>
      <c r="AX36" s="10">
        <f>NA!BE37/NA!BE$7</f>
        <v>1.7654553495287003E-8</v>
      </c>
      <c r="AY36" s="10">
        <f>NA!BF37/NA!BF$7</f>
        <v>0</v>
      </c>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row>
    <row r="37" spans="5:182" x14ac:dyDescent="0.2">
      <c r="E37" s="246" t="s">
        <v>34</v>
      </c>
      <c r="G37" s="10"/>
      <c r="H37" s="10"/>
      <c r="I37" s="10"/>
      <c r="J37" s="5" t="s">
        <v>43</v>
      </c>
      <c r="K37" s="5" t="s">
        <v>43</v>
      </c>
      <c r="L37" s="5" t="s">
        <v>43</v>
      </c>
      <c r="M37" s="5" t="s">
        <v>43</v>
      </c>
      <c r="N37" s="5" t="s">
        <v>43</v>
      </c>
      <c r="O37" s="5" t="s">
        <v>43</v>
      </c>
      <c r="P37" s="5" t="s">
        <v>43</v>
      </c>
      <c r="Q37" s="5" t="s">
        <v>43</v>
      </c>
      <c r="R37" s="5" t="s">
        <v>43</v>
      </c>
      <c r="S37" s="5" t="s">
        <v>43</v>
      </c>
      <c r="T37" s="5" t="s">
        <v>43</v>
      </c>
      <c r="U37" s="5" t="s">
        <v>43</v>
      </c>
      <c r="V37" s="5" t="s">
        <v>43</v>
      </c>
      <c r="W37" s="5"/>
      <c r="X37" s="5"/>
      <c r="Y37" s="5"/>
      <c r="Z37" s="5"/>
      <c r="AA37" s="5"/>
      <c r="AB37" s="5"/>
      <c r="AF37" s="5" t="s">
        <v>43</v>
      </c>
      <c r="AG37" s="5" t="s">
        <v>43</v>
      </c>
      <c r="AH37" s="5" t="s">
        <v>43</v>
      </c>
      <c r="AI37" s="5" t="s">
        <v>43</v>
      </c>
      <c r="AJ37" s="5" t="s">
        <v>43</v>
      </c>
      <c r="AK37" s="5" t="s">
        <v>43</v>
      </c>
      <c r="AL37" s="5" t="s">
        <v>43</v>
      </c>
      <c r="AM37" s="5" t="s">
        <v>43</v>
      </c>
      <c r="AN37" s="5" t="s">
        <v>43</v>
      </c>
      <c r="AO37" s="5" t="s">
        <v>43</v>
      </c>
      <c r="AP37" s="5" t="s">
        <v>43</v>
      </c>
      <c r="AQ37" s="5" t="s">
        <v>43</v>
      </c>
      <c r="AR37" s="5" t="s">
        <v>43</v>
      </c>
      <c r="AS37" s="5" t="s">
        <v>43</v>
      </c>
      <c r="AT37" s="5" t="s">
        <v>43</v>
      </c>
      <c r="AU37" s="5" t="s">
        <v>43</v>
      </c>
      <c r="AV37" s="5" t="s">
        <v>43</v>
      </c>
      <c r="AW37" s="5" t="s">
        <v>43</v>
      </c>
      <c r="AX37" s="5" t="s">
        <v>43</v>
      </c>
      <c r="AY37" s="5" t="s">
        <v>43</v>
      </c>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row>
    <row r="38" spans="5:182" x14ac:dyDescent="0.2">
      <c r="E38" s="246" t="s">
        <v>31</v>
      </c>
      <c r="G38" s="10"/>
      <c r="H38" s="10"/>
      <c r="I38" s="10"/>
      <c r="J38" s="10">
        <f>NA!J39/NA!J$7</f>
        <v>-1.5380102906306911E-2</v>
      </c>
      <c r="K38" s="10">
        <f>NA!K39/NA!K$7</f>
        <v>-1.687748962516129E-2</v>
      </c>
      <c r="L38" s="10">
        <f>NA!L39/NA!L$7</f>
        <v>-2.1266735522317025E-2</v>
      </c>
      <c r="M38" s="10">
        <f>NA!M39/NA!M$7</f>
        <v>-1.7689198197966605E-2</v>
      </c>
      <c r="N38" s="10">
        <f>NA!N39/NA!N$7</f>
        <v>-1.412608994566766E-2</v>
      </c>
      <c r="O38" s="10">
        <f>NA!O39/NA!O$7</f>
        <v>-1.6561540782044724E-2</v>
      </c>
      <c r="P38" s="10">
        <f>NA!P39/NA!P$7</f>
        <v>-1.9605779534997772E-2</v>
      </c>
      <c r="Q38" s="10">
        <f>NA!Q39/NA!Q$7</f>
        <v>-1.1126087801566577E-2</v>
      </c>
      <c r="R38" s="10">
        <f>NA!R39/NA!R$7</f>
        <v>-9.8344863994931312E-3</v>
      </c>
      <c r="S38" s="10">
        <f>NA!S39/NA!S$7</f>
        <v>-1.4564186917247982E-2</v>
      </c>
      <c r="T38" s="10">
        <f>NA!T39/NA!T$7</f>
        <v>-1.3419105017836925E-2</v>
      </c>
      <c r="U38" s="10">
        <f>NA!U39/NA!U$7</f>
        <v>-1.7329019349299386E-2</v>
      </c>
      <c r="V38" s="10">
        <f>NA!V39/NA!V$7</f>
        <v>-2.2715296561507448E-2</v>
      </c>
      <c r="W38" s="10"/>
      <c r="X38" s="10"/>
      <c r="Y38" s="10"/>
      <c r="Z38" s="10"/>
      <c r="AA38" s="10"/>
      <c r="AB38" s="10"/>
      <c r="AF38" s="10">
        <f>NA!AM39/NA!AM$7</f>
        <v>-1.8485333861456614E-2</v>
      </c>
      <c r="AG38" s="10">
        <f>NA!AN39/NA!AN$7</f>
        <v>-1.4299360279325529E-2</v>
      </c>
      <c r="AH38" s="10">
        <f>NA!AO39/NA!AO$7</f>
        <v>-2.7290416897531901E-2</v>
      </c>
      <c r="AI38" s="10">
        <f>NA!AP39/NA!AP$7</f>
        <v>-9.6642830577660672E-3</v>
      </c>
      <c r="AJ38" s="10">
        <f>NA!AQ39/NA!AQ$7</f>
        <v>-1.6665462186584688E-2</v>
      </c>
      <c r="AK38" s="10">
        <f>NA!AR39/NA!AR$7</f>
        <v>-1.6028488075036918E-2</v>
      </c>
      <c r="AL38" s="10">
        <f>NA!AS39/NA!AS$7</f>
        <v>-2.21400702581868E-2</v>
      </c>
      <c r="AM38" s="10">
        <f>NA!AT39/NA!AT$7</f>
        <v>-2.8234364968727672E-3</v>
      </c>
      <c r="AN38" s="10">
        <f>NA!AU39/NA!AU$7</f>
        <v>-1.5488420175273056E-2</v>
      </c>
      <c r="AO38" s="10">
        <f>NA!AV39/NA!AV$7</f>
        <v>-1.3968064494557075E-2</v>
      </c>
      <c r="AP38" s="10">
        <f>NA!AW39/NA!AW$7</f>
        <v>-1.3351448383466554E-2</v>
      </c>
      <c r="AQ38" s="10">
        <f>NA!AX39/NA!AX$7</f>
        <v>-2.1971038062819498E-2</v>
      </c>
      <c r="AR38" s="10">
        <f>NA!AY39/NA!AY$7</f>
        <v>-2.3024801784137596E-2</v>
      </c>
      <c r="AS38" s="10">
        <f>NA!AZ39/NA!AZ$7</f>
        <v>-1.641176983428189E-2</v>
      </c>
      <c r="AT38" s="10">
        <f>NA!BA39/NA!BA$7</f>
        <v>-1.7141345913623176E-2</v>
      </c>
      <c r="AU38" s="10">
        <f>NA!BB39/NA!BB$7</f>
        <v>-1.4612808444444673E-2</v>
      </c>
      <c r="AV38" s="10">
        <f>NA!BC39/NA!BC$7</f>
        <v>-1.8563380461074749E-2</v>
      </c>
      <c r="AW38" s="10">
        <f>NA!BD39/NA!BD$7</f>
        <v>-2.1281488855570588E-2</v>
      </c>
      <c r="AX38" s="10">
        <f>NA!BE39/NA!BE$7</f>
        <v>-2.3267394151983353E-2</v>
      </c>
      <c r="AY38" s="10">
        <f>NA!BF39/NA!BF$7</f>
        <v>-2.4577540678105789E-2</v>
      </c>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row>
    <row r="39" spans="5:182" x14ac:dyDescent="0.2">
      <c r="E39" s="246" t="s">
        <v>53</v>
      </c>
      <c r="G39" s="10"/>
      <c r="H39" s="10"/>
      <c r="I39" s="10"/>
      <c r="J39" s="10">
        <f>NA!J40/NA!J$7</f>
        <v>3.2660612456705184E-3</v>
      </c>
      <c r="K39" s="10">
        <f>NA!K40/NA!K$7</f>
        <v>3.8030556668209614E-3</v>
      </c>
      <c r="L39" s="10">
        <f>NA!L40/NA!L$7</f>
        <v>3.2841660622440691E-3</v>
      </c>
      <c r="M39" s="10">
        <f>NA!M40/NA!M$7</f>
        <v>4.5856822627040727E-3</v>
      </c>
      <c r="N39" s="10">
        <f>NA!N40/NA!N$7</f>
        <v>4.9517577092124954E-3</v>
      </c>
      <c r="O39" s="10">
        <f>NA!O40/NA!O$7</f>
        <v>5.6174974519388014E-3</v>
      </c>
      <c r="P39" s="10">
        <f>NA!P40/NA!P$7</f>
        <v>4.4668698713979252E-3</v>
      </c>
      <c r="Q39" s="10">
        <f>NA!Q40/NA!Q$7</f>
        <v>3.6578007284025385E-3</v>
      </c>
      <c r="R39" s="10">
        <f>NA!R40/NA!R$7</f>
        <v>4.2921207143489584E-3</v>
      </c>
      <c r="S39" s="10">
        <f>NA!S40/NA!S$7</f>
        <v>4.7825409478990128E-3</v>
      </c>
      <c r="T39" s="10">
        <f>NA!T40/NA!T$7</f>
        <v>4.1402072989386498E-3</v>
      </c>
      <c r="U39" s="10">
        <f>NA!U40/NA!U$7</f>
        <v>4.7743405715616099E-3</v>
      </c>
      <c r="V39" s="10">
        <f>NA!V40/NA!V$7</f>
        <v>5.5643923551634677E-3</v>
      </c>
      <c r="W39" s="10"/>
      <c r="X39" s="10"/>
      <c r="Y39" s="10"/>
      <c r="Z39" s="10"/>
      <c r="AA39" s="10"/>
      <c r="AB39" s="10"/>
      <c r="AF39" s="10">
        <f>NA!AM40/NA!AM$7</f>
        <v>2.6014750476983733E-3</v>
      </c>
      <c r="AG39" s="10">
        <f>NA!AN40/NA!AN$7</f>
        <v>4.2934071580838368E-3</v>
      </c>
      <c r="AH39" s="10">
        <f>NA!AO40/NA!AO$7</f>
        <v>3.6092999683281636E-3</v>
      </c>
      <c r="AI39" s="10">
        <f>NA!AP40/NA!AP$7</f>
        <v>4.6268378465634755E-3</v>
      </c>
      <c r="AJ39" s="10">
        <f>NA!AQ40/NA!AQ$7</f>
        <v>5.6942757861516476E-3</v>
      </c>
      <c r="AK39" s="10">
        <f>NA!AR40/NA!AR$7</f>
        <v>4.7371600370191228E-3</v>
      </c>
      <c r="AL39" s="10">
        <f>NA!AS40/NA!AS$7</f>
        <v>4.1846856368270829E-3</v>
      </c>
      <c r="AM39" s="10">
        <f>NA!AT40/NA!AT$7</f>
        <v>3.9552819009738421E-3</v>
      </c>
      <c r="AN39" s="10">
        <f>NA!AU40/NA!AU$7</f>
        <v>4.6726771535251718E-3</v>
      </c>
      <c r="AO39" s="10">
        <f>NA!AV40/NA!AV$7</f>
        <v>4.1076594297998559E-3</v>
      </c>
      <c r="AP39" s="10">
        <f>NA!AW40/NA!AW$7</f>
        <v>5.155919936649953E-3</v>
      </c>
      <c r="AQ39" s="10">
        <f>NA!AX40/NA!AX$7</f>
        <v>4.7205704241603018E-3</v>
      </c>
      <c r="AR39" s="10">
        <f>NA!AY40/NA!AY$7</f>
        <v>4.6477501867311826E-3</v>
      </c>
      <c r="AS39" s="10">
        <f>NA!AZ40/NA!AZ$7</f>
        <v>2.7917748848448223E-3</v>
      </c>
      <c r="AT39" s="10">
        <f>NA!BA40/NA!BA$7</f>
        <v>2.2379134934716557E-3</v>
      </c>
      <c r="AU39" s="10">
        <f>NA!BB40/NA!BB$7</f>
        <v>1.8228833875929878E-3</v>
      </c>
      <c r="AV39" s="10">
        <f>NA!BC40/NA!BC$7</f>
        <v>2.1187711081738004E-3</v>
      </c>
      <c r="AW39" s="10">
        <f>NA!BD40/NA!BD$7</f>
        <v>2.1370116953687672E-3</v>
      </c>
      <c r="AX39" s="10">
        <f>NA!BE40/NA!BE$7</f>
        <v>1.9332905498384055E-3</v>
      </c>
      <c r="AY39" s="10">
        <f>NA!BF40/NA!BF$7</f>
        <v>2.3076143136550511E-3</v>
      </c>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row>
    <row r="40" spans="5:182" x14ac:dyDescent="0.2">
      <c r="E40" s="246" t="s">
        <v>36</v>
      </c>
      <c r="G40" s="10"/>
      <c r="H40" s="10"/>
      <c r="I40" s="10"/>
      <c r="J40" s="10">
        <f>NA!J41/NA!J$7</f>
        <v>0.98466449564737701</v>
      </c>
      <c r="K40" s="10">
        <f>NA!K41/NA!K$7</f>
        <v>0.98576555328125337</v>
      </c>
      <c r="L40" s="10">
        <f>NA!L41/NA!L$7</f>
        <v>0.98103236374560843</v>
      </c>
      <c r="M40" s="10">
        <f>NA!M41/NA!M$7</f>
        <v>0.98575640823803634</v>
      </c>
      <c r="N40" s="10">
        <f>NA!N41/NA!N$7</f>
        <v>0.98998743853335314</v>
      </c>
      <c r="O40" s="10">
        <f>NA!O41/NA!O$7</f>
        <v>0.9880876826926166</v>
      </c>
      <c r="P40" s="10">
        <f>NA!P41/NA!P$7</f>
        <v>0.98344729335405245</v>
      </c>
      <c r="Q40" s="10">
        <f>NA!Q41/NA!Q$7</f>
        <v>0.99207663421814596</v>
      </c>
      <c r="R40" s="10">
        <f>NA!R41/NA!R$7</f>
        <v>0.99324276406673984</v>
      </c>
      <c r="S40" s="10">
        <f>NA!S41/NA!S$7</f>
        <v>0.98932071602299687</v>
      </c>
      <c r="T40" s="10">
        <f>NA!T41/NA!T$7</f>
        <v>0.98975093706564832</v>
      </c>
      <c r="U40" s="10">
        <f>NA!U41/NA!U$7</f>
        <v>0.98658172311786674</v>
      </c>
      <c r="V40" s="10">
        <f>NA!V41/NA!V$7</f>
        <v>0.98216483946317601</v>
      </c>
      <c r="W40" s="10"/>
      <c r="X40" s="10"/>
      <c r="Y40" s="10"/>
      <c r="Z40" s="10"/>
      <c r="AA40" s="10"/>
      <c r="AB40" s="10"/>
      <c r="AF40" s="10">
        <f>NA!AM41/NA!AM$7</f>
        <v>0.98326131535098205</v>
      </c>
      <c r="AG40" s="10">
        <f>NA!AN41/NA!AN$7</f>
        <v>0.98878644561069529</v>
      </c>
      <c r="AH40" s="10">
        <f>NA!AO41/NA!AO$7</f>
        <v>0.97536102098718414</v>
      </c>
      <c r="AI40" s="10">
        <f>NA!AP41/NA!AP$7</f>
        <v>0.99389299494661509</v>
      </c>
      <c r="AJ40" s="10">
        <f>NA!AQ41/NA!AQ$7</f>
        <v>0.98793173392690614</v>
      </c>
      <c r="AK40" s="10">
        <f>NA!AR41/NA!AR$7</f>
        <v>0.987428577857418</v>
      </c>
      <c r="AL40" s="10">
        <f>NA!AS41/NA!AS$7</f>
        <v>0.98118056899024642</v>
      </c>
      <c r="AM40" s="10">
        <f>NA!AT41/NA!AT$7</f>
        <v>1.0002005286230573</v>
      </c>
      <c r="AN40" s="10">
        <f>NA!AU41/NA!AU$7</f>
        <v>0.98812406890214988</v>
      </c>
      <c r="AO40" s="10">
        <f>NA!AV41/NA!AV$7</f>
        <v>0.98945734042075495</v>
      </c>
      <c r="AP40" s="10">
        <f>NA!AW41/NA!AW$7</f>
        <v>0.99082611930212394</v>
      </c>
      <c r="AQ40" s="10">
        <f>NA!AX41/NA!AX$7</f>
        <v>0.98173548846966918</v>
      </c>
      <c r="AR40" s="10">
        <f>NA!AY41/NA!AY$7</f>
        <v>0.9811400936319169</v>
      </c>
      <c r="AS40" s="10">
        <f>NA!AZ41/NA!AZ$7</f>
        <v>0.98547556725246588</v>
      </c>
      <c r="AT40" s="10">
        <f>NA!BA41/NA!BA$7</f>
        <v>0.98424998245165063</v>
      </c>
      <c r="AU40" s="10">
        <f>NA!BB41/NA!BB$7</f>
        <v>0.98684557542423779</v>
      </c>
      <c r="AV40" s="10">
        <f>NA!BC41/NA!BC$7</f>
        <v>0.98332440585618752</v>
      </c>
      <c r="AW40" s="10">
        <f>NA!BD41/NA!BD$7</f>
        <v>0.9806280172038554</v>
      </c>
      <c r="AX40" s="10">
        <f>NA!BE41/NA!BE$7</f>
        <v>0.97845649741841756</v>
      </c>
      <c r="AY40" s="10">
        <f>NA!BF41/NA!BF$7</f>
        <v>0</v>
      </c>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row>
    <row r="41" spans="5:182" x14ac:dyDescent="0.2">
      <c r="E41" s="246"/>
      <c r="G41" s="10"/>
      <c r="H41" s="10"/>
      <c r="I41" s="10"/>
      <c r="J41" s="10"/>
      <c r="K41" s="10"/>
      <c r="L41" s="10"/>
      <c r="M41" s="10"/>
      <c r="N41" s="10"/>
      <c r="O41" s="10"/>
      <c r="P41" s="10"/>
      <c r="Q41" s="10"/>
      <c r="R41" s="10"/>
      <c r="S41" s="10"/>
      <c r="T41" s="10"/>
      <c r="U41" s="10"/>
      <c r="V41" s="10"/>
      <c r="W41" s="10"/>
      <c r="X41" s="5"/>
      <c r="Y41" s="5"/>
      <c r="Z41" s="5"/>
      <c r="AA41" s="5"/>
      <c r="AB41" s="5"/>
      <c r="AF41" s="5"/>
      <c r="AG41" s="5"/>
      <c r="AH41" s="5"/>
      <c r="AI41" s="5"/>
      <c r="AJ41" s="5"/>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row>
    <row r="42" spans="5:182" x14ac:dyDescent="0.2">
      <c r="E42" s="256" t="s">
        <v>35</v>
      </c>
      <c r="G42" s="10"/>
      <c r="H42" s="10"/>
      <c r="I42" s="10"/>
      <c r="J42" s="5"/>
      <c r="K42" s="5"/>
      <c r="L42" s="5"/>
      <c r="M42" s="5"/>
      <c r="N42" s="5"/>
      <c r="O42" s="5"/>
      <c r="P42" s="5"/>
      <c r="Q42" s="5"/>
      <c r="R42" s="5"/>
      <c r="S42" s="5"/>
      <c r="T42" s="5"/>
      <c r="U42" s="5"/>
      <c r="V42" s="5"/>
      <c r="W42" s="5"/>
      <c r="X42" s="5"/>
      <c r="Y42" s="5"/>
      <c r="Z42" s="5"/>
      <c r="AA42" s="5"/>
      <c r="AB42" s="5"/>
      <c r="AF42" s="5"/>
      <c r="AG42" s="5"/>
      <c r="AH42" s="5"/>
      <c r="AI42" s="5"/>
      <c r="AJ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row>
    <row r="43" spans="5:182" x14ac:dyDescent="0.2">
      <c r="E43" s="246" t="s">
        <v>36</v>
      </c>
      <c r="G43" s="10"/>
      <c r="H43" s="10"/>
      <c r="I43" s="10"/>
      <c r="J43" s="10">
        <f>NA!J45/NA!J$7</f>
        <v>0.98466449564737701</v>
      </c>
      <c r="K43" s="10">
        <f>NA!K45/NA!K$7</f>
        <v>0.98576555328125337</v>
      </c>
      <c r="L43" s="10">
        <f>NA!L45/NA!L$7</f>
        <v>0.98103236374560843</v>
      </c>
      <c r="M43" s="10">
        <f>NA!M45/NA!M$7</f>
        <v>0.98575640823803634</v>
      </c>
      <c r="N43" s="10">
        <f>NA!N45/NA!N$7</f>
        <v>0.98998743853335314</v>
      </c>
      <c r="O43" s="10">
        <f>NA!O45/NA!O$7</f>
        <v>0.9880876826926166</v>
      </c>
      <c r="P43" s="10">
        <f>NA!P45/NA!P$7</f>
        <v>0.98344729335405245</v>
      </c>
      <c r="Q43" s="10">
        <f>NA!Q45/NA!Q$7</f>
        <v>0.99207663421814596</v>
      </c>
      <c r="R43" s="10">
        <f>NA!R45/NA!R$7</f>
        <v>0.99324276406673984</v>
      </c>
      <c r="S43" s="10">
        <f>NA!S45/NA!S$7</f>
        <v>0.98932071602299687</v>
      </c>
      <c r="T43" s="10">
        <f>NA!T45/NA!T$7</f>
        <v>0.98975093706564832</v>
      </c>
      <c r="U43" s="10">
        <f>NA!U45/NA!U$7</f>
        <v>0.98658172311786674</v>
      </c>
      <c r="V43" s="10">
        <f>NA!V45/NA!V$7</f>
        <v>0.98216483946317601</v>
      </c>
      <c r="W43" s="10"/>
      <c r="X43" s="10"/>
      <c r="Y43" s="10"/>
      <c r="Z43" s="10"/>
      <c r="AA43" s="10"/>
      <c r="AB43" s="10"/>
      <c r="AF43" s="10">
        <f>NA!AM45/NA!AM$7</f>
        <v>0.98326131535098205</v>
      </c>
      <c r="AG43" s="10">
        <f>NA!AN45/NA!AN$7</f>
        <v>0.98878644561069529</v>
      </c>
      <c r="AH43" s="10">
        <f>NA!AO45/NA!AO$7</f>
        <v>0.97536102098718414</v>
      </c>
      <c r="AI43" s="10">
        <f>NA!AP45/NA!AP$7</f>
        <v>0.99389299494661509</v>
      </c>
      <c r="AJ43" s="10">
        <f>NA!AQ45/NA!AQ$7</f>
        <v>0.98793173392690614</v>
      </c>
      <c r="AK43" s="10">
        <f>NA!AR45/NA!AR$7</f>
        <v>0.987428577857418</v>
      </c>
      <c r="AL43" s="10">
        <f>NA!AS45/NA!AS$7</f>
        <v>0.98118056899024642</v>
      </c>
      <c r="AM43" s="10">
        <f>NA!AT45/NA!AT$7</f>
        <v>1.0002005286230573</v>
      </c>
      <c r="AN43" s="10">
        <f>NA!AU45/NA!AU$7</f>
        <v>0.98812406890214988</v>
      </c>
      <c r="AO43" s="10">
        <f>NA!AV45/NA!AV$7</f>
        <v>0.98945734042075495</v>
      </c>
      <c r="AP43" s="10">
        <f>NA!AW45/NA!AW$7</f>
        <v>0.99082611930212394</v>
      </c>
      <c r="AQ43" s="10">
        <f>NA!AX45/NA!AX$7</f>
        <v>0.98173548846966918</v>
      </c>
      <c r="AR43" s="10">
        <f>NA!AY45/NA!AY$7</f>
        <v>0.9811400936319169</v>
      </c>
      <c r="AS43" s="10">
        <f>NA!AZ45/NA!AZ$7</f>
        <v>0.98547556725246588</v>
      </c>
      <c r="AT43" s="10">
        <f>NA!BA45/NA!BA$7</f>
        <v>0.98424998245165063</v>
      </c>
      <c r="AU43" s="10">
        <f>NA!BB45/NA!BB$7</f>
        <v>0.98684557542423779</v>
      </c>
      <c r="AV43" s="10">
        <f>NA!BC45/NA!BC$7</f>
        <v>0.98332440585618752</v>
      </c>
      <c r="AW43" s="10">
        <f>NA!BD45/NA!BD$7</f>
        <v>0.9806280172038554</v>
      </c>
      <c r="AX43" s="10">
        <f>NA!BE45/NA!BE$7</f>
        <v>0.97845649741841756</v>
      </c>
      <c r="AY43" s="10">
        <f>NA!BF45/NA!BF$7</f>
        <v>0</v>
      </c>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row>
    <row r="44" spans="5:182" x14ac:dyDescent="0.2">
      <c r="E44" s="246" t="s">
        <v>48</v>
      </c>
      <c r="G44" s="10"/>
      <c r="H44" s="10"/>
      <c r="I44" s="10"/>
      <c r="J44" s="10">
        <f>NA!J46/NA!J$7</f>
        <v>0</v>
      </c>
      <c r="K44" s="10">
        <f>NA!K46/NA!K$7</f>
        <v>0</v>
      </c>
      <c r="L44" s="10">
        <f>NA!L46/NA!L$7</f>
        <v>0</v>
      </c>
      <c r="M44" s="10">
        <f>NA!M46/NA!M$7</f>
        <v>0</v>
      </c>
      <c r="N44" s="10">
        <f>NA!N46/NA!N$7</f>
        <v>0</v>
      </c>
      <c r="O44" s="10">
        <f>NA!O46/NA!O$7</f>
        <v>0</v>
      </c>
      <c r="P44" s="10">
        <f>NA!P46/NA!P$7</f>
        <v>0</v>
      </c>
      <c r="Q44" s="10">
        <f>NA!Q46/NA!Q$7</f>
        <v>0</v>
      </c>
      <c r="R44" s="10">
        <f>NA!R46/NA!R$7</f>
        <v>0</v>
      </c>
      <c r="S44" s="10">
        <f>NA!S46/NA!S$7</f>
        <v>0</v>
      </c>
      <c r="T44" s="10">
        <f>NA!T46/NA!T$7</f>
        <v>0</v>
      </c>
      <c r="U44" s="10">
        <f>NA!U46/NA!U$7</f>
        <v>0</v>
      </c>
      <c r="V44" s="10">
        <f>NA!V46/NA!V$7</f>
        <v>0</v>
      </c>
      <c r="W44" s="10"/>
      <c r="X44" s="10"/>
      <c r="Y44" s="10"/>
      <c r="Z44" s="10"/>
      <c r="AA44" s="10"/>
      <c r="AB44" s="10"/>
      <c r="AF44" s="10">
        <f>NA!AM46/NA!AM$7</f>
        <v>0</v>
      </c>
      <c r="AG44" s="10">
        <f>NA!AN46/NA!AN$7</f>
        <v>0</v>
      </c>
      <c r="AH44" s="10">
        <f>NA!AO46/NA!AO$7</f>
        <v>0</v>
      </c>
      <c r="AI44" s="10">
        <f>NA!AP46/NA!AP$7</f>
        <v>0</v>
      </c>
      <c r="AJ44" s="10">
        <f>NA!AQ46/NA!AQ$7</f>
        <v>0</v>
      </c>
      <c r="AK44" s="10">
        <f>NA!AR46/NA!AR$7</f>
        <v>0</v>
      </c>
      <c r="AL44" s="10">
        <f>NA!AS46/NA!AS$7</f>
        <v>0</v>
      </c>
      <c r="AM44" s="10">
        <f>NA!AT46/NA!AT$7</f>
        <v>0</v>
      </c>
      <c r="AN44" s="10">
        <f>NA!AU46/NA!AU$7</f>
        <v>0</v>
      </c>
      <c r="AO44" s="10">
        <f>NA!AV46/NA!AV$7</f>
        <v>0</v>
      </c>
      <c r="AP44" s="10">
        <f>NA!AW46/NA!AW$7</f>
        <v>0</v>
      </c>
      <c r="AQ44" s="10">
        <f>NA!AX46/NA!AX$7</f>
        <v>0</v>
      </c>
      <c r="AR44" s="10">
        <f>NA!AY46/NA!AY$7</f>
        <v>0</v>
      </c>
      <c r="AS44" s="10">
        <f>NA!AZ46/NA!AZ$7</f>
        <v>0</v>
      </c>
      <c r="AT44" s="10">
        <f>NA!BA46/NA!BA$7</f>
        <v>0</v>
      </c>
      <c r="AU44" s="10">
        <f>NA!BB46/NA!BB$7</f>
        <v>0</v>
      </c>
      <c r="AV44" s="10">
        <f>NA!BC46/NA!BC$7</f>
        <v>0</v>
      </c>
      <c r="AW44" s="10">
        <f>NA!BD46/NA!BD$7</f>
        <v>0</v>
      </c>
      <c r="AX44" s="10">
        <f>NA!BE46/NA!BE$7</f>
        <v>0</v>
      </c>
      <c r="AY44" s="10">
        <f>NA!BF46/NA!BF$7</f>
        <v>0</v>
      </c>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row>
    <row r="45" spans="5:182" x14ac:dyDescent="0.2">
      <c r="E45" s="246" t="s">
        <v>49</v>
      </c>
      <c r="G45" s="10"/>
      <c r="H45" s="10"/>
      <c r="I45" s="10"/>
      <c r="J45" s="10">
        <f>NA!J47/NA!J$7</f>
        <v>0</v>
      </c>
      <c r="K45" s="10">
        <f>NA!K47/NA!K$7</f>
        <v>0</v>
      </c>
      <c r="L45" s="10">
        <f>NA!L47/NA!L$7</f>
        <v>0</v>
      </c>
      <c r="M45" s="10">
        <f>NA!M47/NA!M$7</f>
        <v>0</v>
      </c>
      <c r="N45" s="10">
        <f>NA!N47/NA!N$7</f>
        <v>0</v>
      </c>
      <c r="O45" s="10">
        <f>NA!O47/NA!O$7</f>
        <v>0</v>
      </c>
      <c r="P45" s="10">
        <f>NA!P47/NA!P$7</f>
        <v>0</v>
      </c>
      <c r="Q45" s="10">
        <f>NA!Q47/NA!Q$7</f>
        <v>0</v>
      </c>
      <c r="R45" s="10">
        <f>NA!R47/NA!R$7</f>
        <v>0</v>
      </c>
      <c r="S45" s="10">
        <f>NA!S47/NA!S$7</f>
        <v>0</v>
      </c>
      <c r="T45" s="10">
        <f>NA!T47/NA!T$7</f>
        <v>0</v>
      </c>
      <c r="U45" s="10">
        <f>NA!U47/NA!U$7</f>
        <v>0</v>
      </c>
      <c r="V45" s="10">
        <f>NA!V47/NA!V$7</f>
        <v>0</v>
      </c>
      <c r="W45" s="10"/>
      <c r="X45" s="10"/>
      <c r="Y45" s="10"/>
      <c r="Z45" s="10"/>
      <c r="AA45" s="10"/>
      <c r="AB45" s="10"/>
      <c r="AF45" s="10">
        <f>NA!AM47/NA!AM$7</f>
        <v>0</v>
      </c>
      <c r="AG45" s="10">
        <f>NA!AN47/NA!AN$7</f>
        <v>0</v>
      </c>
      <c r="AH45" s="10">
        <f>NA!AO47/NA!AO$7</f>
        <v>0</v>
      </c>
      <c r="AI45" s="10">
        <f>NA!AP47/NA!AP$7</f>
        <v>0</v>
      </c>
      <c r="AJ45" s="10">
        <f>NA!AQ47/NA!AQ$7</f>
        <v>0</v>
      </c>
      <c r="AK45" s="10">
        <f>NA!AR47/NA!AR$7</f>
        <v>0</v>
      </c>
      <c r="AL45" s="10">
        <f>NA!AS47/NA!AS$7</f>
        <v>0</v>
      </c>
      <c r="AM45" s="10">
        <f>NA!AT47/NA!AT$7</f>
        <v>0</v>
      </c>
      <c r="AN45" s="10">
        <f>NA!AU47/NA!AU$7</f>
        <v>0</v>
      </c>
      <c r="AO45" s="10">
        <f>NA!AV47/NA!AV$7</f>
        <v>0</v>
      </c>
      <c r="AP45" s="10">
        <f>NA!AW47/NA!AW$7</f>
        <v>0</v>
      </c>
      <c r="AQ45" s="10">
        <f>NA!AX47/NA!AX$7</f>
        <v>0</v>
      </c>
      <c r="AR45" s="10">
        <f>NA!AY47/NA!AY$7</f>
        <v>0</v>
      </c>
      <c r="AS45" s="10">
        <f>NA!AZ47/NA!AZ$7</f>
        <v>0</v>
      </c>
      <c r="AT45" s="10">
        <f>NA!BA47/NA!BA$7</f>
        <v>0</v>
      </c>
      <c r="AU45" s="10">
        <f>NA!BB47/NA!BB$7</f>
        <v>0</v>
      </c>
      <c r="AV45" s="10">
        <f>NA!BC47/NA!BC$7</f>
        <v>0</v>
      </c>
      <c r="AW45" s="10">
        <f>NA!BD47/NA!BD$7</f>
        <v>0</v>
      </c>
      <c r="AX45" s="10">
        <f>NA!BE47/NA!BE$7</f>
        <v>0</v>
      </c>
      <c r="AY45" s="10">
        <f>NA!BF47/NA!BF$7</f>
        <v>0</v>
      </c>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row>
    <row r="46" spans="5:182" x14ac:dyDescent="0.2">
      <c r="E46" s="246" t="s">
        <v>50</v>
      </c>
      <c r="G46" s="10"/>
      <c r="H46" s="10"/>
      <c r="I46" s="10"/>
      <c r="J46" s="10">
        <f>NA!J48/NA!J$7</f>
        <v>1.6075871153196537E-2</v>
      </c>
      <c r="K46" s="10">
        <f>NA!K48/NA!K$7</f>
        <v>4.4705841953216396E-3</v>
      </c>
      <c r="L46" s="10">
        <f>NA!L48/NA!L$7</f>
        <v>2.2033261513069509E-2</v>
      </c>
      <c r="M46" s="10">
        <f>NA!M48/NA!M$7</f>
        <v>1.6417132254621845E-2</v>
      </c>
      <c r="N46" s="10">
        <f>NA!N48/NA!N$7</f>
        <v>2.7414580070321871E-2</v>
      </c>
      <c r="O46" s="10">
        <f>NA!O48/NA!O$7</f>
        <v>2.8067777624934426E-2</v>
      </c>
      <c r="P46" s="10">
        <f>NA!P48/NA!P$7</f>
        <v>3.5843870631640302E-2</v>
      </c>
      <c r="Q46" s="10">
        <f>NA!Q48/NA!Q$7</f>
        <v>2.9040250958973106E-2</v>
      </c>
      <c r="R46" s="10">
        <f>NA!R48/NA!R$7</f>
        <v>2.6649683514233021E-2</v>
      </c>
      <c r="S46" s="10">
        <f>NA!S48/NA!S$7</f>
        <v>3.6644614777328256E-2</v>
      </c>
      <c r="T46" s="10">
        <f>NA!T48/NA!T$7</f>
        <v>3.2981877172809773E-2</v>
      </c>
      <c r="U46" s="10">
        <f>NA!U48/NA!U$7</f>
        <v>2.8334867579968229E-2</v>
      </c>
      <c r="V46" s="10">
        <f>NA!V48/NA!V$7</f>
        <v>2.9985028901184783E-2</v>
      </c>
      <c r="W46" s="10"/>
      <c r="X46" s="10"/>
      <c r="Y46" s="10"/>
      <c r="Z46" s="10"/>
      <c r="AA46" s="10"/>
      <c r="AB46" s="10"/>
      <c r="AF46" s="10">
        <f>NA!AM48/NA!AM$7</f>
        <v>1.0332828327777037E-2</v>
      </c>
      <c r="AG46" s="10">
        <f>NA!AN48/NA!AN$7</f>
        <v>1.866464374784042E-2</v>
      </c>
      <c r="AH46" s="10">
        <f>NA!AO48/NA!AO$7</f>
        <v>1.5610960530906277E-2</v>
      </c>
      <c r="AI46" s="10">
        <f>NA!AP48/NA!AP$7</f>
        <v>2.2447232890679996E-2</v>
      </c>
      <c r="AJ46" s="10">
        <f>NA!AQ48/NA!AQ$7</f>
        <v>3.6409718109589241E-2</v>
      </c>
      <c r="AK46" s="10">
        <f>NA!AR48/NA!AR$7</f>
        <v>3.7623716726902186E-2</v>
      </c>
      <c r="AL46" s="10">
        <f>NA!AS48/NA!AS$7</f>
        <v>2.9500632254961488E-2</v>
      </c>
      <c r="AM46" s="10">
        <f>NA!AT48/NA!AT$7</f>
        <v>3.194438600000056E-2</v>
      </c>
      <c r="AN46" s="10">
        <f>NA!AU48/NA!AU$7</f>
        <v>3.418101849651279E-2</v>
      </c>
      <c r="AO46" s="10">
        <f>NA!AV48/NA!AV$7</f>
        <v>3.0590725174762239E-2</v>
      </c>
      <c r="AP46" s="10">
        <f>NA!AW48/NA!AW$7</f>
        <v>3.0710764827462666E-2</v>
      </c>
      <c r="AQ46" s="10">
        <f>NA!AX48/NA!AX$7</f>
        <v>3.3838429145233731E-2</v>
      </c>
      <c r="AR46" s="10">
        <f>NA!AY48/NA!AY$7</f>
        <v>2.69795729990473E-2</v>
      </c>
      <c r="AS46" s="10">
        <f>NA!AZ48/NA!AZ$7</f>
        <v>2.0567289431204932E-2</v>
      </c>
      <c r="AT46" s="10">
        <f>NA!BA48/NA!BA$7</f>
        <v>1.7409659103121013E-2</v>
      </c>
      <c r="AU46" s="10">
        <f>NA!BB48/NA!BB$7</f>
        <v>1.0081550943946293E-2</v>
      </c>
      <c r="AV46" s="10">
        <f>NA!BC48/NA!BC$7</f>
        <v>1.2275351721920137E-2</v>
      </c>
      <c r="AW46" s="10">
        <f>NA!BD48/NA!BD$7</f>
        <v>1.1997364965954426E-2</v>
      </c>
      <c r="AX46" s="10">
        <f>NA!BE48/NA!BE$7</f>
        <v>1.1976119052037082E-2</v>
      </c>
      <c r="AY46" s="10">
        <f>NA!BF48/NA!BF$7</f>
        <v>1.180404341847832E-2</v>
      </c>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row>
    <row r="47" spans="5:182" x14ac:dyDescent="0.2">
      <c r="E47" s="246" t="s">
        <v>51</v>
      </c>
      <c r="G47" s="10"/>
      <c r="H47" s="10"/>
      <c r="I47" s="10"/>
      <c r="J47" s="10">
        <f>NA!J49/NA!J$7</f>
        <v>1.0007403668005734</v>
      </c>
      <c r="K47" s="10">
        <f>NA!K49/NA!K$7</f>
        <v>0.99023613747657502</v>
      </c>
      <c r="L47" s="10">
        <f>NA!L49/NA!L$7</f>
        <v>1.0030656252586778</v>
      </c>
      <c r="M47" s="10">
        <f>NA!M49/NA!M$7</f>
        <v>1.0021735404926582</v>
      </c>
      <c r="N47" s="10">
        <f>NA!N49/NA!N$7</f>
        <v>1.017402018603675</v>
      </c>
      <c r="O47" s="10">
        <f>NA!O49/NA!O$7</f>
        <v>1.0161554603175509</v>
      </c>
      <c r="P47" s="10">
        <f>NA!P49/NA!P$7</f>
        <v>1.0192911639856927</v>
      </c>
      <c r="Q47" s="10">
        <f>NA!Q49/NA!Q$7</f>
        <v>1.0211168851771191</v>
      </c>
      <c r="R47" s="10">
        <f>NA!R49/NA!R$7</f>
        <v>1.0198924475809727</v>
      </c>
      <c r="S47" s="10">
        <f>NA!S49/NA!S$7</f>
        <v>1.0259653308003251</v>
      </c>
      <c r="T47" s="10">
        <f>NA!T49/NA!T$7</f>
        <v>1.022732814238458</v>
      </c>
      <c r="U47" s="10">
        <f>NA!U49/NA!U$7</f>
        <v>1.014916590697835</v>
      </c>
      <c r="V47" s="10">
        <f>NA!V49/NA!V$7</f>
        <v>1.0121498683643608</v>
      </c>
      <c r="W47" s="10"/>
      <c r="X47" s="10"/>
      <c r="Y47" s="10"/>
      <c r="Z47" s="10"/>
      <c r="AA47" s="10"/>
      <c r="AB47" s="10"/>
      <c r="AF47" s="10">
        <f>NA!AM49/NA!AM$7</f>
        <v>0.99359414367875909</v>
      </c>
      <c r="AG47" s="10">
        <f>NA!AN49/NA!AN$7</f>
        <v>1.0074510893585358</v>
      </c>
      <c r="AH47" s="10">
        <f>NA!AO49/NA!AO$7</f>
        <v>0.99097198151809029</v>
      </c>
      <c r="AI47" s="10">
        <f>NA!AP49/NA!AP$7</f>
        <v>1.0163402278372951</v>
      </c>
      <c r="AJ47" s="10">
        <f>NA!AQ49/NA!AQ$7</f>
        <v>1.0243414520364953</v>
      </c>
      <c r="AK47" s="10">
        <f>NA!AR49/NA!AR$7</f>
        <v>1.0250522945843203</v>
      </c>
      <c r="AL47" s="10">
        <f>NA!AS49/NA!AS$7</f>
        <v>1.0106812012452078</v>
      </c>
      <c r="AM47" s="10">
        <f>NA!AT49/NA!AT$7</f>
        <v>1.0321449146230579</v>
      </c>
      <c r="AN47" s="10">
        <f>NA!AU49/NA!AU$7</f>
        <v>1.0223050873986625</v>
      </c>
      <c r="AO47" s="10">
        <f>NA!AV49/NA!AV$7</f>
        <v>1.0200480655955171</v>
      </c>
      <c r="AP47" s="10">
        <f>NA!AW49/NA!AW$7</f>
        <v>1.0215368841295867</v>
      </c>
      <c r="AQ47" s="10">
        <f>NA!AX49/NA!AX$7</f>
        <v>1.015573917614903</v>
      </c>
      <c r="AR47" s="10">
        <f>NA!AY49/NA!AY$7</f>
        <v>1.0081196666309642</v>
      </c>
      <c r="AS47" s="10">
        <f>NA!AZ49/NA!AZ$7</f>
        <v>1.0060428566836708</v>
      </c>
      <c r="AT47" s="10">
        <f>NA!BA49/NA!BA$7</f>
        <v>1.0016596415547716</v>
      </c>
      <c r="AU47" s="10">
        <f>NA!BB49/NA!BB$7</f>
        <v>0.99692712636818415</v>
      </c>
      <c r="AV47" s="10">
        <f>NA!BC49/NA!BC$7</f>
        <v>0.99559975757810759</v>
      </c>
      <c r="AW47" s="10">
        <f>NA!BD49/NA!BD$7</f>
        <v>0.99262538216980978</v>
      </c>
      <c r="AX47" s="10">
        <f>NA!BE49/NA!BE$7</f>
        <v>0.99043261647045466</v>
      </c>
      <c r="AY47" s="10">
        <f>NA!BF49/NA!BF$7</f>
        <v>0</v>
      </c>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row>
    <row r="48" spans="5:182" x14ac:dyDescent="0.2">
      <c r="E48" s="246" t="s">
        <v>37</v>
      </c>
      <c r="G48" s="10"/>
      <c r="H48" s="10"/>
      <c r="I48" s="10"/>
      <c r="J48" s="10">
        <f>NA!J50/NA!J$7</f>
        <v>0</v>
      </c>
      <c r="K48" s="10">
        <f>NA!K50/NA!K$7</f>
        <v>0</v>
      </c>
      <c r="L48" s="10">
        <f>NA!L50/NA!L$7</f>
        <v>0</v>
      </c>
      <c r="M48" s="10">
        <f>NA!M50/NA!M$7</f>
        <v>0</v>
      </c>
      <c r="N48" s="10">
        <f>NA!N50/NA!N$7</f>
        <v>0</v>
      </c>
      <c r="O48" s="10">
        <f>NA!O50/NA!O$7</f>
        <v>0</v>
      </c>
      <c r="P48" s="10">
        <f>NA!P50/NA!P$7</f>
        <v>0</v>
      </c>
      <c r="Q48" s="10">
        <f>NA!Q50/NA!Q$7</f>
        <v>0</v>
      </c>
      <c r="R48" s="10">
        <f>NA!R50/NA!R$7</f>
        <v>0</v>
      </c>
      <c r="S48" s="10">
        <f>NA!S50/NA!S$7</f>
        <v>0</v>
      </c>
      <c r="T48" s="10">
        <f>NA!T50/NA!T$7</f>
        <v>2.8238719576058854E-8</v>
      </c>
      <c r="U48" s="10">
        <f>NA!U50/NA!U$7</f>
        <v>2.4359992431661534E-8</v>
      </c>
      <c r="V48" s="10">
        <f>NA!V50/NA!V$7</f>
        <v>2.0572602261031659E-8</v>
      </c>
      <c r="W48" s="10"/>
      <c r="X48" s="10"/>
      <c r="Y48" s="10"/>
      <c r="Z48" s="10"/>
      <c r="AA48" s="10"/>
      <c r="AB48" s="10"/>
      <c r="AF48" s="10">
        <f>NA!AM50/NA!AM$7</f>
        <v>0</v>
      </c>
      <c r="AG48" s="10">
        <f>NA!AN50/NA!AN$7</f>
        <v>0</v>
      </c>
      <c r="AH48" s="10">
        <f>NA!AO50/NA!AO$7</f>
        <v>0</v>
      </c>
      <c r="AI48" s="10">
        <f>NA!AP50/NA!AP$7</f>
        <v>0</v>
      </c>
      <c r="AJ48" s="10">
        <f>NA!AQ50/NA!AQ$7</f>
        <v>0</v>
      </c>
      <c r="AK48" s="10">
        <f>NA!AR50/NA!AR$7</f>
        <v>0</v>
      </c>
      <c r="AL48" s="10">
        <f>NA!AS50/NA!AS$7</f>
        <v>0</v>
      </c>
      <c r="AM48" s="10">
        <f>NA!AT50/NA!AT$7</f>
        <v>0</v>
      </c>
      <c r="AN48" s="10">
        <f>NA!AU50/NA!AU$7</f>
        <v>0</v>
      </c>
      <c r="AO48" s="10">
        <f>NA!AV50/NA!AV$7</f>
        <v>0</v>
      </c>
      <c r="AP48" s="10">
        <f>NA!AW50/NA!AW$7</f>
        <v>0</v>
      </c>
      <c r="AQ48" s="10">
        <f>NA!AX50/NA!AX$7</f>
        <v>0</v>
      </c>
      <c r="AR48" s="10">
        <f>NA!AY50/NA!AY$7</f>
        <v>0</v>
      </c>
      <c r="AS48" s="10">
        <f>NA!AZ50/NA!AZ$7</f>
        <v>1.6204963806650698E-8</v>
      </c>
      <c r="AT48" s="10">
        <f>NA!BA50/NA!BA$7</f>
        <v>1.4021327878230088E-8</v>
      </c>
      <c r="AU48" s="10">
        <f>NA!BB50/NA!BB$7</f>
        <v>1.2766247825720896E-8</v>
      </c>
      <c r="AV48" s="10">
        <f>NA!BC50/NA!BC$7</f>
        <v>1.1221160128544605E-8</v>
      </c>
      <c r="AW48" s="10">
        <f>NA!BD50/NA!BD$7</f>
        <v>9.951034548090463E-9</v>
      </c>
      <c r="AX48" s="10">
        <f>NA!BE50/NA!BE$7</f>
        <v>8.8272767476435013E-9</v>
      </c>
      <c r="AY48" s="10">
        <f>NA!BF50/NA!BF$7</f>
        <v>0</v>
      </c>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row>
    <row r="49" spans="5:182" x14ac:dyDescent="0.2">
      <c r="G49" s="10"/>
      <c r="H49" s="10"/>
      <c r="I49" s="10"/>
      <c r="J49" s="10"/>
      <c r="K49" s="10"/>
      <c r="L49" s="10"/>
      <c r="M49" s="10"/>
      <c r="N49" s="10"/>
      <c r="O49" s="10"/>
      <c r="P49" s="10"/>
      <c r="Q49" s="10"/>
      <c r="R49" s="10"/>
      <c r="S49" s="10"/>
      <c r="T49" s="10"/>
      <c r="U49" s="10"/>
      <c r="V49" s="10"/>
      <c r="W49" s="10"/>
      <c r="X49" s="10"/>
      <c r="Y49" s="10"/>
      <c r="Z49" s="10"/>
      <c r="AA49" s="10"/>
      <c r="AB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row>
    <row r="50" spans="5:182" x14ac:dyDescent="0.2">
      <c r="G50" s="10"/>
      <c r="H50" s="10"/>
      <c r="I50" s="10"/>
      <c r="J50" s="10"/>
      <c r="K50" s="10"/>
      <c r="L50" s="10"/>
      <c r="M50" s="10"/>
      <c r="N50" s="10"/>
      <c r="O50" s="10"/>
      <c r="P50" s="10"/>
      <c r="Q50" s="10"/>
      <c r="R50" s="10"/>
      <c r="S50" s="10"/>
      <c r="T50" s="10"/>
      <c r="U50" s="10"/>
      <c r="V50" s="10"/>
      <c r="W50" s="10"/>
      <c r="X50" s="10"/>
      <c r="Y50" s="10"/>
      <c r="Z50" s="10"/>
      <c r="AA50" s="10"/>
      <c r="AB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row>
    <row r="51" spans="5:182" x14ac:dyDescent="0.2">
      <c r="E51" s="15" t="s">
        <v>314</v>
      </c>
      <c r="G51" s="10"/>
      <c r="H51" s="10"/>
      <c r="I51" s="10"/>
      <c r="J51" s="10"/>
      <c r="K51" s="10"/>
      <c r="L51" s="10"/>
      <c r="M51" s="10"/>
      <c r="N51" s="10"/>
      <c r="O51" s="10"/>
      <c r="P51" s="10"/>
      <c r="Q51" s="10"/>
      <c r="R51" s="10"/>
      <c r="S51" s="10"/>
      <c r="T51" s="10"/>
      <c r="U51" s="10"/>
      <c r="V51" s="10"/>
      <c r="W51" s="10"/>
      <c r="X51" s="10"/>
      <c r="Y51" s="10"/>
      <c r="Z51" s="10"/>
      <c r="AA51" s="10"/>
      <c r="AB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row>
    <row r="52" spans="5:182" x14ac:dyDescent="0.2">
      <c r="E52" s="15" t="s">
        <v>100</v>
      </c>
      <c r="G52" s="10"/>
      <c r="H52" s="10"/>
      <c r="I52" s="10"/>
      <c r="J52" s="10"/>
      <c r="K52" s="10"/>
      <c r="L52" s="10"/>
      <c r="M52" s="10"/>
      <c r="N52" s="10"/>
      <c r="O52" s="10"/>
      <c r="P52" s="10"/>
      <c r="Q52" s="10"/>
      <c r="R52" s="10"/>
      <c r="S52" s="10"/>
      <c r="T52" s="10"/>
      <c r="U52" s="10"/>
      <c r="V52" s="10"/>
      <c r="W52" s="10"/>
      <c r="X52" s="10"/>
      <c r="Y52" s="10"/>
      <c r="Z52" s="10"/>
      <c r="AA52" s="10"/>
      <c r="AB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row>
    <row r="53" spans="5:182" x14ac:dyDescent="0.2">
      <c r="E53" s="177" t="s">
        <v>101</v>
      </c>
      <c r="G53" s="10"/>
      <c r="H53" s="10"/>
      <c r="I53" s="10"/>
      <c r="J53" s="10"/>
      <c r="K53" s="10">
        <f>NA!K89/NA!J89-1</f>
        <v>4.2625814098295134E-2</v>
      </c>
      <c r="L53" s="10">
        <f>NA!L89/NA!K89-1</f>
        <v>0.62040236725796571</v>
      </c>
      <c r="M53" s="10">
        <f>NA!M89/NA!L89-1</f>
        <v>0.58003777639610732</v>
      </c>
      <c r="N53" s="10">
        <f>NA!N89/NA!M89-1</f>
        <v>3.3664140055165603E-2</v>
      </c>
      <c r="O53" s="10">
        <f>NA!O89/NA!N89-1</f>
        <v>-7.1575916319400967E-2</v>
      </c>
      <c r="P53" s="10">
        <f>NA!P89/NA!O89-1</f>
        <v>4.9415687214794835E-2</v>
      </c>
      <c r="Q53" s="10">
        <f>NA!Q89/NA!P89-1</f>
        <v>3.3618144454758081E-2</v>
      </c>
      <c r="R53" s="10">
        <f>NA!R89/NA!Q89-1</f>
        <v>2.3570028051849379E-2</v>
      </c>
      <c r="S53" s="10">
        <f>NA!S89/NA!R89-1</f>
        <v>4.962330348874433E-2</v>
      </c>
      <c r="T53" s="10">
        <f>NA!T89/NA!S89-1</f>
        <v>6.257092115701246E-2</v>
      </c>
      <c r="U53" s="10">
        <f>NA!U89/NA!T89-1</f>
        <v>3.8676964261321389E-2</v>
      </c>
      <c r="V53" s="10">
        <f>NA!V89/NA!U89-1</f>
        <v>3.089342525514982E-2</v>
      </c>
      <c r="W53" s="10"/>
      <c r="X53" s="10"/>
      <c r="Y53" s="10"/>
      <c r="Z53" s="10"/>
      <c r="AA53" s="10"/>
      <c r="AB53" s="10"/>
      <c r="AF53" s="10">
        <f>NA!AM89/NA!AL89-1</f>
        <v>4.057594191522762E-2</v>
      </c>
      <c r="AG53" s="10">
        <f>NA!AN89/NA!AM89-1</f>
        <v>4.4595754109876484E-2</v>
      </c>
      <c r="AH53" s="10">
        <f>NA!AO89/NA!AN89-1</f>
        <v>1.1716267149375592</v>
      </c>
      <c r="AI53" s="10">
        <f>NA!AP89/NA!AO89-1</f>
        <v>0.30762036023880879</v>
      </c>
      <c r="AJ53" s="10">
        <f>NA!AQ89/NA!AP89-1</f>
        <v>-0.17584331984214807</v>
      </c>
      <c r="AK53" s="10">
        <f>NA!AR89/NA!AQ89-1</f>
        <v>5.4938138632839806E-2</v>
      </c>
      <c r="AL53" s="10">
        <f>NA!AS89/NA!AR89-1</f>
        <v>4.41808291545851E-2</v>
      </c>
      <c r="AM53" s="10">
        <f>NA!AT89/NA!AS89-1</f>
        <v>2.3502382505385278E-2</v>
      </c>
      <c r="AN53" s="10">
        <f>NA!AU89/NA!AT89-1</f>
        <v>2.3636120273636152E-2</v>
      </c>
      <c r="AO53" s="361">
        <f>NA!AV89/NA!AU89-1</f>
        <v>7.5010433446762503E-2</v>
      </c>
      <c r="AP53" s="361">
        <f>NA!AW89/NA!AV89-1</f>
        <v>5.0999394125534447E-2</v>
      </c>
      <c r="AQ53" s="10">
        <f>NA!AX89/NA!AW89-1</f>
        <v>2.6952476185411856E-2</v>
      </c>
      <c r="AR53" s="10">
        <f>NA!AY89/NA!AX89-1</f>
        <v>3.4730943700381323E-2</v>
      </c>
      <c r="AS53" s="10">
        <f>NA!AZ89/NA!AY89-1</f>
        <v>3.2485893499655027E-2</v>
      </c>
      <c r="AT53" s="10">
        <f>NA!BA89/NA!AZ89-1</f>
        <v>3.1994608378182132E-2</v>
      </c>
      <c r="AU53" s="10">
        <f>NA!BB89/NA!BA89-1</f>
        <v>3.3824619692820912E-2</v>
      </c>
      <c r="AV53" s="10">
        <f>NA!BC89/NA!BB89-1</f>
        <v>3.4500242954864868E-2</v>
      </c>
      <c r="AW53" s="10">
        <f>NA!BD89/NA!BC89-1</f>
        <v>2.7670244225407981E-2</v>
      </c>
      <c r="AX53" s="10">
        <f>NA!BE89/NA!BD89-1</f>
        <v>3.3926095601584105E-2</v>
      </c>
      <c r="AY53" s="10">
        <f>NA!BF89/NA!BE89-1</f>
        <v>3.6480114314634715E-2</v>
      </c>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row>
    <row r="54" spans="5:182" x14ac:dyDescent="0.2">
      <c r="E54" s="177" t="s">
        <v>131</v>
      </c>
      <c r="G54" s="10"/>
      <c r="H54" s="10"/>
      <c r="I54" s="10"/>
      <c r="J54" s="10"/>
      <c r="K54" s="10">
        <f>NA!K90/NA!J90-1</f>
        <v>4.576609424915512E-2</v>
      </c>
      <c r="L54" s="10">
        <f>NA!L90/NA!K90-1</f>
        <v>0.3577808792778483</v>
      </c>
      <c r="M54" s="10">
        <f>NA!M90/NA!L90-1</f>
        <v>0.59007709816830123</v>
      </c>
      <c r="N54" s="10">
        <f>NA!N90/NA!M90-1</f>
        <v>3.5540176802387302E-2</v>
      </c>
      <c r="O54" s="10">
        <f>NA!O90/NA!N90-1</f>
        <v>-0.14691407813179991</v>
      </c>
      <c r="P54" s="10">
        <f>NA!P90/NA!O90-1</f>
        <v>5.4632679952001162E-2</v>
      </c>
      <c r="Q54" s="10">
        <f>NA!Q90/NA!P90-1</f>
        <v>1.4255148519632721E-2</v>
      </c>
      <c r="R54" s="10">
        <f>NA!R90/NA!Q90-1</f>
        <v>-1.4622323763712197E-2</v>
      </c>
      <c r="S54" s="10">
        <f>NA!S90/NA!R90-1</f>
        <v>3.1086229153886702E-2</v>
      </c>
      <c r="T54" s="10">
        <f>NA!T90/NA!S90-1</f>
        <v>6.6131092469431385E-2</v>
      </c>
      <c r="U54" s="10">
        <f>NA!U90/NA!T90-1</f>
        <v>4.5551176484728284E-2</v>
      </c>
      <c r="V54" s="10">
        <f>NA!V90/NA!U90-1</f>
        <v>4.258538125327993E-2</v>
      </c>
      <c r="W54" s="10"/>
      <c r="X54" s="10"/>
      <c r="Y54" s="10"/>
      <c r="Z54" s="10"/>
      <c r="AA54" s="10"/>
      <c r="AB54" s="10"/>
      <c r="AF54" s="10">
        <f>NA!AM90/NA!AL90-1</f>
        <v>4.4778593024549673E-2</v>
      </c>
      <c r="AG54" s="10">
        <f>NA!AN90/NA!AM90-1</f>
        <v>4.6711271754894756E-2</v>
      </c>
      <c r="AH54" s="10">
        <f>NA!AO90/NA!AN90-1</f>
        <v>0.65496847619884124</v>
      </c>
      <c r="AI54" s="10">
        <f>NA!AP90/NA!AO90-1</f>
        <v>0.55086705944926506</v>
      </c>
      <c r="AJ54" s="10">
        <f>NA!AQ90/NA!AP90-1</f>
        <v>-0.29674290285105354</v>
      </c>
      <c r="AK54" s="10">
        <f>NA!AR90/NA!AQ90-1</f>
        <v>6.6135779916800308E-2</v>
      </c>
      <c r="AL54" s="10">
        <f>NA!AS90/NA!AR90-1</f>
        <v>4.3843153719519856E-2</v>
      </c>
      <c r="AM54" s="10">
        <f>NA!AT90/NA!AS90-1</f>
        <v>-1.4090111105299119E-2</v>
      </c>
      <c r="AN54" s="10">
        <f>NA!AU90/NA!AT90-1</f>
        <v>-1.5162142528497569E-2</v>
      </c>
      <c r="AO54" s="10">
        <f>NA!AV90/NA!AU90-1</f>
        <v>7.8046620990491755E-2</v>
      </c>
      <c r="AP54" s="10">
        <f>NA!AW90/NA!AV90-1</f>
        <v>5.5078204506096018E-2</v>
      </c>
      <c r="AQ54" s="10">
        <f>NA!AX90/NA!AW90-1</f>
        <v>3.652148751884976E-2</v>
      </c>
      <c r="AR54" s="10">
        <f>NA!AY90/NA!AX90-1</f>
        <v>4.8435615722558056E-2</v>
      </c>
      <c r="AS54" s="10">
        <f>NA!AZ90/NA!AY90-1</f>
        <v>4.1885645664023974E-2</v>
      </c>
      <c r="AT54" s="10">
        <f>NA!BA90/NA!AZ90-1</f>
        <v>3.4691647364926803E-2</v>
      </c>
      <c r="AU54" s="10">
        <f>NA!BB90/NA!BA90-1</f>
        <v>4.0000000000000036E-2</v>
      </c>
      <c r="AV54" s="10">
        <f>NA!BC90/NA!BB90-1</f>
        <v>3.412968685834028E-2</v>
      </c>
      <c r="AW54" s="10">
        <f>NA!BD90/NA!BC90-1</f>
        <v>2.7479961275946208E-2</v>
      </c>
      <c r="AX54" s="10">
        <f>NA!BE90/NA!BD90-1</f>
        <v>3.0886658391279909E-2</v>
      </c>
      <c r="AY54" s="10">
        <f>NA!BF90/NA!BE90-1</f>
        <v>3.3636621518649434E-2</v>
      </c>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row>
    <row r="55" spans="5:182" x14ac:dyDescent="0.2">
      <c r="E55" s="177" t="s">
        <v>132</v>
      </c>
      <c r="G55" s="10"/>
      <c r="H55" s="10"/>
      <c r="I55" s="10"/>
      <c r="J55" s="10"/>
      <c r="K55" s="10">
        <f>NA!K91/NA!J91-1</f>
        <v>3.6891901264448412E-2</v>
      </c>
      <c r="L55" s="10">
        <f>NA!L91/NA!K91-1</f>
        <v>1.7005373124348</v>
      </c>
      <c r="M55" s="10">
        <f>NA!M91/NA!L91-1</f>
        <v>0.64565541908799795</v>
      </c>
      <c r="N55" s="10">
        <f>NA!N91/NA!M91-1</f>
        <v>2.5272869301720569E-2</v>
      </c>
      <c r="O55" s="10">
        <f>NA!O91/NA!N91-1</f>
        <v>3.1920427084848768E-2</v>
      </c>
      <c r="P55" s="10">
        <f>NA!P91/NA!O91-1</f>
        <v>4.270583904073133E-2</v>
      </c>
      <c r="Q55" s="10">
        <f>NA!Q91/NA!P91-1</f>
        <v>5.9217621969327672E-2</v>
      </c>
      <c r="R55" s="10">
        <f>NA!R91/NA!Q91-1</f>
        <v>7.59486989160576E-2</v>
      </c>
      <c r="S55" s="10">
        <f>NA!S91/NA!R91-1</f>
        <v>7.9301470349254055E-2</v>
      </c>
      <c r="T55" s="10">
        <f>NA!T91/NA!S91-1</f>
        <v>6.6240957792594424E-2</v>
      </c>
      <c r="U55" s="10">
        <f>NA!U91/NA!T91-1</f>
        <v>3.3147872805681988E-2</v>
      </c>
      <c r="V55" s="10">
        <f>NA!V91/NA!U91-1</f>
        <v>1.5338066912365056E-2</v>
      </c>
      <c r="W55" s="10"/>
      <c r="X55" s="10"/>
      <c r="Y55" s="10"/>
      <c r="Z55" s="10"/>
      <c r="AA55" s="10"/>
      <c r="AB55" s="10"/>
      <c r="AF55" s="10">
        <f>NA!AM91/NA!AL91-1</f>
        <v>3.4636711118247954E-2</v>
      </c>
      <c r="AG55" s="10">
        <f>NA!AN91/NA!AM91-1</f>
        <v>3.9071594022269451E-2</v>
      </c>
      <c r="AH55" s="10">
        <f>NA!AO91/NA!AN91-1</f>
        <v>3.2995279190213571</v>
      </c>
      <c r="AI55" s="10">
        <f>NA!AP91/NA!AO91-1</f>
        <v>2.8408002646654218E-2</v>
      </c>
      <c r="AJ55" s="10">
        <f>NA!AQ91/NA!AP91-1</f>
        <v>2.2224338624338591E-2</v>
      </c>
      <c r="AK55" s="10">
        <f>NA!AR91/NA!AQ91-1</f>
        <v>4.1405711375338772E-2</v>
      </c>
      <c r="AL55" s="10">
        <f>NA!AS91/NA!AR91-1</f>
        <v>4.3954274353876777E-2</v>
      </c>
      <c r="AM55" s="10">
        <f>NA!AT91/NA!AS91-1</f>
        <v>7.3838327100208989E-2</v>
      </c>
      <c r="AN55" s="10">
        <f>NA!AU91/NA!AT91-1</f>
        <v>7.7913959200208049E-2</v>
      </c>
      <c r="AO55" s="10">
        <f>NA!AV91/NA!AU91-1</f>
        <v>8.0588689182634177E-2</v>
      </c>
      <c r="AP55" s="10">
        <f>NA!AW91/NA!AV91-1</f>
        <v>5.2963258762732668E-2</v>
      </c>
      <c r="AQ55" s="10">
        <f>NA!AX91/NA!AW91-1</f>
        <v>1.4329185836172265E-2</v>
      </c>
      <c r="AR55" s="10">
        <f>NA!AY91/NA!AX91-1</f>
        <v>1.6332695766863692E-2</v>
      </c>
      <c r="AS55" s="10">
        <f>NA!AZ91/NA!AY91-1</f>
        <v>1.8292561163802956E-2</v>
      </c>
      <c r="AT55" s="10">
        <f>NA!BA91/NA!AZ91-1</f>
        <v>2.0165994379322205E-2</v>
      </c>
      <c r="AU55" s="10">
        <f>NA!BB91/NA!BA91-1</f>
        <v>2.1931920118376302E-2</v>
      </c>
      <c r="AV55" s="10">
        <f>NA!BC91/NA!BB91-1</f>
        <v>3.1640482751970955E-2</v>
      </c>
      <c r="AW55" s="10">
        <f>NA!BD91/NA!BC91-1</f>
        <v>2.1050531646422455E-2</v>
      </c>
      <c r="AX55" s="10">
        <f>NA!BE91/NA!BD91-1</f>
        <v>3.5290293373204218E-2</v>
      </c>
      <c r="AY55" s="10">
        <f>NA!BF91/NA!BE91-1</f>
        <v>3.7759406690699437E-2</v>
      </c>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row>
    <row r="56" spans="5:182" x14ac:dyDescent="0.2">
      <c r="E56" s="177" t="s">
        <v>133</v>
      </c>
      <c r="G56" s="10"/>
      <c r="H56" s="10"/>
      <c r="I56" s="10"/>
      <c r="J56" s="10"/>
      <c r="K56" s="10">
        <f>NA!K92/NA!J92-1</f>
        <v>3.6341989022633303E-2</v>
      </c>
      <c r="L56" s="10">
        <f>NA!L92/NA!K92-1</f>
        <v>0.65294042075281822</v>
      </c>
      <c r="M56" s="10">
        <f>NA!M92/NA!L92-1</f>
        <v>0.40332851757969213</v>
      </c>
      <c r="N56" s="10">
        <f>NA!N92/NA!M92-1</f>
        <v>3.1533960715770082E-2</v>
      </c>
      <c r="O56" s="10">
        <f>NA!O92/NA!N92-1</f>
        <v>2.8759823035547916E-2</v>
      </c>
      <c r="P56" s="10">
        <f>NA!P92/NA!O92-1</f>
        <v>3.163759874823513E-2</v>
      </c>
      <c r="Q56" s="10">
        <f>NA!Q92/NA!P92-1</f>
        <v>5.5163574169063923E-2</v>
      </c>
      <c r="R56" s="10">
        <f>NA!R92/NA!Q92-1</f>
        <v>6.6355035660869088E-2</v>
      </c>
      <c r="S56" s="10">
        <f>NA!S92/NA!R92-1</f>
        <v>4.8300329953459897E-2</v>
      </c>
      <c r="T56" s="10">
        <f>NA!T92/NA!S92-1</f>
        <v>4.4437404878708842E-2</v>
      </c>
      <c r="U56" s="10">
        <f>NA!U92/NA!T92-1</f>
        <v>4.2367940141464722E-2</v>
      </c>
      <c r="V56" s="10">
        <f>NA!V92/NA!U92-1</f>
        <v>3.3815159738364242E-2</v>
      </c>
      <c r="W56" s="10"/>
      <c r="X56" s="10"/>
      <c r="Y56" s="10"/>
      <c r="Z56" s="10"/>
      <c r="AA56" s="10"/>
      <c r="AB56" s="10"/>
      <c r="AF56" s="10">
        <f>NA!AM92/NA!AL92-1</f>
        <v>2.4123388360043352E-2</v>
      </c>
      <c r="AG56" s="10">
        <f>NA!AN92/NA!AM92-1</f>
        <v>4.827277861445789E-2</v>
      </c>
      <c r="AH56" s="10">
        <f>NA!AO92/NA!AN92-1</f>
        <v>1.2297632234374141</v>
      </c>
      <c r="AI56" s="10">
        <f>NA!AP92/NA!AO92-1</f>
        <v>3.2690641247833607E-2</v>
      </c>
      <c r="AJ56" s="10">
        <f>NA!AQ92/NA!AP92-1</f>
        <v>3.0413895823281356E-2</v>
      </c>
      <c r="AK56" s="10">
        <f>NA!AR92/NA!AQ92-1</f>
        <v>2.7154572180102088E-2</v>
      </c>
      <c r="AL56" s="10">
        <f>NA!AS92/NA!AR92-1</f>
        <v>3.6002108910145436E-2</v>
      </c>
      <c r="AM56" s="10">
        <f>NA!AT92/NA!AS92-1</f>
        <v>7.3659159355734971E-2</v>
      </c>
      <c r="AN56" s="10">
        <f>NA!AU92/NA!AT92-1</f>
        <v>5.9552016628974025E-2</v>
      </c>
      <c r="AO56" s="10">
        <f>NA!AV92/NA!AU92-1</f>
        <v>3.7681043218192434E-2</v>
      </c>
      <c r="AP56" s="10">
        <f>NA!AW92/NA!AV92-1</f>
        <v>5.0948424526483072E-2</v>
      </c>
      <c r="AQ56" s="10">
        <f>NA!AX92/NA!AW92-1</f>
        <v>3.42034249428389E-2</v>
      </c>
      <c r="AR56" s="10">
        <f>NA!AY92/NA!AX92-1</f>
        <v>3.3439735334315435E-2</v>
      </c>
      <c r="AS56" s="10">
        <f>NA!AZ92/NA!AY92-1</f>
        <v>3.4741160172961916E-2</v>
      </c>
      <c r="AT56" s="10">
        <f>NA!BA92/NA!AZ92-1</f>
        <v>4.7488639550195666E-2</v>
      </c>
      <c r="AU56" s="10">
        <f>NA!BB92/NA!BA92-1</f>
        <v>5.0992902919394734E-2</v>
      </c>
      <c r="AV56" s="10">
        <f>NA!BC92/NA!BB92-1</f>
        <v>5.1712532976945225E-2</v>
      </c>
      <c r="AW56" s="10">
        <f>NA!BD92/NA!BC92-1</f>
        <v>4.9031585656538201E-2</v>
      </c>
      <c r="AX56" s="10">
        <f>NA!BE92/NA!BD92-1</f>
        <v>4.5650241657257506E-2</v>
      </c>
      <c r="AY56" s="10">
        <f>NA!BF92/NA!BE92-1</f>
        <v>4.6011229817717103E-2</v>
      </c>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row>
    <row r="57" spans="5:182" x14ac:dyDescent="0.2">
      <c r="E57" s="177" t="s">
        <v>105</v>
      </c>
      <c r="G57" s="10"/>
      <c r="H57" s="10"/>
      <c r="I57" s="10"/>
      <c r="J57" s="10"/>
      <c r="K57" s="10">
        <f>NA!K93/NA!J93-1</f>
        <v>3.0458100956826994E-2</v>
      </c>
      <c r="L57" s="10">
        <f>NA!L93/NA!K93-1</f>
        <v>0.61355070752034813</v>
      </c>
      <c r="M57" s="10">
        <f>NA!M93/NA!L93-1</f>
        <v>0.41762888052390279</v>
      </c>
      <c r="N57" s="10">
        <f>NA!N93/NA!M93-1</f>
        <v>6.3680915554799933E-2</v>
      </c>
      <c r="O57" s="10">
        <f>NA!O93/NA!N93-1</f>
        <v>6.36028182434214E-2</v>
      </c>
      <c r="P57" s="10">
        <f>NA!P93/NA!O93-1</f>
        <v>6.3388373419394295E-2</v>
      </c>
      <c r="Q57" s="10">
        <f>NA!Q93/NA!P93-1</f>
        <v>4.3754463961936496E-2</v>
      </c>
      <c r="R57" s="10">
        <f>NA!R93/NA!Q93-1</f>
        <v>1.8439085409049039E-2</v>
      </c>
      <c r="S57" s="10">
        <f>NA!S93/NA!R93-1</f>
        <v>4.073770142848776E-2</v>
      </c>
      <c r="T57" s="10">
        <f>NA!T93/NA!S93-1</f>
        <v>3.7340128847278331E-2</v>
      </c>
      <c r="U57" s="10">
        <f>NA!U93/NA!T93-1</f>
        <v>6.8343775203614232E-3</v>
      </c>
      <c r="V57" s="10">
        <f>NA!V93/NA!U93-1</f>
        <v>1.7691859021755851E-2</v>
      </c>
      <c r="W57" s="10"/>
      <c r="X57" s="10"/>
      <c r="Y57" s="10"/>
      <c r="Z57" s="10"/>
      <c r="AA57" s="10"/>
      <c r="AB57" s="10"/>
      <c r="AF57" s="10">
        <f>NA!AM93/NA!AL93-1</f>
        <v>3.1557685624927556E-2</v>
      </c>
      <c r="AG57" s="10">
        <f>NA!AN93/NA!AM93-1</f>
        <v>2.9392155073796111E-2</v>
      </c>
      <c r="AH57" s="10">
        <f>NA!AO93/NA!AN93-1</f>
        <v>1.181029825723531</v>
      </c>
      <c r="AI57" s="10">
        <f>NA!AP93/NA!AO93-1</f>
        <v>6.7610308473252667E-2</v>
      </c>
      <c r="AJ57" s="10">
        <f>NA!AQ93/NA!AP93-1</f>
        <v>6.0000365744381279E-2</v>
      </c>
      <c r="AK57" s="10">
        <f>NA!AR93/NA!AQ93-1</f>
        <v>6.7001357164216957E-2</v>
      </c>
      <c r="AL57" s="10">
        <f>NA!AS93/NA!AR93-1</f>
        <v>6.0002263626221408E-2</v>
      </c>
      <c r="AM57" s="10">
        <f>NA!AT93/NA!AS93-1</f>
        <v>2.8426383804162292E-2</v>
      </c>
      <c r="AN57" s="10">
        <f>NA!AU93/NA!AT93-1</f>
        <v>8.727842531196961E-3</v>
      </c>
      <c r="AO57" s="10">
        <f>NA!AV93/NA!AU93-1</f>
        <v>7.2470600578935063E-2</v>
      </c>
      <c r="AP57" s="10">
        <f>NA!AW93/NA!AV93-1</f>
        <v>4.5835463239973784E-3</v>
      </c>
      <c r="AQ57" s="10">
        <f>NA!AX93/NA!AW93-1</f>
        <v>9.0749389993947105E-3</v>
      </c>
      <c r="AR57" s="10">
        <f>NA!AY93/NA!AX93-1</f>
        <v>2.6231284280800793E-2</v>
      </c>
      <c r="AS57" s="10">
        <f>NA!AZ93/NA!AY93-1</f>
        <v>2.8881659731208265E-2</v>
      </c>
      <c r="AT57" s="10">
        <f>NA!BA93/NA!AZ93-1</f>
        <v>5.463096773803322E-2</v>
      </c>
      <c r="AU57" s="10">
        <f>NA!BB93/NA!BA93-1</f>
        <v>2.0002893474834638E-2</v>
      </c>
      <c r="AV57" s="10">
        <f>NA!BC93/NA!BB93-1</f>
        <v>2.7216728779267951E-2</v>
      </c>
      <c r="AW57" s="10">
        <f>NA!BD93/NA!BC93-1</f>
        <v>3.3742881150373272E-2</v>
      </c>
      <c r="AX57" s="10">
        <f>NA!BE93/NA!BD93-1</f>
        <v>3.5080605064277792E-2</v>
      </c>
      <c r="AY57" s="10">
        <f>NA!BF93/NA!BE93-1</f>
        <v>3.9685398692266949E-2</v>
      </c>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row>
    <row r="58" spans="5:182" x14ac:dyDescent="0.2">
      <c r="E58" s="177" t="s">
        <v>106</v>
      </c>
      <c r="G58" s="10"/>
      <c r="H58" s="10"/>
      <c r="I58" s="10"/>
      <c r="J58" s="10"/>
      <c r="K58" s="10">
        <f>NA!K94/NA!J94-1</f>
        <v>5.5898750069780068E-2</v>
      </c>
      <c r="L58" s="10">
        <f>NA!L94/NA!K94-1</f>
        <v>0.51283983821899115</v>
      </c>
      <c r="M58" s="10">
        <f>NA!M94/NA!L94-1</f>
        <v>0.39184782916747873</v>
      </c>
      <c r="N58" s="10">
        <f>NA!N94/NA!M94-1</f>
        <v>0.11003172350945367</v>
      </c>
      <c r="O58" s="10">
        <f>NA!O94/NA!N94-1</f>
        <v>0.11645232295220209</v>
      </c>
      <c r="P58" s="10">
        <f>NA!P94/NA!O94-1</f>
        <v>0.11161006814899244</v>
      </c>
      <c r="Q58" s="10">
        <f>NA!Q94/NA!P94-1</f>
        <v>8.3774693207857354E-2</v>
      </c>
      <c r="R58" s="10">
        <f>NA!R94/NA!Q94-1</f>
        <v>8.6780800048070761E-2</v>
      </c>
      <c r="S58" s="10">
        <f>NA!S94/NA!R94-1</f>
        <v>8.6611800829999197E-2</v>
      </c>
      <c r="T58" s="10">
        <f>NA!T94/NA!S94-1</f>
        <v>4.8662324961213921E-2</v>
      </c>
      <c r="U58" s="10">
        <f>NA!U94/NA!T94-1</f>
        <v>6.2410848314849998E-2</v>
      </c>
      <c r="V58" s="10">
        <f>NA!V94/NA!U94-1</f>
        <v>0.10631181788163691</v>
      </c>
      <c r="W58" s="10"/>
      <c r="X58" s="10"/>
      <c r="Y58" s="10"/>
      <c r="Z58" s="10"/>
      <c r="AA58" s="10"/>
      <c r="AB58" s="10"/>
      <c r="AF58" s="10">
        <f>NA!AM94/NA!AL94-1</f>
        <v>6.7328427227508314E-2</v>
      </c>
      <c r="AG58" s="10">
        <f>NA!AN94/NA!AM94-1</f>
        <v>4.5190071404284327E-2</v>
      </c>
      <c r="AH58" s="10">
        <f>NA!AO94/NA!AN94-1</f>
        <v>0.96027019525097823</v>
      </c>
      <c r="AI58" s="10">
        <f>NA!AP94/NA!AO94-1</f>
        <v>0.10187639183165609</v>
      </c>
      <c r="AJ58" s="10">
        <f>NA!AQ94/NA!AP94-1</f>
        <v>0.11743303615963274</v>
      </c>
      <c r="AK58" s="10">
        <f>NA!AR94/NA!AQ94-1</f>
        <v>0.11557467464962357</v>
      </c>
      <c r="AL58" s="10">
        <f>NA!AS94/NA!AR94-1</f>
        <v>0.10805619892739471</v>
      </c>
      <c r="AM58" s="10">
        <f>NA!AT94/NA!AS94-1</f>
        <v>6.186108833561188E-2</v>
      </c>
      <c r="AN58" s="10">
        <f>NA!AU94/NA!AT94-1</f>
        <v>0.11024875832076586</v>
      </c>
      <c r="AO58" s="10">
        <f>NA!AV94/NA!AU94-1</f>
        <v>6.53220157132679E-2</v>
      </c>
      <c r="AP58" s="10">
        <f>NA!AW94/NA!AV94-1</f>
        <v>3.3024151238783217E-2</v>
      </c>
      <c r="AQ58" s="10">
        <f>NA!AX94/NA!AW94-1</f>
        <v>9.0858099079342391E-2</v>
      </c>
      <c r="AR58" s="10">
        <f>NA!AY94/NA!AX94-1</f>
        <v>0.12047838896483931</v>
      </c>
      <c r="AS58" s="10">
        <f>NA!AZ94/NA!AY94-1</f>
        <v>4.0464860101001587E-2</v>
      </c>
      <c r="AT58" s="10">
        <f>NA!BA94/NA!AZ94-1</f>
        <v>9.5327351391288895E-2</v>
      </c>
      <c r="AU58" s="10">
        <f>NA!BB94/NA!BA94-1</f>
        <v>0.10342981205661483</v>
      </c>
      <c r="AV58" s="10">
        <f>NA!BC94/NA!BB94-1</f>
        <v>9.3311019665813122E-2</v>
      </c>
      <c r="AW58" s="10">
        <f>NA!BD94/NA!BC94-1</f>
        <v>9.4292679239809107E-2</v>
      </c>
      <c r="AX58" s="10">
        <f>NA!BE94/NA!BD94-1</f>
        <v>9.3105373633349586E-2</v>
      </c>
      <c r="AY58" s="10">
        <f>NA!BF94/NA!BE94-1</f>
        <v>9.7053106582182691E-2</v>
      </c>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row>
    <row r="59" spans="5:182" x14ac:dyDescent="0.2">
      <c r="E59" s="191" t="s">
        <v>136</v>
      </c>
      <c r="G59" s="10"/>
      <c r="H59" s="10"/>
      <c r="I59" s="10"/>
      <c r="J59" s="10"/>
      <c r="K59" s="10">
        <f>NA!K95/NA!J95-1</f>
        <v>0.11819885038426725</v>
      </c>
      <c r="L59" s="10">
        <f>NA!L95/NA!K95-1</f>
        <v>1.5770948040342141</v>
      </c>
      <c r="M59" s="10">
        <f>NA!M95/NA!L95-1</f>
        <v>0.71996911600706648</v>
      </c>
      <c r="N59" s="10">
        <f>NA!N95/NA!M95-1</f>
        <v>0.170099631389796</v>
      </c>
      <c r="O59" s="10">
        <f>NA!O95/NA!N95-1</f>
        <v>0.16502463054187189</v>
      </c>
      <c r="P59" s="10">
        <f>NA!P95/NA!O95-1</f>
        <v>0.16067653276955607</v>
      </c>
      <c r="Q59" s="10">
        <f>NA!Q95/NA!P95-1</f>
        <v>1.2308447653346377E-3</v>
      </c>
      <c r="R59" s="10">
        <f>NA!R95/NA!Q95-1</f>
        <v>-3.0559079594988825E-2</v>
      </c>
      <c r="S59" s="10">
        <f>NA!S95/NA!R95-1</f>
        <v>-6.8975290537044431E-3</v>
      </c>
      <c r="T59" s="10">
        <f>NA!T95/NA!S95-1</f>
        <v>3.7227257439721662E-2</v>
      </c>
      <c r="U59" s="10">
        <f>NA!U95/NA!T95-1</f>
        <v>0.12480292242773827</v>
      </c>
      <c r="V59" s="10">
        <f>NA!V95/NA!U95-1</f>
        <v>6.75095536893493E-2</v>
      </c>
      <c r="W59" s="10"/>
      <c r="X59" s="10"/>
      <c r="Y59" s="10"/>
      <c r="Z59" s="10"/>
      <c r="AA59" s="10"/>
      <c r="AB59" s="10"/>
      <c r="AF59" s="10">
        <f>NA!AM95/NA!AL95-1</f>
        <v>9.0843681714011693E-2</v>
      </c>
      <c r="AG59" s="10">
        <f>NA!AN95/NA!AM95-1</f>
        <v>0.14327592524734345</v>
      </c>
      <c r="AH59" s="10">
        <f>NA!AO95/NA!AN95-1</f>
        <v>2.8312267656397814</v>
      </c>
      <c r="AI59" s="10">
        <f>NA!AP95/NA!AO95-1</f>
        <v>0.16890341857368774</v>
      </c>
      <c r="AJ59" s="10">
        <f>NA!AQ95/NA!AP95-1</f>
        <v>0.17112299465240643</v>
      </c>
      <c r="AK59" s="10">
        <f>NA!AR95/NA!AQ95-1</f>
        <v>0.15981735159817334</v>
      </c>
      <c r="AL59" s="10">
        <f>NA!AS95/NA!AR95-1</f>
        <v>0.16141732283464583</v>
      </c>
      <c r="AM59" s="10">
        <f>NA!AT95/NA!AS95-1</f>
        <v>-0.13669242787739444</v>
      </c>
      <c r="AN59" s="10">
        <f>NA!AU95/NA!AT95-1</f>
        <v>9.2378969032867575E-2</v>
      </c>
      <c r="AO59" s="361">
        <f>NA!AV95/NA!AU95-1</f>
        <v>-9.7778533632606135E-2</v>
      </c>
      <c r="AP59" s="361">
        <f>NA!AW95/NA!AV95-1</f>
        <v>0.18686434334934932</v>
      </c>
      <c r="AQ59" s="10">
        <f>NA!AX95/NA!AW95-1</f>
        <v>7.251268279809997E-2</v>
      </c>
      <c r="AR59" s="10">
        <f>NA!AY95/NA!AX95-1</f>
        <v>6.2844686607593125E-2</v>
      </c>
      <c r="AS59" s="10">
        <f>NA!AZ95/NA!AY95-1</f>
        <v>6.658333132616856E-2</v>
      </c>
      <c r="AT59" s="10">
        <f>NA!BA95/NA!AZ95-1</f>
        <v>3.8611419402613922E-2</v>
      </c>
      <c r="AU59" s="10">
        <f>NA!BB95/NA!BA95-1</f>
        <v>9.3690803597176631E-2</v>
      </c>
      <c r="AV59" s="10">
        <f>NA!BC95/NA!BB95-1</f>
        <v>8.1574169994685253E-2</v>
      </c>
      <c r="AW59" s="10">
        <f>NA!BD95/NA!BC95-1</f>
        <v>8.3406063560869326E-2</v>
      </c>
      <c r="AX59" s="10">
        <f>NA!BE95/NA!BD95-1</f>
        <v>8.353319798451242E-2</v>
      </c>
      <c r="AY59" s="10">
        <f>NA!BF95/NA!BE95-1</f>
        <v>8.5644806888214964E-2</v>
      </c>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row>
    <row r="60" spans="5:182" x14ac:dyDescent="0.2">
      <c r="E60" s="191" t="s">
        <v>135</v>
      </c>
      <c r="G60" s="10"/>
      <c r="H60" s="10"/>
      <c r="I60" s="10"/>
      <c r="J60" s="10"/>
      <c r="K60" s="10">
        <f>NA!K96/NA!J96-1</f>
        <v>5.4048133381552343E-2</v>
      </c>
      <c r="L60" s="10">
        <f>NA!L96/NA!K96-1</f>
        <v>0.29152257838790807</v>
      </c>
      <c r="M60" s="10">
        <f>NA!M96/NA!L96-1</f>
        <v>0.25253758042180974</v>
      </c>
      <c r="N60" s="10">
        <f>NA!N96/NA!M96-1</f>
        <v>8.2574607991906745E-2</v>
      </c>
      <c r="O60" s="10">
        <f>NA!O96/NA!N96-1</f>
        <v>9.216213059222067E-2</v>
      </c>
      <c r="P60" s="10">
        <f>NA!P96/NA!O96-1</f>
        <v>9.5187165775401095E-2</v>
      </c>
      <c r="Q60" s="10">
        <f>NA!Q96/NA!P96-1</f>
        <v>9.0008974844912659E-2</v>
      </c>
      <c r="R60" s="10">
        <f>NA!R96/NA!Q96-1</f>
        <v>0.10032938132472036</v>
      </c>
      <c r="S60" s="10">
        <f>NA!S96/NA!R96-1</f>
        <v>0.11441429841482065</v>
      </c>
      <c r="T60" s="10">
        <f>NA!T96/NA!S96-1</f>
        <v>7.8553096900237485E-2</v>
      </c>
      <c r="U60" s="10">
        <f>NA!U96/NA!T96-1</f>
        <v>6.8674514870732617E-2</v>
      </c>
      <c r="V60" s="10">
        <f>NA!V96/NA!U96-1</f>
        <v>7.900979160864785E-2</v>
      </c>
      <c r="W60" s="10"/>
      <c r="X60" s="10"/>
      <c r="Y60" s="10"/>
      <c r="Z60" s="10"/>
      <c r="AA60" s="10"/>
      <c r="AB60" s="10"/>
      <c r="AF60" s="10">
        <f>NA!AM96/NA!AL96-1</f>
        <v>6.0410817427227093E-2</v>
      </c>
      <c r="AG60" s="10">
        <f>NA!AN96/NA!AM96-1</f>
        <v>4.8047926724747336E-2</v>
      </c>
      <c r="AH60" s="10">
        <f>NA!AO96/NA!AN96-1</f>
        <v>0.52383509526301197</v>
      </c>
      <c r="AI60" s="10">
        <f>NA!AP96/NA!AO96-1</f>
        <v>7.4501573976915036E-2</v>
      </c>
      <c r="AJ60" s="10">
        <f>NA!AQ96/NA!AP96-1</f>
        <v>9.0087890624999778E-2</v>
      </c>
      <c r="AK60" s="10">
        <f>NA!AR96/NA!AQ96-1</f>
        <v>9.4064949608062776E-2</v>
      </c>
      <c r="AL60" s="10">
        <f>NA!AS96/NA!AR96-1</f>
        <v>9.6212896622313249E-2</v>
      </c>
      <c r="AM60" s="10">
        <f>NA!AT96/NA!AS96-1</f>
        <v>8.4349561608198842E-2</v>
      </c>
      <c r="AN60" s="10">
        <f>NA!AU96/NA!AT96-1</f>
        <v>0.11506616020331517</v>
      </c>
      <c r="AO60" s="361">
        <f>NA!AV96/NA!AU96-1</f>
        <v>0.11382970369590661</v>
      </c>
      <c r="AP60" s="361">
        <f>NA!AW96/NA!AV96-1</f>
        <v>4.688164238738457E-2</v>
      </c>
      <c r="AQ60" s="10">
        <f>NA!AX96/NA!AW96-1</f>
        <v>8.9491455010832777E-2</v>
      </c>
      <c r="AR60" s="10">
        <f>NA!AY96/NA!AX96-1</f>
        <v>6.9389098069494892E-2</v>
      </c>
      <c r="AS60" s="10">
        <f>NA!AZ96/NA!AY96-1</f>
        <v>4.1141457468793385E-2</v>
      </c>
      <c r="AT60" s="10">
        <f>NA!BA96/NA!AZ96-1</f>
        <v>6.4756457459789862E-2</v>
      </c>
      <c r="AU60" s="10">
        <f>NA!BB96/NA!BA96-1</f>
        <v>6.8136894380550928E-2</v>
      </c>
      <c r="AV60" s="10">
        <f>NA!BC96/NA!BB96-1</f>
        <v>6.9350516280610508E-2</v>
      </c>
      <c r="AW60" s="10">
        <f>NA!BD96/NA!BC96-1</f>
        <v>7.0066483446336925E-2</v>
      </c>
      <c r="AX60" s="10">
        <f>NA!BE96/NA!BD96-1</f>
        <v>7.0650314199560471E-2</v>
      </c>
      <c r="AY60" s="10">
        <f>NA!BF96/NA!BE96-1</f>
        <v>7.2273897101535312E-2</v>
      </c>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row>
    <row r="61" spans="5:182" x14ac:dyDescent="0.2">
      <c r="E61" s="191" t="s">
        <v>107</v>
      </c>
      <c r="G61" s="10"/>
      <c r="H61" s="10"/>
      <c r="I61" s="10"/>
      <c r="J61" s="10"/>
      <c r="K61" s="10">
        <f>NA!K97/NA!J97-1</f>
        <v>5.1036664035810642E-2</v>
      </c>
      <c r="L61" s="10">
        <f>NA!L97/NA!K97-1</f>
        <v>-4.0181369523083377E-2</v>
      </c>
      <c r="M61" s="10">
        <f>NA!M97/NA!L97-1</f>
        <v>-4.4487654394177678E-2</v>
      </c>
      <c r="N61" s="10">
        <f>NA!N97/NA!M97-1</f>
        <v>6.6754545902528051E-2</v>
      </c>
      <c r="O61" s="10">
        <f>NA!O97/NA!N97-1</f>
        <v>7.3236586881255228E-2</v>
      </c>
      <c r="P61" s="10">
        <f>NA!P97/NA!O97-1</f>
        <v>8.4502465238098345E-2</v>
      </c>
      <c r="Q61" s="10">
        <f>NA!Q97/NA!P97-1</f>
        <v>-8.593356962613985E-4</v>
      </c>
      <c r="R61" s="10">
        <f>NA!R97/NA!Q97-1</f>
        <v>4.3768163506927804E-2</v>
      </c>
      <c r="S61" s="10">
        <f>NA!S97/NA!R97-1</f>
        <v>0.12931352028782439</v>
      </c>
      <c r="T61" s="10">
        <f>NA!T97/NA!S97-1</f>
        <v>6.0905640087985491E-2</v>
      </c>
      <c r="U61" s="10">
        <f>NA!U97/NA!T97-1</f>
        <v>8.9348873521533978E-2</v>
      </c>
      <c r="V61" s="10">
        <f>NA!V97/NA!U97-1</f>
        <v>3.9858006062756468E-2</v>
      </c>
      <c r="W61" s="10"/>
      <c r="X61" s="10"/>
      <c r="Y61" s="10"/>
      <c r="Z61" s="10"/>
      <c r="AA61" s="10"/>
      <c r="AB61" s="10"/>
      <c r="AF61" s="10">
        <f>NA!AM97/NA!AL97-1</f>
        <v>3.989353801916562E-2</v>
      </c>
      <c r="AG61" s="10">
        <f>NA!AN97/NA!AM97-1</f>
        <v>6.1752305213724989E-2</v>
      </c>
      <c r="AH61" s="10">
        <f>NA!AO97/NA!AN97-1</f>
        <v>-0.13618650578345592</v>
      </c>
      <c r="AI61" s="10">
        <f>NA!AP97/NA!AO97-1</f>
        <v>6.166819059229911E-2</v>
      </c>
      <c r="AJ61" s="10">
        <f>NA!AQ97/NA!AP97-1</f>
        <v>7.1545454545454579E-2</v>
      </c>
      <c r="AK61" s="10">
        <f>NA!AR97/NA!AQ97-1</f>
        <v>7.4814804892098019E-2</v>
      </c>
      <c r="AL61" s="10">
        <f>NA!AS97/NA!AR97-1</f>
        <v>9.3515795071206664E-2</v>
      </c>
      <c r="AM61" s="10">
        <f>NA!AT97/NA!AS97-1</f>
        <v>-8.7163649902644469E-2</v>
      </c>
      <c r="AN61" s="10">
        <f>NA!AU97/NA!AT97-1</f>
        <v>0.1872022121133492</v>
      </c>
      <c r="AO61" s="10">
        <f>NA!AV97/NA!AU97-1</f>
        <v>8.0552920589752164E-2</v>
      </c>
      <c r="AP61" s="10">
        <f>NA!AW97/NA!AV97-1</f>
        <v>4.2723022534147059E-2</v>
      </c>
      <c r="AQ61" s="10">
        <f>NA!AX97/NA!AW97-1</f>
        <v>0.13406434443735926</v>
      </c>
      <c r="AR61" s="10">
        <f>NA!AY97/NA!AX97-1</f>
        <v>-4.3211652935597034E-2</v>
      </c>
      <c r="AS61" s="10">
        <f>NA!AZ97/NA!AY97-1</f>
        <v>3.3087779455540201E-2</v>
      </c>
      <c r="AT61" s="10">
        <f>NA!BA97/NA!AZ97-1</f>
        <v>0.1302791654792177</v>
      </c>
      <c r="AU61" s="10">
        <f>NA!BB97/NA!BA97-1</f>
        <v>9.3439717742147099E-2</v>
      </c>
      <c r="AV61" s="10">
        <f>NA!BC97/NA!BB97-1</f>
        <v>9.3410661874507861E-2</v>
      </c>
      <c r="AW61" s="10">
        <f>NA!BD97/NA!BC97-1</f>
        <v>8.9493748188754996E-2</v>
      </c>
      <c r="AX61" s="10">
        <f>NA!BE97/NA!BD97-1</f>
        <v>8.808057097536226E-2</v>
      </c>
      <c r="AY61" s="10">
        <f>NA!BF97/NA!BE97-1</f>
        <v>8.9248147919416709E-2</v>
      </c>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row>
    <row r="62" spans="5:182" x14ac:dyDescent="0.2">
      <c r="E62" s="191" t="s">
        <v>134</v>
      </c>
      <c r="G62" s="10"/>
      <c r="H62" s="10"/>
      <c r="I62" s="10"/>
      <c r="J62" s="10"/>
      <c r="K62" s="10">
        <f>NA!K98/NA!J98-1</f>
        <v>3.1962848297213631E-2</v>
      </c>
      <c r="L62" s="10">
        <f>NA!L98/NA!K98-1</f>
        <v>2.095616702536129</v>
      </c>
      <c r="M62" s="10">
        <f>NA!M98/NA!L98-1</f>
        <v>0.69527073917140947</v>
      </c>
      <c r="N62" s="10">
        <f>NA!N98/NA!M98-1</f>
        <v>3.6975394719085841E-2</v>
      </c>
      <c r="O62" s="10">
        <f>NA!O98/NA!N98-1</f>
        <v>4.8507786405240116E-2</v>
      </c>
      <c r="P62" s="10">
        <f>NA!P98/NA!O98-1</f>
        <v>4.7287583389357124E-2</v>
      </c>
      <c r="Q62" s="10">
        <f>NA!Q98/NA!P98-1</f>
        <v>3.2228866023372271E-2</v>
      </c>
      <c r="R62" s="10">
        <f>NA!R98/NA!Q98-1</f>
        <v>-2.5980146366383905E-2</v>
      </c>
      <c r="S62" s="10">
        <f>NA!S98/NA!R98-1</f>
        <v>-2.647577868844686E-2</v>
      </c>
      <c r="T62" s="10">
        <f>NA!T98/NA!S98-1</f>
        <v>3.4585521644863393E-2</v>
      </c>
      <c r="U62" s="10">
        <f>NA!U98/NA!T98-1</f>
        <v>3.3375249021362796E-2</v>
      </c>
      <c r="V62" s="10">
        <f>NA!V98/NA!U98-1</f>
        <v>4.4037978027799962E-3</v>
      </c>
      <c r="W62" s="10"/>
      <c r="X62" s="10"/>
      <c r="Y62" s="10"/>
      <c r="Z62" s="10"/>
      <c r="AA62" s="10"/>
      <c r="AB62" s="10"/>
      <c r="AF62" s="10">
        <f>NA!AM98/NA!AL98-1</f>
        <v>2.9812478005127874E-2</v>
      </c>
      <c r="AG62" s="10">
        <f>NA!AN98/NA!AM98-1</f>
        <v>3.4050966608084376E-2</v>
      </c>
      <c r="AH62" s="10">
        <f>NA!AO98/NA!AN98-1</f>
        <v>4.0892957401278984</v>
      </c>
      <c r="AI62" s="10">
        <f>NA!AP98/NA!AO98-1</f>
        <v>2.837591240875903E-2</v>
      </c>
      <c r="AJ62" s="10">
        <f>NA!AQ98/NA!AP98-1</f>
        <v>4.5337592050394893E-2</v>
      </c>
      <c r="AK62" s="10">
        <f>NA!AR98/NA!AQ98-1</f>
        <v>5.1540485486335053E-2</v>
      </c>
      <c r="AL62" s="10">
        <f>NA!AS98/NA!AR98-1</f>
        <v>4.3243134168734931E-2</v>
      </c>
      <c r="AM62" s="10">
        <f>NA!AT98/NA!AS98-1</f>
        <v>2.1671146749102643E-2</v>
      </c>
      <c r="AN62" s="10">
        <f>NA!AU98/NA!AT98-1</f>
        <v>-7.2620685513554828E-2</v>
      </c>
      <c r="AO62" s="361">
        <f>NA!AV98/NA!AU98-1</f>
        <v>2.3282616937038592E-2</v>
      </c>
      <c r="AP62" s="361">
        <f>NA!AW98/NA!AV98-1</f>
        <v>4.5631252824835489E-2</v>
      </c>
      <c r="AQ62" s="10">
        <f>NA!AX98/NA!AW98-1</f>
        <v>2.1654096109796184E-2</v>
      </c>
      <c r="AR62" s="10">
        <f>NA!AY98/NA!AX98-1</f>
        <v>-1.2480878109254356E-2</v>
      </c>
      <c r="AS62" s="10">
        <f>NA!AZ98/NA!AY98-1</f>
        <v>2.8292568664190387E-2</v>
      </c>
      <c r="AT62" s="10">
        <f>NA!BA98/NA!AZ98-1</f>
        <v>2.6549626737814913E-2</v>
      </c>
      <c r="AU62" s="10">
        <f>NA!BB98/NA!BA98-1</f>
        <v>3.7333455902639257E-2</v>
      </c>
      <c r="AV62" s="10">
        <f>NA!BC98/NA!BB98-1</f>
        <v>3.7214252758007937E-2</v>
      </c>
      <c r="AW62" s="10">
        <f>NA!BD98/NA!BC98-1</f>
        <v>3.5640222106013475E-2</v>
      </c>
      <c r="AX62" s="10">
        <f>NA!BE98/NA!BD98-1</f>
        <v>3.6025363328763049E-2</v>
      </c>
      <c r="AY62" s="10">
        <f>NA!BF98/NA!BE98-1</f>
        <v>3.4448833809218371E-2</v>
      </c>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row>
    <row r="63" spans="5:182" x14ac:dyDescent="0.2">
      <c r="E63" s="191" t="s">
        <v>109</v>
      </c>
      <c r="G63" s="10"/>
      <c r="H63" s="10"/>
      <c r="I63" s="10"/>
      <c r="J63" s="10"/>
      <c r="K63" s="10">
        <f>NA!K99/NA!J99-1</f>
        <v>4.572194672442631E-2</v>
      </c>
      <c r="L63" s="10">
        <f>NA!L99/NA!K99-1</f>
        <v>0.62833493094235826</v>
      </c>
      <c r="M63" s="10">
        <f>NA!M99/NA!L99-1</f>
        <v>0.46555197733959752</v>
      </c>
      <c r="N63" s="10">
        <f>NA!N99/NA!M99-1</f>
        <v>0.12870363015330843</v>
      </c>
      <c r="O63" s="10">
        <f>NA!O99/NA!N99-1</f>
        <v>0.13337614582050428</v>
      </c>
      <c r="P63" s="10">
        <f>NA!P99/NA!O99-1</f>
        <v>0.11436530642975451</v>
      </c>
      <c r="Q63" s="10">
        <f>NA!Q99/NA!P99-1</f>
        <v>0.14862605937909179</v>
      </c>
      <c r="R63" s="10">
        <f>NA!R99/NA!Q99-1</f>
        <v>0.15902007434543552</v>
      </c>
      <c r="S63" s="10">
        <f>NA!S99/NA!R99-1</f>
        <v>0.11336918000973029</v>
      </c>
      <c r="T63" s="10">
        <f>NA!T99/NA!S99-1</f>
        <v>2.6703618839147625E-2</v>
      </c>
      <c r="U63" s="10">
        <f>NA!U99/NA!T99-1</f>
        <v>3.1441436134656886E-2</v>
      </c>
      <c r="V63" s="10">
        <f>NA!V99/NA!U99-1</f>
        <v>0.16923499698068878</v>
      </c>
      <c r="W63" s="10"/>
      <c r="X63" s="10"/>
      <c r="Y63" s="10"/>
      <c r="Z63" s="10"/>
      <c r="AA63" s="10"/>
      <c r="AB63" s="10"/>
      <c r="AF63" s="10">
        <f>NA!AM99/NA!AL99-1</f>
        <v>8.7116865478176209E-2</v>
      </c>
      <c r="AG63" s="10">
        <f>NA!AN99/NA!AM99-1</f>
        <v>7.6442385513106892E-3</v>
      </c>
      <c r="AH63" s="10">
        <f>NA!AO99/NA!AN99-1</f>
        <v>1.244316910141102</v>
      </c>
      <c r="AI63" s="10">
        <f>NA!AP99/NA!AO99-1</f>
        <v>0.11855778535066674</v>
      </c>
      <c r="AJ63" s="10">
        <f>NA!AQ99/NA!AP99-1</f>
        <v>0.13777410012412106</v>
      </c>
      <c r="AK63" s="10">
        <f>NA!AR99/NA!AQ99-1</f>
        <v>0.12951074380165273</v>
      </c>
      <c r="AL63" s="10">
        <f>NA!AS99/NA!AR99-1</f>
        <v>0.10095645887782911</v>
      </c>
      <c r="AM63" s="10">
        <f>NA!AT99/NA!AS99-1</f>
        <v>0.19192441156810691</v>
      </c>
      <c r="AN63" s="10">
        <f>NA!AU99/NA!AT99-1</f>
        <v>0.13141401400862085</v>
      </c>
      <c r="AO63" s="361">
        <f>NA!AV99/NA!AU99-1</f>
        <v>9.7420257886203343E-2</v>
      </c>
      <c r="AP63" s="361">
        <f>NA!AW99/NA!AV99-1</f>
        <v>-3.7735358424919263E-2</v>
      </c>
      <c r="AQ63" s="10">
        <f>NA!AX99/NA!AW99-1</f>
        <v>0.10333100951266694</v>
      </c>
      <c r="AR63" s="10">
        <f>NA!AY99/NA!AX99-1</f>
        <v>0.22896683348289182</v>
      </c>
      <c r="AS63" s="10">
        <f>NA!AZ99/NA!AY99-1</f>
        <v>3.1793499650615287E-2</v>
      </c>
      <c r="AT63" s="10">
        <f>NA!BA99/NA!AZ99-1</f>
        <v>0.14599733326208564</v>
      </c>
      <c r="AU63" s="10">
        <f>NA!BB99/NA!BA99-1</f>
        <v>0.14073179194867502</v>
      </c>
      <c r="AV63" s="10">
        <f>NA!BC99/NA!BB99-1</f>
        <v>0.11890162138625016</v>
      </c>
      <c r="AW63" s="10">
        <f>NA!BD99/NA!BC99-1</f>
        <v>0.11918082075723802</v>
      </c>
      <c r="AX63" s="10">
        <f>NA!BE99/NA!BD99-1</f>
        <v>0.11514649802152355</v>
      </c>
      <c r="AY63" s="10">
        <f>NA!BF99/NA!BE99-1</f>
        <v>0.12075919531851076</v>
      </c>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row>
    <row r="64" spans="5:182" x14ac:dyDescent="0.2">
      <c r="E64" s="192" t="s">
        <v>110</v>
      </c>
      <c r="G64" s="10"/>
      <c r="H64" s="10"/>
      <c r="I64" s="10"/>
      <c r="J64" s="10"/>
      <c r="K64" s="10">
        <f>NA!K100/NA!J100-1</f>
        <v>4.9949090179964406E-2</v>
      </c>
      <c r="L64" s="10">
        <f>NA!L100/NA!K100-1</f>
        <v>0.61957763094414098</v>
      </c>
      <c r="M64" s="10">
        <f>NA!M100/NA!L100-1</f>
        <v>0.4161253758849135</v>
      </c>
      <c r="N64" s="10">
        <f>NA!N100/NA!M100-1</f>
        <v>6.8619114787678015E-2</v>
      </c>
      <c r="O64" s="10">
        <f>NA!O100/NA!N100-1</f>
        <v>6.5294260974608331E-2</v>
      </c>
      <c r="P64" s="10">
        <f>NA!P100/NA!O100-1</f>
        <v>7.3533737442465386E-2</v>
      </c>
      <c r="Q64" s="10">
        <f>NA!Q100/NA!P100-1</f>
        <v>7.0083581569479581E-2</v>
      </c>
      <c r="R64" s="10">
        <f>NA!R100/NA!Q100-1</f>
        <v>7.2700977472774264E-2</v>
      </c>
      <c r="S64" s="10">
        <f>NA!S100/NA!R100-1</f>
        <v>6.2397807868944888E-2</v>
      </c>
      <c r="T64" s="10">
        <f>NA!T100/NA!S100-1</f>
        <v>5.0038970328114774E-2</v>
      </c>
      <c r="U64" s="10">
        <f>NA!U100/NA!T100-1</f>
        <v>6.802667554206776E-2</v>
      </c>
      <c r="V64" s="10">
        <f>NA!V100/NA!U100-1</f>
        <v>8.0915635169760414E-2</v>
      </c>
      <c r="W64" s="10"/>
      <c r="X64" s="10"/>
      <c r="Y64" s="10"/>
      <c r="Z64" s="10"/>
      <c r="AA64" s="10"/>
      <c r="AB64" s="10"/>
      <c r="AF64" s="10">
        <f>NA!AM100/NA!AL100-1</f>
        <v>4.6160781426998421E-2</v>
      </c>
      <c r="AG64" s="10">
        <f>NA!AN100/NA!AM100-1</f>
        <v>5.3570243658685568E-2</v>
      </c>
      <c r="AH64" s="10">
        <f>NA!AO100/NA!AN100-1</f>
        <v>1.1568055857883359</v>
      </c>
      <c r="AI64" s="10">
        <f>NA!AP100/NA!AO100-1</f>
        <v>7.2709995850696929E-2</v>
      </c>
      <c r="AJ64" s="10">
        <f>NA!AQ100/NA!AP100-1</f>
        <v>6.4805520173250475E-2</v>
      </c>
      <c r="AK64" s="10">
        <f>NA!AR100/NA!AQ100-1</f>
        <v>6.5753256342399702E-2</v>
      </c>
      <c r="AL64" s="10">
        <f>NA!AS100/NA!AR100-1</f>
        <v>8.0834190013230112E-2</v>
      </c>
      <c r="AM64" s="10">
        <f>NA!AT100/NA!AS100-1</f>
        <v>6.0136997215390009E-2</v>
      </c>
      <c r="AN64" s="10">
        <f>NA!AU100/NA!AT100-1</f>
        <v>8.4552257345456017E-2</v>
      </c>
      <c r="AO64" s="10">
        <f>NA!AV100/NA!AU100-1</f>
        <v>4.197053078159052E-2</v>
      </c>
      <c r="AP64" s="10">
        <f>NA!AW100/NA!AV100-1</f>
        <v>5.7782413456465287E-2</v>
      </c>
      <c r="AQ64" s="10">
        <f>NA!AX100/NA!AW100-1</f>
        <v>7.7711334650860886E-2</v>
      </c>
      <c r="AR64" s="10">
        <f>NA!AY100/NA!AX100-1</f>
        <v>8.3888880802309496E-2</v>
      </c>
      <c r="AS64" s="10">
        <f>NA!AZ100/NA!AY100-1</f>
        <v>7.2182691349308215E-2</v>
      </c>
      <c r="AT64" s="10">
        <f>NA!BA100/NA!AZ100-1</f>
        <v>7.1158154566771437E-2</v>
      </c>
      <c r="AU64" s="10">
        <f>NA!BB100/NA!BA100-1</f>
        <v>7.2010632189288604E-2</v>
      </c>
      <c r="AV64" s="10">
        <f>NA!BC100/NA!BB100-1</f>
        <v>7.3645278368119182E-2</v>
      </c>
      <c r="AW64" s="10">
        <f>NA!BD100/NA!BC100-1</f>
        <v>7.5288842080128759E-2</v>
      </c>
      <c r="AX64" s="10">
        <f>NA!BE100/NA!BD100-1</f>
        <v>7.7364719707510909E-2</v>
      </c>
      <c r="AY64" s="10">
        <f>NA!BF100/NA!BE100-1</f>
        <v>7.9261902216319235E-2</v>
      </c>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row>
    <row r="65" spans="5:182" x14ac:dyDescent="0.2">
      <c r="E65" s="191" t="s">
        <v>111</v>
      </c>
      <c r="G65" s="10"/>
      <c r="H65" s="10"/>
      <c r="I65" s="10"/>
      <c r="J65" s="10"/>
      <c r="K65" s="10">
        <f>NA!K101/NA!J101-1</f>
        <v>5.1160461102951249E-2</v>
      </c>
      <c r="L65" s="10">
        <f>NA!L101/NA!K101-1</f>
        <v>0.20653860392400092</v>
      </c>
      <c r="M65" s="10">
        <f>NA!M101/NA!L101-1</f>
        <v>0.20183038798207886</v>
      </c>
      <c r="N65" s="10">
        <f>NA!N101/NA!M101-1</f>
        <v>9.0450550471708357E-2</v>
      </c>
      <c r="O65" s="10">
        <f>NA!O101/NA!N101-1</f>
        <v>7.6430407086522267E-2</v>
      </c>
      <c r="P65" s="10">
        <f>NA!P101/NA!O101-1</f>
        <v>9.1975441154927839E-2</v>
      </c>
      <c r="Q65" s="10">
        <f>NA!Q101/NA!P101-1</f>
        <v>0.108505094115394</v>
      </c>
      <c r="R65" s="10">
        <f>NA!R101/NA!Q101-1</f>
        <v>0.11251588585371386</v>
      </c>
      <c r="S65" s="10">
        <f>NA!S101/NA!R101-1</f>
        <v>9.5036949958031469E-2</v>
      </c>
      <c r="T65" s="10">
        <f>NA!T101/NA!S101-1</f>
        <v>4.541832386798661E-2</v>
      </c>
      <c r="U65" s="10">
        <f>NA!U101/NA!T101-1</f>
        <v>6.3852822228956718E-2</v>
      </c>
      <c r="V65" s="10">
        <f>NA!V101/NA!U101-1</f>
        <v>0.10663321076343424</v>
      </c>
      <c r="W65" s="10"/>
      <c r="X65" s="10"/>
      <c r="Y65" s="10"/>
      <c r="Z65" s="10"/>
      <c r="AA65" s="10"/>
      <c r="AB65" s="10"/>
      <c r="AF65" s="10">
        <f>NA!AM101/NA!AL101-1</f>
        <v>5.9632466244412985E-2</v>
      </c>
      <c r="AG65" s="10">
        <f>NA!AN101/NA!AM101-1</f>
        <v>4.3165231236610424E-2</v>
      </c>
      <c r="AH65" s="10">
        <f>NA!AO101/NA!AN101-1</f>
        <v>0.36315173461061456</v>
      </c>
      <c r="AI65" s="10">
        <f>NA!AP101/NA!AO101-1</f>
        <v>8.3486008165390979E-2</v>
      </c>
      <c r="AJ65" s="10">
        <f>NA!AQ101/NA!AP101-1</f>
        <v>9.6878452866230091E-2</v>
      </c>
      <c r="AK65" s="10">
        <f>NA!AR101/NA!AQ101-1</f>
        <v>5.7788372751472972E-2</v>
      </c>
      <c r="AL65" s="10">
        <f>NA!AS101/NA!AR101-1</f>
        <v>0.12429482495995958</v>
      </c>
      <c r="AM65" s="10">
        <f>NA!AT101/NA!AS101-1</f>
        <v>9.4460974642436302E-2</v>
      </c>
      <c r="AN65" s="10">
        <f>NA!AU101/NA!AT101-1</f>
        <v>0.12901250988105861</v>
      </c>
      <c r="AO65" s="361">
        <f>NA!AV101/NA!AU101-1</f>
        <v>6.4943784802043547E-2</v>
      </c>
      <c r="AP65" s="361">
        <f>NA!AW101/NA!AV101-1</f>
        <v>2.7083589948030173E-2</v>
      </c>
      <c r="AQ65" s="10">
        <f>NA!AX101/NA!AW101-1</f>
        <v>9.9652471489039884E-2</v>
      </c>
      <c r="AR65" s="10">
        <f>NA!AY101/NA!AX101-1</f>
        <v>0.11298134297373319</v>
      </c>
      <c r="AS65" s="10">
        <f>NA!AZ101/NA!AY101-1</f>
        <v>3.7820433816220245E-2</v>
      </c>
      <c r="AT65" s="10">
        <f>NA!BA101/NA!AZ101-1</f>
        <v>4.4801530083172336E-2</v>
      </c>
      <c r="AU65" s="10">
        <f>NA!BB101/NA!BA101-1</f>
        <v>0.10000000000000009</v>
      </c>
      <c r="AV65" s="10">
        <f>NA!BC101/NA!BB101-1</f>
        <v>0.10027271360234735</v>
      </c>
      <c r="AW65" s="10">
        <f>NA!BD101/NA!BC101-1</f>
        <v>0.10120420455102797</v>
      </c>
      <c r="AX65" s="10">
        <f>NA!BE101/NA!BD101-1</f>
        <v>0.10119238935545538</v>
      </c>
      <c r="AY65" s="10">
        <f>NA!BF101/NA!BE101-1</f>
        <v>0.10112675065573096</v>
      </c>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row>
    <row r="66" spans="5:182" x14ac:dyDescent="0.2">
      <c r="E66" s="191" t="s">
        <v>112</v>
      </c>
      <c r="G66" s="10"/>
      <c r="H66" s="10"/>
      <c r="I66" s="10"/>
      <c r="J66" s="10"/>
      <c r="K66" s="10">
        <f>NA!K102/NA!J102-1</f>
        <v>5.0398210290827805E-2</v>
      </c>
      <c r="L66" s="10">
        <f>NA!L102/NA!K102-1</f>
        <v>0.29957007612481834</v>
      </c>
      <c r="M66" s="10">
        <f>NA!M102/NA!L102-1</f>
        <v>0.25407044688320024</v>
      </c>
      <c r="N66" s="10">
        <f>NA!N102/NA!M102-1</f>
        <v>4.7975450650403317E-2</v>
      </c>
      <c r="O66" s="10">
        <f>NA!O102/NA!N102-1</f>
        <v>3.4199020990869355E-2</v>
      </c>
      <c r="P66" s="10">
        <f>NA!P102/NA!O102-1</f>
        <v>4.6364821357342434E-2</v>
      </c>
      <c r="Q66" s="10">
        <f>NA!Q102/NA!P102-1</f>
        <v>4.5190162162790593E-2</v>
      </c>
      <c r="R66" s="10">
        <f>NA!R102/NA!Q102-1</f>
        <v>3.9885058271134977E-2</v>
      </c>
      <c r="S66" s="10">
        <f>NA!S102/NA!R102-1</f>
        <v>3.8908239721177296E-2</v>
      </c>
      <c r="T66" s="10">
        <f>NA!T102/NA!S102-1</f>
        <v>2.1425667053564856E-2</v>
      </c>
      <c r="U66" s="10">
        <f>NA!U102/NA!T102-1</f>
        <v>2.362172027660292E-2</v>
      </c>
      <c r="V66" s="10">
        <f>NA!V102/NA!U102-1</f>
        <v>3.9218492529171867E-2</v>
      </c>
      <c r="W66" s="10"/>
      <c r="X66" s="10"/>
      <c r="Y66" s="10"/>
      <c r="Z66" s="10"/>
      <c r="AA66" s="10"/>
      <c r="AB66" s="10"/>
      <c r="AF66" s="10">
        <f>NA!AM102/NA!AL102-1</f>
        <v>5.9907834101382562E-2</v>
      </c>
      <c r="AG66" s="10">
        <f>NA!AN102/NA!AM102-1</f>
        <v>4.1426086956521724E-2</v>
      </c>
      <c r="AH66" s="10">
        <f>NA!AO102/NA!AN102-1</f>
        <v>0.54744555418462015</v>
      </c>
      <c r="AI66" s="10">
        <f>NA!AP102/NA!AO102-1</f>
        <v>6.4483739610643021E-2</v>
      </c>
      <c r="AJ66" s="10">
        <f>NA!AQ102/NA!AP102-1</f>
        <v>3.24671921905062E-2</v>
      </c>
      <c r="AK66" s="10">
        <f>NA!AR102/NA!AQ102-1</f>
        <v>3.5876390318885232E-2</v>
      </c>
      <c r="AL66" s="10">
        <f>NA!AS102/NA!AR102-1</f>
        <v>5.6489997620148058E-2</v>
      </c>
      <c r="AM66" s="10">
        <f>NA!AT102/NA!AS102-1</f>
        <v>3.4494523318304271E-2</v>
      </c>
      <c r="AN66" s="10">
        <f>NA!AU102/NA!AT102-1</f>
        <v>4.5095849465601301E-2</v>
      </c>
      <c r="AO66" s="361">
        <f>NA!AV102/NA!AU102-1</f>
        <v>3.2987625121484676E-2</v>
      </c>
      <c r="AP66" s="361">
        <f>NA!AW102/NA!AV102-1</f>
        <v>1.0232930774115356E-2</v>
      </c>
      <c r="AQ66" s="10">
        <f>NA!AX102/NA!AW102-1</f>
        <v>3.6874891000535204E-2</v>
      </c>
      <c r="AR66" s="10">
        <f>NA!AY102/NA!AX102-1</f>
        <v>4.147874740560642E-2</v>
      </c>
      <c r="AS66" s="10">
        <f>NA!AZ102/NA!AY102-1</f>
        <v>6.7059847187936672E-2</v>
      </c>
      <c r="AT66" s="10">
        <f>NA!BA102/NA!AZ102-1</f>
        <v>2.7823540056456819E-2</v>
      </c>
      <c r="AU66" s="10">
        <f>NA!BB102/NA!BA102-1</f>
        <v>2.2471289451485355E-2</v>
      </c>
      <c r="AV66" s="10">
        <f>NA!BC102/NA!BB102-1</f>
        <v>2.1915590642438865E-2</v>
      </c>
      <c r="AW66" s="10">
        <f>NA!BD102/NA!BC102-1</f>
        <v>2.3267769817132411E-2</v>
      </c>
      <c r="AX66" s="10">
        <f>NA!BE102/NA!BD102-1</f>
        <v>2.4939184241242529E-2</v>
      </c>
      <c r="AY66" s="10">
        <f>NA!BF102/NA!BE102-1</f>
        <v>2.5701775818439687E-2</v>
      </c>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row>
    <row r="67" spans="5:182" x14ac:dyDescent="0.2">
      <c r="E67" s="191" t="s">
        <v>113</v>
      </c>
      <c r="G67" s="10"/>
      <c r="H67" s="10"/>
      <c r="I67" s="10"/>
      <c r="J67" s="10"/>
      <c r="K67" s="10">
        <f>NA!K103/NA!J103-1</f>
        <v>4.0970652690122344E-2</v>
      </c>
      <c r="L67" s="10">
        <f>NA!L103/NA!K103-1</f>
        <v>0.71537805539736188</v>
      </c>
      <c r="M67" s="10">
        <f>NA!M103/NA!L103-1</f>
        <v>0.44638759555148178</v>
      </c>
      <c r="N67" s="10">
        <f>NA!N103/NA!M103-1</f>
        <v>5.4671595574351306E-2</v>
      </c>
      <c r="O67" s="10">
        <f>NA!O103/NA!N103-1</f>
        <v>6.8601882406766013E-2</v>
      </c>
      <c r="P67" s="10">
        <f>NA!P103/NA!O103-1</f>
        <v>7.6118445786063083E-2</v>
      </c>
      <c r="Q67" s="10">
        <f>NA!Q103/NA!P103-1</f>
        <v>7.9364255760624003E-2</v>
      </c>
      <c r="R67" s="10">
        <f>NA!R103/NA!Q103-1</f>
        <v>5.4135253544795869E-2</v>
      </c>
      <c r="S67" s="10">
        <f>NA!S103/NA!R103-1</f>
        <v>1.9165960378677127E-2</v>
      </c>
      <c r="T67" s="10">
        <f>NA!T103/NA!S103-1</f>
        <v>4.398785757456336E-2</v>
      </c>
      <c r="U67" s="10">
        <f>NA!U103/NA!T103-1</f>
        <v>8.8984869688697454E-2</v>
      </c>
      <c r="V67" s="10">
        <f>NA!V103/NA!U103-1</f>
        <v>7.4184643580746945E-2</v>
      </c>
      <c r="W67" s="10"/>
      <c r="X67" s="10"/>
      <c r="Y67" s="10"/>
      <c r="Z67" s="10"/>
      <c r="AA67" s="10"/>
      <c r="AB67" s="10"/>
      <c r="AF67" s="10">
        <f>NA!AM103/NA!AL103-1</f>
        <v>3.8460013203352572E-2</v>
      </c>
      <c r="AG67" s="10">
        <f>NA!AN103/NA!AM103-1</f>
        <v>4.3388309080208298E-2</v>
      </c>
      <c r="AH67" s="10">
        <f>NA!AO103/NA!AN103-1</f>
        <v>1.3594237481361864</v>
      </c>
      <c r="AI67" s="10">
        <f>NA!AP103/NA!AO103-1</f>
        <v>5.941338063737267E-2</v>
      </c>
      <c r="AJ67" s="10">
        <f>NA!AQ103/NA!AP103-1</f>
        <v>5.0195736434108573E-2</v>
      </c>
      <c r="AK67" s="10">
        <f>NA!AR103/NA!AQ103-1</f>
        <v>8.6128278043406503E-2</v>
      </c>
      <c r="AL67" s="10">
        <f>NA!AS103/NA!AR103-1</f>
        <v>6.6902377610971397E-2</v>
      </c>
      <c r="AM67" s="10">
        <f>NA!AT103/NA!AS103-1</f>
        <v>9.1044685396142189E-2</v>
      </c>
      <c r="AN67" s="10">
        <f>NA!AU103/NA!AT103-1</f>
        <v>2.0305812509624266E-2</v>
      </c>
      <c r="AO67" s="361">
        <f>NA!AV103/NA!AU103-1</f>
        <v>1.8048793234305416E-2</v>
      </c>
      <c r="AP67" s="361">
        <f>NA!AW103/NA!AV103-1</f>
        <v>6.9467053181534677E-2</v>
      </c>
      <c r="AQ67" s="10">
        <f>NA!AX103/NA!AW103-1</f>
        <v>0.1072349096961005</v>
      </c>
      <c r="AR67" s="10">
        <f>NA!AY103/NA!AX103-1</f>
        <v>4.4335272118620095E-2</v>
      </c>
      <c r="AS67" s="10">
        <f>NA!AZ103/NA!AY103-1</f>
        <v>4.1582743748312057E-2</v>
      </c>
      <c r="AT67" s="10">
        <f>NA!BA103/NA!AZ103-1</f>
        <v>0.12203681631176222</v>
      </c>
      <c r="AU67" s="10">
        <f>NA!BB103/NA!BA103-1</f>
        <v>0.125</v>
      </c>
      <c r="AV67" s="10">
        <f>NA!BC103/NA!BB103-1</f>
        <v>0.12559515760162476</v>
      </c>
      <c r="AW67" s="10">
        <f>NA!BD103/NA!BC103-1</f>
        <v>0.12705170728536919</v>
      </c>
      <c r="AX67" s="10">
        <f>NA!BE103/NA!BD103-1</f>
        <v>0.12834308915322357</v>
      </c>
      <c r="AY67" s="10">
        <f>NA!BF103/NA!BE103-1</f>
        <v>0.12870956564178448</v>
      </c>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row>
    <row r="68" spans="5:182" x14ac:dyDescent="0.2">
      <c r="E68" s="191" t="s">
        <v>114</v>
      </c>
      <c r="G68" s="10"/>
      <c r="H68" s="10"/>
      <c r="I68" s="10"/>
      <c r="J68" s="10"/>
      <c r="K68" s="10">
        <f>NA!K104/NA!J104-1</f>
        <v>6.0701868638593393E-2</v>
      </c>
      <c r="L68" s="10">
        <f>NA!L104/NA!K104-1</f>
        <v>0.90314699972304724</v>
      </c>
      <c r="M68" s="10">
        <f>NA!M104/NA!L104-1</f>
        <v>0.53650236094003168</v>
      </c>
      <c r="N68" s="10">
        <f>NA!N104/NA!M104-1</f>
        <v>0.13169736908634322</v>
      </c>
      <c r="O68" s="10">
        <f>NA!O104/NA!N104-1</f>
        <v>0.16608709249854803</v>
      </c>
      <c r="P68" s="10">
        <f>NA!P104/NA!O104-1</f>
        <v>0.18155027027717385</v>
      </c>
      <c r="Q68" s="10">
        <f>NA!Q104/NA!P104-1</f>
        <v>0.11037426516300153</v>
      </c>
      <c r="R68" s="10">
        <f>NA!R104/NA!Q104-1</f>
        <v>0.11260932054313977</v>
      </c>
      <c r="S68" s="10">
        <f>NA!S104/NA!R104-1</f>
        <v>0.14550404210665557</v>
      </c>
      <c r="T68" s="10">
        <f>NA!T104/NA!S104-1</f>
        <v>0.19670882027236836</v>
      </c>
      <c r="U68" s="10">
        <f>NA!U104/NA!T104-1</f>
        <v>0.25412812643452054</v>
      </c>
      <c r="V68" s="10">
        <f>NA!V104/NA!U104-1</f>
        <v>0.15648089751765037</v>
      </c>
      <c r="W68" s="10"/>
      <c r="X68" s="10"/>
      <c r="Y68" s="10"/>
      <c r="Z68" s="10"/>
      <c r="AA68" s="10"/>
      <c r="AB68" s="10"/>
      <c r="AF68" s="10">
        <f>NA!AM104/NA!AL104-1</f>
        <v>6.6082163241389713E-2</v>
      </c>
      <c r="AG68" s="10">
        <f>NA!AN104/NA!AM104-1</f>
        <v>5.565507694813121E-2</v>
      </c>
      <c r="AH68" s="10">
        <f>NA!AO104/NA!AN104-1</f>
        <v>1.705958392649789</v>
      </c>
      <c r="AI68" s="10">
        <f>NA!AP104/NA!AO104-1</f>
        <v>0.10432423326210505</v>
      </c>
      <c r="AJ68" s="10">
        <f>NA!AQ104/NA!AP104-1</f>
        <v>0.15648459642389745</v>
      </c>
      <c r="AK68" s="10">
        <f>NA!AR104/NA!AQ104-1</f>
        <v>0.17439026930206403</v>
      </c>
      <c r="AL68" s="10">
        <f>NA!AS104/NA!AR104-1</f>
        <v>0.18764705186866704</v>
      </c>
      <c r="AM68" s="10">
        <f>NA!AT104/NA!AS104-1</f>
        <v>4.5310501830214012E-2</v>
      </c>
      <c r="AN68" s="10">
        <f>NA!AU104/NA!AT104-1</f>
        <v>0.17699097421933785</v>
      </c>
      <c r="AO68" s="10">
        <f>NA!AV104/NA!AU104-1</f>
        <v>0.11875198299798928</v>
      </c>
      <c r="AP68" s="10">
        <f>NA!AW104/NA!AV104-1</f>
        <v>0.26639078594403909</v>
      </c>
      <c r="AQ68" s="10">
        <f>NA!AX104/NA!AW104-1</f>
        <v>0.24444497045642533</v>
      </c>
      <c r="AR68" s="10">
        <f>NA!AY104/NA!AX104-1</f>
        <v>8.5795511641156397E-2</v>
      </c>
      <c r="AS68" s="10">
        <f>NA!AZ104/NA!AY104-1</f>
        <v>0.22239672938566724</v>
      </c>
      <c r="AT68" s="10">
        <f>NA!BA104/NA!AZ104-1</f>
        <v>0.13335188801711051</v>
      </c>
      <c r="AU68" s="10">
        <f>NA!BB104/NA!BA104-1</f>
        <v>8.0215925416508016E-2</v>
      </c>
      <c r="AV68" s="10">
        <f>NA!BC104/NA!BB104-1</f>
        <v>8.0305714526718308E-2</v>
      </c>
      <c r="AW68" s="10">
        <f>NA!BD104/NA!BC104-1</f>
        <v>8.0834191752274132E-2</v>
      </c>
      <c r="AX68" s="10">
        <f>NA!BE104/NA!BD104-1</f>
        <v>8.0622982112453112E-2</v>
      </c>
      <c r="AY68" s="10">
        <f>NA!BF104/NA!BE104-1</f>
        <v>8.3900119944855467E-2</v>
      </c>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row>
    <row r="69" spans="5:182" x14ac:dyDescent="0.2">
      <c r="E69" s="191" t="s">
        <v>115</v>
      </c>
      <c r="G69" s="10"/>
      <c r="H69" s="10"/>
      <c r="I69" s="10"/>
      <c r="J69" s="10"/>
      <c r="K69" s="10">
        <f>NA!K105/NA!J105-1</f>
        <v>3.9417828987265091E-2</v>
      </c>
      <c r="L69" s="10">
        <f>NA!L105/NA!K105-1</f>
        <v>0.88890728509091788</v>
      </c>
      <c r="M69" s="10">
        <f>NA!M105/NA!L105-1</f>
        <v>0.5340920883142215</v>
      </c>
      <c r="N69" s="10">
        <f>NA!N105/NA!M105-1</f>
        <v>0.10418961741945121</v>
      </c>
      <c r="O69" s="10">
        <f>NA!O105/NA!N105-1</f>
        <v>9.4432349707930019E-2</v>
      </c>
      <c r="P69" s="10">
        <f>NA!P105/NA!O105-1</f>
        <v>9.9033785922824524E-2</v>
      </c>
      <c r="Q69" s="10">
        <f>NA!Q105/NA!P105-1</f>
        <v>0.15463836253111429</v>
      </c>
      <c r="R69" s="10">
        <f>NA!R105/NA!Q105-1</f>
        <v>0.20538584797275306</v>
      </c>
      <c r="S69" s="10">
        <f>NA!S105/NA!R105-1</f>
        <v>0.20109450133645668</v>
      </c>
      <c r="T69" s="10">
        <f>NA!T105/NA!S105-1</f>
        <v>0.18550865841560893</v>
      </c>
      <c r="U69" s="10">
        <f>NA!U105/NA!T105-1</f>
        <v>0.15255897945674257</v>
      </c>
      <c r="V69" s="10">
        <f>NA!V105/NA!U105-1</f>
        <v>0.13787759057150928</v>
      </c>
      <c r="W69" s="10"/>
      <c r="X69" s="10"/>
      <c r="Y69" s="10"/>
      <c r="Z69" s="10"/>
      <c r="AA69" s="10"/>
      <c r="AB69" s="10"/>
      <c r="AF69" s="10">
        <f>NA!AM105/NA!AL105-1</f>
        <v>4.0000000000000036E-2</v>
      </c>
      <c r="AG69" s="10">
        <f>NA!AN105/NA!AM105-1</f>
        <v>3.8858049167327602E-2</v>
      </c>
      <c r="AH69" s="10">
        <f>NA!AO105/NA!AN105-1</f>
        <v>1.7071607862356868</v>
      </c>
      <c r="AI69" s="10">
        <f>NA!AP105/NA!AO105-1</f>
        <v>0.10077142857142851</v>
      </c>
      <c r="AJ69" s="10">
        <f>NA!AQ105/NA!AP105-1</f>
        <v>0.10729488410724941</v>
      </c>
      <c r="AK69" s="10">
        <f>NA!AR105/NA!AQ105-1</f>
        <v>8.281617177382028E-2</v>
      </c>
      <c r="AL69" s="10">
        <f>NA!AS105/NA!AR105-1</f>
        <v>0.11401104113174654</v>
      </c>
      <c r="AM69" s="10">
        <f>NA!AT105/NA!AS105-1</f>
        <v>0.19110776893672221</v>
      </c>
      <c r="AN69" s="10">
        <f>NA!AU105/NA!AT105-1</f>
        <v>0.21737307482862112</v>
      </c>
      <c r="AO69" s="361">
        <f>NA!AV105/NA!AU105-1</f>
        <v>0.18772261573396243</v>
      </c>
      <c r="AP69" s="361">
        <f>NA!AW105/NA!AV105-1</f>
        <v>0.18364462274850535</v>
      </c>
      <c r="AQ69" s="10">
        <f>NA!AX105/NA!AW105-1</f>
        <v>0.12629633043665112</v>
      </c>
      <c r="AR69" s="10">
        <f>NA!AY105/NA!AX105-1</f>
        <v>0.14816019544368153</v>
      </c>
      <c r="AS69" s="10">
        <f>NA!AZ105/NA!AY105-1</f>
        <v>5.1365046162367145E-2</v>
      </c>
      <c r="AT69" s="10">
        <f>NA!BA105/NA!AZ105-1</f>
        <v>6.1649301727801031E-2</v>
      </c>
      <c r="AU69" s="10">
        <f>NA!BB105/NA!BA105-1</f>
        <v>0.10785105484342594</v>
      </c>
      <c r="AV69" s="10">
        <f>NA!BC105/NA!BB105-1</f>
        <v>0.10769684422333214</v>
      </c>
      <c r="AW69" s="10">
        <f>NA!BD105/NA!BC105-1</f>
        <v>0.10773416551985804</v>
      </c>
      <c r="AX69" s="10">
        <f>NA!BE105/NA!BD105-1</f>
        <v>0.10886884943940078</v>
      </c>
      <c r="AY69" s="10">
        <f>NA!BF105/NA!BE105-1</f>
        <v>0.11404480277166584</v>
      </c>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row>
    <row r="70" spans="5:182" x14ac:dyDescent="0.2">
      <c r="E70" s="177"/>
      <c r="G70" s="10"/>
      <c r="H70" s="10"/>
      <c r="I70" s="10"/>
      <c r="J70" s="10"/>
      <c r="K70" s="10"/>
      <c r="L70" s="10"/>
      <c r="M70" s="10"/>
      <c r="N70" s="10"/>
      <c r="O70" s="10"/>
      <c r="P70" s="10"/>
      <c r="Q70" s="10"/>
      <c r="R70" s="10"/>
      <c r="S70" s="10"/>
      <c r="T70" s="10"/>
      <c r="U70" s="10"/>
      <c r="V70" s="10"/>
      <c r="W70" s="10"/>
      <c r="X70" s="10"/>
      <c r="Y70" s="10"/>
      <c r="Z70" s="10"/>
      <c r="AA70" s="10"/>
      <c r="AB70" s="10"/>
      <c r="AF70" s="10"/>
      <c r="AG70" s="10"/>
      <c r="AH70" s="10"/>
      <c r="AI70" s="10"/>
      <c r="AJ70" s="10"/>
      <c r="AK70" s="10"/>
      <c r="AL70" s="10"/>
      <c r="AM70" s="10"/>
      <c r="AN70" s="10"/>
      <c r="AO70" s="10"/>
      <c r="AP70" s="10"/>
      <c r="AQ70" s="10"/>
      <c r="AR70" s="10"/>
    </row>
    <row r="71" spans="5:182" x14ac:dyDescent="0.2">
      <c r="E71" s="191" t="s">
        <v>116</v>
      </c>
      <c r="G71" s="10"/>
      <c r="H71" s="10"/>
      <c r="I71" s="10"/>
      <c r="J71" s="10"/>
      <c r="K71" s="10">
        <f>NA!K106/NA!J106-1</f>
        <v>4.4789140583854303E-2</v>
      </c>
      <c r="L71" s="10">
        <f>NA!L106/NA!K106-1</f>
        <v>0.61878292231700205</v>
      </c>
      <c r="M71" s="10">
        <f>NA!M106/NA!L106-1</f>
        <v>0.41616241727254599</v>
      </c>
      <c r="N71" s="10">
        <f>NA!N106/NA!M106-1</f>
        <v>6.820246315797851E-2</v>
      </c>
      <c r="O71" s="10">
        <f>NA!O106/NA!N106-1</f>
        <v>6.6483689015526037E-2</v>
      </c>
      <c r="P71" s="10">
        <f>NA!P106/NA!O106-1</f>
        <v>-8.9447747653266019E-2</v>
      </c>
      <c r="Q71" s="10">
        <f>NA!Q106/NA!P106-1</f>
        <v>-0.12155494308235049</v>
      </c>
      <c r="R71" s="10">
        <f>NA!R106/NA!Q106-1</f>
        <v>3.0679989577123035E-2</v>
      </c>
      <c r="S71" s="10">
        <f>NA!S106/NA!R106-1</f>
        <v>4.872100377231825E-2</v>
      </c>
      <c r="T71" s="10">
        <f>NA!T106/NA!S106-1</f>
        <v>5.5129986811691678E-2</v>
      </c>
      <c r="U71" s="10">
        <f>NA!U106/NA!T106-1</f>
        <v>6.4280358496403123E-2</v>
      </c>
      <c r="V71" s="10">
        <f>NA!V106/NA!U106-1</f>
        <v>5.3277170313456246E-2</v>
      </c>
      <c r="W71" s="10"/>
      <c r="X71" s="10"/>
      <c r="Y71" s="10"/>
      <c r="Z71" s="10"/>
      <c r="AA71" s="10"/>
      <c r="AB71" s="10"/>
      <c r="AF71" s="10">
        <f>NA!AM106/NA!AL106-1</f>
        <v>4.0049872647499374E-2</v>
      </c>
      <c r="AG71" s="10">
        <f>NA!AN106/NA!AM106-1</f>
        <v>4.9345910466716658E-2</v>
      </c>
      <c r="AH71" s="10">
        <f>NA!AO106/NA!AN106-1</f>
        <v>1.161441931296241</v>
      </c>
      <c r="AI71" s="10">
        <f>NA!AP106/NA!AO106-1</f>
        <v>7.1355784611013995E-2</v>
      </c>
      <c r="AJ71" s="10">
        <f>NA!AQ106/NA!AP106-1</f>
        <v>6.5259163183936097E-2</v>
      </c>
      <c r="AK71" s="10">
        <f>NA!AR106/NA!AQ106-1</f>
        <v>6.7633198800477912E-2</v>
      </c>
      <c r="AL71" s="10">
        <f>NA!AS106/NA!AR106-1</f>
        <v>-0.23657781688512369</v>
      </c>
      <c r="AM71" s="10">
        <f>NA!AT106/NA!AS106-1</f>
        <v>2.9112507178869818E-2</v>
      </c>
      <c r="AN71" s="10">
        <f>NA!AU106/NA!AT106-1</f>
        <v>3.2203129551925169E-2</v>
      </c>
      <c r="AO71" s="361">
        <f>NA!AV106/NA!AU106-1</f>
        <v>6.4723546050564407E-2</v>
      </c>
      <c r="AP71" s="361">
        <f>NA!AW106/NA!AV106-1</f>
        <v>4.6119611043767161E-2</v>
      </c>
      <c r="AQ71" s="10">
        <f>NA!AX106/NA!AW106-1</f>
        <v>8.1640464607516172E-2</v>
      </c>
      <c r="AR71" s="10">
        <f>NA!AY106/NA!AX106-1</f>
        <v>2.7054691382482288E-2</v>
      </c>
      <c r="AS71" s="10">
        <f>NA!AZ106/NA!AY106-1</f>
        <v>-1.5464774008939752E-3</v>
      </c>
      <c r="AT71" s="10">
        <f>NA!BA106/NA!AZ106-1</f>
        <v>2.9491709685924405E-2</v>
      </c>
      <c r="AU71" s="10">
        <f>NA!BB106/NA!BA106-1</f>
        <v>1.7242217919342995E-2</v>
      </c>
      <c r="AV71" s="10">
        <f>NA!BC106/NA!BB106-1</f>
        <v>1.7867573863158848E-2</v>
      </c>
      <c r="AW71" s="10">
        <f>NA!BD106/NA!BC106-1</f>
        <v>1.8739982141016576E-2</v>
      </c>
      <c r="AX71" s="10">
        <f>NA!BE106/NA!BD106-1</f>
        <v>1.6574717129280048E-2</v>
      </c>
      <c r="AY71" s="10">
        <f>NA!BF106/NA!BE106-1</f>
        <v>1.6707977465274748E-2</v>
      </c>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row>
    <row r="72" spans="5:182" x14ac:dyDescent="0.2">
      <c r="E72" s="191" t="s">
        <v>117</v>
      </c>
      <c r="G72" s="10"/>
      <c r="H72" s="10"/>
      <c r="I72" s="10"/>
      <c r="J72" s="10"/>
      <c r="K72" s="10">
        <f>NA!K107/NA!J107-1</f>
        <v>6.7670379980406592E-2</v>
      </c>
      <c r="L72" s="10">
        <f>NA!L107/NA!K107-1</f>
        <v>1.0516708155881629</v>
      </c>
      <c r="M72" s="10">
        <f>NA!M107/NA!L107-1</f>
        <v>0.54016372245736166</v>
      </c>
      <c r="N72" s="10">
        <f>NA!N107/NA!M107-1</f>
        <v>4.8301525594203643E-2</v>
      </c>
      <c r="O72" s="10">
        <f>NA!O107/NA!N107-1</f>
        <v>3.3959463484421581E-2</v>
      </c>
      <c r="P72" s="10">
        <f>NA!P107/NA!O107-1</f>
        <v>0.23519779314882472</v>
      </c>
      <c r="Q72" s="10">
        <f>NA!Q107/NA!P107-1</f>
        <v>0.18149684439274183</v>
      </c>
      <c r="R72" s="10">
        <f>NA!R107/NA!Q107-1</f>
        <v>4.1569208437007621E-2</v>
      </c>
      <c r="S72" s="10">
        <f>NA!S107/NA!R107-1</f>
        <v>7.9771770422314425E-3</v>
      </c>
      <c r="T72" s="10">
        <f>NA!T107/NA!S107-1</f>
        <v>-2.8163027609072855E-2</v>
      </c>
      <c r="U72" s="10">
        <f>NA!U107/NA!T107-1</f>
        <v>-8.1439315316261807E-3</v>
      </c>
      <c r="V72" s="10">
        <f>NA!V107/NA!U107-1</f>
        <v>5.6379476922662652E-2</v>
      </c>
      <c r="W72" s="10"/>
      <c r="X72" s="10"/>
      <c r="Y72" s="10"/>
      <c r="Z72" s="10"/>
      <c r="AA72" s="10"/>
      <c r="AB72" s="10"/>
      <c r="AF72" s="10">
        <f>NA!AM107/NA!AL107-1</f>
        <v>2.7396588808043409E-2</v>
      </c>
      <c r="AG72" s="10">
        <f>NA!AN107/NA!AM107-1</f>
        <v>0.10687022900763354</v>
      </c>
      <c r="AH72" s="10">
        <f>NA!AO107/NA!AN107-1</f>
        <v>1.9052492765678135</v>
      </c>
      <c r="AI72" s="10">
        <f>NA!AP107/NA!AO107-1</f>
        <v>7.0295072933721281E-2</v>
      </c>
      <c r="AJ72" s="10">
        <f>NA!AQ107/NA!AP107-1</f>
        <v>2.7752475247524666E-2</v>
      </c>
      <c r="AK72" s="10">
        <f>NA!AR107/NA!AQ107-1</f>
        <v>3.9998843964047293E-2</v>
      </c>
      <c r="AL72" s="10">
        <f>NA!AS107/NA!AR107-1</f>
        <v>0.42288929907469597</v>
      </c>
      <c r="AM72" s="10">
        <f>NA!AT107/NA!AS107-1</f>
        <v>1.1847346825410332E-2</v>
      </c>
      <c r="AN72" s="10">
        <f>NA!AU107/NA!AT107-1</f>
        <v>7.0943067749726696E-2</v>
      </c>
      <c r="AO72" s="361">
        <f>NA!AV107/NA!AU107-1</f>
        <v>-5.0817629706739864E-2</v>
      </c>
      <c r="AP72" s="361">
        <f>NA!AW107/NA!AV107-1</f>
        <v>-4.2955361693955973E-3</v>
      </c>
      <c r="AQ72" s="10">
        <f>NA!AX107/NA!AW107-1</f>
        <v>-1.200892913083873E-2</v>
      </c>
      <c r="AR72" s="10">
        <f>NA!AY107/NA!AX107-1</f>
        <v>0.12559913696811043</v>
      </c>
      <c r="AS72" s="10">
        <f>NA!AZ107/NA!AY107-1</f>
        <v>0.13312247899953888</v>
      </c>
      <c r="AT72" s="10">
        <f>NA!BA107/NA!AZ107-1</f>
        <v>9.1796537497565334E-2</v>
      </c>
      <c r="AU72" s="10">
        <f>NA!BB107/NA!BA107-1</f>
        <v>4.5804748638569093E-2</v>
      </c>
      <c r="AV72" s="10">
        <f>NA!BC107/NA!BB107-1</f>
        <v>4.6546741859885721E-2</v>
      </c>
      <c r="AW72" s="10">
        <f>NA!BD107/NA!BC107-1</f>
        <v>4.7874061075990682E-2</v>
      </c>
      <c r="AX72" s="10">
        <f>NA!BE107/NA!BD107-1</f>
        <v>5.168479603065701E-2</v>
      </c>
      <c r="AY72" s="10">
        <f>NA!BF107/NA!BE107-1</f>
        <v>5.0341044430614934E-2</v>
      </c>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row>
    <row r="73" spans="5:182" x14ac:dyDescent="0.2">
      <c r="E73" s="191" t="s">
        <v>118</v>
      </c>
      <c r="G73" s="10"/>
      <c r="H73" s="10"/>
      <c r="I73" s="10"/>
      <c r="J73" s="10"/>
      <c r="K73" s="10">
        <f>NA!K108/NA!J108-1</f>
        <v>3.7753990328934783E-2</v>
      </c>
      <c r="L73" s="10">
        <f>NA!L108/NA!K108-1</f>
        <v>1.0367304521936096</v>
      </c>
      <c r="M73" s="10">
        <f>NA!M108/NA!L108-1</f>
        <v>0.56406267674618338</v>
      </c>
      <c r="N73" s="10">
        <f>NA!N108/NA!M108-1</f>
        <v>8.6482326823824396E-2</v>
      </c>
      <c r="O73" s="10">
        <f>NA!O108/NA!N108-1</f>
        <v>8.2105270964823118E-2</v>
      </c>
      <c r="P73" s="10">
        <f>NA!P108/NA!O108-1</f>
        <v>7.9281854102197791E-2</v>
      </c>
      <c r="Q73" s="10">
        <f>NA!Q108/NA!P108-1</f>
        <v>7.8770972584003562E-2</v>
      </c>
      <c r="R73" s="10">
        <f>NA!R108/NA!Q108-1</f>
        <v>0.10575769322194706</v>
      </c>
      <c r="S73" s="10">
        <f>NA!S108/NA!R108-1</f>
        <v>0.1127584483722941</v>
      </c>
      <c r="T73" s="10">
        <f>NA!T108/NA!S108-1</f>
        <v>9.3410172710582717E-2</v>
      </c>
      <c r="U73" s="10">
        <f>NA!U108/NA!T108-1</f>
        <v>7.6970525449125748E-2</v>
      </c>
      <c r="V73" s="10">
        <f>NA!V108/NA!U108-1</f>
        <v>5.9783791539337106E-2</v>
      </c>
      <c r="W73" s="10"/>
      <c r="X73" s="10"/>
      <c r="Y73" s="10"/>
      <c r="Z73" s="10"/>
      <c r="AA73" s="10"/>
      <c r="AB73" s="10"/>
      <c r="AF73" s="10">
        <f>NA!AM108/NA!AL108-1</f>
        <v>3.5591734024706501E-2</v>
      </c>
      <c r="AG73" s="10">
        <f>NA!AN108/NA!AM108-1</f>
        <v>3.9841933128386353E-2</v>
      </c>
      <c r="AH73" s="10">
        <f>NA!AO108/NA!AN108-1</f>
        <v>1.9954228142779722</v>
      </c>
      <c r="AI73" s="10">
        <f>NA!AP108/NA!AO108-1</f>
        <v>8.6213562855125492E-2</v>
      </c>
      <c r="AJ73" s="10">
        <f>NA!AQ108/NA!AP108-1</f>
        <v>8.6729758800269341E-2</v>
      </c>
      <c r="AK73" s="10">
        <f>NA!AR108/NA!AQ108-1</f>
        <v>7.78498543831041E-2</v>
      </c>
      <c r="AL73" s="10">
        <f>NA!AS108/NA!AR108-1</f>
        <v>8.0610424786945911E-2</v>
      </c>
      <c r="AM73" s="10">
        <f>NA!AT108/NA!AS108-1</f>
        <v>7.7068738216511612E-2</v>
      </c>
      <c r="AN73" s="10">
        <f>NA!AU108/NA!AT108-1</f>
        <v>0.13239383443326935</v>
      </c>
      <c r="AO73" s="10">
        <f>NA!AV108/NA!AU108-1</f>
        <v>9.5418733633559016E-2</v>
      </c>
      <c r="AP73" s="10">
        <f>NA!AW108/NA!AV108-1</f>
        <v>9.1576571676288188E-2</v>
      </c>
      <c r="AQ73" s="10">
        <f>NA!AX108/NA!AW108-1</f>
        <v>6.3589836813849887E-2</v>
      </c>
      <c r="AR73" s="10">
        <f>NA!AY108/NA!AX108-1</f>
        <v>5.6205301840794419E-2</v>
      </c>
      <c r="AS73" s="10">
        <f>NA!AZ108/NA!AY108-1</f>
        <v>7.4090812390490424E-2</v>
      </c>
      <c r="AT73" s="10">
        <f>NA!BA108/NA!AZ108-1</f>
        <v>4.2808987768588658E-2</v>
      </c>
      <c r="AU73" s="10">
        <f>NA!BB108/NA!BA108-1</f>
        <v>4.7501294667885663E-2</v>
      </c>
      <c r="AV73" s="10">
        <f>NA!BC108/NA!BB108-1</f>
        <v>4.8963765158142492E-2</v>
      </c>
      <c r="AW73" s="10">
        <f>NA!BD108/NA!BC108-1</f>
        <v>4.2802807556207023E-2</v>
      </c>
      <c r="AX73" s="10">
        <f>NA!BE108/NA!BD108-1</f>
        <v>4.3586186438434593E-2</v>
      </c>
      <c r="AY73" s="10">
        <f>NA!BF108/NA!BE108-1</f>
        <v>4.5360637170855256E-2</v>
      </c>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row>
    <row r="74" spans="5:182" x14ac:dyDescent="0.2">
      <c r="E74" s="191" t="s">
        <v>119</v>
      </c>
      <c r="G74" s="10"/>
      <c r="H74" s="10"/>
      <c r="I74" s="10"/>
      <c r="J74" s="10"/>
      <c r="K74" s="10">
        <f>NA!K109/NA!J109-1</f>
        <v>4.1669233868101063E-2</v>
      </c>
      <c r="L74" s="10">
        <f>NA!L109/NA!K109-1</f>
        <v>1.0526862956930372</v>
      </c>
      <c r="M74" s="10">
        <f>NA!M109/NA!L109-1</f>
        <v>0.5166987960915248</v>
      </c>
      <c r="N74" s="10">
        <f>NA!N109/NA!M109-1</f>
        <v>2.0547945205479534E-2</v>
      </c>
      <c r="O74" s="10">
        <f>NA!O109/NA!N109-1</f>
        <v>2.4818542274745781E-2</v>
      </c>
      <c r="P74" s="10">
        <f>NA!P109/NA!O109-1</f>
        <v>2.8016891343186412E-2</v>
      </c>
      <c r="Q74" s="10">
        <f>NA!Q109/NA!P109-1</f>
        <v>6.3180442686903593E-2</v>
      </c>
      <c r="R74" s="10">
        <f>NA!R109/NA!Q109-1</f>
        <v>8.4096893983900189E-2</v>
      </c>
      <c r="S74" s="10">
        <f>NA!S109/NA!R109-1</f>
        <v>6.25808782180024E-2</v>
      </c>
      <c r="T74" s="10">
        <f>NA!T109/NA!S109-1</f>
        <v>6.507162551197232E-2</v>
      </c>
      <c r="U74" s="10">
        <f>NA!U109/NA!T109-1</f>
        <v>5.3222632120197177E-2</v>
      </c>
      <c r="V74" s="10">
        <f>NA!V109/NA!U109-1</f>
        <v>4.3577975289277315E-2</v>
      </c>
      <c r="W74" s="10"/>
      <c r="X74" s="10"/>
      <c r="Y74" s="10"/>
      <c r="Z74" s="10"/>
      <c r="AA74" s="10"/>
      <c r="AB74" s="10"/>
      <c r="AF74" s="10">
        <f>NA!AM109/NA!AL109-1</f>
        <v>3.1982819226287429E-2</v>
      </c>
      <c r="AG74" s="10">
        <f>NA!AN109/NA!AM109-1</f>
        <v>5.1055450829616156E-2</v>
      </c>
      <c r="AH74" s="10">
        <f>NA!AO109/NA!AN109-1</f>
        <v>2.0056625102902941</v>
      </c>
      <c r="AI74" s="10">
        <f>NA!AP109/NA!AO109-1</f>
        <v>2.1312601167410739E-2</v>
      </c>
      <c r="AJ74" s="10">
        <f>NA!AQ109/NA!AP109-1</f>
        <v>1.979924597171201E-2</v>
      </c>
      <c r="AK74" s="10">
        <f>NA!AR109/NA!AQ109-1</f>
        <v>2.9740389709778103E-2</v>
      </c>
      <c r="AL74" s="10">
        <f>NA!AS109/NA!AR109-1</f>
        <v>2.6343170098672486E-2</v>
      </c>
      <c r="AM74" s="10">
        <f>NA!AT109/NA!AS109-1</f>
        <v>9.907221228350882E-2</v>
      </c>
      <c r="AN74" s="10">
        <f>NA!AU109/NA!AT109-1</f>
        <v>7.0471475988393983E-2</v>
      </c>
      <c r="AO74" s="361">
        <f>NA!AV109/NA!AU109-1</f>
        <v>5.5209735737903998E-2</v>
      </c>
      <c r="AP74" s="361">
        <f>NA!AW109/NA!AV109-1</f>
        <v>7.4417530349717209E-2</v>
      </c>
      <c r="AQ74" s="10">
        <f>NA!AX109/NA!AW109-1</f>
        <v>3.3495759064969377E-2</v>
      </c>
      <c r="AR74" s="10">
        <f>NA!AY109/NA!AX109-1</f>
        <v>5.3333425310116978E-2</v>
      </c>
      <c r="AS74" s="10">
        <f>NA!AZ109/NA!AY109-1</f>
        <v>0.11373004964653588</v>
      </c>
      <c r="AT74" s="10">
        <f>NA!BA109/NA!AZ109-1</f>
        <v>8.8328698472726064E-2</v>
      </c>
      <c r="AU74" s="10">
        <f>NA!BB109/NA!BA109-1</f>
        <v>8.1493745189273881E-2</v>
      </c>
      <c r="AV74" s="10">
        <f>NA!BC109/NA!BB109-1</f>
        <v>8.0691925363737038E-2</v>
      </c>
      <c r="AW74" s="10">
        <f>NA!BD109/NA!BC109-1</f>
        <v>8.0712924245397888E-2</v>
      </c>
      <c r="AX74" s="10">
        <f>NA!BE109/NA!BD109-1</f>
        <v>8.0791056711678966E-2</v>
      </c>
      <c r="AY74" s="10">
        <f>NA!BF109/NA!BE109-1</f>
        <v>8.1570991385871761E-2</v>
      </c>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row>
    <row r="75" spans="5:182" x14ac:dyDescent="0.2">
      <c r="E75" s="191" t="s">
        <v>120</v>
      </c>
      <c r="G75" s="10"/>
      <c r="H75" s="10"/>
      <c r="I75" s="10"/>
      <c r="J75" s="10"/>
      <c r="K75" s="10">
        <f>NA!K110/NA!J110-1</f>
        <v>6.1489841371465959E-2</v>
      </c>
      <c r="L75" s="10">
        <f>NA!L110/NA!K110-1</f>
        <v>1.4281073556044861</v>
      </c>
      <c r="M75" s="10">
        <f>NA!M110/NA!L110-1</f>
        <v>0.63867110017633655</v>
      </c>
      <c r="N75" s="10">
        <f>NA!N110/NA!M110-1</f>
        <v>7.0486451164055053E-2</v>
      </c>
      <c r="O75" s="10">
        <f>NA!O110/NA!N110-1</f>
        <v>7.4041480380199642E-2</v>
      </c>
      <c r="P75" s="10">
        <f>NA!P110/NA!O110-1</f>
        <v>7.6217897711682969E-2</v>
      </c>
      <c r="Q75" s="10">
        <f>NA!Q110/NA!P110-1</f>
        <v>6.1144203194183566E-2</v>
      </c>
      <c r="R75" s="10">
        <f>NA!R110/NA!Q110-1</f>
        <v>5.1532310764148548E-2</v>
      </c>
      <c r="S75" s="10">
        <f>NA!S110/NA!R110-1</f>
        <v>5.3100327584514995E-2</v>
      </c>
      <c r="T75" s="10">
        <f>NA!T110/NA!S110-1</f>
        <v>4.9206760815329931E-2</v>
      </c>
      <c r="U75" s="10">
        <f>NA!U110/NA!T110-1</f>
        <v>5.1261733459179393E-2</v>
      </c>
      <c r="V75" s="10">
        <f>NA!V110/NA!U110-1</f>
        <v>5.7201850871395177E-2</v>
      </c>
      <c r="W75" s="10"/>
      <c r="X75" s="10"/>
      <c r="Y75" s="10"/>
      <c r="Z75" s="10"/>
      <c r="AA75" s="10"/>
      <c r="AB75" s="10"/>
      <c r="AF75" s="10">
        <f>NA!AM110/NA!AL110-1</f>
        <v>9.5048515981735138E-2</v>
      </c>
      <c r="AG75" s="10">
        <f>NA!AN110/NA!AM110-1</f>
        <v>3.0844007766382964E-2</v>
      </c>
      <c r="AH75" s="10">
        <f>NA!AO110/NA!AN110-1</f>
        <v>2.7835630184507703</v>
      </c>
      <c r="AI75" s="10">
        <f>NA!AP110/NA!AO110-1</f>
        <v>7.1773731792424078E-2</v>
      </c>
      <c r="AJ75" s="10">
        <f>NA!AQ110/NA!AP110-1</f>
        <v>6.9285376170160395E-2</v>
      </c>
      <c r="AK75" s="10">
        <f>NA!AR110/NA!AQ110-1</f>
        <v>7.8489408235599356E-2</v>
      </c>
      <c r="AL75" s="10">
        <f>NA!AS110/NA!AR110-1</f>
        <v>7.4111701297911559E-2</v>
      </c>
      <c r="AM75" s="10">
        <f>NA!AT110/NA!AS110-1</f>
        <v>4.9071438240540166E-2</v>
      </c>
      <c r="AN75" s="10">
        <f>NA!AU110/NA!AT110-1</f>
        <v>5.3878073344183708E-2</v>
      </c>
      <c r="AO75" s="10">
        <f>NA!AV110/NA!AU110-1</f>
        <v>5.2362343011782553E-2</v>
      </c>
      <c r="AP75" s="10">
        <f>NA!AW110/NA!AV110-1</f>
        <v>4.6208190772029534E-2</v>
      </c>
      <c r="AQ75" s="10">
        <f>NA!AX110/NA!AW110-1</f>
        <v>5.6092074811621817E-2</v>
      </c>
      <c r="AR75" s="10">
        <f>NA!AY110/NA!AX110-1</f>
        <v>5.8252683546160977E-2</v>
      </c>
      <c r="AS75" s="10">
        <f>NA!AZ110/NA!AY110-1</f>
        <v>6.6491868750604421E-2</v>
      </c>
      <c r="AT75" s="10">
        <f>NA!BA110/NA!AZ110-1</f>
        <v>5.6436038428614888E-2</v>
      </c>
      <c r="AU75" s="10">
        <f>NA!BB110/NA!BA110-1</f>
        <v>5.7602385164287284E-2</v>
      </c>
      <c r="AV75" s="10">
        <f>NA!BC110/NA!BB110-1</f>
        <v>5.8689922976355335E-2</v>
      </c>
      <c r="AW75" s="10">
        <f>NA!BD110/NA!BC110-1</f>
        <v>5.9316538959992116E-2</v>
      </c>
      <c r="AX75" s="10">
        <f>NA!BE110/NA!BD110-1</f>
        <v>6.0483843900474232E-2</v>
      </c>
      <c r="AY75" s="10">
        <f>NA!BF110/NA!BE110-1</f>
        <v>5.9911142965694886E-2</v>
      </c>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row>
    <row r="76" spans="5:182" x14ac:dyDescent="0.2">
      <c r="E76" s="177"/>
      <c r="G76" s="10"/>
      <c r="H76" s="10"/>
      <c r="I76" s="10"/>
      <c r="J76" s="10"/>
      <c r="K76" s="10"/>
      <c r="L76" s="10"/>
      <c r="M76" s="10"/>
      <c r="N76" s="10"/>
      <c r="O76" s="10"/>
      <c r="P76" s="10"/>
      <c r="Q76" s="10"/>
      <c r="R76" s="10"/>
      <c r="S76" s="10"/>
      <c r="T76" s="10"/>
      <c r="U76" s="10"/>
      <c r="V76" s="10"/>
      <c r="W76" s="10"/>
      <c r="X76" s="10"/>
      <c r="Y76" s="10"/>
      <c r="Z76" s="10"/>
      <c r="AA76" s="10"/>
      <c r="AB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row>
    <row r="77" spans="5:182" x14ac:dyDescent="0.2">
      <c r="E77" s="177" t="s">
        <v>121</v>
      </c>
      <c r="G77" s="10"/>
      <c r="H77" s="10"/>
      <c r="I77" s="10"/>
      <c r="J77" s="10"/>
      <c r="K77" s="10">
        <f>NA!K111/NA!J111-1</f>
        <v>4.864744563247525E-2</v>
      </c>
      <c r="L77" s="10">
        <f>NA!L111/NA!K111-1</f>
        <v>0.59952436522477681</v>
      </c>
      <c r="M77" s="10">
        <f>NA!M111/NA!L111-1</f>
        <v>0.46646789495189345</v>
      </c>
      <c r="N77" s="10">
        <f>NA!N111/NA!M111-1</f>
        <v>6.3126156878348993E-2</v>
      </c>
      <c r="O77" s="10">
        <f>NA!O111/NA!N111-1</f>
        <v>2.6562632259930163E-2</v>
      </c>
      <c r="P77" s="10">
        <f>NA!P111/NA!O111-1</f>
        <v>7.3296942779328189E-2</v>
      </c>
      <c r="Q77" s="10">
        <f>NA!Q111/NA!P111-1</f>
        <v>6.1559997474980754E-2</v>
      </c>
      <c r="R77" s="10">
        <f>NA!R111/NA!Q111-1</f>
        <v>6.0798189650763002E-2</v>
      </c>
      <c r="S77" s="10">
        <f>NA!S111/NA!R111-1</f>
        <v>6.3777997201249326E-2</v>
      </c>
      <c r="T77" s="10">
        <f>NA!T111/NA!S111-1</f>
        <v>5.3335599358195873E-2</v>
      </c>
      <c r="U77" s="10">
        <f>NA!U111/NA!T111-1</f>
        <v>5.8338947738848734E-2</v>
      </c>
      <c r="V77" s="10">
        <f>NA!V111/NA!U111-1</f>
        <v>7.2170984403329363E-2</v>
      </c>
      <c r="W77" s="10"/>
      <c r="X77" s="10"/>
      <c r="Y77" s="10"/>
      <c r="Z77" s="10"/>
      <c r="AA77" s="10"/>
      <c r="AB77" s="10"/>
      <c r="AF77" s="10">
        <f>NA!AM111/NA!AL111-1</f>
        <v>4.8269762879983302E-2</v>
      </c>
      <c r="AG77" s="10">
        <f>NA!AN111/NA!AM111-1</f>
        <v>4.9007737196599566E-2</v>
      </c>
      <c r="AH77" s="10">
        <f>NA!AO111/NA!AN111-1</f>
        <v>1.1243218557555852</v>
      </c>
      <c r="AI77" s="10">
        <f>NA!AP111/NA!AO111-1</f>
        <v>0.15679073420465639</v>
      </c>
      <c r="AJ77" s="10">
        <f>NA!AQ111/NA!AP111-1</f>
        <v>-1.7843178850905583E-2</v>
      </c>
      <c r="AK77" s="10">
        <f>NA!AR111/NA!AQ111-1</f>
        <v>7.1775178927256267E-2</v>
      </c>
      <c r="AL77" s="10">
        <f>NA!AS111/NA!AR111-1</f>
        <v>7.4716796384815876E-2</v>
      </c>
      <c r="AM77" s="10">
        <f>NA!AT111/NA!AS111-1</f>
        <v>4.9317889643324175E-2</v>
      </c>
      <c r="AN77" s="10">
        <f>NA!AU111/NA!AT111-1</f>
        <v>7.1738916117688456E-2</v>
      </c>
      <c r="AO77" s="10">
        <f>NA!AV111/NA!AU111-1</f>
        <v>5.6349957781651305E-2</v>
      </c>
      <c r="AP77" s="10">
        <f>NA!AW111/NA!AV111-1</f>
        <v>5.0482038943628904E-2</v>
      </c>
      <c r="AQ77" s="10">
        <f>NA!AX111/NA!AW111-1</f>
        <v>6.5818284370934954E-2</v>
      </c>
      <c r="AR77" s="10">
        <f>NA!AY111/NA!AX111-1</f>
        <v>7.8131381335479588E-2</v>
      </c>
      <c r="AS77" s="10">
        <f>NA!AZ111/NA!AY111-1</f>
        <v>5.4409883692654315E-2</v>
      </c>
      <c r="AT77" s="10">
        <f>NA!BA111/NA!AZ111-1</f>
        <v>6.6281104409049663E-2</v>
      </c>
      <c r="AU77" s="10">
        <f>NA!BB111/NA!BA111-1</f>
        <v>6.9515596329675855E-2</v>
      </c>
      <c r="AV77" s="10">
        <f>NA!BC111/NA!BB111-1</f>
        <v>6.8693235017005971E-2</v>
      </c>
      <c r="AW77" s="10">
        <f>NA!BD111/NA!BC111-1</f>
        <v>6.8580985200731082E-2</v>
      </c>
      <c r="AX77" s="10">
        <f>NA!BE111/NA!BD111-1</f>
        <v>7.1346581507030882E-2</v>
      </c>
      <c r="AY77" s="10">
        <f>NA!BF111/NA!BE111-1</f>
        <v>7.4330576165177575E-2</v>
      </c>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row>
    <row r="78" spans="5:182" x14ac:dyDescent="0.2">
      <c r="E78" s="177" t="s">
        <v>122</v>
      </c>
      <c r="G78" s="10"/>
      <c r="H78" s="10"/>
      <c r="I78" s="10"/>
      <c r="J78" s="10"/>
      <c r="K78" s="10">
        <f>NA!K112/NA!J112-1</f>
        <v>2.3854968133936616E-2</v>
      </c>
      <c r="L78" s="10">
        <f>NA!L112/NA!K112-1</f>
        <v>0.67198468957284585</v>
      </c>
      <c r="M78" s="10">
        <f>NA!M112/NA!L112-1</f>
        <v>0.44783472967541593</v>
      </c>
      <c r="N78" s="10">
        <f>NA!N112/NA!M112-1</f>
        <v>7.0180343227923325E-2</v>
      </c>
      <c r="O78" s="10">
        <f>NA!O112/NA!N112-1</f>
        <v>7.370691984579314E-2</v>
      </c>
      <c r="P78" s="10">
        <f>NA!P112/NA!O112-1</f>
        <v>7.5881949006900262E-2</v>
      </c>
      <c r="Q78" s="10">
        <f>NA!Q112/NA!P112-1</f>
        <v>0.15669846870109527</v>
      </c>
      <c r="R78" s="10">
        <f>NA!R112/NA!Q112-1</f>
        <v>0.16917902013761288</v>
      </c>
      <c r="S78" s="10">
        <f>NA!S112/NA!R112-1</f>
        <v>9.1119924825453058E-2</v>
      </c>
      <c r="T78" s="10">
        <f>NA!T112/NA!S112-1</f>
        <v>0.13609983499519562</v>
      </c>
      <c r="U78" s="10">
        <f>NA!U112/NA!T112-1</f>
        <v>0.13405405926944436</v>
      </c>
      <c r="V78" s="10">
        <f>NA!V112/NA!U112-1</f>
        <v>0.15543316053919476</v>
      </c>
      <c r="W78" s="10"/>
      <c r="X78" s="10"/>
      <c r="Y78" s="10"/>
      <c r="Z78" s="10"/>
      <c r="AA78" s="10"/>
      <c r="AB78" s="10"/>
      <c r="AF78" s="10">
        <f>NA!AM112/NA!AL112-1</f>
        <v>3.413624944584015E-2</v>
      </c>
      <c r="AG78" s="10">
        <f>NA!AN112/NA!AM112-1</f>
        <v>1.3913066070825542E-2</v>
      </c>
      <c r="AH78" s="10">
        <f>NA!AO112/NA!AN112-1</f>
        <v>1.3210261562660581</v>
      </c>
      <c r="AI78" s="10">
        <f>NA!AP112/NA!AO112-1</f>
        <v>7.1625515387462757E-2</v>
      </c>
      <c r="AJ78" s="10">
        <f>NA!AQ112/NA!AP112-1</f>
        <v>6.8831763767292609E-2</v>
      </c>
      <c r="AK78" s="10">
        <f>NA!AR112/NA!AQ112-1</f>
        <v>7.8268120442336997E-2</v>
      </c>
      <c r="AL78" s="10">
        <f>NA!AS112/NA!AR112-1</f>
        <v>7.3668982315037379E-2</v>
      </c>
      <c r="AM78" s="10">
        <f>NA!AT112/NA!AS112-1</f>
        <v>0.23403094989751638</v>
      </c>
      <c r="AN78" s="10">
        <f>NA!AU112/NA!AT112-1</f>
        <v>0.116626100159966</v>
      </c>
      <c r="AO78" s="10">
        <f>NA!AV112/NA!AU112-1</f>
        <v>6.8277743963964355E-2</v>
      </c>
      <c r="AP78" s="10">
        <f>NA!AW112/NA!AV112-1</f>
        <v>0.19958715504322888</v>
      </c>
      <c r="AQ78" s="10">
        <f>NA!AX112/NA!AW112-1</f>
        <v>7.9424351458491138E-2</v>
      </c>
      <c r="AR78" s="10">
        <f>NA!AY112/NA!AX112-1</f>
        <v>0.22584921978225547</v>
      </c>
      <c r="AS78" s="10">
        <f>NA!AZ112/NA!AY112-1</f>
        <v>1.2306782782577574E-2</v>
      </c>
      <c r="AT78" s="10">
        <f>NA!BA112/NA!AZ112-1</f>
        <v>6.9810275892634444E-4</v>
      </c>
      <c r="AU78" s="10">
        <f>NA!BB112/NA!BA112-1</f>
        <v>9.6694546448068186E-2</v>
      </c>
      <c r="AV78" s="10">
        <f>NA!BC112/NA!BB112-1</f>
        <v>9.6763392796274328E-2</v>
      </c>
      <c r="AW78" s="10">
        <f>NA!BD112/NA!BC112-1</f>
        <v>4.8235191211531747E-2</v>
      </c>
      <c r="AX78" s="10">
        <f>NA!BE112/NA!BD112-1</f>
        <v>0.11236757553732324</v>
      </c>
      <c r="AY78" s="10">
        <f>NA!BF112/NA!BE112-1</f>
        <v>0.15208935388413813</v>
      </c>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row>
    <row r="79" spans="5:182" x14ac:dyDescent="0.2">
      <c r="E79" s="177" t="s">
        <v>123</v>
      </c>
      <c r="G79" s="10"/>
      <c r="H79" s="10"/>
      <c r="I79" s="10"/>
      <c r="J79" s="10"/>
      <c r="K79" s="10">
        <f>NA!K113/NA!J113-1</f>
        <v>4.8899222714038126E-2</v>
      </c>
      <c r="L79" s="10">
        <f>NA!L113/NA!K113-1</f>
        <v>0.59880607291044119</v>
      </c>
      <c r="M79" s="10">
        <f>NA!M113/NA!L113-1</f>
        <v>0.46666105801741131</v>
      </c>
      <c r="N79" s="10">
        <f>NA!N113/NA!M113-1</f>
        <v>6.3053967448782222E-2</v>
      </c>
      <c r="O79" s="10">
        <f>NA!O113/NA!N113-1</f>
        <v>2.6076944211964159E-2</v>
      </c>
      <c r="P79" s="10">
        <f>NA!P113/NA!O113-1</f>
        <v>7.3269075423979535E-2</v>
      </c>
      <c r="Q79" s="10">
        <f>NA!Q113/NA!P113-1</f>
        <v>6.0531871490868472E-2</v>
      </c>
      <c r="R79" s="10">
        <f>NA!R113/NA!Q113-1</f>
        <v>5.9520753867367882E-2</v>
      </c>
      <c r="S79" s="10">
        <f>NA!S113/NA!R113-1</f>
        <v>6.3422376300312999E-2</v>
      </c>
      <c r="T79" s="10">
        <f>NA!T113/NA!S113-1</f>
        <v>5.2231094707009262E-2</v>
      </c>
      <c r="U79" s="10">
        <f>NA!U113/NA!T113-1</f>
        <v>5.724797782969393E-2</v>
      </c>
      <c r="V79" s="10">
        <f>NA!V113/NA!U113-1</f>
        <v>7.0884113867368814E-2</v>
      </c>
      <c r="W79" s="10"/>
      <c r="X79" s="10"/>
      <c r="Y79" s="10"/>
      <c r="Z79" s="10"/>
      <c r="AA79" s="10"/>
      <c r="AB79" s="10"/>
      <c r="AF79" s="10">
        <f>NA!AM113/NA!AL113-1</f>
        <v>4.8414301586392261E-2</v>
      </c>
      <c r="AG79" s="10">
        <f>NA!AN113/NA!AM113-1</f>
        <v>4.9361750864323595E-2</v>
      </c>
      <c r="AH79" s="10">
        <f>NA!AO113/NA!AN113-1</f>
        <v>1.1224046523265088</v>
      </c>
      <c r="AI79" s="10">
        <f>NA!AP113/NA!AO113-1</f>
        <v>0.15769848879655468</v>
      </c>
      <c r="AJ79" s="10">
        <f>NA!AQ113/NA!AP113-1</f>
        <v>-1.8698338755018029E-2</v>
      </c>
      <c r="AK79" s="10">
        <f>NA!AR113/NA!AQ113-1</f>
        <v>7.1705403568872006E-2</v>
      </c>
      <c r="AL79" s="10">
        <f>NA!AS113/NA!AR113-1</f>
        <v>7.472812550425334E-2</v>
      </c>
      <c r="AM79" s="10">
        <f>NA!AT113/NA!AS113-1</f>
        <v>4.7322713121886961E-2</v>
      </c>
      <c r="AN79" s="10">
        <f>NA!AU113/NA!AT113-1</f>
        <v>7.1167632706766071E-2</v>
      </c>
      <c r="AO79" s="10">
        <f>NA!AV113/NA!AU113-1</f>
        <v>5.6191709344030061E-2</v>
      </c>
      <c r="AP79" s="10">
        <f>NA!AW113/NA!AV113-1</f>
        <v>4.8481193432475811E-2</v>
      </c>
      <c r="AQ79" s="10">
        <f>NA!AX113/NA!AW113-1</f>
        <v>6.5609390940517542E-2</v>
      </c>
      <c r="AR79" s="10">
        <f>NA!AY113/NA!AX113-1</f>
        <v>7.5834072990941692E-2</v>
      </c>
      <c r="AS79" s="10">
        <f>NA!AZ113/NA!AY113-1</f>
        <v>5.5155975359282516E-2</v>
      </c>
      <c r="AT79" s="10">
        <f>NA!BA113/NA!AZ113-1</f>
        <v>6.7396078768460876E-2</v>
      </c>
      <c r="AU79" s="10">
        <f>NA!BB113/NA!BA113-1</f>
        <v>6.9082401025461815E-2</v>
      </c>
      <c r="AV79" s="10">
        <f>NA!BC113/NA!BB113-1</f>
        <v>6.823427968370277E-2</v>
      </c>
      <c r="AW79" s="10">
        <f>NA!BD113/NA!BC113-1</f>
        <v>6.8922529189370252E-2</v>
      </c>
      <c r="AX79" s="10">
        <f>NA!BE113/NA!BD113-1</f>
        <v>7.0671290932004194E-2</v>
      </c>
      <c r="AY79" s="10">
        <f>NA!BF113/NA!BE113-1</f>
        <v>7.3000654389408393E-2</v>
      </c>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row>
    <row r="80" spans="5:182" x14ac:dyDescent="0.2">
      <c r="E80" s="177" t="s">
        <v>124</v>
      </c>
      <c r="G80" s="10"/>
      <c r="H80" s="10"/>
      <c r="I80" s="10"/>
      <c r="J80" s="10"/>
      <c r="K80" s="10">
        <f>NA!K114/NA!J114-1</f>
        <v>4.8647060846706003E-2</v>
      </c>
      <c r="L80" s="10">
        <f>NA!L114/NA!K114-1</f>
        <v>0.38055797754304543</v>
      </c>
      <c r="M80" s="10">
        <f>NA!M114/NA!L114-1</f>
        <v>0.30340086065281757</v>
      </c>
      <c r="N80" s="10">
        <f>NA!N114/NA!M114-1</f>
        <v>7.020095158979589E-2</v>
      </c>
      <c r="O80" s="10">
        <f>NA!O114/NA!N114-1</f>
        <v>7.3729409294083448E-2</v>
      </c>
      <c r="P80" s="10">
        <f>NA!P114/NA!O114-1</f>
        <v>9.4733988191424423E-2</v>
      </c>
      <c r="Q80" s="10">
        <f>NA!Q114/NA!P114-1</f>
        <v>7.0401790846642109E-2</v>
      </c>
      <c r="R80" s="10">
        <f>NA!R114/NA!Q114-1</f>
        <v>0.17494808885383062</v>
      </c>
      <c r="S80" s="10">
        <f>NA!S114/NA!R114-1</f>
        <v>0.1618576219625536</v>
      </c>
      <c r="T80" s="10">
        <f>NA!T114/NA!S114-1</f>
        <v>8.8934520396658501E-2</v>
      </c>
      <c r="U80" s="10">
        <f>NA!U114/NA!T114-1</f>
        <v>7.9905739674723808E-2</v>
      </c>
      <c r="V80" s="10">
        <f>NA!V114/NA!U114-1</f>
        <v>8.0282115539785259E-2</v>
      </c>
      <c r="W80" s="10"/>
      <c r="X80" s="10"/>
      <c r="Y80" s="10"/>
      <c r="Z80" s="10"/>
      <c r="AA80" s="10"/>
      <c r="AB80" s="10"/>
      <c r="AF80" s="10">
        <f>NA!AM114/NA!AL114-1</f>
        <v>4.8268403625985057E-2</v>
      </c>
      <c r="AG80" s="10">
        <f>NA!AN114/NA!AM114-1</f>
        <v>4.9008282476024512E-2</v>
      </c>
      <c r="AH80" s="10">
        <f>NA!AO114/NA!AN114-1</f>
        <v>0.69661810843586203</v>
      </c>
      <c r="AI80" s="10">
        <f>NA!AP114/NA!AO114-1</f>
        <v>7.1635535369594328E-2</v>
      </c>
      <c r="AJ80" s="10">
        <f>NA!AQ114/NA!AP114-1</f>
        <v>6.8862265317784832E-2</v>
      </c>
      <c r="AK80" s="10">
        <f>NA!AR114/NA!AQ114-1</f>
        <v>7.8282983813669826E-2</v>
      </c>
      <c r="AL80" s="10">
        <f>NA!AS114/NA!AR114-1</f>
        <v>0.10999065515613071</v>
      </c>
      <c r="AM80" s="10">
        <f>NA!AT114/NA!AS114-1</f>
        <v>3.4735847060908265E-2</v>
      </c>
      <c r="AN80" s="10">
        <f>NA!AU114/NA!AT114-1</f>
        <v>0.31045343757755095</v>
      </c>
      <c r="AO80" s="10">
        <f>NA!AV114/NA!AU114-1</f>
        <v>4.8464950880942492E-2</v>
      </c>
      <c r="AP80" s="10">
        <f>NA!AW114/NA!AV114-1</f>
        <v>0.12753339724200519</v>
      </c>
      <c r="AQ80" s="10">
        <f>NA!AX114/NA!AW114-1</f>
        <v>3.7665165973066461E-2</v>
      </c>
      <c r="AR80" s="10">
        <f>NA!AY114/NA!AX114-1</f>
        <v>0.12135215524450493</v>
      </c>
      <c r="AS80" s="10">
        <f>NA!AZ114/NA!AY114-1</f>
        <v>4.0596144342528451E-3</v>
      </c>
      <c r="AT80" s="10">
        <f>NA!BA114/NA!AZ114-1</f>
        <v>0.14216661538001052</v>
      </c>
      <c r="AU80" s="10">
        <f>NA!BB114/NA!BA114-1</f>
        <v>7.6714288981522216E-2</v>
      </c>
      <c r="AV80" s="10">
        <f>NA!BC114/NA!BB114-1</f>
        <v>9.7062021379934915E-2</v>
      </c>
      <c r="AW80" s="10">
        <f>NA!BD114/NA!BC114-1</f>
        <v>0.10554867763475162</v>
      </c>
      <c r="AX80" s="10">
        <f>NA!BE114/NA!BD114-1</f>
        <v>0.10937672461504966</v>
      </c>
      <c r="AY80" s="10">
        <f>NA!BF114/NA!BE114-1</f>
        <v>0.10822325721203185</v>
      </c>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row>
    <row r="81" spans="5:182" x14ac:dyDescent="0.2">
      <c r="E81" s="177"/>
      <c r="G81" s="10"/>
      <c r="H81" s="10"/>
      <c r="I81" s="10"/>
      <c r="J81" s="10"/>
      <c r="K81" s="10"/>
      <c r="L81" s="10"/>
      <c r="M81" s="10"/>
      <c r="N81" s="10"/>
      <c r="O81" s="10"/>
      <c r="P81" s="10"/>
      <c r="Q81" s="10"/>
      <c r="R81" s="10"/>
      <c r="S81" s="10"/>
      <c r="T81" s="10"/>
      <c r="U81" s="10"/>
      <c r="V81" s="10"/>
      <c r="W81" s="10"/>
      <c r="X81" s="10"/>
      <c r="Y81" s="10"/>
      <c r="Z81" s="10"/>
      <c r="AA81" s="10"/>
      <c r="AB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row>
    <row r="82" spans="5:182" x14ac:dyDescent="0.2">
      <c r="E82" s="15" t="s">
        <v>125</v>
      </c>
      <c r="G82" s="10"/>
      <c r="H82" s="10"/>
      <c r="I82" s="10"/>
      <c r="J82" s="10"/>
      <c r="K82" s="10">
        <f>NA!K116/NA!J116-1</f>
        <v>4.8882253193296421E-2</v>
      </c>
      <c r="L82" s="10">
        <f>NA!L116/NA!K116-1</f>
        <v>0.58412211151457449</v>
      </c>
      <c r="M82" s="10">
        <f>NA!M116/NA!L116-1</f>
        <v>0.45708825587271829</v>
      </c>
      <c r="N82" s="10">
        <f>NA!N116/NA!M116-1</f>
        <v>6.3428831444153566E-2</v>
      </c>
      <c r="O82" s="10">
        <f>NA!O116/NA!N116-1</f>
        <v>2.8592263871353829E-2</v>
      </c>
      <c r="P82" s="10">
        <f>NA!P116/NA!O116-1</f>
        <v>7.4451813385236543E-2</v>
      </c>
      <c r="Q82" s="10">
        <f>NA!Q116/NA!P116-1</f>
        <v>6.1085979810824753E-2</v>
      </c>
      <c r="R82" s="10">
        <f>NA!R116/NA!Q116-1</f>
        <v>6.6057866780771191E-2</v>
      </c>
      <c r="S82" s="10">
        <f>NA!S116/NA!R116-1</f>
        <v>6.9566583418742001E-2</v>
      </c>
      <c r="T82" s="10">
        <f>NA!T116/NA!S116-1</f>
        <v>5.4719762365745828E-2</v>
      </c>
      <c r="U82" s="10">
        <f>NA!U116/NA!T116-1</f>
        <v>5.8834119566436582E-2</v>
      </c>
      <c r="V82" s="10">
        <f>NA!V116/NA!U116-1</f>
        <v>7.1555107540807628E-2</v>
      </c>
      <c r="W82" s="10"/>
      <c r="X82" s="10"/>
      <c r="Y82" s="10"/>
      <c r="Z82" s="10"/>
      <c r="AA82" s="10"/>
      <c r="AB82" s="10"/>
      <c r="AF82" s="10">
        <f>NA!AM116/NA!AL116-1</f>
        <v>4.8404482564288864E-2</v>
      </c>
      <c r="AG82" s="10">
        <f>NA!AN116/NA!AM116-1</f>
        <v>4.9337965312953758E-2</v>
      </c>
      <c r="AH82" s="10">
        <f>NA!AO116/NA!AN116-1</f>
        <v>1.0937616784410671</v>
      </c>
      <c r="AI82" s="10">
        <f>NA!AP116/NA!AO116-1</f>
        <v>0.15300712327581723</v>
      </c>
      <c r="AJ82" s="10">
        <f>NA!AQ116/NA!AP116-1</f>
        <v>-1.426218192717954E-2</v>
      </c>
      <c r="AK82" s="10">
        <f>NA!AR116/NA!AQ116-1</f>
        <v>7.2066750710376271E-2</v>
      </c>
      <c r="AL82" s="10">
        <f>NA!AS116/NA!AR116-1</f>
        <v>7.6676546754945063E-2</v>
      </c>
      <c r="AM82" s="10">
        <f>NA!AT116/NA!AS116-1</f>
        <v>4.6605709955305441E-2</v>
      </c>
      <c r="AN82" s="10">
        <f>NA!AU116/NA!AT116-1</f>
        <v>8.46438124147737E-2</v>
      </c>
      <c r="AO82" s="10">
        <f>NA!AV116/NA!AU116-1</f>
        <v>5.5665956481623535E-2</v>
      </c>
      <c r="AP82" s="10">
        <f>NA!AW116/NA!AV116-1</f>
        <v>5.3823461684580076E-2</v>
      </c>
      <c r="AQ82" s="10">
        <f>NA!AX116/NA!AW116-1</f>
        <v>6.3588860814886905E-2</v>
      </c>
      <c r="AR82" s="10">
        <f>NA!AY116/NA!AX116-1</f>
        <v>7.9045075722513625E-2</v>
      </c>
      <c r="AS82" s="10">
        <f>NA!AZ116/NA!AY116-1</f>
        <v>5.1410136208195567E-2</v>
      </c>
      <c r="AT82" s="10">
        <f>NA!BA116/NA!AZ116-1</f>
        <v>7.2630600302156401E-2</v>
      </c>
      <c r="AU82" s="10">
        <f>NA!BB116/NA!BA116-1</f>
        <v>6.965132961535736E-2</v>
      </c>
      <c r="AV82" s="10">
        <f>NA!BC116/NA!BB116-1</f>
        <v>7.0397469530978585E-2</v>
      </c>
      <c r="AW82" s="10">
        <f>NA!BD116/NA!BC116-1</f>
        <v>7.1739363954783641E-2</v>
      </c>
      <c r="AX82" s="10">
        <f>NA!BE116/NA!BD116-1</f>
        <v>7.3741943963407053E-2</v>
      </c>
      <c r="AY82" s="10">
        <f>NA!BF116/NA!BE116-1</f>
        <v>7.5887738158493701E-2</v>
      </c>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row>
    <row r="85" spans="5:182" x14ac:dyDescent="0.2">
      <c r="E85" s="15" t="s">
        <v>315</v>
      </c>
      <c r="G85" s="10"/>
      <c r="H85" s="10"/>
      <c r="I85" s="10"/>
      <c r="J85" s="10"/>
      <c r="K85" s="10"/>
      <c r="L85" s="10"/>
      <c r="M85" s="10"/>
      <c r="N85" s="10"/>
      <c r="O85" s="10"/>
      <c r="P85" s="10"/>
      <c r="Q85" s="10"/>
      <c r="R85" s="10"/>
      <c r="S85" s="10"/>
      <c r="T85" s="10"/>
      <c r="U85" s="10"/>
      <c r="V85" s="10"/>
      <c r="W85" s="10"/>
      <c r="X85" s="10"/>
      <c r="Y85" s="10"/>
      <c r="Z85" s="10"/>
      <c r="AA85" s="10"/>
      <c r="AB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row>
    <row r="86" spans="5:182" x14ac:dyDescent="0.2">
      <c r="E86" s="15" t="s">
        <v>100</v>
      </c>
      <c r="G86" s="10"/>
      <c r="H86" s="10"/>
      <c r="I86" s="10"/>
      <c r="J86" s="10"/>
      <c r="K86" s="10"/>
      <c r="L86" s="10"/>
      <c r="M86" s="10"/>
      <c r="N86" s="10"/>
      <c r="O86" s="10"/>
      <c r="P86" s="10"/>
      <c r="Q86" s="10"/>
      <c r="R86" s="10"/>
      <c r="S86" s="10"/>
      <c r="T86" s="10"/>
      <c r="U86" s="10"/>
      <c r="V86" s="10"/>
      <c r="W86" s="10"/>
      <c r="X86" s="10"/>
      <c r="Y86" s="10"/>
      <c r="Z86" s="10"/>
      <c r="AA86" s="10"/>
      <c r="AB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row>
    <row r="87" spans="5:182" x14ac:dyDescent="0.2">
      <c r="E87" s="177" t="s">
        <v>101</v>
      </c>
      <c r="G87" s="10"/>
      <c r="H87" s="10"/>
      <c r="I87" s="10"/>
      <c r="J87" s="10"/>
      <c r="K87" s="10"/>
      <c r="L87" s="10">
        <f>(NA!L89-NA!K89)/(NA!L$113-NA!K$113)</f>
        <v>0.34477260093177009</v>
      </c>
      <c r="M87" s="10">
        <f>(NA!M89-NA!L89)/(NA!M$113-NA!L$113)</f>
        <v>0.41920580934375834</v>
      </c>
      <c r="N87" s="10">
        <f>(NA!N89-NA!M89)/(NA!N$113-NA!M$113)</f>
        <v>0.19398376802480957</v>
      </c>
      <c r="O87" s="10">
        <f>(NA!O89-NA!N89)/(NA!O$113-NA!N$113)</f>
        <v>-0.96971617611935812</v>
      </c>
      <c r="P87" s="10">
        <f>(NA!P89-NA!O89)/(NA!P$113-NA!O$113)</f>
        <v>0.21559814417319442</v>
      </c>
      <c r="Q87" s="10">
        <f>(NA!Q89-NA!P89)/(NA!Q$113-NA!P$113)</f>
        <v>0.17359190278847267</v>
      </c>
      <c r="R87" s="10">
        <f>(NA!R89-NA!Q89)/(NA!R$113-NA!Q$113)</f>
        <v>0.12063349268228889</v>
      </c>
      <c r="S87" s="10">
        <f>(NA!S89-NA!R89)/(NA!S$113-NA!R$113)</f>
        <v>0.23026476134594664</v>
      </c>
      <c r="T87" s="10">
        <f>(NA!T89-NA!S89)/(NA!T$113-NA!S$113)</f>
        <v>0.34798090114457969</v>
      </c>
      <c r="U87" s="10">
        <f>(NA!U89-NA!T89)/(NA!U$113-NA!T$113)</f>
        <v>0.19817597867119713</v>
      </c>
      <c r="V87" s="10">
        <f>(NA!V89-NA!U89)/(NA!V$113-NA!U$113)</f>
        <v>0.12559708733877128</v>
      </c>
      <c r="W87" s="10"/>
      <c r="X87" s="10"/>
      <c r="Y87" s="10"/>
      <c r="Z87" s="10"/>
      <c r="AA87" s="10"/>
      <c r="AB87" s="10"/>
      <c r="AF87" s="10">
        <f>(NA!AM89-NA!AL89)/(NA!AM$113-NA!AL$113)</f>
        <v>0.28165065239476267</v>
      </c>
      <c r="AG87" s="10">
        <f>(NA!AN89-NA!AM89)/(NA!AN$113-NA!AM$113)</f>
        <v>0.30134197008110225</v>
      </c>
      <c r="AH87" s="10">
        <f>(NA!AO89-NA!AN89)/(NA!AO$113-NA!AN$113)</f>
        <v>0.34659277115438941</v>
      </c>
      <c r="AI87" s="10">
        <f>(NA!AP89-NA!AO89)/(NA!AP$113-NA!AO$113)</f>
        <v>0.66271106883725561</v>
      </c>
      <c r="AJ87" s="10">
        <f>(NA!AQ89-NA!AP89)/(NA!AQ$113-NA!AP$113)</f>
        <v>3.6086581092089038</v>
      </c>
      <c r="AK87" s="10">
        <f>(NA!AR89-NA!AQ89)/(NA!AR$113-NA!AQ$113)</f>
        <v>0.2469176829112609</v>
      </c>
      <c r="AL87" s="10">
        <f>(NA!AS89-NA!AR89)/(NA!AS$113-NA!AR$113)</f>
        <v>0.18755622502255773</v>
      </c>
      <c r="AM87" s="10">
        <f>(NA!AT89-NA!AS89)/(NA!AT$113-NA!AS$113)</f>
        <v>0.15307387091906441</v>
      </c>
      <c r="AN87" s="10">
        <f>(NA!AU89-NA!AT89)/(NA!AU$113-NA!AT$113)</f>
        <v>0.10003703646444453</v>
      </c>
      <c r="AO87" s="10">
        <f>(NA!AV89-NA!AU89)/(NA!AV$113-NA!AU$113)</f>
        <v>0.38424191547528491</v>
      </c>
      <c r="AP87" s="10">
        <f>(NA!AW89-NA!AV89)/(NA!AW$113-NA!AV$113)</f>
        <v>0.30818886744346413</v>
      </c>
      <c r="AQ87" s="10">
        <f>(NA!AX89-NA!AW89)/(NA!AX$113-NA!AW$113)</f>
        <v>0.12064233041313786</v>
      </c>
      <c r="AR87" s="10">
        <f>(NA!AY89-NA!AX89)/(NA!AY$113-NA!AX$113)</f>
        <v>0.12961986415105081</v>
      </c>
      <c r="AS87" s="10">
        <f>(NA!AZ89-NA!AY89)/(NA!AZ$113-NA!AY$113)</f>
        <v>0.16032592326720532</v>
      </c>
      <c r="AT87" s="10">
        <f>(NA!BA89-NA!AZ89)/(NA!BA$113-NA!AZ$113)</f>
        <v>0.12644775868923994</v>
      </c>
      <c r="AU87" s="10">
        <f>(NA!BB89-NA!BA89)/(NA!BB$113-NA!BA$113)</f>
        <v>0.12609163915363042</v>
      </c>
      <c r="AV87" s="10">
        <f>(NA!BC89-NA!BB89)/(NA!BC$113-NA!BB$113)</f>
        <v>0.12591458074874068</v>
      </c>
      <c r="AW87" s="10">
        <f>(NA!BD89-NA!BC89)/(NA!BD$113-NA!BC$113)</f>
        <v>9.682162216155818E-2</v>
      </c>
      <c r="AX87" s="10">
        <f>(NA!BE89-NA!BD89)/(NA!BE$113-NA!BD$113)</f>
        <v>0.11130610271008343</v>
      </c>
      <c r="AY87" s="10">
        <f>(NA!BF89-NA!BE89)/(NA!BF$113-NA!BE$113)</f>
        <v>0.11188990265362869</v>
      </c>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row>
    <row r="88" spans="5:182" x14ac:dyDescent="0.2">
      <c r="E88" s="177" t="s">
        <v>131</v>
      </c>
      <c r="G88" s="10"/>
      <c r="H88" s="10"/>
      <c r="I88" s="10"/>
      <c r="J88" s="10"/>
      <c r="K88" s="10"/>
      <c r="L88" s="10">
        <f>(NA!L90-NA!K90)/(NA!L$113-NA!K$113)</f>
        <v>0.13802423571893876</v>
      </c>
      <c r="M88" s="10">
        <f>(NA!M90-NA!L90)/(NA!M$113-NA!L$113)</f>
        <v>0.24806501387036409</v>
      </c>
      <c r="N88" s="10">
        <f>(NA!N90-NA!M90)/(NA!N$113-NA!M$113)</f>
        <v>0.11988197984163208</v>
      </c>
      <c r="O88" s="10">
        <f>(NA!O90-NA!N90)/(NA!O$113-NA!N$113)</f>
        <v>-1.1672532665495805</v>
      </c>
      <c r="P88" s="10">
        <f>(NA!P90-NA!O90)/(NA!P$113-NA!O$113)</f>
        <v>0.12844080565606808</v>
      </c>
      <c r="Q88" s="10">
        <f>(NA!Q90-NA!P90)/(NA!Q$113-NA!P$113)</f>
        <v>3.9861302095270237E-2</v>
      </c>
      <c r="R88" s="10">
        <f>(NA!R90-NA!Q90)/(NA!R$113-NA!Q$113)</f>
        <v>-3.9768142369043517E-2</v>
      </c>
      <c r="S88" s="10">
        <f>(NA!S90-NA!R90)/(NA!S$113-NA!R$113)</f>
        <v>7.3791462422378273E-2</v>
      </c>
      <c r="T88" s="10">
        <f>(NA!T90-NA!S90)/(NA!T$113-NA!S$113)</f>
        <v>0.18481888443185213</v>
      </c>
      <c r="U88" s="10">
        <f>(NA!U90-NA!T90)/(NA!U$113-NA!T$113)</f>
        <v>0.11768163696214033</v>
      </c>
      <c r="V88" s="10">
        <f>(NA!V90-NA!U90)/(NA!V$113-NA!U$113)</f>
        <v>8.7871757006888027E-2</v>
      </c>
      <c r="W88" s="10"/>
      <c r="X88" s="10"/>
      <c r="Y88" s="10"/>
      <c r="Z88" s="10"/>
      <c r="AA88" s="10"/>
      <c r="AB88" s="10"/>
      <c r="AF88" s="10">
        <f>(NA!AM90-NA!AL90)/(NA!AM$113-NA!AL$113)</f>
        <v>0.21468015914005345</v>
      </c>
      <c r="AG88" s="10">
        <f>(NA!AN90-NA!AM90)/(NA!AN$113-NA!AM$113)</f>
        <v>0.21888580644304922</v>
      </c>
      <c r="AH88" s="10">
        <f>(NA!AO90-NA!AN90)/(NA!AO$113-NA!AN$113)</f>
        <v>0.13463534128421795</v>
      </c>
      <c r="AI88" s="10">
        <f>(NA!AP90-NA!AO90)/(NA!AP$113-NA!AO$113)</f>
        <v>0.62844741551728778</v>
      </c>
      <c r="AJ88" s="10">
        <f>(NA!AQ90-NA!AP90)/(NA!AQ$113-NA!AP$113)</f>
        <v>3.8247767896910778</v>
      </c>
      <c r="AK88" s="10">
        <f>(NA!AR90-NA!AQ90)/(NA!AR$113-NA!AQ$113)</f>
        <v>0.15930336976209258</v>
      </c>
      <c r="AL88" s="10">
        <f>(NA!AS90-NA!AR90)/(NA!AS$113-NA!AR$113)</f>
        <v>0.10080803830657288</v>
      </c>
      <c r="AM88" s="10">
        <f>(NA!AT90-NA!AS90)/(NA!AT$113-NA!AS$113)</f>
        <v>-4.9688842548889105E-2</v>
      </c>
      <c r="AN88" s="10">
        <f>(NA!AU90-NA!AT90)/(NA!AU$113-NA!AT$113)</f>
        <v>-3.3469471453026881E-2</v>
      </c>
      <c r="AO88" s="10">
        <f>(NA!AV90-NA!AU90)/(NA!AV$113-NA!AU$113)</f>
        <v>0.20061340730714161</v>
      </c>
      <c r="AP88" s="10">
        <f>(NA!AW90-NA!AV90)/(NA!AW$113-NA!AV$113)</f>
        <v>0.16748632498344349</v>
      </c>
      <c r="AQ88" s="10">
        <f>(NA!AX90-NA!AW90)/(NA!AX$113-NA!AW$113)</f>
        <v>8.2580848266010976E-2</v>
      </c>
      <c r="AR88" s="10">
        <f>(NA!AY90-NA!AX90)/(NA!AY$113-NA!AX$113)</f>
        <v>9.2167456133634931E-2</v>
      </c>
      <c r="AS88" s="10">
        <f>(NA!AZ90-NA!AY90)/(NA!AZ$113-NA!AY$113)</f>
        <v>0.10679385766533203</v>
      </c>
      <c r="AT88" s="10">
        <f>(NA!BA90-NA!AZ90)/(NA!BA$113-NA!AZ$113)</f>
        <v>7.1477164395192541E-2</v>
      </c>
      <c r="AU88" s="10">
        <f>(NA!BB90-NA!BA90)/(NA!BB$113-NA!BA$113)</f>
        <v>7.7939017918135164E-2</v>
      </c>
      <c r="AV88" s="10">
        <f>(NA!BC90-NA!BB90)/(NA!BC$113-NA!BB$113)</f>
        <v>6.5495914817299328E-2</v>
      </c>
      <c r="AW88" s="10">
        <f>(NA!BD90-NA!BC90)/(NA!BD$113-NA!BC$113)</f>
        <v>5.0541476588992169E-2</v>
      </c>
      <c r="AX88" s="10">
        <f>(NA!BE90-NA!BD90)/(NA!BE$113-NA!BD$113)</f>
        <v>5.3253486444997014E-2</v>
      </c>
      <c r="AY88" s="10">
        <f>(NA!BF90-NA!BE90)/(NA!BF$113-NA!BE$113)</f>
        <v>5.4058068256217152E-2</v>
      </c>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row>
    <row r="89" spans="5:182" x14ac:dyDescent="0.2">
      <c r="E89" s="177" t="s">
        <v>132</v>
      </c>
      <c r="G89" s="10"/>
      <c r="H89" s="10"/>
      <c r="I89" s="10"/>
      <c r="J89" s="10"/>
      <c r="K89" s="10"/>
      <c r="L89" s="10">
        <f>(NA!L91-NA!K91)/(NA!L$113-NA!K$113)</f>
        <v>0.15745819286433224</v>
      </c>
      <c r="M89" s="10">
        <f>(NA!M91-NA!L91)/(NA!M$113-NA!L$113)</f>
        <v>0.12957431618037782</v>
      </c>
      <c r="N89" s="10">
        <f>(NA!N91-NA!M91)/(NA!N$113-NA!M$113)</f>
        <v>4.2118312531696213E-2</v>
      </c>
      <c r="O89" s="10">
        <f>(NA!O91-NA!N91)/(NA!O$113-NA!N$113)</f>
        <v>0.12405805781689201</v>
      </c>
      <c r="P89" s="10">
        <f>(NA!P91-NA!O91)/(NA!P$113-NA!O$113)</f>
        <v>5.9408120143516353E-2</v>
      </c>
      <c r="Q89" s="10">
        <f>(NA!Q91-NA!P91)/(NA!Q$113-NA!P$113)</f>
        <v>9.6872233704686506E-2</v>
      </c>
      <c r="R89" s="10">
        <f>(NA!R91-NA!Q91)/(NA!R$113-NA!Q$113)</f>
        <v>0.12619607282240328</v>
      </c>
      <c r="S89" s="10">
        <f>(NA!S91-NA!R91)/(NA!S$113-NA!R$113)</f>
        <v>0.12557834385089317</v>
      </c>
      <c r="T89" s="10">
        <f>(NA!T91-NA!S91)/(NA!T$113-NA!S$113)</f>
        <v>0.12927378686376881</v>
      </c>
      <c r="U89" s="10">
        <f>(NA!U91-NA!T91)/(NA!U$113-NA!T$113)</f>
        <v>5.980709919003338E-2</v>
      </c>
      <c r="V89" s="10">
        <f>(NA!V91-NA!U91)/(NA!V$113-NA!U$113)</f>
        <v>2.1840599827867513E-2</v>
      </c>
      <c r="W89" s="10"/>
      <c r="X89" s="10"/>
      <c r="Y89" s="10"/>
      <c r="Z89" s="10"/>
      <c r="AA89" s="10"/>
      <c r="AB89" s="10"/>
      <c r="AF89" s="10">
        <f>(NA!AM91-NA!AL91)/(NA!AM$113-NA!AL$113)</f>
        <v>4.0397963642967813E-2</v>
      </c>
      <c r="AG89" s="10">
        <f>(NA!AN91-NA!AM91)/(NA!AN$113-NA!AM$113)</f>
        <v>4.4108472596466546E-2</v>
      </c>
      <c r="AH89" s="10">
        <f>(NA!AO91-NA!AN91)/(NA!AO$113-NA!AN$113)</f>
        <v>0.16220866002386267</v>
      </c>
      <c r="AI89" s="10">
        <f>(NA!AP91-NA!AO91)/(NA!AP$113-NA!AO$113)</f>
        <v>2.0136196468548417E-2</v>
      </c>
      <c r="AJ89" s="10">
        <f>(NA!AQ91-NA!AP91)/(NA!AQ$113-NA!AP$113)</f>
        <v>-0.11802121327714318</v>
      </c>
      <c r="AK89" s="10">
        <f>(NA!AR91-NA!AQ91)/(NA!AR$113-NA!AQ$113)</f>
        <v>5.9729145537641602E-2</v>
      </c>
      <c r="AL89" s="10">
        <f>(NA!AS91-NA!AR91)/(NA!AS$113-NA!AR$113)</f>
        <v>5.9120690362935789E-2</v>
      </c>
      <c r="AM89" s="10">
        <f>(NA!AT91-NA!AS91)/(NA!AT$113-NA!AS$113)</f>
        <v>0.15234126087413546</v>
      </c>
      <c r="AN89" s="10">
        <f>(NA!AU91-NA!AT91)/(NA!AU$113-NA!AT$113)</f>
        <v>0.10959644451090884</v>
      </c>
      <c r="AO89" s="10">
        <f>(NA!AV91-NA!AU91)/(NA!AV$113-NA!AU$113)</f>
        <v>0.14447483751375498</v>
      </c>
      <c r="AP89" s="10">
        <f>(NA!AW91-NA!AV91)/(NA!AW$113-NA!AV$113)</f>
        <v>0.1125924906860057</v>
      </c>
      <c r="AQ89" s="10">
        <f>(NA!AX91-NA!AW91)/(NA!AX$113-NA!AW$113)</f>
        <v>2.2605603773576351E-2</v>
      </c>
      <c r="AR89" s="10">
        <f>(NA!AY91-NA!AX91)/(NA!AY$113-NA!AX$113)</f>
        <v>2.1219491632190269E-2</v>
      </c>
      <c r="AS89" s="10">
        <f>(NA!AZ91-NA!AY91)/(NA!AZ$113-NA!AY$113)</f>
        <v>3.086839394956873E-2</v>
      </c>
      <c r="AT89" s="10">
        <f>(NA!BA91-NA!AZ91)/(NA!BA$113-NA!AZ$113)</f>
        <v>2.6876518342695749E-2</v>
      </c>
      <c r="AU89" s="10">
        <f>(NA!BB91-NA!BA91)/(NA!BB$113-NA!BA$113)</f>
        <v>2.7254766618689735E-2</v>
      </c>
      <c r="AV89" s="10">
        <f>(NA!BC91-NA!BB91)/(NA!BC$113-NA!BB$113)</f>
        <v>3.8052615221703022E-2</v>
      </c>
      <c r="AW89" s="10">
        <f>(NA!BD91-NA!BC91)/(NA!BD$113-NA!BC$113)</f>
        <v>2.4205148321840873E-2</v>
      </c>
      <c r="AX89" s="10">
        <f>(NA!BE91-NA!BD91)/(NA!BE$113-NA!BD$113)</f>
        <v>3.7802379254213488E-2</v>
      </c>
      <c r="AY89" s="10">
        <f>(NA!BF91-NA!BE91)/(NA!BF$113-NA!BE$113)</f>
        <v>3.7862674131128565E-2</v>
      </c>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row>
    <row r="90" spans="5:182" x14ac:dyDescent="0.2">
      <c r="E90" s="177" t="s">
        <v>133</v>
      </c>
      <c r="G90" s="10"/>
      <c r="H90" s="10"/>
      <c r="I90" s="10"/>
      <c r="J90" s="10"/>
      <c r="K90" s="10"/>
      <c r="L90" s="10">
        <f>(NA!L92-NA!K92)/(NA!L$113-NA!K$113)</f>
        <v>3.0344976991497408E-2</v>
      </c>
      <c r="M90" s="10">
        <f>(NA!M92-NA!L92)/(NA!M$113-NA!L$113)</f>
        <v>2.4866704499636561E-2</v>
      </c>
      <c r="N90" s="10">
        <f>(NA!N92-NA!M92)/(NA!N$113-NA!M$113)</f>
        <v>1.3767546707033358E-2</v>
      </c>
      <c r="O90" s="10">
        <f>(NA!O92-NA!N92)/(NA!O$113-NA!N$113)</f>
        <v>2.9461047478254627E-2</v>
      </c>
      <c r="P90" s="10">
        <f>(NA!P92-NA!O92)/(NA!P$113-NA!O$113)</f>
        <v>1.1564731143902792E-2</v>
      </c>
      <c r="Q90" s="10">
        <f>(NA!Q92-NA!P92)/(NA!Q$113-NA!P$113)</f>
        <v>2.3460625131098131E-2</v>
      </c>
      <c r="R90" s="10">
        <f>(NA!R92-NA!Q92)/(NA!R$113-NA!Q$113)</f>
        <v>2.8554385183338176E-2</v>
      </c>
      <c r="S90" s="10">
        <f>(NA!S92-NA!R92)/(NA!S$113-NA!R$113)</f>
        <v>1.9632124225003156E-2</v>
      </c>
      <c r="T90" s="10">
        <f>(NA!T92-NA!S92)/(NA!T$113-NA!S$113)</f>
        <v>2.1620174466888548E-2</v>
      </c>
      <c r="U90" s="10">
        <f>(NA!U92-NA!T92)/(NA!U$113-NA!T$113)</f>
        <v>1.8667584188856442E-2</v>
      </c>
      <c r="V90" s="10">
        <f>(NA!V92-NA!U92)/(NA!V$113-NA!U$113)</f>
        <v>1.1863631009428409E-2</v>
      </c>
      <c r="W90" s="10"/>
      <c r="X90" s="10"/>
      <c r="Y90" s="10"/>
      <c r="Z90" s="10"/>
      <c r="AA90" s="10"/>
      <c r="AB90" s="10"/>
      <c r="AF90" s="10">
        <f>(NA!AM92-NA!AL92)/(NA!AM$113-NA!AL$113)</f>
        <v>1.4202852488975409E-2</v>
      </c>
      <c r="AG90" s="10">
        <f>(NA!AN92-NA!AM92)/(NA!AN$113-NA!AM$113)</f>
        <v>2.7229648114472305E-2</v>
      </c>
      <c r="AH90" s="10">
        <f>(NA!AO92-NA!AN92)/(NA!AO$113-NA!AN$113)</f>
        <v>3.0475539885578419E-2</v>
      </c>
      <c r="AI90" s="10">
        <f>(NA!AP92-NA!AO92)/(NA!AP$113-NA!AO$113)</f>
        <v>6.0576730892135727E-3</v>
      </c>
      <c r="AJ90" s="10">
        <f>(NA!AQ92-NA!AP92)/(NA!AQ$113-NA!AP$113)</f>
        <v>-4.2398816060634371E-2</v>
      </c>
      <c r="AK90" s="10">
        <f>(NA!AR92-NA!AQ92)/(NA!AR$113-NA!AQ$113)</f>
        <v>1.0365373416197369E-2</v>
      </c>
      <c r="AL90" s="10">
        <f>(NA!AS92-NA!AR92)/(NA!AS$113-NA!AR$113)</f>
        <v>1.2638574941995835E-2</v>
      </c>
      <c r="AM90" s="10">
        <f>(NA!AT92-NA!AS92)/(NA!AT$113-NA!AS$113)</f>
        <v>3.9361659706936843E-2</v>
      </c>
      <c r="AN90" s="10">
        <f>(NA!AU92-NA!AT92)/(NA!AU$113-NA!AT$113)</f>
        <v>2.1692826574654111E-2</v>
      </c>
      <c r="AO90" s="10">
        <f>(NA!AV92-NA!AU92)/(NA!AV$113-NA!AU$113)</f>
        <v>1.7195614767469287E-2</v>
      </c>
      <c r="AP90" s="10">
        <f>(NA!AW92-NA!AV92)/(NA!AW$113-NA!AV$113)</f>
        <v>2.6475588247269272E-2</v>
      </c>
      <c r="AQ90" s="10">
        <f>(NA!AX92-NA!AW92)/(NA!AX$113-NA!AW$113)</f>
        <v>1.3164746775726944E-2</v>
      </c>
      <c r="AR90" s="10">
        <f>(NA!AY92-NA!AX92)/(NA!AY$113-NA!AX$113)</f>
        <v>1.0807252580917052E-2</v>
      </c>
      <c r="AS90" s="10">
        <f>(NA!AZ92-NA!AY92)/(NA!AZ$113-NA!AY$113)</f>
        <v>1.4828883806384661E-2</v>
      </c>
      <c r="AT90" s="10">
        <f>(NA!BA92-NA!AZ92)/(NA!BA$113-NA!AZ$113)</f>
        <v>1.6267726968468777E-2</v>
      </c>
      <c r="AU90" s="10">
        <f>(NA!BB92-NA!BA92)/(NA!BB$113-NA!BA$113)</f>
        <v>1.6723909433621328E-2</v>
      </c>
      <c r="AV90" s="10">
        <f>(NA!BC92-NA!BB92)/(NA!BC$113-NA!BB$113)</f>
        <v>1.688018868950273E-2</v>
      </c>
      <c r="AW90" s="10">
        <f>(NA!BD92-NA!BC92)/(NA!BD$113-NA!BC$113)</f>
        <v>1.5600171350922247E-2</v>
      </c>
      <c r="AX90" s="10">
        <f>(NA!BE92-NA!BD92)/(NA!BE$113-NA!BD$113)</f>
        <v>1.3901351565000976E-2</v>
      </c>
      <c r="AY90" s="10">
        <f>(NA!BF92-NA!BE92)/(NA!BF$113-NA!BE$113)</f>
        <v>1.32472076290461E-2</v>
      </c>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row>
    <row r="91" spans="5:182" x14ac:dyDescent="0.2">
      <c r="E91" s="177" t="s">
        <v>105</v>
      </c>
      <c r="G91" s="10"/>
      <c r="H91" s="10"/>
      <c r="I91" s="10"/>
      <c r="J91" s="10"/>
      <c r="K91" s="10"/>
      <c r="L91" s="10">
        <f>(NA!L93-NA!K93)/(NA!L$113-NA!K$113)</f>
        <v>1.8945195357001721E-2</v>
      </c>
      <c r="M91" s="10">
        <f>(NA!M93-NA!L93)/(NA!M$113-NA!L$113)</f>
        <v>1.6699774793380008E-2</v>
      </c>
      <c r="N91" s="10">
        <f>(NA!N93-NA!M93)/(NA!N$113-NA!M$113)</f>
        <v>1.8215928944447828E-2</v>
      </c>
      <c r="O91" s="10">
        <f>(NA!O93-NA!N93)/(NA!O$113-NA!N$113)</f>
        <v>4.4017985135072955E-2</v>
      </c>
      <c r="P91" s="10">
        <f>(NA!P93-NA!O93)/(NA!P$113-NA!O$113)</f>
        <v>1.6184487229707518E-2</v>
      </c>
      <c r="Q91" s="10">
        <f>(NA!Q93-NA!P93)/(NA!Q$113-NA!P$113)</f>
        <v>1.339774185741863E-2</v>
      </c>
      <c r="R91" s="10">
        <f>(NA!R93-NA!Q93)/(NA!R$113-NA!Q$113)</f>
        <v>5.6511770455893173E-3</v>
      </c>
      <c r="S91" s="10">
        <f>(NA!S93-NA!R93)/(NA!S$113-NA!R$113)</f>
        <v>1.1262830847672505E-2</v>
      </c>
      <c r="T91" s="10">
        <f>(NA!T93-NA!S93)/(NA!T$113-NA!S$113)</f>
        <v>1.2268055382070165E-2</v>
      </c>
      <c r="U91" s="10">
        <f>(NA!U93-NA!T93)/(NA!U$113-NA!T$113)</f>
        <v>2.0196583301672552E-3</v>
      </c>
      <c r="V91" s="10">
        <f>(NA!V93-NA!U93)/(NA!V$113-NA!U$113)</f>
        <v>4.0210994945872377E-3</v>
      </c>
      <c r="W91" s="10"/>
      <c r="X91" s="10"/>
      <c r="Y91" s="10"/>
      <c r="Z91" s="10"/>
      <c r="AA91" s="10"/>
      <c r="AB91" s="10"/>
      <c r="AF91" s="10">
        <f>(NA!AM93-NA!AL93)/(NA!AM$113-NA!AL$113)</f>
        <v>1.2369677122765994E-2</v>
      </c>
      <c r="AG91" s="10">
        <f>(NA!AN93-NA!AM93)/(NA!AN$113-NA!AM$113)</f>
        <v>1.1118042927114167E-2</v>
      </c>
      <c r="AH91" s="10">
        <f>(NA!AO93-NA!AN93)/(NA!AO$113-NA!AN$113)</f>
        <v>1.9273229960730345E-2</v>
      </c>
      <c r="AI91" s="10">
        <f>(NA!AP93-NA!AO93)/(NA!AP$113-NA!AO$113)</f>
        <v>8.0697837622063055E-3</v>
      </c>
      <c r="AJ91" s="10">
        <f>(NA!AQ93-NA!AP93)/(NA!AQ$113-NA!AP$113)</f>
        <v>-5.5698651144395699E-2</v>
      </c>
      <c r="AK91" s="10">
        <f>(NA!AR93-NA!AQ93)/(NA!AR$113-NA!AQ$113)</f>
        <v>1.7519794195328696E-2</v>
      </c>
      <c r="AL91" s="10">
        <f>(NA!AS93-NA!AR93)/(NA!AS$113-NA!AR$113)</f>
        <v>1.4988921411053902E-2</v>
      </c>
      <c r="AM91" s="10">
        <f>(NA!AT93-NA!AS93)/(NA!AT$113-NA!AS$113)</f>
        <v>1.1059792886880531E-2</v>
      </c>
      <c r="AN91" s="10">
        <f>(NA!AU93-NA!AT93)/(NA!AU$113-NA!AT$113)</f>
        <v>2.2172368319081418E-3</v>
      </c>
      <c r="AO91" s="10">
        <f>(NA!AV93-NA!AU93)/(NA!AV$113-NA!AU$113)</f>
        <v>2.1958055886919164E-2</v>
      </c>
      <c r="AP91" s="10">
        <f>(NA!AW93-NA!AV93)/(NA!AW$113-NA!AV$113)</f>
        <v>1.6344635267460021E-3</v>
      </c>
      <c r="AQ91" s="10">
        <f>(NA!AX93-NA!AW93)/(NA!AX$113-NA!AW$113)</f>
        <v>2.2911315978234271E-3</v>
      </c>
      <c r="AR91" s="10">
        <f>(NA!AY93-NA!AX93)/(NA!AY$113-NA!AX$113)</f>
        <v>5.4256638043084712E-3</v>
      </c>
      <c r="AS91" s="10">
        <f>(NA!AZ93-NA!AY93)/(NA!AZ$113-NA!AY$113)</f>
        <v>7.8347878459193582E-3</v>
      </c>
      <c r="AT91" s="10">
        <f>(NA!BA93-NA!AZ93)/(NA!BA$113-NA!AZ$113)</f>
        <v>1.1826348982884016E-2</v>
      </c>
      <c r="AU91" s="10">
        <f>(NA!BB93-NA!BA93)/(NA!BB$113-NA!BA$113)</f>
        <v>4.1739451831836073E-3</v>
      </c>
      <c r="AV91" s="10">
        <f>(NA!BC93-NA!BB93)/(NA!BC$113-NA!BB$113)</f>
        <v>5.4858620202355591E-3</v>
      </c>
      <c r="AW91" s="10">
        <f>(NA!BD93-NA!BC93)/(NA!BD$113-NA!BC$113)</f>
        <v>6.4748258998036812E-3</v>
      </c>
      <c r="AX91" s="10">
        <f>(NA!BE93-NA!BD93)/(NA!BE$113-NA!BD$113)</f>
        <v>6.3488854458716914E-3</v>
      </c>
      <c r="AY91" s="10">
        <f>(NA!BF93-NA!BE93)/(NA!BF$113-NA!BE$113)</f>
        <v>6.7219526372363954E-3</v>
      </c>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row>
    <row r="92" spans="5:182" x14ac:dyDescent="0.2">
      <c r="E92" s="177" t="s">
        <v>106</v>
      </c>
      <c r="G92" s="10"/>
      <c r="H92" s="10"/>
      <c r="I92" s="10"/>
      <c r="J92" s="10"/>
      <c r="K92" s="10"/>
      <c r="L92" s="10">
        <f>(NA!L94-NA!K94)/(NA!L$113-NA!K$113)</f>
        <v>0.16469782574408964</v>
      </c>
      <c r="M92" s="10">
        <f>(NA!M94-NA!L94)/(NA!M$113-NA!L$113)</f>
        <v>0.15279366720782026</v>
      </c>
      <c r="N92" s="10">
        <f>(NA!N94-NA!M94)/(NA!N$113-NA!M$113)</f>
        <v>0.30134012471131877</v>
      </c>
      <c r="O92" s="10">
        <f>(NA!O94-NA!N94)/(NA!O$113-NA!N$113)</f>
        <v>0.80523566547104652</v>
      </c>
      <c r="P92" s="10">
        <f>(NA!P94-NA!O94)/(NA!P$113-NA!O$113)</f>
        <v>0.29886458765311197</v>
      </c>
      <c r="Q92" s="10">
        <f>(NA!Q94-NA!P94)/(NA!Q$113-NA!P$113)</f>
        <v>0.28123178084003908</v>
      </c>
      <c r="R92" s="10">
        <f>(NA!R94-NA!Q94)/(NA!R$113-NA!Q$113)</f>
        <v>0.30276534236869712</v>
      </c>
      <c r="S92" s="10">
        <f>(NA!S94-NA!R94)/(NA!S$113-NA!R$113)</f>
        <v>0.29088275911685613</v>
      </c>
      <c r="T92" s="10">
        <f>(NA!T94-NA!S94)/(NA!T$113-NA!S$113)</f>
        <v>0.20277563574156393</v>
      </c>
      <c r="U92" s="10">
        <f>(NA!U94-NA!T94)/(NA!U$113-NA!T$113)</f>
        <v>0.23647025207672012</v>
      </c>
      <c r="V92" s="10">
        <f>(NA!V94-NA!U94)/(NA!V$113-NA!U$113)</f>
        <v>0.32690746859064368</v>
      </c>
      <c r="W92" s="10"/>
      <c r="X92" s="10"/>
      <c r="Y92" s="10"/>
      <c r="Z92" s="10"/>
      <c r="AA92" s="10"/>
      <c r="AB92" s="10"/>
      <c r="AF92" s="10">
        <f>(NA!AM94-NA!AL94)/(NA!AM$113-NA!AL$113)</f>
        <v>0.26323092901695261</v>
      </c>
      <c r="AG92" s="10">
        <f>(NA!AN94-NA!AM94)/(NA!AN$113-NA!AM$113)</f>
        <v>0.17641265248151639</v>
      </c>
      <c r="AH92" s="10">
        <f>(NA!AO94-NA!AN94)/(NA!AO$113-NA!AN$113)</f>
        <v>0.16420685938295332</v>
      </c>
      <c r="AI92" s="10">
        <f>(NA!AP94-NA!AO94)/(NA!AP$113-NA!AO$113)</f>
        <v>0.1145199302653296</v>
      </c>
      <c r="AJ92" s="10">
        <f>(NA!AQ94-NA!AP94)/(NA!AQ$113-NA!AP$113)</f>
        <v>-1.0596433795224192</v>
      </c>
      <c r="AK92" s="10">
        <f>(NA!AR94-NA!AQ94)/(NA!AR$113-NA!AQ$113)</f>
        <v>0.30967220828351921</v>
      </c>
      <c r="AL92" s="10">
        <f>(NA!AS94-NA!AR94)/(NA!AS$113-NA!AR$113)</f>
        <v>0.28918799482512608</v>
      </c>
      <c r="AM92" s="10">
        <f>(NA!AT94-NA!AS94)/(NA!AT$113-NA!AS$113)</f>
        <v>0.26954157136410628</v>
      </c>
      <c r="AN92" s="10">
        <f>(NA!AU94-NA!AT94)/(NA!AU$113-NA!AT$113)</f>
        <v>0.32385917610556858</v>
      </c>
      <c r="AO92" s="10">
        <f>(NA!AV94-NA!AU94)/(NA!AV$113-NA!AU$113)</f>
        <v>0.25189248384386964</v>
      </c>
      <c r="AP92" s="10">
        <f>(NA!AW94-NA!AV94)/(NA!AW$113-NA!AV$113)</f>
        <v>0.14887589490269523</v>
      </c>
      <c r="AQ92" s="10">
        <f>(NA!AX94-NA!AW94)/(NA!AX$113-NA!AW$113)</f>
        <v>0.29820401940447777</v>
      </c>
      <c r="AR92" s="10">
        <f>(NA!AY94-NA!AX94)/(NA!AY$113-NA!AX$113)</f>
        <v>0.35021185497157326</v>
      </c>
      <c r="AS92" s="10">
        <f>(NA!AZ94-NA!AY94)/(NA!AZ$113-NA!AY$113)</f>
        <v>0.16843399053575242</v>
      </c>
      <c r="AT92" s="10">
        <f>(NA!BA94-NA!AZ94)/(NA!BA$113-NA!AZ$113)</f>
        <v>0.32021223044031499</v>
      </c>
      <c r="AU92" s="10">
        <f>(NA!BB94-NA!BA94)/(NA!BB$113-NA!BA$113)</f>
        <v>0.34781768473341418</v>
      </c>
      <c r="AV92" s="10">
        <f>(NA!BC94-NA!BB94)/(NA!BC$113-NA!BB$113)</f>
        <v>0.3278968200012386</v>
      </c>
      <c r="AW92" s="10">
        <f>(NA!BD94-NA!BC94)/(NA!BD$113-NA!BC$113)</f>
        <v>0.33573828365466729</v>
      </c>
      <c r="AX92" s="10">
        <f>(NA!BE94-NA!BD94)/(NA!BE$113-NA!BD$113)</f>
        <v>0.33098101382272738</v>
      </c>
      <c r="AY92" s="10">
        <f>(NA!BF94-NA!BE94)/(NA!BF$113-NA!BE$113)</f>
        <v>0.34100434985741679</v>
      </c>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row>
    <row r="93" spans="5:182" x14ac:dyDescent="0.2">
      <c r="E93" s="191" t="s">
        <v>136</v>
      </c>
      <c r="G93" s="10"/>
      <c r="H93" s="10"/>
      <c r="I93" s="10"/>
      <c r="J93" s="10"/>
      <c r="K93" s="10"/>
      <c r="L93" s="10">
        <f>(NA!L95-NA!K95)/(NA!L$113-NA!K$113)</f>
        <v>4.4326081723438153E-2</v>
      </c>
      <c r="M93" s="10">
        <f>(NA!M95-NA!L95)/(NA!M$113-NA!L$113)</f>
        <v>4.1853776426140417E-2</v>
      </c>
      <c r="N93" s="10">
        <f>(NA!N95-NA!M95)/(NA!N$113-NA!M$113)</f>
        <v>8.5823097759161651E-2</v>
      </c>
      <c r="O93" s="10">
        <f>(NA!O95-NA!N95)/(NA!O$113-NA!N$113)</f>
        <v>0.22160157005105732</v>
      </c>
      <c r="P93" s="10">
        <f>(NA!P95-NA!O95)/(NA!P$113-NA!O$113)</f>
        <v>8.7190201247291266E-2</v>
      </c>
      <c r="Q93" s="10">
        <f>(NA!Q95-NA!P95)/(NA!Q$113-NA!P$113)</f>
        <v>8.7429442494106526E-4</v>
      </c>
      <c r="R93" s="10">
        <f>(NA!R95-NA!Q95)/(NA!R$113-NA!Q$113)</f>
        <v>-2.0841111145703285E-2</v>
      </c>
      <c r="S93" s="10">
        <f>(NA!S95-NA!R95)/(NA!S$113-NA!R$113)</f>
        <v>-4.0393541451232045E-3</v>
      </c>
      <c r="T93" s="10">
        <f>(NA!T95-NA!S95)/(NA!T$113-NA!S$113)</f>
        <v>2.4721856717222986E-2</v>
      </c>
      <c r="U93" s="10">
        <f>(NA!U95-NA!T95)/(NA!U$113-NA!T$113)</f>
        <v>7.4537799020752957E-2</v>
      </c>
      <c r="V93" s="10">
        <f>(NA!V95-NA!U95)/(NA!V$113-NA!U$113)</f>
        <v>3.4643986080392819E-2</v>
      </c>
      <c r="W93" s="10"/>
      <c r="X93" s="10"/>
      <c r="Y93" s="10"/>
      <c r="Z93" s="10"/>
      <c r="AA93" s="10"/>
      <c r="AB93" s="10"/>
      <c r="AF93" s="10">
        <f>(NA!AM95-NA!AL95)/(NA!AM$113-NA!AL$113)</f>
        <v>2.9021492987962336E-2</v>
      </c>
      <c r="AG93" s="10">
        <f>(NA!AN95-NA!AM95)/(NA!AN$113-NA!AM$113)</f>
        <v>4.671011587931561E-2</v>
      </c>
      <c r="AH93" s="10">
        <f>(NA!AO95-NA!AN95)/(NA!AO$113-NA!AN$113)</f>
        <v>4.4226167264558761E-2</v>
      </c>
      <c r="AI93" s="10">
        <f>(NA!AP95-NA!AO95)/(NA!AP$113-NA!AO$113)</f>
        <v>3.3898047522159247E-2</v>
      </c>
      <c r="AJ93" s="10">
        <f>(NA!AQ95-NA!AP95)/(NA!AQ$113-NA!AP$113)</f>
        <v>-0.29245044509114965</v>
      </c>
      <c r="AK93" s="10">
        <f>(NA!AR95-NA!AQ95)/(NA!AR$113-NA!AQ$113)</f>
        <v>8.5000006275654502E-2</v>
      </c>
      <c r="AL93" s="10">
        <f>(NA!AS95-NA!AR95)/(NA!AS$113-NA!AR$113)</f>
        <v>8.9151190227123742E-2</v>
      </c>
      <c r="AM93" s="10">
        <f>(NA!AT95-NA!AS95)/(NA!AT$113-NA!AS$113)</f>
        <v>-0.12883254927568596</v>
      </c>
      <c r="AN93" s="10">
        <f>(NA!AU95-NA!AT95)/(NA!AU$113-NA!AT$113)</f>
        <v>4.7722852908966544E-2</v>
      </c>
      <c r="AO93" s="10">
        <f>(NA!AV95-NA!AU95)/(NA!AV$113-NA!AU$113)</f>
        <v>-6.5241355031605885E-2</v>
      </c>
      <c r="AP93" s="10">
        <f>(NA!AW95-NA!AV95)/(NA!AW$113-NA!AV$113)</f>
        <v>0.12344549200005317</v>
      </c>
      <c r="AQ93" s="10">
        <f>(NA!AX95-NA!AW95)/(NA!AX$113-NA!AW$113)</f>
        <v>4.0069184416696088E-2</v>
      </c>
      <c r="AR93" s="10">
        <f>(NA!AY95-NA!AX95)/(NA!AY$113-NA!AX$113)</f>
        <v>3.0239256969184822E-2</v>
      </c>
      <c r="AS93" s="10">
        <f>(NA!AZ95-NA!AY95)/(NA!AZ$113-NA!AY$113)</f>
        <v>4.3517545813910999E-2</v>
      </c>
      <c r="AT93" s="10">
        <f>(NA!BA95-NA!AZ95)/(NA!BA$113-NA!AZ$113)</f>
        <v>2.0876164548263354E-2</v>
      </c>
      <c r="AU93" s="10">
        <f>(NA!BB95-NA!BA95)/(NA!BB$113-NA!BA$113)</f>
        <v>4.8086880480739336E-2</v>
      </c>
      <c r="AV93" s="10">
        <f>(NA!BC95-NA!BB95)/(NA!BC$113-NA!BB$113)</f>
        <v>4.3364115850929634E-2</v>
      </c>
      <c r="AW93" s="10">
        <f>(NA!BD95-NA!BC95)/(NA!BD$113-NA!BC$113)</f>
        <v>4.4443336869495809E-2</v>
      </c>
      <c r="AX93" s="10">
        <f>(NA!BE95-NA!BD95)/(NA!BE$113-NA!BD$113)</f>
        <v>4.3997839923182035E-2</v>
      </c>
      <c r="AY93" s="10">
        <f>(NA!BF95-NA!BE95)/(NA!BF$113-NA!BE$113)</f>
        <v>4.4195252269416861E-2</v>
      </c>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row>
    <row r="94" spans="5:182" x14ac:dyDescent="0.2">
      <c r="E94" s="191" t="s">
        <v>135</v>
      </c>
      <c r="G94" s="10"/>
      <c r="H94" s="10"/>
      <c r="I94" s="10"/>
      <c r="J94" s="10"/>
      <c r="K94" s="10"/>
      <c r="L94" s="10">
        <f>(NA!L96-NA!K96)/(NA!L$113-NA!K$113)</f>
        <v>4.4186469177155387E-2</v>
      </c>
      <c r="M94" s="10">
        <f>(NA!M96-NA!L96)/(NA!M$113-NA!L$113)</f>
        <v>3.9676555937918453E-2</v>
      </c>
      <c r="N94" s="10">
        <f>(NA!N96-NA!M96)/(NA!N$113-NA!M$113)</f>
        <v>8.1998256746613776E-2</v>
      </c>
      <c r="O94" s="10">
        <f>(NA!O96-NA!N96)/(NA!O$113-NA!N$113)</f>
        <v>0.22535585662325414</v>
      </c>
      <c r="P94" s="10">
        <f>(NA!P96-NA!O96)/(NA!P$113-NA!O$113)</f>
        <v>8.8173465445516089E-2</v>
      </c>
      <c r="Q94" s="10">
        <f>(NA!Q96-NA!P96)/(NA!Q$113-NA!P$113)</f>
        <v>0.10298208234036733</v>
      </c>
      <c r="R94" s="10">
        <f>(NA!R96-NA!Q96)/(NA!R$113-NA!Q$113)</f>
        <v>0.11998474019632024</v>
      </c>
      <c r="S94" s="10">
        <f>(NA!S96-NA!R96)/(NA!S$113-NA!R$113)</f>
        <v>0.13335746701137352</v>
      </c>
      <c r="T94" s="10">
        <f>(NA!T96-NA!S96)/(NA!T$113-NA!S$113)</f>
        <v>0.11650769509336818</v>
      </c>
      <c r="U94" s="10">
        <f>(NA!U96-NA!T96)/(NA!U$113-NA!T$113)</f>
        <v>9.5254669702052611E-2</v>
      </c>
      <c r="V94" s="10">
        <f>(NA!V96-NA!U96)/(NA!V$113-NA!U$113)</f>
        <v>8.9464639711882982E-2</v>
      </c>
      <c r="W94" s="10"/>
      <c r="X94" s="10"/>
      <c r="Y94" s="10"/>
      <c r="Z94" s="10"/>
      <c r="AA94" s="10"/>
      <c r="AB94" s="10"/>
      <c r="AF94" s="10">
        <f>(NA!AM96-NA!AL96)/(NA!AM$113-NA!AL$113)</f>
        <v>0.11204220276168153</v>
      </c>
      <c r="AG94" s="10">
        <f>(NA!AN96-NA!AM96)/(NA!AN$113-NA!AM$113)</f>
        <v>8.8402776855993737E-2</v>
      </c>
      <c r="AH94" s="10">
        <f>(NA!AO96-NA!AN96)/(NA!AO$113-NA!AN$113)</f>
        <v>4.2333371374640882E-2</v>
      </c>
      <c r="AI94" s="10">
        <f>(NA!AP96-NA!AO96)/(NA!AP$113-NA!AO$113)</f>
        <v>3.0767019186980691E-2</v>
      </c>
      <c r="AJ94" s="10">
        <f>(NA!AQ96-NA!AP96)/(NA!AQ$113-NA!AP$113)</f>
        <v>-0.29122086673684155</v>
      </c>
      <c r="AK94" s="10">
        <f>(NA!AR96-NA!AQ96)/(NA!AR$113-NA!AQ$113)</f>
        <v>8.8083389747617577E-2</v>
      </c>
      <c r="AL94" s="10">
        <f>(NA!AS96-NA!AR96)/(NA!AS$113-NA!AR$113)</f>
        <v>8.8254114635756248E-2</v>
      </c>
      <c r="AM94" s="10">
        <f>(NA!AT96-NA!AS96)/(NA!AT$113-NA!AS$113)</f>
        <v>0.12462215234657358</v>
      </c>
      <c r="AN94" s="10">
        <f>(NA!AU96-NA!AT96)/(NA!AU$113-NA!AT$113)</f>
        <v>0.11704043863424739</v>
      </c>
      <c r="AO94" s="10">
        <f>(NA!AV96-NA!AU96)/(NA!AV$113-NA!AU$113)</f>
        <v>0.1526502066767835</v>
      </c>
      <c r="AP94" s="10">
        <f>(NA!AW96-NA!AV96)/(NA!AW$113-NA!AV$113)</f>
        <v>7.6845703681495556E-2</v>
      </c>
      <c r="AQ94" s="10">
        <f>(NA!AX96-NA!AW96)/(NA!AX$113-NA!AW$113)</f>
        <v>0.10822873403361505</v>
      </c>
      <c r="AR94" s="10">
        <f>(NA!AY96-NA!AX96)/(NA!AY$113-NA!AX$113)</f>
        <v>7.4230034932308508E-2</v>
      </c>
      <c r="AS94" s="10">
        <f>(NA!AZ96-NA!AY96)/(NA!AZ$113-NA!AY$113)</f>
        <v>6.0149270729862897E-2</v>
      </c>
      <c r="AT94" s="10">
        <f>(NA!BA96-NA!AZ96)/(NA!BA$113-NA!AZ$113)</f>
        <v>7.6451285591154064E-2</v>
      </c>
      <c r="AU94" s="10">
        <f>(NA!BB96-NA!BA96)/(NA!BB$113-NA!BA$113)</f>
        <v>7.8284526781915678E-2</v>
      </c>
      <c r="AV94" s="10">
        <f>(NA!BC96-NA!BB96)/(NA!BC$113-NA!BB$113)</f>
        <v>8.0597921542108611E-2</v>
      </c>
      <c r="AW94" s="10">
        <f>(NA!BD96-NA!BC96)/(NA!BD$113-NA!BC$113)</f>
        <v>8.07010979680063E-2</v>
      </c>
      <c r="AX94" s="10">
        <f>(NA!BE96-NA!BD96)/(NA!BE$113-NA!BD$113)</f>
        <v>7.9444883404475433E-2</v>
      </c>
      <c r="AY94" s="10">
        <f>(NA!BF96-NA!BE96)/(NA!BF$113-NA!BE$113)</f>
        <v>7.8675782294511845E-2</v>
      </c>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row>
    <row r="95" spans="5:182" x14ac:dyDescent="0.2">
      <c r="E95" s="191" t="s">
        <v>107</v>
      </c>
      <c r="G95" s="10"/>
      <c r="H95" s="10"/>
      <c r="I95" s="10"/>
      <c r="J95" s="10"/>
      <c r="K95" s="10"/>
      <c r="L95" s="10">
        <f>(NA!L97-NA!K97)/(NA!L$113-NA!K$113)</f>
        <v>-1.5484635007928817E-3</v>
      </c>
      <c r="M95" s="10">
        <f>(NA!M97-NA!L97)/(NA!M$113-NA!L$113)</f>
        <v>-1.3206683418533079E-3</v>
      </c>
      <c r="N95" s="10">
        <f>(NA!N97-NA!M97)/(NA!N$113-NA!M$113)</f>
        <v>9.555002167699651E-3</v>
      </c>
      <c r="O95" s="10">
        <f>(NA!O97-NA!N97)/(NA!O$113-NA!N$113)</f>
        <v>2.5435656427556495E-2</v>
      </c>
      <c r="P95" s="10">
        <f>(NA!P97-NA!O97)/(NA!P$113-NA!O$113)</f>
        <v>1.0925360089853654E-2</v>
      </c>
      <c r="Q95" s="10">
        <f>(NA!Q97-NA!P97)/(NA!Q$113-NA!P$113)</f>
        <v>-1.3589008511394332E-4</v>
      </c>
      <c r="R95" s="10">
        <f>(NA!R97-NA!Q97)/(NA!R$113-NA!Q$113)</f>
        <v>6.6313481730020394E-3</v>
      </c>
      <c r="S95" s="10">
        <f>(NA!S97-NA!R97)/(NA!S$113-NA!R$113)</f>
        <v>1.8113731766767959E-2</v>
      </c>
      <c r="T95" s="10">
        <f>(NA!T97-NA!S97)/(NA!T$113-NA!S$113)</f>
        <v>1.100129028840134E-2</v>
      </c>
      <c r="U95" s="10">
        <f>(NA!U97-NA!T97)/(NA!U$113-NA!T$113)</f>
        <v>1.4846011696490892E-2</v>
      </c>
      <c r="V95" s="10">
        <f>(NA!V97-NA!U97)/(NA!V$113-NA!U$113)</f>
        <v>5.5110918277384898E-3</v>
      </c>
      <c r="W95" s="10"/>
      <c r="X95" s="10"/>
      <c r="Y95" s="10"/>
      <c r="Z95" s="10"/>
      <c r="AA95" s="10"/>
      <c r="AB95" s="10"/>
      <c r="AF95" s="10">
        <f>(NA!AM97-NA!AL97)/(NA!AM$113-NA!AL$113)</f>
        <v>1.9055375517176797E-2</v>
      </c>
      <c r="AG95" s="10">
        <f>(NA!AN97-NA!AM97)/(NA!AN$113-NA!AM$113)</f>
        <v>2.8695063514607697E-2</v>
      </c>
      <c r="AH95" s="10">
        <f>(NA!AO97-NA!AN97)/(NA!AO$113-NA!AN$113)</f>
        <v>-2.8159644839052572E-3</v>
      </c>
      <c r="AI95" s="10">
        <f>(NA!AP97-NA!AO97)/(NA!AP$113-NA!AO$113)</f>
        <v>3.6937544693835611E-3</v>
      </c>
      <c r="AJ95" s="10">
        <f>(NA!AQ97-NA!AP97)/(NA!AQ$113-NA!AP$113)</f>
        <v>-3.3144136730490312E-2</v>
      </c>
      <c r="AK95" s="10">
        <f>(NA!AR97-NA!AQ97)/(NA!AR$113-NA!AQ$113)</f>
        <v>9.868960616014652E-3</v>
      </c>
      <c r="AL95" s="10">
        <f>(NA!AS97-NA!AR97)/(NA!AS$113-NA!AR$113)</f>
        <v>1.1871206351636772E-2</v>
      </c>
      <c r="AM95" s="10">
        <f>(NA!AT97-NA!AS97)/(NA!AT$113-NA!AS$113)</f>
        <v>-1.7778134600710892E-2</v>
      </c>
      <c r="AN95" s="10">
        <f>(NA!AU97-NA!AT97)/(NA!AU$113-NA!AT$113)</f>
        <v>2.212897398918497E-2</v>
      </c>
      <c r="AO95" s="10">
        <f>(NA!AV97-NA!AU97)/(NA!AV$113-NA!AU$113)</f>
        <v>1.3366236015687968E-2</v>
      </c>
      <c r="AP95" s="10">
        <f>(NA!AW97-NA!AV97)/(NA!AW$113-NA!AV$113)</f>
        <v>8.4060512467342089E-3</v>
      </c>
      <c r="AQ95" s="10">
        <f>(NA!AX97-NA!AW97)/(NA!AX$113-NA!AW$113)</f>
        <v>1.9384694698814858E-2</v>
      </c>
      <c r="AR95" s="10">
        <f>(NA!AY97-NA!AX97)/(NA!AY$113-NA!AX$113)</f>
        <v>-5.7529134040423943E-3</v>
      </c>
      <c r="AS95" s="10">
        <f>(NA!AZ97-NA!AY97)/(NA!AZ$113-NA!AY$113)</f>
        <v>5.3863798364229042E-3</v>
      </c>
      <c r="AT95" s="10">
        <f>(NA!BA97-NA!AZ97)/(NA!BA$113-NA!AZ$113)</f>
        <v>1.6993499481919701E-2</v>
      </c>
      <c r="AU95" s="10">
        <f>(NA!BB97-NA!BA97)/(NA!BB$113-NA!BA$113)</f>
        <v>1.2591187681996917E-2</v>
      </c>
      <c r="AV95" s="10">
        <f>(NA!BC97-NA!BB97)/(NA!BC$113-NA!BB$113)</f>
        <v>1.3034071703701787E-2</v>
      </c>
      <c r="AW95" s="10">
        <f>(NA!BD97-NA!BC97)/(NA!BD$113-NA!BC$113)</f>
        <v>1.265419589743229E-2</v>
      </c>
      <c r="AX95" s="10">
        <f>(NA!BE97-NA!BD97)/(NA!BE$113-NA!BD$113)</f>
        <v>1.2379943721026332E-2</v>
      </c>
      <c r="AY95" s="10">
        <f>(NA!BF97-NA!BE97)/(NA!BF$113-NA!BE$113)</f>
        <v>1.234124376766029E-2</v>
      </c>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row>
    <row r="96" spans="5:182" x14ac:dyDescent="0.2">
      <c r="E96" s="191" t="s">
        <v>134</v>
      </c>
      <c r="G96" s="10"/>
      <c r="H96" s="10"/>
      <c r="I96" s="10"/>
      <c r="J96" s="10"/>
      <c r="K96" s="10"/>
      <c r="L96" s="10">
        <f>(NA!L98-NA!K98)/(NA!L$113-NA!K$113)</f>
        <v>1.864772480975738E-2</v>
      </c>
      <c r="M96" s="10">
        <f>(NA!M98-NA!L98)/(NA!M$113-NA!L$113)</f>
        <v>1.5371065721100073E-2</v>
      </c>
      <c r="N96" s="10">
        <f>(NA!N98-NA!M98)/(NA!N$113-NA!M$113)</f>
        <v>6.9929640282648661E-3</v>
      </c>
      <c r="O96" s="10">
        <f>(NA!O98-NA!N98)/(NA!O$113-NA!N$113)</f>
        <v>2.1638581683235552E-2</v>
      </c>
      <c r="P96" s="10">
        <f>(NA!P98-NA!O98)/(NA!P$113-NA!O$113)</f>
        <v>7.6717099046329845E-3</v>
      </c>
      <c r="Q96" s="10">
        <f>(NA!Q98-NA!P98)/(NA!Q$113-NA!P$113)</f>
        <v>6.1756692084806841E-3</v>
      </c>
      <c r="R96" s="10">
        <f>(NA!R98-NA!Q98)/(NA!R$113-NA!Q$113)</f>
        <v>-4.9277486468885436E-3</v>
      </c>
      <c r="S96" s="10">
        <f>(NA!S98-NA!R98)/(NA!S$113-NA!R$113)</f>
        <v>-4.3325137565304187E-3</v>
      </c>
      <c r="T96" s="10">
        <f>(NA!T98-NA!S98)/(NA!T$113-NA!S$113)</f>
        <v>6.2912926453761375E-3</v>
      </c>
      <c r="U96" s="10">
        <f>(NA!U98-NA!T98)/(NA!U$113-NA!T$113)</f>
        <v>5.4462091322295524E-3</v>
      </c>
      <c r="V96" s="10">
        <f>(NA!V98-NA!U98)/(NA!V$113-NA!U$113)</f>
        <v>5.6726971452538549E-4</v>
      </c>
      <c r="W96" s="10"/>
      <c r="X96" s="10"/>
      <c r="Y96" s="10"/>
      <c r="Z96" s="10"/>
      <c r="AA96" s="10"/>
      <c r="AB96" s="10"/>
      <c r="AF96" s="10">
        <f>(NA!AM98-NA!AL98)/(NA!AM$113-NA!AL$113)</f>
        <v>3.3655510593256412E-3</v>
      </c>
      <c r="AG96" s="10">
        <f>(NA!AN98-NA!AM98)/(NA!AN$113-NA!AM$113)</f>
        <v>3.7033595709943319E-3</v>
      </c>
      <c r="AH96" s="10">
        <f>(NA!AO98-NA!AN98)/(NA!AO$113-NA!AN$113)</f>
        <v>1.927404057056388E-2</v>
      </c>
      <c r="AI96" s="10">
        <f>(NA!AP98-NA!AO98)/(NA!AP$113-NA!AO$113)</f>
        <v>2.2825773832794538E-3</v>
      </c>
      <c r="AJ96" s="10">
        <f>(NA!AQ98-NA!AP98)/(NA!AQ$113-NA!AP$113)</f>
        <v>-2.7322162028631775E-2</v>
      </c>
      <c r="AK96" s="10">
        <f>(NA!AR98-NA!AQ98)/(NA!AR$113-NA!AQ$113)</f>
        <v>8.6280030693230772E-3</v>
      </c>
      <c r="AL96" s="10">
        <f>(NA!AS98-NA!AR98)/(NA!AS$113-NA!AR$113)</f>
        <v>6.8154937313100947E-3</v>
      </c>
      <c r="AM96" s="10">
        <f>(NA!AT98-NA!AS98)/(NA!AT$113-NA!AS$113)</f>
        <v>5.2355634353411515E-3</v>
      </c>
      <c r="AN96" s="10">
        <f>(NA!AU98-NA!AT98)/(NA!AU$113-NA!AT$113)</f>
        <v>-1.138045430901383E-2</v>
      </c>
      <c r="AO96" s="10">
        <f>(NA!AV98-NA!AU98)/(NA!AV$113-NA!AU$113)</f>
        <v>4.0007488396765932E-3</v>
      </c>
      <c r="AP96" s="10">
        <f>(NA!AW98-NA!AV98)/(NA!AW$113-NA!AV$113)</f>
        <v>8.8048846667967504E-3</v>
      </c>
      <c r="AQ96" s="10">
        <f>(NA!AX98-NA!AW98)/(NA!AX$113-NA!AW$113)</f>
        <v>3.0791195083115009E-3</v>
      </c>
      <c r="AR96" s="10">
        <f>(NA!AY98-NA!AX98)/(NA!AY$113-NA!AX$113)</f>
        <v>-1.4721060324653747E-3</v>
      </c>
      <c r="AS96" s="10">
        <f>(NA!AZ98-NA!AY98)/(NA!AZ$113-NA!AY$113)</f>
        <v>4.2115150940322879E-3</v>
      </c>
      <c r="AT96" s="10">
        <f>(NA!BA98-NA!AZ98)/(NA!BA$113-NA!AZ$113)</f>
        <v>3.1519721891273673E-3</v>
      </c>
      <c r="AU96" s="10">
        <f>(NA!BB98-NA!BA98)/(NA!BB$113-NA!BA$113)</f>
        <v>4.1585670016169203E-3</v>
      </c>
      <c r="AV96" s="10">
        <f>(NA!BC98-NA!BB98)/(NA!BC$113-NA!BB$113)</f>
        <v>4.0721787107756945E-3</v>
      </c>
      <c r="AW96" s="10">
        <f>(NA!BD98-NA!BC98)/(NA!BD$113-NA!BC$113)</f>
        <v>3.7488779257717052E-3</v>
      </c>
      <c r="AX96" s="10">
        <f>(NA!BE98-NA!BD98)/(NA!BE$113-NA!BD$113)</f>
        <v>3.5805531640386119E-3</v>
      </c>
      <c r="AY96" s="10">
        <f>(NA!BF98-NA!BE98)/(NA!BF$113-NA!BE$113)</f>
        <v>3.2073531616079835E-3</v>
      </c>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row>
    <row r="97" spans="5:182" x14ac:dyDescent="0.2">
      <c r="E97" s="191" t="s">
        <v>109</v>
      </c>
      <c r="G97" s="10"/>
      <c r="H97" s="10"/>
      <c r="I97" s="10"/>
      <c r="J97" s="10"/>
      <c r="K97" s="10"/>
      <c r="L97" s="10">
        <f>(NA!L99-NA!K99)/(NA!L$113-NA!K$113)</f>
        <v>5.9086013534531606E-2</v>
      </c>
      <c r="M97" s="10">
        <f>(NA!M99-NA!L99)/(NA!M$113-NA!L$113)</f>
        <v>5.7212937464514647E-2</v>
      </c>
      <c r="N97" s="10">
        <f>(NA!N99-NA!M99)/(NA!N$113-NA!M$113)</f>
        <v>0.11697080400957864</v>
      </c>
      <c r="O97" s="10">
        <f>(NA!O99-NA!N99)/(NA!O$113-NA!N$113)</f>
        <v>0.31120400068594367</v>
      </c>
      <c r="P97" s="10">
        <f>(NA!P99-NA!O99)/(NA!P$113-NA!O$113)</f>
        <v>0.1049038509658176</v>
      </c>
      <c r="Q97" s="10">
        <f>(NA!Q99-NA!P99)/(NA!Q$113-NA!P$113)</f>
        <v>0.17133562495136376</v>
      </c>
      <c r="R97" s="10">
        <f>(NA!R99-NA!Q99)/(NA!R$113-NA!Q$113)</f>
        <v>0.201918113791967</v>
      </c>
      <c r="S97" s="10">
        <f>(NA!S99-NA!R99)/(NA!S$113-NA!R$113)</f>
        <v>0.14778342824036819</v>
      </c>
      <c r="T97" s="10">
        <f>(NA!T99-NA!S99)/(NA!T$113-NA!S$113)</f>
        <v>4.4253500997194821E-2</v>
      </c>
      <c r="U97" s="10">
        <f>(NA!U99-NA!T99)/(NA!U$113-NA!T$113)</f>
        <v>4.6385562525194268E-2</v>
      </c>
      <c r="V97" s="10">
        <f>(NA!V99-NA!U99)/(NA!V$113-NA!U$113)</f>
        <v>0.19672048125610445</v>
      </c>
      <c r="W97" s="10"/>
      <c r="X97" s="10"/>
      <c r="Y97" s="10"/>
      <c r="Z97" s="10"/>
      <c r="AA97" s="10"/>
      <c r="AB97" s="10"/>
      <c r="AF97" s="10">
        <f>(NA!AM99-NA!AL99)/(NA!AM$113-NA!AL$113)</f>
        <v>9.9746306690806308E-2</v>
      </c>
      <c r="AG97" s="10">
        <f>(NA!AN99-NA!AM99)/(NA!AN$113-NA!AM$113)</f>
        <v>8.9013366606050144E-3</v>
      </c>
      <c r="AH97" s="10">
        <f>(NA!AO99-NA!AN99)/(NA!AO$113-NA!AN$113)</f>
        <v>6.1189244657095056E-2</v>
      </c>
      <c r="AI97" s="10">
        <f>(NA!AP99-NA!AO99)/(NA!AP$113-NA!AO$113)</f>
        <v>4.3878531703526714E-2</v>
      </c>
      <c r="AJ97" s="10">
        <f>(NA!AQ99-NA!AP99)/(NA!AQ$113-NA!AP$113)</f>
        <v>-0.41550576893530589</v>
      </c>
      <c r="AK97" s="10">
        <f>(NA!AR99-NA!AQ99)/(NA!AR$113-NA!AQ$113)</f>
        <v>0.11809184857490954</v>
      </c>
      <c r="AL97" s="10">
        <f>(NA!AS99-NA!AR99)/(NA!AS$113-NA!AR$113)</f>
        <v>9.3095989879298471E-2</v>
      </c>
      <c r="AM97" s="10">
        <f>(NA!AT99-NA!AS99)/(NA!AT$113-NA!AS$113)</f>
        <v>0.28629453945858935</v>
      </c>
      <c r="AN97" s="10">
        <f>(NA!AU99-NA!AT99)/(NA!AU$113-NA!AT$113)</f>
        <v>0.14834736488218347</v>
      </c>
      <c r="AO97" s="10">
        <f>(NA!AV99-NA!AU99)/(NA!AV$113-NA!AU$113)</f>
        <v>0.14711664734332736</v>
      </c>
      <c r="AP97" s="10">
        <f>(NA!AW99-NA!AV99)/(NA!AW$113-NA!AV$113)</f>
        <v>-6.8626236692385059E-2</v>
      </c>
      <c r="AQ97" s="10">
        <f>(NA!AX99-NA!AW99)/(NA!AX$113-NA!AW$113)</f>
        <v>0.12744228674704089</v>
      </c>
      <c r="AR97" s="10">
        <f>(NA!AY99-NA!AX99)/(NA!AY$113-NA!AX$113)</f>
        <v>0.25296758250658746</v>
      </c>
      <c r="AS97" s="10">
        <f>(NA!AZ99-NA!AY99)/(NA!AZ$113-NA!AY$113)</f>
        <v>5.5169279061523371E-2</v>
      </c>
      <c r="AT97" s="10">
        <f>(NA!BA99-NA!AZ99)/(NA!BA$113-NA!AZ$113)</f>
        <v>0.20273930862985046</v>
      </c>
      <c r="AU97" s="10">
        <f>(NA!BB99-NA!BA99)/(NA!BB$113-NA!BA$113)</f>
        <v>0.20469652278714504</v>
      </c>
      <c r="AV97" s="10">
        <f>(NA!BC99-NA!BB99)/(NA!BC$113-NA!BB$113)</f>
        <v>0.18682853219372381</v>
      </c>
      <c r="AW97" s="10">
        <f>(NA!BD99-NA!BC99)/(NA!BD$113-NA!BC$113)</f>
        <v>0.19419077499396104</v>
      </c>
      <c r="AX97" s="10">
        <f>(NA!BE99-NA!BD99)/(NA!BE$113-NA!BD$113)</f>
        <v>0.19157779361000465</v>
      </c>
      <c r="AY97" s="10">
        <f>(NA!BF99-NA!BE99)/(NA!BF$113-NA!BE$113)</f>
        <v>0.20258471836421954</v>
      </c>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row>
    <row r="98" spans="5:182" x14ac:dyDescent="0.2">
      <c r="E98" s="192" t="s">
        <v>110</v>
      </c>
      <c r="G98" s="10"/>
      <c r="H98" s="10"/>
      <c r="I98" s="10"/>
      <c r="J98" s="10"/>
      <c r="K98" s="10"/>
      <c r="L98" s="10">
        <f>(NA!L100-NA!K100)/(NA!L$113-NA!K$113)</f>
        <v>0.50165412366310269</v>
      </c>
      <c r="M98" s="10">
        <f>(NA!M100-NA!L100)/(NA!M$113-NA!L$113)</f>
        <v>0.43794893313580596</v>
      </c>
      <c r="N98" s="10">
        <f>(NA!N100-NA!M100)/(NA!N$113-NA!M$113)</f>
        <v>0.51606626534387512</v>
      </c>
      <c r="O98" s="10">
        <f>(NA!O100-NA!N100)/(NA!O$113-NA!N$113)</f>
        <v>1.1935997417928104</v>
      </c>
      <c r="P98" s="10">
        <f>(NA!P100-NA!O100)/(NA!P$113-NA!O$113)</f>
        <v>0.49670209336478055</v>
      </c>
      <c r="Q98" s="10">
        <f>(NA!Q100-NA!P100)/(NA!Q$113-NA!P$113)</f>
        <v>0.57315136292375157</v>
      </c>
      <c r="R98" s="10">
        <f>(NA!R100-NA!Q100)/(NA!R$113-NA!Q$113)</f>
        <v>0.61010269829722641</v>
      </c>
      <c r="S98" s="10">
        <f>(NA!S100-NA!R100)/(NA!S$113-NA!R$113)</f>
        <v>0.49753902368318886</v>
      </c>
      <c r="T98" s="10">
        <f>(NA!T100-NA!S100)/(NA!T$113-NA!S$113)</f>
        <v>0.48401735591403472</v>
      </c>
      <c r="U98" s="10">
        <f>(NA!U100-NA!T100)/(NA!U$113-NA!T$113)</f>
        <v>0.59909415351375528</v>
      </c>
      <c r="V98" s="10">
        <f>(NA!V100-NA!U100)/(NA!V$113-NA!U$113)</f>
        <v>0.58138624741384093</v>
      </c>
      <c r="W98" s="10"/>
      <c r="X98" s="10"/>
      <c r="Y98" s="10"/>
      <c r="Z98" s="10"/>
      <c r="AA98" s="10"/>
      <c r="AB98" s="10"/>
      <c r="AF98" s="10">
        <f>(NA!AM100-NA!AL100)/(NA!AM$113-NA!AL$113)</f>
        <v>0.46231490888040089</v>
      </c>
      <c r="AG98" s="10">
        <f>(NA!AN100-NA!AM100)/(NA!AN$113-NA!AM$113)</f>
        <v>0.52509391135829675</v>
      </c>
      <c r="AH98" s="10">
        <f>(NA!AO100-NA!AN100)/(NA!AO$113-NA!AN$113)</f>
        <v>0.50067176621740939</v>
      </c>
      <c r="AI98" s="10">
        <f>(NA!AP100-NA!AO100)/(NA!AP$113-NA!AO$113)</f>
        <v>0.22761012723332413</v>
      </c>
      <c r="AJ98" s="10">
        <f>(NA!AQ100-NA!AP100)/(NA!AQ$113-NA!AP$113)</f>
        <v>-1.5853342113424245</v>
      </c>
      <c r="AK98" s="10">
        <f>(NA!AR100-NA!AQ100)/(NA!AR$113-NA!AQ$113)</f>
        <v>0.4551399897737059</v>
      </c>
      <c r="AL98" s="10">
        <f>(NA!AS100-NA!AR100)/(NA!AS$113-NA!AR$113)</f>
        <v>0.53391468319180979</v>
      </c>
      <c r="AM98" s="10">
        <f>(NA!AT100-NA!AS100)/(NA!AT$113-NA!AS$113)</f>
        <v>0.63080252792083724</v>
      </c>
      <c r="AN98" s="10">
        <f>(NA!AU100-NA!AT100)/(NA!AU$113-NA!AT$113)</f>
        <v>0.59696033813583482</v>
      </c>
      <c r="AO98" s="10">
        <f>(NA!AV100-NA!AU100)/(NA!AV$113-NA!AU$113)</f>
        <v>0.37998639751893232</v>
      </c>
      <c r="AP98" s="10">
        <f>(NA!AW100-NA!AV100)/(NA!AW$113-NA!AV$113)</f>
        <v>0.59817862467126603</v>
      </c>
      <c r="AQ98" s="10">
        <f>(NA!AX100-NA!AW100)/(NA!AX$113-NA!AW$113)</f>
        <v>0.59973938964959095</v>
      </c>
      <c r="AR98" s="10">
        <f>(NA!AY100-NA!AX100)/(NA!AY$113-NA!AX$113)</f>
        <v>0.56648529543444592</v>
      </c>
      <c r="AS98" s="10">
        <f>(NA!AZ100-NA!AY100)/(NA!AZ$113-NA!AY$113)</f>
        <v>0.67519402617782887</v>
      </c>
      <c r="AT98" s="10">
        <f>(NA!BA100-NA!AZ100)/(NA!BA$113-NA!AZ$113)</f>
        <v>0.55351611044854676</v>
      </c>
      <c r="AU98" s="10">
        <f>(NA!BB100-NA!BA100)/(NA!BB$113-NA!BA$113)</f>
        <v>0.5483999595336787</v>
      </c>
      <c r="AV98" s="10">
        <f>(NA!BC100-NA!BB100)/(NA!BC$113-NA!BB$113)</f>
        <v>0.56937503767053299</v>
      </c>
      <c r="AW98" s="10">
        <f>(NA!BD100-NA!BC100)/(NA!BD$113-NA!BC$113)</f>
        <v>0.57918838806165507</v>
      </c>
      <c r="AX98" s="10">
        <f>(NA!BE100-NA!BD100)/(NA!BE$113-NA!BD$113)</f>
        <v>0.58388763057161075</v>
      </c>
      <c r="AY98" s="10">
        <f>(NA!BF100-NA!BE100)/(NA!BF$113-NA!BE$113)</f>
        <v>0.58273844765208549</v>
      </c>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row>
    <row r="99" spans="5:182" x14ac:dyDescent="0.2">
      <c r="E99" s="191" t="s">
        <v>111</v>
      </c>
      <c r="G99" s="10"/>
      <c r="H99" s="10"/>
      <c r="I99" s="10"/>
      <c r="J99" s="10"/>
      <c r="K99" s="10"/>
      <c r="L99" s="10">
        <f>(NA!L101-NA!K101)/(NA!L$113-NA!K$113)</f>
        <v>4.7999596130572676E-2</v>
      </c>
      <c r="M99" s="10">
        <f>(NA!M101-NA!L101)/(NA!M$113-NA!L$113)</f>
        <v>4.5420610653389031E-2</v>
      </c>
      <c r="N99" s="10">
        <f>(NA!N101-NA!M101)/(NA!N$113-NA!M$113)</f>
        <v>0.12344690072567832</v>
      </c>
      <c r="O99" s="10">
        <f>(NA!O101-NA!N101)/(NA!O$113-NA!N$113)</f>
        <v>0.25872686915541199</v>
      </c>
      <c r="P99" s="10">
        <f>(NA!P101-NA!O101)/(NA!P$113-NA!O$113)</f>
        <v>0.11624900776426461</v>
      </c>
      <c r="Q99" s="10">
        <f>(NA!Q101-NA!P101)/(NA!Q$113-NA!P$113)</f>
        <v>0.16889172366025837</v>
      </c>
      <c r="R99" s="10">
        <f>(NA!R101-NA!Q101)/(NA!R$113-NA!Q$113)</f>
        <v>0.18616658432413122</v>
      </c>
      <c r="S99" s="10">
        <f>(NA!S101-NA!R101)/(NA!S$113-NA!R$113)</f>
        <v>0.15495408964728263</v>
      </c>
      <c r="T99" s="10">
        <f>(NA!T101-NA!S101)/(NA!T$113-NA!S$113)</f>
        <v>9.2592970505847041E-2</v>
      </c>
      <c r="U99" s="10">
        <f>(NA!U101-NA!T101)/(NA!U$113-NA!T$113)</f>
        <v>0.11799808676505956</v>
      </c>
      <c r="V99" s="10">
        <f>(NA!V101-NA!U101)/(NA!V$113-NA!U$113)</f>
        <v>0.16014127335514725</v>
      </c>
      <c r="W99" s="10"/>
      <c r="X99" s="10"/>
      <c r="Y99" s="10"/>
      <c r="Z99" s="10"/>
      <c r="AA99" s="10"/>
      <c r="AB99" s="10"/>
      <c r="AF99" s="10">
        <f>(NA!AM101-NA!AL101)/(NA!AM$113-NA!AL$113)</f>
        <v>0.17010789059972645</v>
      </c>
      <c r="AG99" s="10">
        <f>(NA!AN101-NA!AM101)/(NA!AN$113-NA!AM$113)</f>
        <v>0.12206220051236444</v>
      </c>
      <c r="AH99" s="10">
        <f>(NA!AO101-NA!AN101)/(NA!AO$113-NA!AN$113)</f>
        <v>4.4895645198593695E-2</v>
      </c>
      <c r="AI99" s="10">
        <f>(NA!AP101-NA!AO101)/(NA!AP$113-NA!AO$113)</f>
        <v>4.7181063768732913E-2</v>
      </c>
      <c r="AJ99" s="10">
        <f>(NA!AQ101-NA!AP101)/(NA!AQ$113-NA!AP$113)</f>
        <v>-0.43214906331230307</v>
      </c>
      <c r="AK99" s="10">
        <f>(NA!AR101-NA!AQ101)/(NA!AR$113-NA!AQ$113)</f>
        <v>7.5137018381708456E-2</v>
      </c>
      <c r="AL99" s="10">
        <f>(NA!AS101-NA!AR101)/(NA!AS$113-NA!AR$113)</f>
        <v>0.15305858826381144</v>
      </c>
      <c r="AM99" s="10">
        <f>(NA!AT101-NA!AS101)/(NA!AT$113-NA!AS$113)</f>
        <v>0.19215563659575291</v>
      </c>
      <c r="AN99" s="10">
        <f>(NA!AU101-NA!AT101)/(NA!AU$113-NA!AT$113)</f>
        <v>0.18236412394594212</v>
      </c>
      <c r="AO99" s="10">
        <f>(NA!AV101-NA!AU101)/(NA!AV$113-NA!AU$113)</f>
        <v>0.12254532968671639</v>
      </c>
      <c r="AP99" s="10">
        <f>(NA!AW101-NA!AV101)/(NA!AW$113-NA!AV$113)</f>
        <v>5.9723915187010979E-2</v>
      </c>
      <c r="AQ99" s="10">
        <f>(NA!AX101-NA!AW101)/(NA!AX$113-NA!AW$113)</f>
        <v>0.1590679029664607</v>
      </c>
      <c r="AR99" s="10">
        <f>(NA!AY101-NA!AX101)/(NA!AY$113-NA!AX$113)</f>
        <v>0.16101274486735362</v>
      </c>
      <c r="AS99" s="10">
        <f>(NA!AZ101-NA!AY101)/(NA!AZ$113-NA!AY$113)</f>
        <v>7.6664521580839334E-2</v>
      </c>
      <c r="AT99" s="10">
        <f>(NA!BA101-NA!AZ101)/(NA!BA$113-NA!AZ$113)</f>
        <v>7.3101159329567303E-2</v>
      </c>
      <c r="AU99" s="10">
        <f>(NA!BB101-NA!BA101)/(NA!BB$113-NA!BA$113)</f>
        <v>0.15581412341222237</v>
      </c>
      <c r="AV99" s="10">
        <f>(NA!BC101-NA!BB101)/(NA!BC$113-NA!BB$113)</f>
        <v>0.16275558702559903</v>
      </c>
      <c r="AW99" s="10">
        <f>(NA!BD101-NA!BC101)/(NA!BD$113-NA!BC$113)</f>
        <v>0.16750467444750314</v>
      </c>
      <c r="AX99" s="10">
        <f>(NA!BE101-NA!BD101)/(NA!BE$113-NA!BD$113)</f>
        <v>0.16827362006040469</v>
      </c>
      <c r="AY99" s="10">
        <f>(NA!BF101-NA!BE101)/(NA!BF$113-NA!BE$113)</f>
        <v>0.16743935988333469</v>
      </c>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row>
    <row r="100" spans="5:182" x14ac:dyDescent="0.2">
      <c r="E100" s="191" t="s">
        <v>112</v>
      </c>
      <c r="G100" s="10"/>
      <c r="H100" s="10"/>
      <c r="I100" s="10"/>
      <c r="J100" s="10"/>
      <c r="K100" s="10"/>
      <c r="L100" s="10">
        <f>(NA!L102-NA!K102)/(NA!L$113-NA!K$113)</f>
        <v>1.5019910084821718E-2</v>
      </c>
      <c r="M100" s="10">
        <f>(NA!M102-NA!L102)/(NA!M$113-NA!L$113)</f>
        <v>1.3286530929477439E-2</v>
      </c>
      <c r="N100" s="10">
        <f>(NA!N102-NA!M102)/(NA!N$113-NA!M$113)</f>
        <v>1.5876611945135795E-2</v>
      </c>
      <c r="O100" s="10">
        <f>(NA!O102-NA!N102)/(NA!O$113-NA!N$113)</f>
        <v>2.6977640165978409E-2</v>
      </c>
      <c r="P100" s="10">
        <f>(NA!P102-NA!O102)/(NA!P$113-NA!O$113)</f>
        <v>1.3120157678765365E-2</v>
      </c>
      <c r="Q100" s="10">
        <f>(NA!Q102-NA!P102)/(NA!Q$113-NA!P$113)</f>
        <v>1.5090564556431037E-2</v>
      </c>
      <c r="R100" s="10">
        <f>(NA!R102-NA!Q102)/(NA!R$113-NA!Q$113)</f>
        <v>1.3349318210156285E-2</v>
      </c>
      <c r="S100" s="10">
        <f>(NA!S102-NA!R102)/(NA!S$113-NA!R$113)</f>
        <v>1.199477817309318E-2</v>
      </c>
      <c r="T100" s="10">
        <f>(NA!T102-NA!S102)/(NA!T$113-NA!S$113)</f>
        <v>7.8355550778691531E-3</v>
      </c>
      <c r="U100" s="10">
        <f>(NA!U102-NA!T102)/(NA!U$113-NA!T$113)</f>
        <v>7.6508828323887624E-3</v>
      </c>
      <c r="V100" s="10">
        <f>(NA!V102-NA!U102)/(NA!V$113-NA!U$113)</f>
        <v>9.9326421858667979E-3</v>
      </c>
      <c r="W100" s="10"/>
      <c r="X100" s="10"/>
      <c r="Y100" s="10"/>
      <c r="Z100" s="10"/>
      <c r="AA100" s="10"/>
      <c r="AB100" s="10"/>
      <c r="AF100" s="10">
        <f>(NA!AM102-NA!AL102)/(NA!AM$113-NA!AL$113)</f>
        <v>3.6890525945390669E-2</v>
      </c>
      <c r="AG100" s="10">
        <f>(NA!AN102-NA!AM102)/(NA!AN$113-NA!AM$113)</f>
        <v>2.5294344080597848E-2</v>
      </c>
      <c r="AH100" s="10">
        <f>(NA!AO102-NA!AN102)/(NA!AO$113-NA!AN$113)</f>
        <v>1.4589310334206058E-2</v>
      </c>
      <c r="AI100" s="10">
        <f>(NA!AP102-NA!AO102)/(NA!AP$113-NA!AO$113)</f>
        <v>8.9177061988015855E-3</v>
      </c>
      <c r="AJ100" s="10">
        <f>(NA!AQ102-NA!AP102)/(NA!AQ$113-NA!AP$113)</f>
        <v>-3.4818956359800958E-2</v>
      </c>
      <c r="AK100" s="10">
        <f>(NA!AR102-NA!AQ102)/(NA!AR$113-NA!AQ$113)</f>
        <v>1.0556127414814782E-2</v>
      </c>
      <c r="AL100" s="10">
        <f>(NA!AS102-NA!AR102)/(NA!AS$113-NA!AR$113)</f>
        <v>1.5415859731174725E-2</v>
      </c>
      <c r="AM100" s="10">
        <f>(NA!AT102-NA!AS102)/(NA!AT$113-NA!AS$113)</f>
        <v>1.461260245770017E-2</v>
      </c>
      <c r="AN100" s="10">
        <f>(NA!AU102-NA!AT102)/(NA!AU$113-NA!AT$113)</f>
        <v>1.2547256701954413E-2</v>
      </c>
      <c r="AO100" s="10">
        <f>(NA!AV102-NA!AU102)/(NA!AV$113-NA!AU$113)</f>
        <v>1.1341544987386896E-2</v>
      </c>
      <c r="AP100" s="10">
        <f>(NA!AW102-NA!AV102)/(NA!AW$113-NA!AV$113)</f>
        <v>3.9881594324261563E-3</v>
      </c>
      <c r="AQ100" s="10">
        <f>(NA!AX102-NA!AW102)/(NA!AX$113-NA!AW$113)</f>
        <v>1.0232255896295174E-2</v>
      </c>
      <c r="AR100" s="10">
        <f>(NA!AY102-NA!AX102)/(NA!AY$113-NA!AX$113)</f>
        <v>9.6893852299671773E-3</v>
      </c>
      <c r="AS100" s="10">
        <f>(NA!AZ102-NA!AY102)/(NA!AZ$113-NA!AY$113)</f>
        <v>2.0850193033578084E-2</v>
      </c>
      <c r="AT100" s="10">
        <f>(NA!BA102-NA!AZ102)/(NA!BA$113-NA!AZ$113)</f>
        <v>7.1596198118166901E-3</v>
      </c>
      <c r="AU100" s="10">
        <f>(NA!BB102-NA!BA102)/(NA!BB$113-NA!BA$113)</f>
        <v>5.4320746831697199E-3</v>
      </c>
      <c r="AV100" s="10">
        <f>(NA!BC102-NA!BB102)/(NA!BC$113-NA!BB$113)</f>
        <v>5.1297437613104071E-3</v>
      </c>
      <c r="AW100" s="10">
        <f>(NA!BD102-NA!BC102)/(NA!BD$113-NA!BC$113)</f>
        <v>5.1580692778289096E-3</v>
      </c>
      <c r="AX100" s="10">
        <f>(NA!BE102-NA!BD102)/(NA!BE$113-NA!BD$113)</f>
        <v>5.1614996450966922E-3</v>
      </c>
      <c r="AY100" s="10">
        <f>(NA!BF102-NA!BE102)/(NA!BF$113-NA!BE$113)</f>
        <v>4.9296376726518472E-3</v>
      </c>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row>
    <row r="101" spans="5:182" x14ac:dyDescent="0.2">
      <c r="E101" s="191" t="s">
        <v>113</v>
      </c>
      <c r="G101" s="10"/>
      <c r="H101" s="10"/>
      <c r="I101" s="10"/>
      <c r="J101" s="10"/>
      <c r="K101" s="10"/>
      <c r="L101" s="10">
        <f>(NA!L103-NA!K103)/(NA!L$113-NA!K$113)</f>
        <v>6.948897604062608E-2</v>
      </c>
      <c r="M101" s="10">
        <f>(NA!M103-NA!L103)/(NA!M$113-NA!L$113)</f>
        <v>5.9695433670016514E-2</v>
      </c>
      <c r="N101" s="10">
        <f>(NA!N103-NA!M103)/(NA!N$113-NA!M$113)</f>
        <v>5.3362333582618278E-2</v>
      </c>
      <c r="O101" s="10">
        <f>(NA!O103-NA!N103)/(NA!O$113-NA!N$113)</f>
        <v>0.16063003527127429</v>
      </c>
      <c r="P101" s="10">
        <f>(NA!P103-NA!O103)/(NA!P$113-NA!O$113)</f>
        <v>6.6062138241650248E-2</v>
      </c>
      <c r="Q101" s="10">
        <f>(NA!Q103-NA!P103)/(NA!Q$113-NA!P$113)</f>
        <v>8.3594120304798597E-2</v>
      </c>
      <c r="R101" s="10">
        <f>(NA!R103-NA!Q103)/(NA!R$113-NA!Q$113)</f>
        <v>5.9018877396144032E-2</v>
      </c>
      <c r="S101" s="10">
        <f>(NA!S103-NA!R103)/(NA!S$113-NA!R$113)</f>
        <v>1.950985933132416E-2</v>
      </c>
      <c r="T101" s="10">
        <f>(NA!T103-NA!S103)/(NA!T$113-NA!S$113)</f>
        <v>5.21085345559473E-2</v>
      </c>
      <c r="U101" s="10">
        <f>(NA!U103-NA!T103)/(NA!U$113-NA!T$113)</f>
        <v>9.5421340159287868E-2</v>
      </c>
      <c r="V101" s="10">
        <f>(NA!V103-NA!U103)/(NA!V$113-NA!U$113)</f>
        <v>6.6175857290287327E-2</v>
      </c>
      <c r="W101" s="10"/>
      <c r="X101" s="10"/>
      <c r="Y101" s="10"/>
      <c r="Z101" s="10"/>
      <c r="AA101" s="10"/>
      <c r="AB101" s="10"/>
      <c r="AF101" s="10">
        <f>(NA!AM103-NA!AL103)/(NA!AM$113-NA!AL$113)</f>
        <v>4.6785700097050457E-2</v>
      </c>
      <c r="AG101" s="10">
        <f>(NA!AN103-NA!AM103)/(NA!AN$113-NA!AM$113)</f>
        <v>5.1276265314520092E-2</v>
      </c>
      <c r="AH101" s="10">
        <f>(NA!AO103-NA!AN103)/(NA!AO$113-NA!AN$113)</f>
        <v>7.0252267595170143E-2</v>
      </c>
      <c r="AI101" s="10">
        <f>(NA!AP103-NA!AO103)/(NA!AP$113-NA!AO$113)</f>
        <v>2.4293463879546284E-2</v>
      </c>
      <c r="AJ101" s="10">
        <f>(NA!AQ103-NA!AP103)/(NA!AQ$113-NA!AP$113)</f>
        <v>-0.15840413133260089</v>
      </c>
      <c r="AK101" s="10">
        <f>(NA!AR103-NA!AQ103)/(NA!AR$113-NA!AQ$113)</f>
        <v>7.5851521089560989E-2</v>
      </c>
      <c r="AL101" s="10">
        <f>(NA!AS103-NA!AR103)/(NA!AS$113-NA!AR$113)</f>
        <v>5.7297223641484568E-2</v>
      </c>
      <c r="AM101" s="10">
        <f>(NA!AT103-NA!AS103)/(NA!AT$113-NA!AS$113)</f>
        <v>0.12223262740594641</v>
      </c>
      <c r="AN101" s="10">
        <f>(NA!AU103-NA!AT103)/(NA!AU$113-NA!AT$113)</f>
        <v>1.8884350451367833E-2</v>
      </c>
      <c r="AO101" s="10">
        <f>(NA!AV103-NA!AU103)/(NA!AV$113-NA!AU$113)</f>
        <v>2.0249441300570031E-2</v>
      </c>
      <c r="AP101" s="10">
        <f>(NA!AW103-NA!AV103)/(NA!AW$113-NA!AV$113)</f>
        <v>8.706999760116256E-2</v>
      </c>
      <c r="AQ101" s="10">
        <f>(NA!AX103-NA!AW103)/(NA!AX$113-NA!AW$113)</f>
        <v>0.10130710557832524</v>
      </c>
      <c r="AR101" s="10">
        <f>(NA!AY103-NA!AX103)/(NA!AY$113-NA!AX$113)</f>
        <v>3.7652728280991546E-2</v>
      </c>
      <c r="AS101" s="10">
        <f>(NA!AZ103-NA!AY103)/(NA!AZ$113-NA!AY$113)</f>
        <v>4.7133173144238101E-2</v>
      </c>
      <c r="AT101" s="10">
        <f>(NA!BA103-NA!AZ103)/(NA!BA$113-NA!AZ$113)</f>
        <v>0.11174792284335996</v>
      </c>
      <c r="AU101" s="10">
        <f>(NA!BB103-NA!BA103)/(NA!BB$113-NA!BA$113)</f>
        <v>0.11738356981099923</v>
      </c>
      <c r="AV101" s="10">
        <f>(NA!BC103-NA!BB103)/(NA!BC$113-NA!BB$113)</f>
        <v>0.12565400903112647</v>
      </c>
      <c r="AW101" s="10">
        <f>(NA!BD103-NA!BC103)/(NA!BD$113-NA!BC$113)</f>
        <v>0.13259925088148641</v>
      </c>
      <c r="AX101" s="10">
        <f>(NA!BE103-NA!BD103)/(NA!BE$113-NA!BD$113)</f>
        <v>0.13773643739689789</v>
      </c>
      <c r="AY101" s="10">
        <f>(NA!BF103-NA!BE103)/(NA!BF$113-NA!BE$113)</f>
        <v>0.14092513805279674</v>
      </c>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row>
    <row r="102" spans="5:182" x14ac:dyDescent="0.2">
      <c r="E102" s="191" t="s">
        <v>114</v>
      </c>
      <c r="G102" s="10"/>
      <c r="H102" s="10"/>
      <c r="I102" s="10"/>
      <c r="J102" s="10"/>
      <c r="K102" s="10"/>
      <c r="L102" s="10">
        <f>(NA!L104-NA!K104)/(NA!L$113-NA!K$113)</f>
        <v>1.9477796040250989E-2</v>
      </c>
      <c r="M102" s="10">
        <f>(NA!M104-NA!L104)/(NA!M$113-NA!L$113)</f>
        <v>1.7673159136588949E-2</v>
      </c>
      <c r="N102" s="10">
        <f>(NA!N104-NA!M104)/(NA!N$113-NA!M$113)</f>
        <v>3.3636613406421899E-2</v>
      </c>
      <c r="O102" s="10">
        <f>(NA!O104-NA!N104)/(NA!O$113-NA!N$113)</f>
        <v>0.10919475067727739</v>
      </c>
      <c r="P102" s="10">
        <f>(NA!P104-NA!O104)/(NA!P$113-NA!O$113)</f>
        <v>4.8278061534687236E-2</v>
      </c>
      <c r="Q102" s="10">
        <f>(NA!Q104-NA!P104)/(NA!Q$113-NA!P$113)</f>
        <v>3.9111182527187101E-2</v>
      </c>
      <c r="R102" s="10">
        <f>(NA!R104-NA!Q104)/(NA!R$113-NA!Q$113)</f>
        <v>4.2488245832379111E-2</v>
      </c>
      <c r="S102" s="10">
        <f>(NA!S104-NA!R104)/(NA!S$113-NA!R$113)</f>
        <v>5.4103911018656428E-2</v>
      </c>
      <c r="T102" s="10">
        <f>(NA!T104-NA!S104)/(NA!T$113-NA!S$113)</f>
        <v>9.5671294245250948E-2</v>
      </c>
      <c r="U102" s="10">
        <f>(NA!U104-NA!T104)/(NA!U$113-NA!T$113)</f>
        <v>0.12824985653696289</v>
      </c>
      <c r="V102" s="10">
        <f>(NA!V104-NA!U104)/(NA!V$113-NA!U$113)</f>
        <v>7.5655718944573486E-2</v>
      </c>
      <c r="W102" s="10"/>
      <c r="X102" s="10"/>
      <c r="Y102" s="10"/>
      <c r="Z102" s="10"/>
      <c r="AA102" s="10"/>
      <c r="AB102" s="10"/>
      <c r="AF102" s="10">
        <f>(NA!AM104-NA!AL104)/(NA!AM$113-NA!AL$113)</f>
        <v>1.7281792539033013E-2</v>
      </c>
      <c r="AG102" s="10">
        <f>(NA!AN104-NA!AM104)/(NA!AN$113-NA!AM$113)</f>
        <v>1.4516107623080293E-2</v>
      </c>
      <c r="AH102" s="10">
        <f>(NA!AO104-NA!AN104)/(NA!AO$113-NA!AN$113)</f>
        <v>1.9685739543118846E-2</v>
      </c>
      <c r="AI102" s="10">
        <f>(NA!AP104-NA!AO104)/(NA!AP$113-NA!AO$113)</f>
        <v>1.0924041810503259E-2</v>
      </c>
      <c r="AJ102" s="10">
        <f>(NA!AQ104-NA!AP104)/(NA!AQ$113-NA!AP$113)</f>
        <v>-0.13182427465463681</v>
      </c>
      <c r="AK102" s="10">
        <f>(NA!AR104-NA!AQ104)/(NA!AR$113-NA!AQ$113)</f>
        <v>4.5147582705656879E-2</v>
      </c>
      <c r="AL102" s="10">
        <f>(NA!AS104-NA!AR104)/(NA!AS$113-NA!AR$113)</f>
        <v>5.1080932769817025E-2</v>
      </c>
      <c r="AM102" s="10">
        <f>(NA!AT104-NA!AS104)/(NA!AT$113-NA!AS$113)</f>
        <v>2.1523811451798894E-2</v>
      </c>
      <c r="AN102" s="10">
        <f>(NA!AU104-NA!AT104)/(NA!AU$113-NA!AT$113)</f>
        <v>5.5798604043985602E-2</v>
      </c>
      <c r="AO102" s="10">
        <f>(NA!AV104-NA!AU104)/(NA!AV$113-NA!AU$113)</f>
        <v>5.2100159441175485E-2</v>
      </c>
      <c r="AP102" s="10">
        <f>(NA!AW104-NA!AV104)/(NA!AW$113-NA!AV$113)</f>
        <v>0.14348529218549905</v>
      </c>
      <c r="AQ102" s="10">
        <f>(NA!AX104-NA!AW104)/(NA!AX$113-NA!AW$113)</f>
        <v>0.1175123973009163</v>
      </c>
      <c r="AR102" s="10">
        <f>(NA!AY104-NA!AX104)/(NA!AY$113-NA!AX$113)</f>
        <v>4.1672200144728208E-2</v>
      </c>
      <c r="AS102" s="10">
        <f>(NA!AZ104-NA!AY104)/(NA!AZ$113-NA!AY$113)</f>
        <v>0.14989419651934471</v>
      </c>
      <c r="AT102" s="10">
        <f>(NA!BA104-NA!AZ104)/(NA!BA$113-NA!AZ$113)</f>
        <v>8.5213626349631019E-2</v>
      </c>
      <c r="AU102" s="10">
        <f>(NA!BB104-NA!BA104)/(NA!BB$113-NA!BA$113)</f>
        <v>5.3097839682100051E-2</v>
      </c>
      <c r="AV102" s="10">
        <f>(NA!BC104-NA!BB104)/(NA!BC$113-NA!BB$113)</f>
        <v>5.4378460973009142E-2</v>
      </c>
      <c r="AW102" s="10">
        <f>(NA!BD104-NA!BC104)/(NA!BD$113-NA!BC$113)</f>
        <v>5.4802091044641628E-2</v>
      </c>
      <c r="AX102" s="10">
        <f>(NA!BE104-NA!BD104)/(NA!BE$113-NA!BD$113)</f>
        <v>5.3900390728052576E-2</v>
      </c>
      <c r="AY102" s="10">
        <f>(NA!BF104-NA!BE104)/(NA!BF$113-NA!BE$113)</f>
        <v>5.4806232720405884E-2</v>
      </c>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row>
    <row r="103" spans="5:182" x14ac:dyDescent="0.2">
      <c r="E103" s="191" t="s">
        <v>115</v>
      </c>
      <c r="G103" s="10"/>
      <c r="H103" s="10"/>
      <c r="I103" s="10"/>
      <c r="J103" s="10"/>
      <c r="K103" s="10"/>
      <c r="L103" s="10">
        <f>(NA!L105-NA!K105)/(NA!L$113-NA!K$113)</f>
        <v>2.4404277176384617E-2</v>
      </c>
      <c r="M103" s="10">
        <f>(NA!M105-NA!L105)/(NA!M$113-NA!L$113)</f>
        <v>2.2229265619493111E-2</v>
      </c>
      <c r="N103" s="10">
        <f>(NA!N105-NA!M105)/(NA!N$113-NA!M$113)</f>
        <v>3.3569450032424335E-2</v>
      </c>
      <c r="O103" s="10">
        <f>(NA!O105-NA!N105)/(NA!O$113-NA!N$113)</f>
        <v>7.6416060734418575E-2</v>
      </c>
      <c r="P103" s="10">
        <f>(NA!P105-NA!O105)/(NA!P$113-NA!O$113)</f>
        <v>3.0422311632039897E-2</v>
      </c>
      <c r="Q103" s="10">
        <f>(NA!Q105-NA!P105)/(NA!Q$113-NA!P$113)</f>
        <v>5.8879634917757571E-2</v>
      </c>
      <c r="R103" s="10">
        <f>(NA!R105-NA!Q105)/(NA!R$113-NA!Q$113)</f>
        <v>8.6587722757515931E-2</v>
      </c>
      <c r="S103" s="10">
        <f>(NA!S105-NA!R105)/(NA!S$113-NA!R$113)</f>
        <v>9.0516662276227247E-2</v>
      </c>
      <c r="T103" s="10">
        <f>(NA!T105-NA!S105)/(NA!T$113-NA!S$113)</f>
        <v>0.11451893132695169</v>
      </c>
      <c r="U103" s="10">
        <f>(NA!U105-NA!T105)/(NA!U$113-NA!T$113)</f>
        <v>9.6808491528885113E-2</v>
      </c>
      <c r="V103" s="10">
        <f>(NA!V105-NA!U105)/(NA!V$113-NA!U$113)</f>
        <v>7.7031241117791902E-2</v>
      </c>
      <c r="W103" s="10"/>
      <c r="X103" s="10"/>
      <c r="Y103" s="10"/>
      <c r="Z103" s="10"/>
      <c r="AA103" s="10"/>
      <c r="AB103" s="10"/>
      <c r="AF103" s="10">
        <f>(NA!AM105-NA!AL105)/(NA!AM$113-NA!AL$113)</f>
        <v>1.3763003910395749E-2</v>
      </c>
      <c r="AG103" s="10">
        <f>(NA!AN105-NA!AM105)/(NA!AN$113-NA!AM$113)</f>
        <v>1.3008216414245325E-2</v>
      </c>
      <c r="AH103" s="10">
        <f>(NA!AO105-NA!AN105)/(NA!AO$113-NA!AN$113)</f>
        <v>2.4881884110663957E-2</v>
      </c>
      <c r="AI103" s="10">
        <f>(NA!AP105-NA!AO105)/(NA!AP$113-NA!AO$113)</f>
        <v>1.3333803177262221E-2</v>
      </c>
      <c r="AJ103" s="10">
        <f>(NA!AQ105-NA!AP105)/(NA!AQ$113-NA!AP$113)</f>
        <v>-0.11384706266870702</v>
      </c>
      <c r="AK103" s="10">
        <f>(NA!AR105-NA!AQ105)/(NA!AR$113-NA!AQ$113)</f>
        <v>2.5856507576224142E-2</v>
      </c>
      <c r="AL103" s="10">
        <f>(NA!AS105-NA!AR105)/(NA!AS$113-NA!AR$113)</f>
        <v>3.4510299940604235E-2</v>
      </c>
      <c r="AM103" s="10">
        <f>(NA!AT105-NA!AS105)/(NA!AT$113-NA!AS$113)</f>
        <v>9.4685940681532063E-2</v>
      </c>
      <c r="AN103" s="10">
        <f>(NA!AU105-NA!AT105)/(NA!AU$113-NA!AT$113)</f>
        <v>8.1446149200723766E-2</v>
      </c>
      <c r="AO103" s="10">
        <f>(NA!AV105-NA!AU105)/(NA!AV$113-NA!AU$113)</f>
        <v>0.10124135082568744</v>
      </c>
      <c r="AP103" s="10">
        <f>(NA!AW105-NA!AV105)/(NA!AW$113-NA!AV$113)</f>
        <v>0.12908945398131136</v>
      </c>
      <c r="AQ103" s="10">
        <f>(NA!AX105-NA!AW105)/(NA!AX$113-NA!AW$113)</f>
        <v>7.4057877340404782E-2</v>
      </c>
      <c r="AR103" s="10">
        <f>(NA!AY105-NA!AX105)/(NA!AY$113-NA!AX$113)</f>
        <v>7.9445320968261068E-2</v>
      </c>
      <c r="AS103" s="10">
        <f>(NA!AZ105-NA!AY105)/(NA!AZ$113-NA!AY$113)</f>
        <v>4.0414151917550295E-2</v>
      </c>
      <c r="AT103" s="10">
        <f>(NA!BA105-NA!AZ105)/(NA!BA$113-NA!AZ$113)</f>
        <v>3.9553849808666698E-2</v>
      </c>
      <c r="AU103" s="10">
        <f>(NA!BB105-NA!BA105)/(NA!BB$113-NA!BA$113)</f>
        <v>6.7144072098501748E-2</v>
      </c>
      <c r="AV103" s="10">
        <f>(NA!BC105-NA!BB105)/(NA!BC$113-NA!BB$113)</f>
        <v>7.0343061243878985E-2</v>
      </c>
      <c r="AW103" s="10">
        <f>(NA!BD105-NA!BC105)/(NA!BD$113-NA!BC$113)</f>
        <v>7.2238305833913954E-2</v>
      </c>
      <c r="AX103" s="10">
        <f>(NA!BE105-NA!BD105)/(NA!BE$113-NA!BD$113)</f>
        <v>7.3777720857903475E-2</v>
      </c>
      <c r="AY103" s="10">
        <f>(NA!BF105-NA!BE105)/(NA!BF$113-NA!BE$113)</f>
        <v>7.7488525544777628E-2</v>
      </c>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row>
    <row r="104" spans="5:182" x14ac:dyDescent="0.2">
      <c r="E104" s="177"/>
      <c r="G104" s="10"/>
      <c r="H104" s="10"/>
      <c r="I104" s="10"/>
      <c r="J104" s="10"/>
      <c r="K104" s="10"/>
      <c r="L104" s="10"/>
      <c r="M104" s="10"/>
      <c r="N104" s="10"/>
      <c r="O104" s="10"/>
      <c r="P104" s="10"/>
      <c r="Q104" s="10"/>
      <c r="R104" s="10"/>
      <c r="S104" s="10"/>
      <c r="T104" s="10"/>
      <c r="U104" s="10"/>
      <c r="V104" s="10"/>
      <c r="W104" s="10"/>
      <c r="X104" s="10"/>
      <c r="Y104" s="10"/>
      <c r="Z104" s="10"/>
      <c r="AA104" s="10"/>
      <c r="AB104" s="10"/>
      <c r="AF104" s="10"/>
      <c r="AG104" s="10"/>
      <c r="AH104" s="10"/>
      <c r="AI104" s="10"/>
      <c r="AJ104" s="10"/>
      <c r="AK104" s="10"/>
      <c r="AL104" s="10"/>
      <c r="AM104" s="10"/>
      <c r="AN104" s="10"/>
      <c r="AO104" s="10"/>
      <c r="AP104" s="10"/>
      <c r="AQ104" s="10"/>
      <c r="AR104" s="10"/>
      <c r="AS104" s="10"/>
      <c r="AT104" s="10"/>
      <c r="AU104" s="10"/>
      <c r="AV104" s="10"/>
      <c r="AW104" s="10"/>
      <c r="AX104" s="10"/>
      <c r="AY104" s="10"/>
    </row>
    <row r="105" spans="5:182" x14ac:dyDescent="0.2">
      <c r="E105" s="191" t="s">
        <v>116</v>
      </c>
      <c r="G105" s="10"/>
      <c r="H105" s="10"/>
      <c r="I105" s="10"/>
      <c r="J105" s="10"/>
      <c r="K105" s="10"/>
      <c r="L105" s="10">
        <f>(NA!L106-NA!K106)/(NA!L$113-NA!K$113)</f>
        <v>0.11600672652539983</v>
      </c>
      <c r="M105" s="10">
        <f>(NA!M106-NA!L106)/(NA!M$113-NA!L$113)</f>
        <v>0.10136433371093614</v>
      </c>
      <c r="N105" s="10">
        <f>(NA!N106-NA!M106)/(NA!N$113-NA!M$113)</f>
        <v>0.11871205391412946</v>
      </c>
      <c r="O105" s="10">
        <f>(NA!O106-NA!N106)/(NA!O$113-NA!N$113)</f>
        <v>0.28116667917322075</v>
      </c>
      <c r="P105" s="10">
        <f>(NA!P106-NA!O106)/(NA!P$113-NA!O$113)</f>
        <v>-0.13993566839214791</v>
      </c>
      <c r="Q105" s="10">
        <f>(NA!Q106-NA!P106)/(NA!Q$113-NA!P$113)</f>
        <v>-0.19528303154108487</v>
      </c>
      <c r="R105" s="10">
        <f>(NA!R106-NA!Q106)/(NA!R$113-NA!Q$113)</f>
        <v>4.1519646644272948E-2</v>
      </c>
      <c r="S105" s="10">
        <f>(NA!S106-NA!R106)/(NA!S$113-NA!R$113)</f>
        <v>6.0194243075360476E-2</v>
      </c>
      <c r="T105" s="10">
        <f>(NA!T106-NA!S106)/(NA!T$113-NA!S$113)</f>
        <v>8.1563184279547354E-2</v>
      </c>
      <c r="U105" s="10">
        <f>(NA!U106-NA!T106)/(NA!U$113-NA!T$113)</f>
        <v>8.7005836345912912E-2</v>
      </c>
      <c r="V105" s="10">
        <f>(NA!V106-NA!U106)/(NA!V$113-NA!U$113)</f>
        <v>5.8627539285414192E-2</v>
      </c>
      <c r="W105" s="10"/>
      <c r="X105" s="10"/>
      <c r="Y105" s="10"/>
      <c r="Z105" s="10"/>
      <c r="AA105" s="10"/>
      <c r="AB105" s="10"/>
      <c r="AF105" s="10">
        <f>(NA!AM106-NA!AL106)/(NA!AM$113-NA!AL$113)</f>
        <v>9.3613966185576367E-2</v>
      </c>
      <c r="AG105" s="10">
        <f>(NA!AN106-NA!AM106)/(NA!AN$113-NA!AM$113)</f>
        <v>0.11222639606036874</v>
      </c>
      <c r="AH105" s="10">
        <f>(NA!AO106-NA!AN106)/(NA!AO$113-NA!AN$113)</f>
        <v>0.11616515952094551</v>
      </c>
      <c r="AI105" s="10">
        <f>(NA!AP106-NA!AO106)/(NA!AP$113-NA!AO$113)</f>
        <v>5.1730286996278137E-2</v>
      </c>
      <c r="AJ105" s="10">
        <f>(NA!AQ106-NA!AP106)/(NA!AQ$113-NA!AP$113)</f>
        <v>-0.36924954001291255</v>
      </c>
      <c r="AK105" s="10">
        <f>(NA!AR106-NA!AQ106)/(NA!AR$113-NA!AQ$113)</f>
        <v>0.108328386493574</v>
      </c>
      <c r="AL105" s="10">
        <f>(NA!AS106-NA!AR106)/(NA!AS$113-NA!AR$113)</f>
        <v>-0.36221865325148056</v>
      </c>
      <c r="AM105" s="10">
        <f>(NA!AT106-NA!AS106)/(NA!AT$113-NA!AS$113)</f>
        <v>4.9998504431570043E-2</v>
      </c>
      <c r="AN105" s="10">
        <f>(NA!AU106-NA!AT106)/(NA!AU$113-NA!AT$113)</f>
        <v>3.6136404133388589E-2</v>
      </c>
      <c r="AO105" s="10">
        <f>(NA!AV106-NA!AU106)/(NA!AV$113-NA!AU$113)</f>
        <v>8.8639472984409801E-2</v>
      </c>
      <c r="AP105" s="10">
        <f>(NA!AW106-NA!AV106)/(NA!AW$113-NA!AV$113)</f>
        <v>7.379782184222948E-2</v>
      </c>
      <c r="AQ105" s="10">
        <f>(NA!AX106-NA!AW106)/(NA!AX$113-NA!AW$113)</f>
        <v>9.6314432476278869E-2</v>
      </c>
      <c r="AR105" s="10">
        <f>(NA!AY106-NA!AX106)/(NA!AY$113-NA!AX$113)</f>
        <v>2.8029477194674239E-2</v>
      </c>
      <c r="AS105" s="10">
        <f>(NA!AZ106-NA!AY106)/(NA!AZ$113-NA!AY$113)</f>
        <v>-2.1029845414784142E-3</v>
      </c>
      <c r="AT105" s="10">
        <f>(NA!BA106-NA!AZ106)/(NA!BA$113-NA!AZ$113)</f>
        <v>3.105714881355838E-2</v>
      </c>
      <c r="AU105" s="10">
        <f>(NA!BB106-NA!BA106)/(NA!BB$113-NA!BA$113)</f>
        <v>1.7085166638625443E-2</v>
      </c>
      <c r="AV105" s="10">
        <f>(NA!BC106-NA!BB106)/(NA!BC$113-NA!BB$113)</f>
        <v>1.7055705299843307E-2</v>
      </c>
      <c r="AW105" s="10">
        <f>(NA!BD106-NA!BC106)/(NA!BD$113-NA!BC$113)</f>
        <v>1.6874831467135462E-2</v>
      </c>
      <c r="AX105" s="10">
        <f>(NA!BE106-NA!BD106)/(NA!BE$113-NA!BD$113)</f>
        <v>1.3872403062227201E-2</v>
      </c>
      <c r="AY105" s="10">
        <f>(NA!BF106-NA!BE106)/(NA!BF$113-NA!BE$113)</f>
        <v>1.2853721097218381E-2</v>
      </c>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row>
    <row r="106" spans="5:182" x14ac:dyDescent="0.2">
      <c r="E106" s="191" t="s">
        <v>117</v>
      </c>
      <c r="G106" s="10"/>
      <c r="H106" s="10"/>
      <c r="I106" s="10"/>
      <c r="J106" s="10"/>
      <c r="K106" s="10"/>
      <c r="L106" s="10">
        <f>(NA!L107-NA!K107)/(NA!L$113-NA!K$113)</f>
        <v>0.12398133327504378</v>
      </c>
      <c r="M106" s="10">
        <f>(NA!M107-NA!L107)/(NA!M$113-NA!L$113)</f>
        <v>0.1048572394774293</v>
      </c>
      <c r="N106" s="10">
        <f>(NA!N107-NA!M107)/(NA!N$113-NA!M$113)</f>
        <v>7.2871905596764944E-2</v>
      </c>
      <c r="O106" s="10">
        <f>(NA!O107-NA!N107)/(NA!O$113-NA!N$113)</f>
        <v>0.12216497887058571</v>
      </c>
      <c r="P106" s="10">
        <f>(NA!P107-NA!O107)/(NA!P$113-NA!O$113)</f>
        <v>0.30344411297696883</v>
      </c>
      <c r="Q106" s="10">
        <f>(NA!Q107-NA!P107)/(NA!Q$113-NA!P$113)</f>
        <v>0.32619631704779622</v>
      </c>
      <c r="R106" s="10">
        <f>(NA!R107-NA!Q107)/(NA!R$113-NA!Q$113)</f>
        <v>8.4645962776532899E-2</v>
      </c>
      <c r="S106" s="10">
        <f>(NA!S107-NA!R107)/(NA!S$113-NA!R$113)</f>
        <v>1.4986088832088041E-2</v>
      </c>
      <c r="T106" s="10">
        <f>(NA!T107-NA!S107)/(NA!T$113-NA!S$113)</f>
        <v>-6.0894307925475538E-2</v>
      </c>
      <c r="U106" s="10">
        <f>(NA!U107-NA!T107)/(NA!U$113-NA!T$113)</f>
        <v>-1.4838251747645751E-2</v>
      </c>
      <c r="V106" s="10">
        <f>(NA!V107-NA!U107)/(NA!V$113-NA!U$113)</f>
        <v>7.7831014505529261E-2</v>
      </c>
      <c r="W106" s="10"/>
      <c r="X106" s="10"/>
      <c r="Y106" s="10"/>
      <c r="Z106" s="10"/>
      <c r="AA106" s="10"/>
      <c r="AB106" s="10"/>
      <c r="AF106" s="10">
        <f>(NA!AM107-NA!AL107)/(NA!AM$113-NA!AL$113)</f>
        <v>3.9651639925764912E-2</v>
      </c>
      <c r="AG106" s="10">
        <f>(NA!AN107-NA!AM107)/(NA!AN$113-NA!AM$113)</f>
        <v>0.14866533044851798</v>
      </c>
      <c r="AH106" s="10">
        <f>(NA!AO107-NA!AN107)/(NA!AO$113-NA!AN$113)</f>
        <v>0.12294683122544521</v>
      </c>
      <c r="AI106" s="10">
        <f>(NA!AP107-NA!AO107)/(NA!AP$113-NA!AO$113)</f>
        <v>4.4194432320890813E-2</v>
      </c>
      <c r="AJ106" s="10">
        <f>(NA!AQ107-NA!AP107)/(NA!AQ$113-NA!AP$113)</f>
        <v>-0.13604323972416771</v>
      </c>
      <c r="AK106" s="10">
        <f>(NA!AR107-NA!AQ107)/(NA!AR$113-NA!AQ$113)</f>
        <v>5.3550042247981898E-2</v>
      </c>
      <c r="AL106" s="10">
        <f>(NA!AS107-NA!AR107)/(NA!AS$113-NA!AR$113)</f>
        <v>0.5271865309675936</v>
      </c>
      <c r="AM106" s="10">
        <f>(NA!AT107-NA!AS107)/(NA!AT$113-NA!AS$113)</f>
        <v>3.0877751240157066E-2</v>
      </c>
      <c r="AN106" s="10">
        <f>(NA!AU107-NA!AT107)/(NA!AU$113-NA!AT$113)</f>
        <v>0.1187834998526368</v>
      </c>
      <c r="AO106" s="10">
        <f>(NA!AV107-NA!AU107)/(NA!AV$113-NA!AU$113)</f>
        <v>-0.10774069587892712</v>
      </c>
      <c r="AP106" s="10">
        <f>(NA!AW107-NA!AV107)/(NA!AW$113-NA!AV$113)</f>
        <v>-9.486119747992924E-3</v>
      </c>
      <c r="AQ106" s="10">
        <f>(NA!AX107-NA!AW107)/(NA!AX$113-NA!AW$113)</f>
        <v>-1.861026723167478E-2</v>
      </c>
      <c r="AR106" s="10">
        <f>(NA!AY107-NA!AX107)/(NA!AY$113-NA!AX$113)</f>
        <v>0.15613187925871186</v>
      </c>
      <c r="AS106" s="10">
        <f>(NA!AZ107-NA!AY107)/(NA!AZ$113-NA!AY$113)</f>
        <v>0.23804912980012785</v>
      </c>
      <c r="AT106" s="10">
        <f>(NA!BA107-NA!AZ107)/(NA!BA$113-NA!AZ$113)</f>
        <v>0.14426455293679219</v>
      </c>
      <c r="AU106" s="10">
        <f>(NA!BB107-NA!BA107)/(NA!BB$113-NA!BA$113)</f>
        <v>7.1833520868724451E-2</v>
      </c>
      <c r="AV106" s="10">
        <f>(NA!BC107-NA!BB107)/(NA!BC$113-NA!BB$113)</f>
        <v>7.2295318888647903E-2</v>
      </c>
      <c r="AW106" s="10">
        <f>(NA!BD107-NA!BC107)/(NA!BD$113-NA!BC$113)</f>
        <v>7.2119828464798141E-2</v>
      </c>
      <c r="AX106" s="10">
        <f>(NA!BE107-NA!BD107)/(NA!BE$113-NA!BD$113)</f>
        <v>7.4438611420366146E-2</v>
      </c>
      <c r="AY106" s="10">
        <f>(NA!BF107-NA!BE107)/(NA!BF$113-NA!BE$113)</f>
        <v>6.894509705260625E-2</v>
      </c>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row>
    <row r="107" spans="5:182" x14ac:dyDescent="0.2">
      <c r="E107" s="191" t="s">
        <v>118</v>
      </c>
      <c r="G107" s="10"/>
      <c r="H107" s="10"/>
      <c r="I107" s="10"/>
      <c r="J107" s="10"/>
      <c r="K107" s="10"/>
      <c r="L107" s="10">
        <f>(NA!L108-NA!K108)/(NA!L$113-NA!K$113)</f>
        <v>3.6802284489376884E-2</v>
      </c>
      <c r="M107" s="10">
        <f>(NA!M108-NA!L108)/(NA!M$113-NA!L$113)</f>
        <v>3.2730955920194052E-2</v>
      </c>
      <c r="N107" s="10">
        <f>(NA!N108-NA!M108)/(NA!N$113-NA!M$113)</f>
        <v>3.9607025302866222E-2</v>
      </c>
      <c r="O107" s="10">
        <f>(NA!O108-NA!N108)/(NA!O$113-NA!N$113)</f>
        <v>9.2926370009967965E-2</v>
      </c>
      <c r="P107" s="10">
        <f>(NA!P108-NA!O108)/(NA!P$113-NA!O$113)</f>
        <v>3.367962924022274E-2</v>
      </c>
      <c r="Q107" s="10">
        <f>(NA!Q108-NA!P108)/(NA!Q$113-NA!P$113)</f>
        <v>4.0730766289320389E-2</v>
      </c>
      <c r="R107" s="10">
        <f>(NA!R108-NA!Q108)/(NA!R$113-NA!Q$113)</f>
        <v>5.6570438883340728E-2</v>
      </c>
      <c r="S107" s="10">
        <f>(NA!S108-NA!R108)/(NA!S$113-NA!R$113)</f>
        <v>5.9074912134757192E-2</v>
      </c>
      <c r="T107" s="10">
        <f>(NA!T108-NA!S108)/(NA!T$113-NA!S$113)</f>
        <v>6.2180850219936065E-2</v>
      </c>
      <c r="U107" s="10">
        <f>(NA!U108-NA!T108)/(NA!U$113-NA!T$113)</f>
        <v>4.85766865968719E-2</v>
      </c>
      <c r="V107" s="10">
        <f>(NA!V108-NA!U108)/(NA!V$113-NA!U$113)</f>
        <v>3.1040240863876984E-2</v>
      </c>
      <c r="W107" s="10"/>
      <c r="X107" s="10"/>
      <c r="Y107" s="10"/>
      <c r="Z107" s="10"/>
      <c r="AA107" s="10"/>
      <c r="AB107" s="10"/>
      <c r="AF107" s="10">
        <f>(NA!AM108-NA!AL108)/(NA!AM$113-NA!AL$113)</f>
        <v>1.5894141216933319E-2</v>
      </c>
      <c r="AG107" s="10">
        <f>(NA!AN108-NA!AM108)/(NA!AN$113-NA!AM$113)</f>
        <v>1.7237214117896915E-2</v>
      </c>
      <c r="AH107" s="10">
        <f>(NA!AO108-NA!AN108)/(NA!AO$113-NA!AN$113)</f>
        <v>3.762225320261213E-2</v>
      </c>
      <c r="AI107" s="10">
        <f>(NA!AP108-NA!AO108)/(NA!AP$113-NA!AO$113)</f>
        <v>1.6328163202598767E-2</v>
      </c>
      <c r="AJ107" s="10">
        <f>(NA!AQ108-NA!AP108)/(NA!AQ$113-NA!AP$113)</f>
        <v>-0.12997928419514379</v>
      </c>
      <c r="AK107" s="10">
        <f>(NA!AR108-NA!AQ108)/(NA!AR$113-NA!AQ$113)</f>
        <v>3.3692557006873423E-2</v>
      </c>
      <c r="AL107" s="10">
        <f>(NA!AS108-NA!AR108)/(NA!AS$113-NA!AR$113)</f>
        <v>3.3668054376676824E-2</v>
      </c>
      <c r="AM107" s="10">
        <f>(NA!AT108-NA!AS108)/(NA!AT$113-NA!AS$113)</f>
        <v>5.110813696860439E-2</v>
      </c>
      <c r="AN107" s="10">
        <f>(NA!AU108-NA!AT108)/(NA!AU$113-NA!AT$113)</f>
        <v>6.0038464484472143E-2</v>
      </c>
      <c r="AO107" s="10">
        <f>(NA!AV108-NA!AU108)/(NA!AV$113-NA!AU$113)</f>
        <v>5.7935638229766537E-2</v>
      </c>
      <c r="AP107" s="10">
        <f>(NA!AW108-NA!AV108)/(NA!AW$113-NA!AV$113)</f>
        <v>6.6839451797944691E-2</v>
      </c>
      <c r="AQ107" s="10">
        <f>(NA!AX108-NA!AW108)/(NA!AX$113-NA!AW$113)</f>
        <v>3.5705660036968782E-2</v>
      </c>
      <c r="AR107" s="10">
        <f>(NA!AY108-NA!AX108)/(NA!AY$113-NA!AX$113)</f>
        <v>2.7252377937245602E-2</v>
      </c>
      <c r="AS107" s="10">
        <f>(NA!AZ108-NA!AY108)/(NA!AZ$113-NA!AY$113)</f>
        <v>4.8491580244676882E-2</v>
      </c>
      <c r="AT107" s="10">
        <f>(NA!BA108-NA!AZ108)/(NA!BA$113-NA!AZ$113)</f>
        <v>2.3340987070620781E-2</v>
      </c>
      <c r="AU107" s="10">
        <f>(NA!BB108-NA!BA108)/(NA!BB$113-NA!BA$113)</f>
        <v>2.4685167251438531E-2</v>
      </c>
      <c r="AV107" s="10">
        <f>(NA!BC108-NA!BB108)/(NA!BC$113-NA!BB$113)</f>
        <v>2.5241411323185983E-2</v>
      </c>
      <c r="AW107" s="10">
        <f>(NA!BD108-NA!BC108)/(NA!BD$113-NA!BC$113)</f>
        <v>2.1450946786738492E-2</v>
      </c>
      <c r="AX107" s="10">
        <f>(NA!BE108-NA!BD108)/(NA!BE$113-NA!BD$113)</f>
        <v>2.0782472946059814E-2</v>
      </c>
      <c r="AY107" s="10">
        <f>(NA!BF108-NA!BE108)/(NA!BF$113-NA!BE$113)</f>
        <v>2.0408727808794398E-2</v>
      </c>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row>
    <row r="108" spans="5:182" x14ac:dyDescent="0.2">
      <c r="E108" s="191" t="s">
        <v>119</v>
      </c>
      <c r="G108" s="10"/>
      <c r="H108" s="10"/>
      <c r="I108" s="10"/>
      <c r="J108" s="10"/>
      <c r="K108" s="10"/>
      <c r="L108" s="10">
        <f>(NA!L109-NA!K109)/(NA!L$113-NA!K$113)</f>
        <v>2.4706337913592075E-2</v>
      </c>
      <c r="M108" s="10">
        <f>(NA!M109-NA!L109)/(NA!M$113-NA!L$113)</f>
        <v>1.9978288761174509E-2</v>
      </c>
      <c r="N108" s="10">
        <f>(NA!N109-NA!M109)/(NA!N$113-NA!M$113)</f>
        <v>6.080621342264547E-3</v>
      </c>
      <c r="O108" s="10">
        <f>(NA!O109-NA!N109)/(NA!O$113-NA!N$113)</f>
        <v>1.7048636469417417E-2</v>
      </c>
      <c r="P108" s="10">
        <f>(NA!P109-NA!O109)/(NA!P$113-NA!O$113)</f>
        <v>6.8412641389711953E-3</v>
      </c>
      <c r="Q108" s="10">
        <f>(NA!Q109-NA!P109)/(NA!Q$113-NA!P$113)</f>
        <v>1.7886580518082267E-2</v>
      </c>
      <c r="R108" s="10">
        <f>(NA!R109-NA!Q109)/(NA!R$113-NA!Q$113)</f>
        <v>2.427300503633089E-2</v>
      </c>
      <c r="S108" s="10">
        <f>(NA!S109-NA!R109)/(NA!S$113-NA!R$113)</f>
        <v>1.7344819658524361E-2</v>
      </c>
      <c r="T108" s="10">
        <f>(NA!T109-NA!S109)/(NA!T$113-NA!S$113)</f>
        <v>2.1882118952757771E-2</v>
      </c>
      <c r="U108" s="10">
        <f>(NA!U109-NA!T109)/(NA!U$113-NA!T$113)</f>
        <v>1.6528396721894316E-2</v>
      </c>
      <c r="V108" s="10">
        <f>(NA!V109-NA!U109)/(NA!V$113-NA!U$113)</f>
        <v>1.0888197347493836E-2</v>
      </c>
      <c r="W108" s="10"/>
      <c r="X108" s="10"/>
      <c r="Y108" s="10"/>
      <c r="Z108" s="10"/>
      <c r="AA108" s="10"/>
      <c r="AB108" s="10"/>
      <c r="AF108" s="10">
        <f>(NA!AM109-NA!AL109)/(NA!AM$113-NA!AL$113)</f>
        <v>9.4241105126648007E-3</v>
      </c>
      <c r="AG108" s="10">
        <f>(NA!AN109-NA!AM109)/(NA!AN$113-NA!AM$113)</f>
        <v>1.4524071837211463E-2</v>
      </c>
      <c r="AH108" s="10">
        <f>(NA!AO109-NA!AN109)/(NA!AO$113-NA!AN$113)</f>
        <v>2.5133074922656932E-2</v>
      </c>
      <c r="AI108" s="10">
        <f>(NA!AP109-NA!AO109)/(NA!AP$113-NA!AO$113)</f>
        <v>2.691895391821728E-3</v>
      </c>
      <c r="AJ108" s="10">
        <f>(NA!AQ109-NA!AP109)/(NA!AQ$113-NA!AP$113)</f>
        <v>-1.8606217961153644E-2</v>
      </c>
      <c r="AK108" s="10">
        <f>(NA!AR109-NA!AQ109)/(NA!AR$113-NA!AQ$113)</f>
        <v>7.5738970890980748E-3</v>
      </c>
      <c r="AL108" s="10">
        <f>(NA!AS109-NA!AR109)/(NA!AS$113-NA!AR$113)</f>
        <v>6.1853019255310084E-3</v>
      </c>
      <c r="AM108" s="10">
        <f>(NA!AT109-NA!AS109)/(NA!AT$113-NA!AS$113)</f>
        <v>3.5079481329893511E-2</v>
      </c>
      <c r="AN108" s="10">
        <f>(NA!AU109-NA!AT109)/(NA!AU$113-NA!AT$113)</f>
        <v>1.7411953225374911E-2</v>
      </c>
      <c r="AO108" s="10">
        <f>(NA!AV109-NA!AU109)/(NA!AV$113-NA!AU$113)</f>
        <v>1.7265443046672952E-2</v>
      </c>
      <c r="AP108" s="10">
        <f>(NA!AW109-NA!AV109)/(NA!AW$113-NA!AV$113)</f>
        <v>2.6948356801667007E-2</v>
      </c>
      <c r="AQ108" s="10">
        <f>(NA!AX109-NA!AW109)/(NA!AX$113-NA!AW$113)</f>
        <v>9.1847342773918907E-3</v>
      </c>
      <c r="AR108" s="10">
        <f>(NA!AY109-NA!AX109)/(NA!AY$113-NA!AX$113)</f>
        <v>1.2271242336750197E-2</v>
      </c>
      <c r="AS108" s="10">
        <f>(NA!AZ109-NA!AY109)/(NA!AZ$113-NA!AY$113)</f>
        <v>3.5225459660249564E-2</v>
      </c>
      <c r="AT108" s="10">
        <f>(NA!BA109-NA!AZ109)/(NA!BA$113-NA!AZ$113)</f>
        <v>2.3632218093868736E-2</v>
      </c>
      <c r="AU108" s="10">
        <f>(NA!BB109-NA!BA109)/(NA!BB$113-NA!BA$113)</f>
        <v>2.1688455010335141E-2</v>
      </c>
      <c r="AV108" s="10">
        <f>(NA!BC109-NA!BB109)/(NA!BC$113-NA!BB$113)</f>
        <v>2.1994397054795466E-2</v>
      </c>
      <c r="AW108" s="10">
        <f>(NA!BD109-NA!BC109)/(NA!BD$113-NA!BC$113)</f>
        <v>2.2034432332749525E-2</v>
      </c>
      <c r="AX108" s="10">
        <f>(NA!BE109-NA!BD109)/(NA!BE$113-NA!BD$113)</f>
        <v>2.1747251093625269E-2</v>
      </c>
      <c r="AY108" s="10">
        <f>(NA!BF109-NA!BE109)/(NA!BF$113-NA!BE$113)</f>
        <v>2.1457478050090635E-2</v>
      </c>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row>
    <row r="109" spans="5:182" x14ac:dyDescent="0.2">
      <c r="E109" s="191" t="s">
        <v>120</v>
      </c>
      <c r="G109" s="10"/>
      <c r="H109" s="10"/>
      <c r="I109" s="10"/>
      <c r="J109" s="10"/>
      <c r="K109" s="10"/>
      <c r="L109" s="10">
        <f>(NA!L110-NA!K110)/(NA!L$113-NA!K$113)</f>
        <v>2.3766885987034126E-2</v>
      </c>
      <c r="M109" s="10">
        <f>(NA!M110-NA!L110)/(NA!M$113-NA!L$113)</f>
        <v>2.0713115257106989E-2</v>
      </c>
      <c r="N109" s="10">
        <f>(NA!N110-NA!M110)/(NA!N$113-NA!M$113)</f>
        <v>1.8902749495570692E-2</v>
      </c>
      <c r="O109" s="10">
        <f>(NA!O110-NA!N110)/(NA!O$113-NA!N$113)</f>
        <v>4.8347721265259526E-2</v>
      </c>
      <c r="P109" s="10">
        <f>(NA!P110-NA!O110)/(NA!P$113-NA!O$113)</f>
        <v>1.8541078549358606E-2</v>
      </c>
      <c r="Q109" s="10">
        <f>(NA!Q110-NA!P110)/(NA!Q$113-NA!P$113)</f>
        <v>1.8053504643204692E-2</v>
      </c>
      <c r="R109" s="10">
        <f>(NA!R110-NA!Q110)/(NA!R$113-NA!Q$113)</f>
        <v>1.5482896436420904E-2</v>
      </c>
      <c r="S109" s="10">
        <f>(NA!S110-NA!R110)/(NA!S$113-NA!R$113)</f>
        <v>1.4859659535875416E-2</v>
      </c>
      <c r="T109" s="10">
        <f>(NA!T110-NA!S110)/(NA!T$113-NA!S$113)</f>
        <v>1.6558224675404191E-2</v>
      </c>
      <c r="U109" s="10">
        <f>(NA!U110-NA!T110)/(NA!U$113-NA!T$113)</f>
        <v>1.5692827774137195E-2</v>
      </c>
      <c r="V109" s="10">
        <f>(NA!V110-NA!U110)/(NA!V$113-NA!U$113)</f>
        <v>1.4062522517859227E-2</v>
      </c>
      <c r="W109" s="10"/>
      <c r="X109" s="10"/>
      <c r="Y109" s="10"/>
      <c r="Z109" s="10"/>
      <c r="AA109" s="10"/>
      <c r="AB109" s="10"/>
      <c r="AF109" s="10">
        <f>(NA!AM110-NA!AL110)/(NA!AM$113-NA!AL$113)</f>
        <v>1.8902137947865175E-2</v>
      </c>
      <c r="AG109" s="10">
        <f>(NA!AN110-NA!AM110)/(NA!AN$113-NA!AM$113)</f>
        <v>6.2837649494936086E-3</v>
      </c>
      <c r="AH109" s="10">
        <f>(NA!AO110-NA!AN110)/(NA!AO$113-NA!AN$113)</f>
        <v>2.4499600563997026E-2</v>
      </c>
      <c r="AI109" s="10">
        <f>(NA!AP110-NA!AO110)/(NA!AP$113-NA!AO$113)</f>
        <v>8.0152704868882291E-3</v>
      </c>
      <c r="AJ109" s="10">
        <f>(NA!AQ110-NA!AP110)/(NA!AQ$113-NA!AP$113)</f>
        <v>-6.0412441120997432E-2</v>
      </c>
      <c r="AK109" s="10">
        <f>(NA!AR110-NA!AQ110)/(NA!AR$113-NA!AQ$113)</f>
        <v>1.9446349768214587E-2</v>
      </c>
      <c r="AL109" s="10">
        <f>(NA!AS110-NA!AR110)/(NA!AS$113-NA!AR$113)</f>
        <v>1.7730544826596542E-2</v>
      </c>
      <c r="AM109" s="10">
        <f>(NA!AT110-NA!AS110)/(NA!AT$113-NA!AS$113)</f>
        <v>1.8528035357880487E-2</v>
      </c>
      <c r="AN109" s="10">
        <f>(NA!AU110-NA!AT110)/(NA!AU$113-NA!AT$113)</f>
        <v>1.3549532095989364E-2</v>
      </c>
      <c r="AO109" s="10">
        <f>(NA!AV110-NA!AU110)/(NA!AV$113-NA!AU$113)</f>
        <v>1.6408712895472691E-2</v>
      </c>
      <c r="AP109" s="10">
        <f>(NA!AW110-NA!AV110)/(NA!AW$113-NA!AV$113)</f>
        <v>1.6722295590009359E-2</v>
      </c>
      <c r="AQ109" s="10">
        <f>(NA!AX110-NA!AW110)/(NA!AX$113-NA!AW$113)</f>
        <v>1.4967291008221945E-2</v>
      </c>
      <c r="AR109" s="10">
        <f>(NA!AY110-NA!AX110)/(NA!AY$113-NA!AX$113)</f>
        <v>1.3327939215763751E-2</v>
      </c>
      <c r="AS109" s="10">
        <f>(NA!AZ110-NA!AY110)/(NA!AZ$113-NA!AY$113)</f>
        <v>2.0574604818703327E-2</v>
      </c>
      <c r="AT109" s="10">
        <f>(NA!BA110-NA!AZ110)/(NA!BA$113-NA!AZ$113)</f>
        <v>1.4445025390663004E-2</v>
      </c>
      <c r="AU109" s="10">
        <f>(NA!BB110-NA!BA110)/(NA!BB$113-NA!BA$113)</f>
        <v>1.4235970077564416E-2</v>
      </c>
      <c r="AV109" s="10">
        <f>(NA!BC110-NA!BB110)/(NA!BC$113-NA!BB$113)</f>
        <v>1.4527343069135603E-2</v>
      </c>
      <c r="AW109" s="10">
        <f>(NA!BD110-NA!BC110)/(NA!BD$113-NA!BC$113)</f>
        <v>1.4405957524858343E-2</v>
      </c>
      <c r="AX109" s="10">
        <f>(NA!BE110-NA!BD110)/(NA!BE$113-NA!BD$113)</f>
        <v>1.4197223360976501E-2</v>
      </c>
      <c r="AY109" s="10">
        <f>(NA!BF110-NA!BE110)/(NA!BF$113-NA!BE$113)</f>
        <v>1.3484529769410579E-2</v>
      </c>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row>
    <row r="110" spans="5:182" x14ac:dyDescent="0.2">
      <c r="E110" s="177"/>
      <c r="G110" s="10"/>
      <c r="H110" s="10"/>
      <c r="I110" s="10"/>
      <c r="J110" s="10"/>
      <c r="K110" s="10"/>
      <c r="L110" s="10"/>
      <c r="M110" s="10"/>
      <c r="N110" s="10"/>
      <c r="O110" s="10"/>
      <c r="P110" s="10"/>
      <c r="Q110" s="10"/>
      <c r="R110" s="10"/>
      <c r="S110" s="10"/>
      <c r="T110" s="10"/>
      <c r="U110" s="10"/>
      <c r="V110" s="10"/>
      <c r="W110" s="10"/>
      <c r="X110" s="10"/>
      <c r="Y110" s="10"/>
      <c r="Z110" s="10"/>
      <c r="AA110" s="10"/>
      <c r="AB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row>
    <row r="111" spans="5:182" x14ac:dyDescent="0.2">
      <c r="E111" s="177" t="s">
        <v>121</v>
      </c>
      <c r="G111" s="10"/>
      <c r="H111" s="10"/>
      <c r="I111" s="10"/>
      <c r="J111" s="10"/>
      <c r="K111" s="10"/>
      <c r="L111" s="10">
        <f>(NA!L111-NA!K111)/(NA!L$113-NA!K$113)</f>
        <v>1.0111243367703615</v>
      </c>
      <c r="M111" s="10">
        <f>(NA!M111-NA!L111)/(NA!M$113-NA!L$113)</f>
        <v>1.0099484096873841</v>
      </c>
      <c r="N111" s="10">
        <f>(NA!N111-NA!M111)/(NA!N$113-NA!M$113)</f>
        <v>1.0113901580800053</v>
      </c>
      <c r="O111" s="10">
        <f>(NA!O111-NA!N111)/(NA!O$113-NA!N$113)</f>
        <v>1.0291192311444941</v>
      </c>
      <c r="P111" s="10">
        <f>(NA!P111-NA!O111)/(NA!P$113-NA!O$113)</f>
        <v>1.011164825191087</v>
      </c>
      <c r="Q111" s="10">
        <f>(NA!Q111-NA!P111)/(NA!Q$113-NA!P$113)</f>
        <v>1.0279750465522655</v>
      </c>
      <c r="R111" s="10">
        <f>(NA!R111-NA!Q111)/(NA!R$113-NA!Q$113)</f>
        <v>1.0335015333482089</v>
      </c>
      <c r="S111" s="10">
        <f>(NA!S111-NA!R111)/(NA!S$113-NA!R$113)</f>
        <v>1.0186865441459929</v>
      </c>
      <c r="T111" s="10">
        <f>(NA!T111-NA!S111)/(NA!T$113-NA!S$113)</f>
        <v>1.0347738928001791</v>
      </c>
      <c r="U111" s="10">
        <f>(NA!U111-NA!T111)/(NA!U$113-NA!T$113)</f>
        <v>1.0337403842616744</v>
      </c>
      <c r="V111" s="10">
        <f>(NA!V111-NA!U111)/(NA!V$113-NA!U$113)</f>
        <v>1.0338908033432554</v>
      </c>
      <c r="W111" s="10"/>
      <c r="X111" s="10"/>
      <c r="Y111" s="10"/>
      <c r="Z111" s="10"/>
      <c r="AA111" s="10"/>
      <c r="AB111" s="10"/>
      <c r="AF111" s="10">
        <f>(NA!AM111-NA!AL111)/(NA!AM$113-NA!AL$113)</f>
        <v>1.0072106789559414</v>
      </c>
      <c r="AG111" s="10">
        <f>(NA!AN111-NA!AM111)/(NA!AN$113-NA!AM$113)</f>
        <v>1.002843224444828</v>
      </c>
      <c r="AH111" s="10">
        <f>(NA!AO111-NA!AN111)/(NA!AO$113-NA!AN$113)</f>
        <v>1.011471396754752</v>
      </c>
      <c r="AI111" s="10">
        <f>(NA!AP111-NA!AO111)/(NA!AP$113-NA!AO$113)</f>
        <v>1.0048411263359098</v>
      </c>
      <c r="AJ111" s="10">
        <f>(NA!AQ111-NA!AP111)/(NA!AQ$113-NA!AP$113)</f>
        <v>0.96368051834406032</v>
      </c>
      <c r="AK111" s="10">
        <f>(NA!AR111-NA!AQ111)/(NA!AR$113-NA!AQ$113)</f>
        <v>1.0117298809684867</v>
      </c>
      <c r="AL111" s="10">
        <f>(NA!AS111-NA!AR111)/(NA!AS$113-NA!AR$113)</f>
        <v>1.010658903039493</v>
      </c>
      <c r="AM111" s="10">
        <f>(NA!AT111-NA!AS111)/(NA!AT$113-NA!AS$113)</f>
        <v>1.053417970204009</v>
      </c>
      <c r="AN111" s="10">
        <f>(NA!AU111-NA!AT111)/(NA!AU$113-NA!AT$113)</f>
        <v>1.0208565507058462</v>
      </c>
      <c r="AO111" s="10">
        <f>(NA!AV111-NA!AU111)/(NA!AV$113-NA!AU$113)</f>
        <v>1.0161207968380881</v>
      </c>
      <c r="AP111" s="10">
        <f>(NA!AW111-NA!AV111)/(NA!AW$113-NA!AV$113)</f>
        <v>1.055243387017426</v>
      </c>
      <c r="AQ111" s="10">
        <f>(NA!AX111-NA!AW111)/(NA!AX$113-NA!AW$113)</f>
        <v>1.0185857394672067</v>
      </c>
      <c r="AR111" s="10">
        <f>(NA!AY111-NA!AX111)/(NA!AY$113-NA!AX$113)</f>
        <v>1.0463170145570699</v>
      </c>
      <c r="AS111" s="10">
        <f>(NA!AZ111-NA!AY111)/(NA!AZ$113-NA!AY$113)</f>
        <v>1.0039539399807877</v>
      </c>
      <c r="AT111" s="10">
        <f>(NA!BA111-NA!AZ111)/(NA!BA$113-NA!AZ$113)</f>
        <v>1.0001760995781004</v>
      </c>
      <c r="AU111" s="10">
        <f>(NA!BB111-NA!BA111)/(NA!BB$113-NA!BA$113)</f>
        <v>1.0223092834207252</v>
      </c>
      <c r="AV111" s="10">
        <f>(NA!BC111-NA!BB111)/(NA!BC$113-NA!BB$113)</f>
        <v>1.0231864384205109</v>
      </c>
      <c r="AW111" s="10">
        <f>(NA!BD111-NA!BC111)/(NA!BD$113-NA!BC$113)</f>
        <v>1.0117482938778819</v>
      </c>
      <c r="AX111" s="10">
        <f>(NA!BE111-NA!BD111)/(NA!BE$113-NA!BD$113)</f>
        <v>1.0261747471044222</v>
      </c>
      <c r="AY111" s="10">
        <f>(NA!BF111-NA!BE111)/(NA!BF$113-NA!BE$113)</f>
        <v>1.0356327001631294</v>
      </c>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row>
    <row r="112" spans="5:182" x14ac:dyDescent="0.2">
      <c r="E112" s="177" t="s">
        <v>122</v>
      </c>
      <c r="G112" s="10"/>
      <c r="H112" s="10"/>
      <c r="I112" s="10"/>
      <c r="J112" s="10"/>
      <c r="K112" s="10"/>
      <c r="L112" s="10">
        <f>(NA!L112-NA!K112)/(NA!L$113-NA!K$113)</f>
        <v>-1.1124336770361367E-2</v>
      </c>
      <c r="M112" s="10">
        <f>(NA!M112-NA!L112)/(NA!M$113-NA!L$113)</f>
        <v>-9.9484096873843231E-3</v>
      </c>
      <c r="N112" s="10">
        <f>(NA!N112-NA!M112)/(NA!N$113-NA!M$113)</f>
        <v>-1.1390158080005775E-2</v>
      </c>
      <c r="O112" s="10">
        <f>(NA!O112-NA!N112)/(NA!O$113-NA!N$113)</f>
        <v>-2.9119231144492452E-2</v>
      </c>
      <c r="P112" s="10">
        <f>(NA!P112-NA!O112)/(NA!P$113-NA!O$113)</f>
        <v>-1.1164825191089871E-2</v>
      </c>
      <c r="Q112" s="10">
        <f>(NA!Q112-NA!P112)/(NA!Q$113-NA!P$113)</f>
        <v>-2.7975046552260342E-2</v>
      </c>
      <c r="R112" s="10">
        <f>(NA!R112-NA!Q112)/(NA!R$113-NA!Q$113)</f>
        <v>-3.3501533348212979E-2</v>
      </c>
      <c r="S112" s="10">
        <f>(NA!S112-NA!R112)/(NA!S$113-NA!R$113)</f>
        <v>-1.8686544145989754E-2</v>
      </c>
      <c r="T112" s="10">
        <f>(NA!T112-NA!S112)/(NA!T$113-NA!S$113)</f>
        <v>-3.4773892800182234E-2</v>
      </c>
      <c r="U112" s="10">
        <f>(NA!U112-NA!T112)/(NA!U$113-NA!T$113)</f>
        <v>-3.3740384261671634E-2</v>
      </c>
      <c r="V112" s="10">
        <f>(NA!V112-NA!U112)/(NA!V$113-NA!U$113)</f>
        <v>-3.3890803343255838E-2</v>
      </c>
      <c r="W112" s="10"/>
      <c r="X112" s="10"/>
      <c r="Y112" s="10"/>
      <c r="Z112" s="10"/>
      <c r="AA112" s="10"/>
      <c r="AB112" s="10"/>
      <c r="AF112" s="10">
        <f>(NA!AM112-NA!AL112)/(NA!AM$113-NA!AL$113)</f>
        <v>-7.2106789559413607E-3</v>
      </c>
      <c r="AG112" s="10">
        <f>(NA!AN112-NA!AM112)/(NA!AN$113-NA!AM$113)</f>
        <v>-2.8432244448279068E-3</v>
      </c>
      <c r="AH112" s="10">
        <f>(NA!AO112-NA!AN112)/(NA!AO$113-NA!AN$113)</f>
        <v>-1.1471396754751836E-2</v>
      </c>
      <c r="AI112" s="10">
        <f>(NA!AP112-NA!AO112)/(NA!AP$113-NA!AO$113)</f>
        <v>-4.8411263359095348E-3</v>
      </c>
      <c r="AJ112" s="10">
        <f>(NA!AQ112-NA!AP112)/(NA!AQ$113-NA!AP$113)</f>
        <v>3.6319481655943273E-2</v>
      </c>
      <c r="AK112" s="10">
        <f>(NA!AR112-NA!AQ112)/(NA!AR$113-NA!AQ$113)</f>
        <v>-1.1729880968487198E-2</v>
      </c>
      <c r="AL112" s="10">
        <f>(NA!AS112-NA!AR112)/(NA!AS$113-NA!AR$113)</f>
        <v>-1.0658903039493293E-2</v>
      </c>
      <c r="AM112" s="10">
        <f>(NA!AT112-NA!AS112)/(NA!AT$113-NA!AS$113)</f>
        <v>-5.3417970204006522E-2</v>
      </c>
      <c r="AN112" s="10">
        <f>(NA!AU112-NA!AT112)/(NA!AU$113-NA!AT$113)</f>
        <v>-2.0856550705847458E-2</v>
      </c>
      <c r="AO112" s="10">
        <f>(NA!AV112-NA!AU112)/(NA!AV$113-NA!AU$113)</f>
        <v>-1.6120796838087974E-2</v>
      </c>
      <c r="AP112" s="10">
        <f>(NA!AW112-NA!AV112)/(NA!AW$113-NA!AV$113)</f>
        <v>-5.5243387017427148E-2</v>
      </c>
      <c r="AQ112" s="10">
        <f>(NA!AX112-NA!AW112)/(NA!AX$113-NA!AW$113)</f>
        <v>-1.8585739467205362E-2</v>
      </c>
      <c r="AR112" s="10">
        <f>(NA!AY112-NA!AX112)/(NA!AY$113-NA!AX$113)</f>
        <v>-4.631701455706997E-2</v>
      </c>
      <c r="AS112" s="10">
        <f>(NA!AZ112-NA!AY112)/(NA!AZ$113-NA!AY$113)</f>
        <v>-3.9539399807890525E-3</v>
      </c>
      <c r="AT112" s="10">
        <f>(NA!BA112-NA!AZ112)/(NA!BA$113-NA!AZ$113)</f>
        <v>-1.7609957810034598E-4</v>
      </c>
      <c r="AU112" s="10">
        <f>(NA!BB112-NA!BA112)/(NA!BB$113-NA!BA$113)</f>
        <v>-2.2309283420724749E-2</v>
      </c>
      <c r="AV112" s="10">
        <f>(NA!BC112-NA!BB112)/(NA!BC$113-NA!BB$113)</f>
        <v>-2.3186438420510068E-2</v>
      </c>
      <c r="AW112" s="10">
        <f>(NA!BD112-NA!BC112)/(NA!BD$113-NA!BC$113)</f>
        <v>-1.17482938778815E-2</v>
      </c>
      <c r="AX112" s="10">
        <f>(NA!BE112-NA!BD112)/(NA!BE$113-NA!BD$113)</f>
        <v>-2.6174747104424245E-2</v>
      </c>
      <c r="AY112" s="10">
        <f>(NA!BF112-NA!BE112)/(NA!BF$113-NA!BE$113)</f>
        <v>-3.5632700163127619E-2</v>
      </c>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row>
    <row r="113" spans="5:182" x14ac:dyDescent="0.2">
      <c r="E113" s="177" t="s">
        <v>123</v>
      </c>
      <c r="G113" s="10"/>
      <c r="H113" s="10"/>
      <c r="I113" s="10"/>
      <c r="J113" s="10"/>
      <c r="K113" s="10"/>
      <c r="L113" s="10">
        <f>(NA!L113-NA!K113)/(NA!L$113-NA!K$113)</f>
        <v>1</v>
      </c>
      <c r="M113" s="10">
        <f>(NA!M113-NA!L113)/(NA!M$113-NA!L$113)</f>
        <v>1</v>
      </c>
      <c r="N113" s="10">
        <f>(NA!N113-NA!M113)/(NA!N$113-NA!M$113)</f>
        <v>1</v>
      </c>
      <c r="O113" s="10">
        <f>(NA!O113-NA!N113)/(NA!O$113-NA!N$113)</f>
        <v>1</v>
      </c>
      <c r="P113" s="10">
        <f>(NA!P113-NA!O113)/(NA!P$113-NA!O$113)</f>
        <v>1</v>
      </c>
      <c r="Q113" s="10">
        <f>(NA!Q113-NA!P113)/(NA!Q$113-NA!P$113)</f>
        <v>1</v>
      </c>
      <c r="R113" s="10">
        <f>(NA!R113-NA!Q113)/(NA!R$113-NA!Q$113)</f>
        <v>1</v>
      </c>
      <c r="S113" s="10">
        <f>(NA!S113-NA!R113)/(NA!S$113-NA!R$113)</f>
        <v>1</v>
      </c>
      <c r="T113" s="10">
        <f>(NA!T113-NA!S113)/(NA!T$113-NA!S$113)</f>
        <v>1</v>
      </c>
      <c r="U113" s="10">
        <f>(NA!U113-NA!T113)/(NA!U$113-NA!T$113)</f>
        <v>1</v>
      </c>
      <c r="V113" s="10">
        <f>(NA!V113-NA!U113)/(NA!V$113-NA!U$113)</f>
        <v>1</v>
      </c>
      <c r="W113" s="10"/>
      <c r="X113" s="10"/>
      <c r="Y113" s="10"/>
      <c r="Z113" s="10"/>
      <c r="AA113" s="10"/>
      <c r="AB113" s="10"/>
      <c r="AF113" s="10">
        <f>(NA!AM113-NA!AL113)/(NA!AM$113-NA!AL$113)</f>
        <v>1</v>
      </c>
      <c r="AG113" s="10">
        <f>(NA!AN113-NA!AM113)/(NA!AN$113-NA!AM$113)</f>
        <v>1</v>
      </c>
      <c r="AH113" s="10">
        <f>(NA!AO113-NA!AN113)/(NA!AO$113-NA!AN$113)</f>
        <v>1</v>
      </c>
      <c r="AI113" s="10">
        <f>(NA!AP113-NA!AO113)/(NA!AP$113-NA!AO$113)</f>
        <v>1</v>
      </c>
      <c r="AJ113" s="10">
        <f>(NA!AQ113-NA!AP113)/(NA!AQ$113-NA!AP$113)</f>
        <v>1</v>
      </c>
      <c r="AK113" s="10">
        <f>(NA!AR113-NA!AQ113)/(NA!AR$113-NA!AQ$113)</f>
        <v>1</v>
      </c>
      <c r="AL113" s="10">
        <f>(NA!AS113-NA!AR113)/(NA!AS$113-NA!AR$113)</f>
        <v>1</v>
      </c>
      <c r="AM113" s="10">
        <f>(NA!AT113-NA!AS113)/(NA!AT$113-NA!AS$113)</f>
        <v>1</v>
      </c>
      <c r="AN113" s="10">
        <f>(NA!AU113-NA!AT113)/(NA!AU$113-NA!AT$113)</f>
        <v>1</v>
      </c>
      <c r="AO113" s="10">
        <f>(NA!AV113-NA!AU113)/(NA!AV$113-NA!AU$113)</f>
        <v>1</v>
      </c>
      <c r="AP113" s="10">
        <f>(NA!AW113-NA!AV113)/(NA!AW$113-NA!AV$113)</f>
        <v>1</v>
      </c>
      <c r="AQ113" s="10">
        <f>(NA!AX113-NA!AW113)/(NA!AX$113-NA!AW$113)</f>
        <v>1</v>
      </c>
      <c r="AR113" s="10">
        <f>(NA!AY113-NA!AX113)/(NA!AY$113-NA!AX$113)</f>
        <v>1</v>
      </c>
      <c r="AS113" s="10">
        <f>(NA!AZ113-NA!AY113)/(NA!AZ$113-NA!AY$113)</f>
        <v>1</v>
      </c>
      <c r="AT113" s="10">
        <f>(NA!BA113-NA!AZ113)/(NA!BA$113-NA!AZ$113)</f>
        <v>1</v>
      </c>
      <c r="AU113" s="10">
        <f>(NA!BB113-NA!BA113)/(NA!BB$113-NA!BA$113)</f>
        <v>1</v>
      </c>
      <c r="AV113" s="10">
        <f>(NA!BC113-NA!BB113)/(NA!BC$113-NA!BB$113)</f>
        <v>1</v>
      </c>
      <c r="AW113" s="10">
        <f>(NA!BD113-NA!BC113)/(NA!BD$113-NA!BC$113)</f>
        <v>1</v>
      </c>
      <c r="AX113" s="10">
        <f>(NA!BE113-NA!BD113)/(NA!BE$113-NA!BD$113)</f>
        <v>1</v>
      </c>
      <c r="AY113" s="10">
        <f>(NA!BF113-NA!BE113)/(NA!BF$113-NA!BE$113)</f>
        <v>1</v>
      </c>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row>
    <row r="114" spans="5:182" x14ac:dyDescent="0.2">
      <c r="E114" s="177" t="s">
        <v>124</v>
      </c>
      <c r="G114" s="10"/>
      <c r="H114" s="10"/>
      <c r="I114" s="10"/>
      <c r="J114" s="10"/>
      <c r="K114" s="10"/>
      <c r="L114" s="10">
        <f>(NA!L114-NA!K114)/(NA!L$113-NA!K$113)</f>
        <v>4.5843377465363079E-2</v>
      </c>
      <c r="M114" s="10">
        <f>(NA!M114-NA!L114)/(NA!M$113-NA!L$113)</f>
        <v>4.0496368513083809E-2</v>
      </c>
      <c r="N114" s="10">
        <f>(NA!N114-NA!M114)/(NA!N$113-NA!M$113)</f>
        <v>6.1628224529459971E-2</v>
      </c>
      <c r="O114" s="10">
        <f>(NA!O114-NA!N114)/(NA!O$113-NA!N$113)</f>
        <v>0.15755897684662024</v>
      </c>
      <c r="P114" s="10">
        <f>(NA!P114-NA!O114)/(NA!P$113-NA!O$113)</f>
        <v>7.539787821232434E-2</v>
      </c>
      <c r="Q114" s="10">
        <f>(NA!Q114-NA!P114)/(NA!Q$113-NA!P$113)</f>
        <v>6.9178892624121774E-2</v>
      </c>
      <c r="R114" s="10">
        <f>(NA!R114-NA!Q114)/(NA!R$113-NA!Q$113)</f>
        <v>0.17645659001905989</v>
      </c>
      <c r="S114" s="10">
        <f>(NA!S114-NA!R114)/(NA!S$113-NA!R$113)</f>
        <v>0.16990140072160817</v>
      </c>
      <c r="T114" s="10">
        <f>(NA!T114-NA!S114)/(NA!T$113-NA!S$113)</f>
        <v>0.12384961763049886</v>
      </c>
      <c r="U114" s="10">
        <f>(NA!U114-NA!T114)/(NA!U$113-NA!T$113)</f>
        <v>0.10506592548799183</v>
      </c>
      <c r="V114" s="10">
        <f>(NA!V114-NA!U114)/(NA!V$113-NA!U$113)</f>
        <v>8.7080907233776164E-2</v>
      </c>
      <c r="W114" s="10"/>
      <c r="X114" s="10"/>
      <c r="Y114" s="10"/>
      <c r="Z114" s="10"/>
      <c r="AA114" s="10"/>
      <c r="AB114" s="10"/>
      <c r="AF114" s="10">
        <f>(NA!AM114-NA!AL114)/(NA!AM$113-NA!AL$113)</f>
        <v>7.1939363326276831E-2</v>
      </c>
      <c r="AG114" s="10">
        <f>(NA!AN114-NA!AM114)/(NA!AN$113-NA!AM$113)</f>
        <v>7.1630141895748442E-2</v>
      </c>
      <c r="AH114" s="10">
        <f>(NA!AO114-NA!AN114)/(NA!AO$113-NA!AN$113)</f>
        <v>4.4762658630878034E-2</v>
      </c>
      <c r="AI114" s="10">
        <f>(NA!AP114-NA!AO114)/(NA!AP$113-NA!AO$113)</f>
        <v>2.6189515252120477E-2</v>
      </c>
      <c r="AJ114" s="10">
        <f>(NA!AQ114-NA!AP114)/(NA!AQ$113-NA!AP$113)</f>
        <v>-0.19654246671097875</v>
      </c>
      <c r="AK114" s="10">
        <f>(NA!AR114-NA!AQ114)/(NA!AR$113-NA!AQ$113)</f>
        <v>6.3461863129997007E-2</v>
      </c>
      <c r="AL114" s="10">
        <f>(NA!AS114-NA!AR114)/(NA!AS$113-NA!AR$113)</f>
        <v>8.6084777937083509E-2</v>
      </c>
      <c r="AM114" s="10">
        <f>(NA!AT114-NA!AS114)/(NA!AT$113-NA!AS$113)</f>
        <v>4.4338768784437772E-2</v>
      </c>
      <c r="AN114" s="10">
        <f>(NA!AU114-NA!AT114)/(NA!AU$113-NA!AT$113)</f>
        <v>0.26033843938575535</v>
      </c>
      <c r="AO114" s="10">
        <f>(NA!AV114-NA!AU114)/(NA!AV$113-NA!AU$113)</f>
        <v>6.2971498858840624E-2</v>
      </c>
      <c r="AP114" s="10">
        <f>(NA!AW114-NA!AV114)/(NA!AW$113-NA!AV$113)</f>
        <v>0.19065591631065104</v>
      </c>
      <c r="AQ114" s="10">
        <f>(NA!AX114-NA!AW114)/(NA!AX$113-NA!AW$113)</f>
        <v>4.4744772967475026E-2</v>
      </c>
      <c r="AR114" s="10">
        <f>(NA!AY114-NA!AX114)/(NA!AY$113-NA!AX$113)</f>
        <v>0.12145369722210565</v>
      </c>
      <c r="AS114" s="10">
        <f>(NA!AZ114-NA!AY114)/(NA!AZ$113-NA!AY$113)</f>
        <v>5.8225948860625865E-3</v>
      </c>
      <c r="AT114" s="10">
        <f>(NA!BA114-NA!AZ114)/(NA!BA$113-NA!AZ$113)</f>
        <v>0.15879257335611499</v>
      </c>
      <c r="AU114" s="10">
        <f>(NA!BB114-NA!BA114)/(NA!BB$113-NA!BA$113)</f>
        <v>8.9449906621042755E-2</v>
      </c>
      <c r="AV114" s="10">
        <f>(NA!BC114-NA!BB114)/(NA!BC$113-NA!BB$113)</f>
        <v>0.115400334406822</v>
      </c>
      <c r="AW114" s="10">
        <f>(NA!BD114-NA!BC114)/(NA!BD$113-NA!BC$113)</f>
        <v>0.1275899913541341</v>
      </c>
      <c r="AX114" s="10">
        <f>(NA!BE114-NA!BD114)/(NA!BE$113-NA!BD$113)</f>
        <v>0.13336397934799032</v>
      </c>
      <c r="AY114" s="10">
        <f>(NA!BF114-NA!BE114)/(NA!BF$113-NA!BE$113)</f>
        <v>0.13236507074015871</v>
      </c>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row>
    <row r="115" spans="5:182" x14ac:dyDescent="0.2">
      <c r="E115" s="177"/>
      <c r="G115" s="10"/>
      <c r="H115" s="10"/>
      <c r="I115" s="10"/>
      <c r="J115" s="10"/>
      <c r="K115" s="10"/>
      <c r="L115" s="10"/>
      <c r="M115" s="10"/>
      <c r="N115" s="10"/>
      <c r="O115" s="10"/>
      <c r="P115" s="10"/>
      <c r="Q115" s="10"/>
      <c r="R115" s="10"/>
      <c r="S115" s="10"/>
      <c r="T115" s="10"/>
      <c r="U115" s="10"/>
      <c r="V115" s="10"/>
      <c r="W115" s="10"/>
      <c r="X115" s="10"/>
      <c r="Y115" s="10"/>
      <c r="Z115" s="10"/>
      <c r="AA115" s="10"/>
      <c r="AB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row>
    <row r="116" spans="5:182" x14ac:dyDescent="0.2">
      <c r="E116" s="15" t="s">
        <v>125</v>
      </c>
      <c r="G116" s="10"/>
      <c r="H116" s="10"/>
      <c r="I116" s="10"/>
      <c r="J116" s="10"/>
      <c r="K116" s="10"/>
      <c r="L116" s="10">
        <f>(NA!L116-NA!K116)/(NA!L$113-NA!K$113)</f>
        <v>1.0458433774653633</v>
      </c>
      <c r="M116" s="10">
        <f>(NA!M116-NA!L116)/(NA!M$113-NA!L$113)</f>
        <v>1.0404963685130835</v>
      </c>
      <c r="N116" s="10">
        <f>(NA!N116-NA!M116)/(NA!N$113-NA!M$113)</f>
        <v>1.0616282245294593</v>
      </c>
      <c r="O116" s="10">
        <f>(NA!O116-NA!N116)/(NA!O$113-NA!N$113)</f>
        <v>1.157558976846629</v>
      </c>
      <c r="P116" s="10">
        <f>(NA!P116-NA!O116)/(NA!P$113-NA!O$113)</f>
        <v>1.0753978782123217</v>
      </c>
      <c r="Q116" s="10">
        <f>(NA!Q116-NA!P116)/(NA!Q$113-NA!P$113)</f>
        <v>1.0691788926241241</v>
      </c>
      <c r="R116" s="10">
        <f>(NA!R116-NA!Q116)/(NA!R$113-NA!Q$113)</f>
        <v>1.1764565900190569</v>
      </c>
      <c r="S116" s="10">
        <f>(NA!S116-NA!R116)/(NA!S$113-NA!R$113)</f>
        <v>1.1699014007216104</v>
      </c>
      <c r="T116" s="10">
        <f>(NA!T116-NA!S116)/(NA!T$113-NA!S$113)</f>
        <v>1.1238496176304993</v>
      </c>
      <c r="U116" s="10">
        <f>(NA!U116-NA!T116)/(NA!U$113-NA!T$113)</f>
        <v>1.105065925487994</v>
      </c>
      <c r="V116" s="10">
        <f>(NA!V116-NA!U116)/(NA!V$113-NA!U$113)</f>
        <v>1.0870809072337744</v>
      </c>
      <c r="W116" s="10"/>
      <c r="X116" s="10"/>
      <c r="Y116" s="10"/>
      <c r="Z116" s="10"/>
      <c r="AA116" s="10"/>
      <c r="AB116" s="10"/>
      <c r="AF116" s="10">
        <f>(NA!AM116-NA!AL116)/(NA!AM$113-NA!AL$113)</f>
        <v>1.0719393633262768</v>
      </c>
      <c r="AG116" s="10">
        <f>(NA!AN116-NA!AM116)/(NA!AN$113-NA!AM$113)</f>
        <v>1.0716301418957483</v>
      </c>
      <c r="AH116" s="10">
        <f>(NA!AO116-NA!AN116)/(NA!AO$113-NA!AN$113)</f>
        <v>1.0447626586308782</v>
      </c>
      <c r="AI116" s="10">
        <f>(NA!AP116-NA!AO116)/(NA!AP$113-NA!AO$113)</f>
        <v>1.0261895152521194</v>
      </c>
      <c r="AJ116" s="10">
        <f>(NA!AQ116-NA!AP116)/(NA!AQ$113-NA!AP$113)</f>
        <v>0.8034575332890187</v>
      </c>
      <c r="AK116" s="10">
        <f>(NA!AR116-NA!AQ116)/(NA!AR$113-NA!AQ$113)</f>
        <v>1.0634618631299972</v>
      </c>
      <c r="AL116" s="10">
        <f>(NA!AS116-NA!AR116)/(NA!AS$113-NA!AR$113)</f>
        <v>1.0860847779370832</v>
      </c>
      <c r="AM116" s="10">
        <f>(NA!AT116-NA!AS116)/(NA!AT$113-NA!AS$113)</f>
        <v>1.044338768784437</v>
      </c>
      <c r="AN116" s="10">
        <f>(NA!AU116-NA!AT116)/(NA!AU$113-NA!AT$113)</f>
        <v>1.2603384393857557</v>
      </c>
      <c r="AO116" s="10">
        <f>(NA!AV116-NA!AU116)/(NA!AV$113-NA!AU$113)</f>
        <v>1.0629714988588401</v>
      </c>
      <c r="AP116" s="10">
        <f>(NA!AW116-NA!AV116)/(NA!AW$113-NA!AV$113)</f>
        <v>1.1906559163106523</v>
      </c>
      <c r="AQ116" s="10">
        <f>(NA!AX116-NA!AW116)/(NA!AX$113-NA!AW$113)</f>
        <v>1.0447447729674753</v>
      </c>
      <c r="AR116" s="10">
        <f>(NA!AY116-NA!AX116)/(NA!AY$113-NA!AX$113)</f>
        <v>1.1214536972221041</v>
      </c>
      <c r="AS116" s="10">
        <f>(NA!AZ116-NA!AY116)/(NA!AZ$113-NA!AY$113)</f>
        <v>1.0058225948860655</v>
      </c>
      <c r="AT116" s="10">
        <f>(NA!BA116-NA!AZ116)/(NA!BA$113-NA!AZ$113)</f>
        <v>1.1587925733561144</v>
      </c>
      <c r="AU116" s="10">
        <f>(NA!BB116-NA!BA116)/(NA!BB$113-NA!BA$113)</f>
        <v>1.0894499066210419</v>
      </c>
      <c r="AV116" s="10">
        <f>(NA!BC116-NA!BB116)/(NA!BC$113-NA!BB$113)</f>
        <v>1.1154003344068211</v>
      </c>
      <c r="AW116" s="10">
        <f>(NA!BD116-NA!BC116)/(NA!BD$113-NA!BC$113)</f>
        <v>1.127589991354135</v>
      </c>
      <c r="AX116" s="10">
        <f>(NA!BE116-NA!BD116)/(NA!BE$113-NA!BD$113)</f>
        <v>1.1333639793479917</v>
      </c>
      <c r="AY116" s="10">
        <f>(NA!BF116-NA!BE116)/(NA!BF$113-NA!BE$113)</f>
        <v>1.1323650707401578</v>
      </c>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row>
    <row r="117" spans="5:182" x14ac:dyDescent="0.2">
      <c r="K117" s="10"/>
    </row>
    <row r="119" spans="5:182" x14ac:dyDescent="0.2">
      <c r="E119" s="15" t="s">
        <v>316</v>
      </c>
      <c r="G119" s="10"/>
      <c r="H119" s="10"/>
      <c r="I119" s="10"/>
      <c r="J119" s="10"/>
      <c r="K119" s="10"/>
      <c r="L119" s="10"/>
      <c r="M119" s="10"/>
      <c r="N119" s="10"/>
      <c r="O119" s="10"/>
      <c r="P119" s="10"/>
      <c r="Q119" s="10"/>
      <c r="R119" s="10"/>
      <c r="S119" s="10"/>
      <c r="T119" s="10"/>
      <c r="U119" s="10"/>
      <c r="V119" s="10"/>
      <c r="W119" s="10"/>
      <c r="X119" s="10"/>
      <c r="Y119" s="10"/>
      <c r="Z119" s="10"/>
      <c r="AA119" s="10"/>
      <c r="AB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row>
    <row r="120" spans="5:182" x14ac:dyDescent="0.2">
      <c r="E120" s="15" t="s">
        <v>100</v>
      </c>
      <c r="G120" s="10"/>
      <c r="H120" s="10"/>
      <c r="I120" s="10"/>
      <c r="J120" s="10"/>
      <c r="K120" s="10"/>
      <c r="L120" s="10"/>
      <c r="M120" s="10"/>
      <c r="N120" s="10"/>
      <c r="O120" s="10"/>
      <c r="P120" s="10"/>
      <c r="Q120" s="10"/>
      <c r="R120" s="10"/>
      <c r="S120" s="10"/>
      <c r="T120" s="10"/>
      <c r="U120" s="10"/>
      <c r="V120" s="10"/>
      <c r="W120" s="10"/>
      <c r="X120" s="10"/>
      <c r="Y120" s="10"/>
      <c r="Z120" s="10"/>
      <c r="AA120" s="10"/>
      <c r="AB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row>
    <row r="121" spans="5:182" s="601" customFormat="1" x14ac:dyDescent="0.2">
      <c r="E121" s="600" t="s">
        <v>101</v>
      </c>
      <c r="G121" s="602"/>
      <c r="H121" s="602"/>
      <c r="I121" s="602"/>
      <c r="J121" s="602"/>
      <c r="K121" s="602">
        <f>NA!K55/NA!K$79</f>
        <v>0.32829157601352571</v>
      </c>
      <c r="L121" s="602">
        <f>NA!L55/NA!L$79</f>
        <v>0.32235935011544609</v>
      </c>
      <c r="M121" s="602">
        <f>NA!M55/NA!M$79</f>
        <v>0.31076437614267449</v>
      </c>
      <c r="N121" s="602">
        <f>NA!N55/NA!N$79</f>
        <v>0.30855693589921351</v>
      </c>
      <c r="O121" s="602">
        <f>NA!O55/NA!O$79</f>
        <v>0.31286924166518204</v>
      </c>
      <c r="P121" s="602">
        <f>NA!P55/NA!P$79</f>
        <v>0.31026046290057929</v>
      </c>
      <c r="Q121" s="602">
        <f>NA!Q55/NA!Q$79</f>
        <v>0.30739611334569483</v>
      </c>
      <c r="R121" s="602">
        <f>NA!R55/NA!R$79</f>
        <v>0.2980280350177596</v>
      </c>
      <c r="S121" s="602">
        <f>NA!S55/NA!S$79</f>
        <v>0.29913044620146567</v>
      </c>
      <c r="T121" s="602">
        <f>NA!T55/NA!T$79</f>
        <v>0.31653822846981616</v>
      </c>
      <c r="U121" s="602">
        <f>NA!U55/NA!U$79</f>
        <v>0.32147306711288209</v>
      </c>
      <c r="V121" s="602">
        <f>NA!V55/NA!V$79</f>
        <v>0.31592706394716624</v>
      </c>
      <c r="W121" s="602"/>
      <c r="X121" s="602"/>
      <c r="Y121" s="602"/>
      <c r="Z121" s="602"/>
      <c r="AA121" s="602"/>
      <c r="AB121" s="602"/>
      <c r="AF121" s="602">
        <f>NA!AM55/NA!AM$79</f>
        <v>0.32095845806433193</v>
      </c>
      <c r="AG121" s="602">
        <f>NA!AN55/NA!AN$79</f>
        <v>0.33482662739232899</v>
      </c>
      <c r="AH121" s="602">
        <f>NA!AO55/NA!AO$79</f>
        <v>0.31330425137161694</v>
      </c>
      <c r="AI121" s="602">
        <f>NA!AP55/NA!AP$79</f>
        <v>0.3085438697763454</v>
      </c>
      <c r="AJ121" s="602">
        <f>NA!AQ55/NA!AQ$79</f>
        <v>0.3085682851690344</v>
      </c>
      <c r="AK121" s="602">
        <f>NA!AR55/NA!AR$79</f>
        <v>0.31661492455955653</v>
      </c>
      <c r="AL121" s="602">
        <f>NA!AS55/NA!AS$79</f>
        <v>0.30464268950064549</v>
      </c>
      <c r="AM121" s="602">
        <f>NA!AT55/NA!AT$79</f>
        <v>0.30965855003318143</v>
      </c>
      <c r="AN121" s="602">
        <f>NA!AU55/NA!AU$79</f>
        <v>0.28784275786703828</v>
      </c>
      <c r="AO121" s="602">
        <f>NA!AV55/NA!AV$79</f>
        <v>0.30833585458030971</v>
      </c>
      <c r="AP121" s="602">
        <f>NA!AW55/NA!AW$79</f>
        <v>0.32365756815256458</v>
      </c>
      <c r="AQ121" s="602">
        <f>NA!AX55/NA!AX$79</f>
        <v>0.31959608588609034</v>
      </c>
      <c r="AR121" s="602">
        <f>NA!AY55/NA!AY$79</f>
        <v>0.31288659397351004</v>
      </c>
      <c r="AS121" s="602">
        <f>NA!AZ55/NA!AZ$79</f>
        <v>0.33173027368558777</v>
      </c>
      <c r="AT121" s="602">
        <f>NA!BA55/NA!BA$79</f>
        <v>0.33290609277979177</v>
      </c>
      <c r="AU121" s="602">
        <f>NA!BB55/NA!BB$79</f>
        <v>0.31469470175972536</v>
      </c>
      <c r="AV121" s="602">
        <f>NA!BC55/NA!BC$79</f>
        <v>0.24116849223414419</v>
      </c>
      <c r="AW121" s="602">
        <f>NA!BD55/NA!BD$79</f>
        <v>0.23186122150656702</v>
      </c>
      <c r="AX121" s="602">
        <f>NA!BE55/NA!BE$79</f>
        <v>0.22390379708885225</v>
      </c>
      <c r="AY121" s="602">
        <f>NA!BF55/NA!BF$79</f>
        <v>0.21628303044623476</v>
      </c>
      <c r="AZ121" s="602"/>
      <c r="BA121" s="602"/>
      <c r="BB121" s="602"/>
      <c r="BC121" s="602"/>
      <c r="BD121" s="602"/>
      <c r="BE121" s="602"/>
      <c r="BF121" s="602"/>
      <c r="BG121" s="602"/>
      <c r="BH121" s="602"/>
      <c r="BI121" s="602"/>
      <c r="BJ121" s="602"/>
      <c r="BK121" s="602"/>
      <c r="BL121" s="602"/>
      <c r="BM121" s="602"/>
      <c r="BN121" s="602"/>
      <c r="BO121" s="602"/>
      <c r="BP121" s="602"/>
      <c r="BQ121" s="602"/>
      <c r="BR121" s="602"/>
      <c r="BS121" s="602"/>
      <c r="BT121" s="602"/>
      <c r="BU121" s="602"/>
      <c r="BV121" s="602"/>
      <c r="BW121" s="602"/>
      <c r="BX121" s="602"/>
      <c r="BY121" s="602"/>
      <c r="BZ121" s="602"/>
      <c r="CA121" s="602"/>
      <c r="CB121" s="602"/>
      <c r="CC121" s="602"/>
      <c r="CD121" s="602"/>
      <c r="CE121" s="602"/>
      <c r="CF121" s="602"/>
      <c r="CG121" s="602"/>
      <c r="CH121" s="602"/>
      <c r="CI121" s="602"/>
      <c r="CJ121" s="602"/>
      <c r="CK121" s="602"/>
      <c r="CL121" s="602"/>
      <c r="CM121" s="602"/>
      <c r="CN121" s="602"/>
      <c r="CO121" s="602"/>
      <c r="CP121" s="602"/>
      <c r="CQ121" s="602"/>
      <c r="CR121" s="602"/>
      <c r="CS121" s="602"/>
      <c r="CT121" s="602"/>
      <c r="CU121" s="602"/>
      <c r="CV121" s="602"/>
      <c r="CW121" s="602"/>
      <c r="CX121" s="602"/>
      <c r="CY121" s="602"/>
      <c r="CZ121" s="602"/>
      <c r="DA121" s="602"/>
      <c r="DB121" s="602"/>
      <c r="DC121" s="602"/>
      <c r="DD121" s="602"/>
      <c r="DE121" s="602"/>
      <c r="DF121" s="602"/>
      <c r="DG121" s="602"/>
      <c r="DH121" s="602"/>
      <c r="DI121" s="602"/>
      <c r="DJ121" s="602"/>
      <c r="DK121" s="602"/>
      <c r="DL121" s="602"/>
      <c r="DM121" s="602"/>
      <c r="DN121" s="602"/>
      <c r="DO121" s="602"/>
      <c r="DP121" s="602"/>
      <c r="DQ121" s="602"/>
      <c r="DR121" s="602"/>
      <c r="DS121" s="602"/>
      <c r="DT121" s="602"/>
      <c r="DU121" s="602"/>
      <c r="DV121" s="602"/>
      <c r="DW121" s="602"/>
      <c r="DX121" s="602"/>
      <c r="DY121" s="602"/>
      <c r="DZ121" s="602"/>
      <c r="EA121" s="602"/>
      <c r="EB121" s="602"/>
      <c r="EC121" s="602"/>
      <c r="ED121" s="602"/>
      <c r="EE121" s="602"/>
      <c r="EF121" s="602"/>
      <c r="EG121" s="602"/>
      <c r="EH121" s="602"/>
      <c r="EI121" s="602"/>
      <c r="EJ121" s="602"/>
      <c r="EK121" s="602"/>
      <c r="EL121" s="602"/>
      <c r="EM121" s="602"/>
      <c r="EN121" s="602"/>
      <c r="EO121" s="602"/>
      <c r="EP121" s="602"/>
      <c r="EQ121" s="602"/>
      <c r="ER121" s="602"/>
      <c r="ES121" s="602"/>
      <c r="ET121" s="602"/>
      <c r="EU121" s="602"/>
      <c r="EV121" s="602"/>
      <c r="EW121" s="602"/>
      <c r="EX121" s="602"/>
      <c r="EY121" s="602"/>
      <c r="EZ121" s="602"/>
      <c r="FA121" s="602"/>
      <c r="FB121" s="602"/>
      <c r="FC121" s="602"/>
      <c r="FD121" s="602"/>
      <c r="FE121" s="602"/>
      <c r="FF121" s="602"/>
      <c r="FG121" s="602"/>
      <c r="FH121" s="602"/>
      <c r="FI121" s="602"/>
      <c r="FJ121" s="602"/>
      <c r="FK121" s="602"/>
      <c r="FL121" s="602"/>
      <c r="FM121" s="602"/>
      <c r="FN121" s="602"/>
      <c r="FO121" s="602"/>
      <c r="FP121" s="602"/>
      <c r="FQ121" s="602"/>
      <c r="FR121" s="602"/>
      <c r="FS121" s="602"/>
      <c r="FT121" s="602"/>
      <c r="FU121" s="602"/>
      <c r="FV121" s="602"/>
      <c r="FW121" s="602"/>
      <c r="FX121" s="602"/>
      <c r="FY121" s="602"/>
      <c r="FZ121" s="602"/>
    </row>
    <row r="122" spans="5:182" x14ac:dyDescent="0.2">
      <c r="E122" s="177" t="s">
        <v>131</v>
      </c>
      <c r="G122" s="10"/>
      <c r="H122" s="10"/>
      <c r="I122" s="10"/>
      <c r="J122" s="10"/>
      <c r="K122" s="10">
        <f>NA!K56/NA!K$79</f>
        <v>0.23616911894857337</v>
      </c>
      <c r="L122" s="10">
        <f>NA!L56/NA!L$79</f>
        <v>0.2002863504380637</v>
      </c>
      <c r="M122" s="10">
        <f>NA!M56/NA!M$79</f>
        <v>0.17728612491888565</v>
      </c>
      <c r="N122" s="10">
        <f>NA!N56/NA!N$79</f>
        <v>0.18014900308538898</v>
      </c>
      <c r="O122" s="10">
        <f>NA!O56/NA!O$79</f>
        <v>0.18518339894790306</v>
      </c>
      <c r="P122" s="10">
        <f>NA!P56/NA!P$79</f>
        <v>0.18035302565344141</v>
      </c>
      <c r="Q122" s="10">
        <f>NA!Q56/NA!Q$79</f>
        <v>0.1763835566573021</v>
      </c>
      <c r="R122" s="10">
        <f>NA!R56/NA!R$79</f>
        <v>0.16031869278109892</v>
      </c>
      <c r="S122" s="10">
        <f>NA!S56/NA!S$79</f>
        <v>0.15514773336062021</v>
      </c>
      <c r="T122" s="10">
        <f>NA!T56/NA!T$79</f>
        <v>0.16782879005974444</v>
      </c>
      <c r="U122" s="10">
        <f>NA!U56/NA!U$79</f>
        <v>0.17466332748474894</v>
      </c>
      <c r="V122" s="10">
        <f>NA!V56/NA!V$79</f>
        <v>0.17643977018352616</v>
      </c>
      <c r="W122" s="10"/>
      <c r="X122" s="10"/>
      <c r="Y122" s="10"/>
      <c r="Z122" s="10"/>
      <c r="AA122" s="10"/>
      <c r="AB122" s="10"/>
      <c r="AF122" s="10">
        <f>NA!AM56/NA!AM$79</f>
        <v>0.24021931852938658</v>
      </c>
      <c r="AG122" s="10">
        <f>NA!AN56/NA!AN$79</f>
        <v>0.23255970443507418</v>
      </c>
      <c r="AH122" s="10">
        <f>NA!AO56/NA!AO$79</f>
        <v>0.17684591506895889</v>
      </c>
      <c r="AI122" s="10">
        <f>NA!AP56/NA!AP$79</f>
        <v>0.17767098192412134</v>
      </c>
      <c r="AJ122" s="10">
        <f>NA!AQ56/NA!AQ$79</f>
        <v>0.1823014189982724</v>
      </c>
      <c r="AK122" s="10">
        <f>NA!AR56/NA!AR$79</f>
        <v>0.18769330180530949</v>
      </c>
      <c r="AL122" s="10">
        <f>NA!AS56/NA!AS$79</f>
        <v>0.17386372564234176</v>
      </c>
      <c r="AM122" s="10">
        <f>NA!AT56/NA!AT$79</f>
        <v>0.17845405450120036</v>
      </c>
      <c r="AN122" s="10">
        <f>NA!AU56/NA!AU$79</f>
        <v>0.14443687799448895</v>
      </c>
      <c r="AO122" s="10">
        <f>NA!AV56/NA!AV$79</f>
        <v>0.16388271919746766</v>
      </c>
      <c r="AP122" s="10">
        <f>NA!AW56/NA!AW$79</f>
        <v>0.17125382520922536</v>
      </c>
      <c r="AQ122" s="10">
        <f>NA!AX56/NA!AX$79</f>
        <v>0.17759286226070495</v>
      </c>
      <c r="AR122" s="10">
        <f>NA!AY56/NA!AY$79</f>
        <v>0.17548421802388142</v>
      </c>
      <c r="AS122" s="10">
        <f>NA!AZ56/NA!AZ$79</f>
        <v>0.19170214015441953</v>
      </c>
      <c r="AT122" s="10">
        <f>NA!BA56/NA!BA$79</f>
        <v>0.18675269028410502</v>
      </c>
      <c r="AU122" s="10">
        <f>NA!BB56/NA!BB$79</f>
        <v>0.17607693084566708</v>
      </c>
      <c r="AV122" s="10">
        <f>NA!BC56/NA!BC$79</f>
        <v>0.12676314789889534</v>
      </c>
      <c r="AW122" s="10">
        <f>NA!BD56/NA!BD$79</f>
        <v>0.12184848830265377</v>
      </c>
      <c r="AX122" s="10">
        <f>NA!BE56/NA!BE$79</f>
        <v>0.11732077062326786</v>
      </c>
      <c r="AY122" s="10">
        <f>NA!BF56/NA!BF$79</f>
        <v>0.11301674839145931</v>
      </c>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row>
    <row r="123" spans="5:182" x14ac:dyDescent="0.2">
      <c r="E123" s="177" t="s">
        <v>132</v>
      </c>
      <c r="G123" s="10"/>
      <c r="H123" s="10"/>
      <c r="I123" s="10"/>
      <c r="J123" s="10"/>
      <c r="K123" s="10">
        <f>NA!K57/NA!K$79</f>
        <v>5.2705541951804435E-2</v>
      </c>
      <c r="L123" s="10">
        <f>NA!L57/NA!L$79</f>
        <v>7.3932245497577348E-2</v>
      </c>
      <c r="M123" s="10">
        <f>NA!M57/NA!M$79</f>
        <v>8.6027301659749936E-2</v>
      </c>
      <c r="N123" s="10">
        <f>NA!N57/NA!N$79</f>
        <v>8.3025979186124255E-2</v>
      </c>
      <c r="O123" s="10">
        <f>NA!O57/NA!O$79</f>
        <v>8.3479986406741299E-2</v>
      </c>
      <c r="P123" s="10">
        <f>NA!P57/NA!P$79</f>
        <v>8.6887766525026652E-2</v>
      </c>
      <c r="Q123" s="10">
        <f>NA!Q57/NA!Q$79</f>
        <v>8.9783200216487655E-2</v>
      </c>
      <c r="R123" s="10">
        <f>NA!R57/NA!R$79</f>
        <v>9.6026432614091481E-2</v>
      </c>
      <c r="S123" s="10">
        <f>NA!S57/NA!S$79</f>
        <v>0.10039477383740773</v>
      </c>
      <c r="T123" s="10">
        <f>NA!T57/NA!T$79</f>
        <v>0.10186249361323682</v>
      </c>
      <c r="U123" s="10">
        <f>NA!U57/NA!U$79</f>
        <v>9.9815461084195936E-2</v>
      </c>
      <c r="V123" s="10">
        <f>NA!V57/NA!V$79</f>
        <v>9.436238322451268E-2</v>
      </c>
      <c r="W123" s="10"/>
      <c r="X123" s="10"/>
      <c r="Y123" s="10"/>
      <c r="Z123" s="10"/>
      <c r="AA123" s="10"/>
      <c r="AB123" s="10"/>
      <c r="AF123" s="10">
        <f>NA!AM57/NA!AM$79</f>
        <v>5.0712442268522867E-2</v>
      </c>
      <c r="AG123" s="10">
        <f>NA!AN57/NA!AN$79</f>
        <v>5.4481731687679821E-2</v>
      </c>
      <c r="AH123" s="10">
        <f>NA!AO57/NA!AO$79</f>
        <v>8.805933349404084E-2</v>
      </c>
      <c r="AI123" s="10">
        <f>NA!AP57/NA!AP$79</f>
        <v>8.4250781469620395E-2</v>
      </c>
      <c r="AJ123" s="10">
        <f>NA!AQ57/NA!AQ$79</f>
        <v>8.1962112595176953E-2</v>
      </c>
      <c r="AK123" s="10">
        <f>NA!AR57/NA!AR$79</f>
        <v>8.4801895609238037E-2</v>
      </c>
      <c r="AL123" s="10">
        <f>NA!AS57/NA!AS$79</f>
        <v>8.8731817331416857E-2</v>
      </c>
      <c r="AM123" s="10">
        <f>NA!AT57/NA!AT$79</f>
        <v>9.0647101797080326E-2</v>
      </c>
      <c r="AN123" s="10">
        <f>NA!AU57/NA!AU$79</f>
        <v>0.10073731387635926</v>
      </c>
      <c r="AO123" s="10">
        <f>NA!AV57/NA!AV$79</f>
        <v>0.10011542337598185</v>
      </c>
      <c r="AP123" s="10">
        <f>NA!AW57/NA!AW$79</f>
        <v>0.10337888223879685</v>
      </c>
      <c r="AQ123" s="10">
        <f>NA!AX57/NA!AX$79</f>
        <v>9.6753675125370794E-2</v>
      </c>
      <c r="AR123" s="10">
        <f>NA!AY57/NA!AY$79</f>
        <v>9.2380751240884268E-2</v>
      </c>
      <c r="AS123" s="10">
        <f>NA!AZ57/NA!AZ$79</f>
        <v>9.023145204252904E-2</v>
      </c>
      <c r="AT123" s="10">
        <f>NA!BA57/NA!BA$79</f>
        <v>8.7843998459738976E-2</v>
      </c>
      <c r="AU123" s="10">
        <f>NA!BB57/NA!BB$79</f>
        <v>8.0063045442270414E-2</v>
      </c>
      <c r="AV123" s="10">
        <f>NA!BC57/NA!BC$79</f>
        <v>7.9251207036789048E-2</v>
      </c>
      <c r="AW123" s="10">
        <f>NA!BD57/NA!BD$79</f>
        <v>7.5701919333574522E-2</v>
      </c>
      <c r="AX123" s="10">
        <f>NA!BE57/NA!BE$79</f>
        <v>7.3200302407985612E-2</v>
      </c>
      <c r="AY123" s="10">
        <f>NA!BF57/NA!BF$79</f>
        <v>7.0796137994639352E-2</v>
      </c>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row>
    <row r="124" spans="5:182" x14ac:dyDescent="0.2">
      <c r="E124" s="177" t="s">
        <v>133</v>
      </c>
      <c r="G124" s="10"/>
      <c r="H124" s="10"/>
      <c r="I124" s="10"/>
      <c r="J124" s="10"/>
      <c r="K124" s="10">
        <f>NA!K58/NA!K$79</f>
        <v>2.9339157329462507E-2</v>
      </c>
      <c r="L124" s="10">
        <f>NA!L58/NA!L$79</f>
        <v>2.6908745511923064E-2</v>
      </c>
      <c r="M124" s="10">
        <f>NA!M58/NA!M$79</f>
        <v>2.4832389863456841E-2</v>
      </c>
      <c r="N124" s="10">
        <f>NA!N58/NA!N$79</f>
        <v>2.3622816196899564E-2</v>
      </c>
      <c r="O124" s="10">
        <f>NA!O58/NA!O$79</f>
        <v>2.3493114942611516E-2</v>
      </c>
      <c r="P124" s="10">
        <f>NA!P58/NA!P$79</f>
        <v>2.3087300071436074E-2</v>
      </c>
      <c r="Q124" s="10">
        <f>NA!Q58/NA!Q$79</f>
        <v>2.2678574702573468E-2</v>
      </c>
      <c r="R124" s="10">
        <f>NA!R58/NA!R$79</f>
        <v>2.4342170879469181E-2</v>
      </c>
      <c r="S124" s="10">
        <f>NA!S58/NA!S$79</f>
        <v>2.5063161718892737E-2</v>
      </c>
      <c r="T124" s="10">
        <f>NA!T58/NA!T$79</f>
        <v>2.4810581865625132E-2</v>
      </c>
      <c r="U124" s="10">
        <f>NA!U58/NA!U$79</f>
        <v>2.4090587662818418E-2</v>
      </c>
      <c r="V124" s="10">
        <f>NA!V58/NA!V$79</f>
        <v>2.3230980144928328E-2</v>
      </c>
      <c r="W124" s="10"/>
      <c r="X124" s="10"/>
      <c r="Y124" s="10"/>
      <c r="Z124" s="10"/>
      <c r="AA124" s="10"/>
      <c r="AB124" s="10"/>
      <c r="AF124" s="10">
        <f>NA!AM58/NA!AM$79</f>
        <v>3.0026697266422469E-2</v>
      </c>
      <c r="AG124" s="10">
        <f>NA!AN58/NA!AN$79</f>
        <v>2.872644267736742E-2</v>
      </c>
      <c r="AH124" s="10">
        <f>NA!AO58/NA!AO$79</f>
        <v>2.5588535256393059E-2</v>
      </c>
      <c r="AI124" s="10">
        <f>NA!AP58/NA!AP$79</f>
        <v>2.4171323666286069E-2</v>
      </c>
      <c r="AJ124" s="10">
        <f>NA!AQ58/NA!AQ$79</f>
        <v>2.3146381118823386E-2</v>
      </c>
      <c r="AK124" s="10">
        <f>NA!AR58/NA!AR$79</f>
        <v>2.3795083807869176E-2</v>
      </c>
      <c r="AL124" s="10">
        <f>NA!AS58/NA!AS$79</f>
        <v>2.2461571432122886E-2</v>
      </c>
      <c r="AM124" s="10">
        <f>NA!AT58/NA!AT$79</f>
        <v>2.2856882216418354E-2</v>
      </c>
      <c r="AN124" s="10">
        <f>NA!AU58/NA!AU$79</f>
        <v>2.5642893733266933E-2</v>
      </c>
      <c r="AO124" s="10">
        <f>NA!AV58/NA!AV$79</f>
        <v>2.4590374928144136E-2</v>
      </c>
      <c r="AP124" s="10">
        <f>NA!AW58/NA!AW$79</f>
        <v>2.5001712873494772E-2</v>
      </c>
      <c r="AQ124" s="10">
        <f>NA!AX58/NA!AX$79</f>
        <v>2.3307724718544039E-2</v>
      </c>
      <c r="AR124" s="10">
        <f>NA!AY58/NA!AY$79</f>
        <v>2.3167382931391898E-2</v>
      </c>
      <c r="AS124" s="10">
        <f>NA!AZ58/NA!AZ$79</f>
        <v>2.6193564381515145E-2</v>
      </c>
      <c r="AT124" s="10">
        <f>NA!BA58/NA!BA$79</f>
        <v>3.2614530740021415E-2</v>
      </c>
      <c r="AU124" s="10">
        <f>NA!BB58/NA!BB$79</f>
        <v>3.4142762896062391E-2</v>
      </c>
      <c r="AV124" s="10">
        <f>NA!BC58/NA!BC$79</f>
        <v>2.1928788369701444E-2</v>
      </c>
      <c r="AW124" s="10">
        <f>NA!BD58/NA!BD$79</f>
        <v>2.1520728590536772E-2</v>
      </c>
      <c r="AX124" s="10">
        <f>NA!BE58/NA!BE$79</f>
        <v>2.1017799993260641E-2</v>
      </c>
      <c r="AY124" s="10">
        <f>NA!BF58/NA!BF$79</f>
        <v>2.0489134586338026E-2</v>
      </c>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row>
    <row r="125" spans="5:182" x14ac:dyDescent="0.2">
      <c r="E125" s="177" t="s">
        <v>105</v>
      </c>
      <c r="G125" s="10"/>
      <c r="H125" s="10"/>
      <c r="I125" s="10"/>
      <c r="J125" s="10"/>
      <c r="K125" s="10">
        <f>NA!K59/NA!K$79</f>
        <v>1.9652449590749969E-2</v>
      </c>
      <c r="L125" s="10">
        <f>NA!L59/NA!L$79</f>
        <v>2.1232008667881948E-2</v>
      </c>
      <c r="M125" s="10">
        <f>NA!M59/NA!M$79</f>
        <v>2.2618559700582026E-2</v>
      </c>
      <c r="N125" s="10">
        <f>NA!N59/NA!N$79</f>
        <v>2.1759137430800771E-2</v>
      </c>
      <c r="O125" s="10">
        <f>NA!O59/NA!O$79</f>
        <v>2.0712741367926162E-2</v>
      </c>
      <c r="P125" s="10">
        <f>NA!P59/NA!P$79</f>
        <v>1.9932370650675209E-2</v>
      </c>
      <c r="Q125" s="10">
        <f>NA!Q59/NA!Q$79</f>
        <v>1.8550781769331628E-2</v>
      </c>
      <c r="R125" s="10">
        <f>NA!R59/NA!R$79</f>
        <v>1.7340738743100034E-2</v>
      </c>
      <c r="S125" s="10">
        <f>NA!S59/NA!S$79</f>
        <v>1.8524777284544977E-2</v>
      </c>
      <c r="T125" s="10">
        <f>NA!T59/NA!T$79</f>
        <v>2.2036362931209769E-2</v>
      </c>
      <c r="U125" s="10">
        <f>NA!U59/NA!U$79</f>
        <v>2.2903690881118814E-2</v>
      </c>
      <c r="V125" s="10">
        <f>NA!V59/NA!V$79</f>
        <v>2.1893930394199089E-2</v>
      </c>
      <c r="W125" s="10"/>
      <c r="X125" s="10"/>
      <c r="Y125" s="10"/>
      <c r="Z125" s="10"/>
      <c r="AA125" s="10"/>
      <c r="AB125" s="10"/>
      <c r="AF125" s="10">
        <f>NA!AM59/NA!AM$79</f>
        <v>2.0318653909049134E-2</v>
      </c>
      <c r="AG125" s="10">
        <f>NA!AN59/NA!AN$79</f>
        <v>1.9058748592207551E-2</v>
      </c>
      <c r="AH125" s="10">
        <f>NA!AO59/NA!AO$79</f>
        <v>2.2810467552224132E-2</v>
      </c>
      <c r="AI125" s="10">
        <f>NA!AP59/NA!AP$79</f>
        <v>2.2450782716317622E-2</v>
      </c>
      <c r="AJ125" s="10">
        <f>NA!AQ59/NA!AQ$79</f>
        <v>2.1158372456761665E-2</v>
      </c>
      <c r="AK125" s="10">
        <f>NA!AR59/NA!AR$79</f>
        <v>2.0324643337139819E-2</v>
      </c>
      <c r="AL125" s="10">
        <f>NA!AS59/NA!AS$79</f>
        <v>1.9585575094764E-2</v>
      </c>
      <c r="AM125" s="10">
        <f>NA!AT59/NA!AT$79</f>
        <v>1.7700511518482401E-2</v>
      </c>
      <c r="AN125" s="10">
        <f>NA!AU59/NA!AU$79</f>
        <v>1.702567226292313E-2</v>
      </c>
      <c r="AO125" s="10">
        <f>NA!AV59/NA!AV$79</f>
        <v>1.9747337078716055E-2</v>
      </c>
      <c r="AP125" s="10">
        <f>NA!AW59/NA!AW$79</f>
        <v>2.4023147831047587E-2</v>
      </c>
      <c r="AQ125" s="10">
        <f>NA!AX59/NA!AX$79</f>
        <v>2.1941823781470578E-2</v>
      </c>
      <c r="AR125" s="10">
        <f>NA!AY59/NA!AY$79</f>
        <v>2.1854241777352509E-2</v>
      </c>
      <c r="AS125" s="10">
        <f>NA!AZ59/NA!AZ$79</f>
        <v>2.3603117107124053E-2</v>
      </c>
      <c r="AT125" s="10">
        <f>NA!BA59/NA!BA$79</f>
        <v>2.5694873295926325E-2</v>
      </c>
      <c r="AU125" s="10">
        <f>NA!BB59/NA!BB$79</f>
        <v>2.4411962575725525E-2</v>
      </c>
      <c r="AV125" s="10">
        <f>NA!BC59/NA!BC$79</f>
        <v>1.3225348928758322E-2</v>
      </c>
      <c r="AW125" s="10">
        <f>NA!BD59/NA!BD$79</f>
        <v>1.2790085279801949E-2</v>
      </c>
      <c r="AX125" s="10">
        <f>NA!BE59/NA!BE$79</f>
        <v>1.2364924064338142E-2</v>
      </c>
      <c r="AY125" s="10">
        <f>NA!BF59/NA!BF$79</f>
        <v>1.1981009473798042E-2</v>
      </c>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row>
    <row r="126" spans="5:182" x14ac:dyDescent="0.2">
      <c r="E126" s="177" t="s">
        <v>106</v>
      </c>
      <c r="G126" s="10"/>
      <c r="H126" s="10"/>
      <c r="I126" s="10"/>
      <c r="J126" s="10"/>
      <c r="K126" s="10">
        <f>NA!K60/NA!K$79</f>
        <v>0.19320847753217041</v>
      </c>
      <c r="L126" s="10">
        <f>NA!L60/NA!L$79</f>
        <v>0.18501840725388072</v>
      </c>
      <c r="M126" s="10">
        <f>NA!M60/NA!M$79</f>
        <v>0.18953611421745398</v>
      </c>
      <c r="N126" s="10">
        <f>NA!N60/NA!N$79</f>
        <v>0.20588294694893564</v>
      </c>
      <c r="O126" s="10">
        <f>NA!O60/NA!O$79</f>
        <v>0.2126831015922179</v>
      </c>
      <c r="P126" s="10">
        <f>NA!P60/NA!P$79</f>
        <v>0.21128857087159625</v>
      </c>
      <c r="Q126" s="10">
        <f>NA!Q60/NA!Q$79</f>
        <v>0.21605442253703633</v>
      </c>
      <c r="R126" s="10">
        <f>NA!R60/NA!R$79</f>
        <v>0.21862565761564595</v>
      </c>
      <c r="S126" s="10">
        <f>NA!S60/NA!S$79</f>
        <v>0.21797210565454841</v>
      </c>
      <c r="T126" s="10">
        <f>NA!T60/NA!T$79</f>
        <v>0.20837195306412509</v>
      </c>
      <c r="U126" s="10">
        <f>NA!U60/NA!U$79</f>
        <v>0.20872209064491443</v>
      </c>
      <c r="V126" s="10">
        <f>NA!V60/NA!V$79</f>
        <v>0.23117857444875375</v>
      </c>
      <c r="W126" s="10"/>
      <c r="X126" s="10"/>
      <c r="Y126" s="10"/>
      <c r="Z126" s="10"/>
      <c r="AA126" s="10"/>
      <c r="AB126" s="10"/>
      <c r="AF126" s="10">
        <f>NA!AM60/NA!AM$79</f>
        <v>0.19477979980435547</v>
      </c>
      <c r="AG126" s="10">
        <f>NA!AN60/NA!AN$79</f>
        <v>0.19180816297940695</v>
      </c>
      <c r="AH126" s="10">
        <f>NA!AO60/NA!AO$79</f>
        <v>0.18008694490041882</v>
      </c>
      <c r="AI126" s="10">
        <f>NA!AP60/NA!AP$79</f>
        <v>0.1977971265640068</v>
      </c>
      <c r="AJ126" s="10">
        <f>NA!AQ60/NA!AQ$79</f>
        <v>0.21290631250257583</v>
      </c>
      <c r="AK126" s="10">
        <f>NA!AR60/NA!AR$79</f>
        <v>0.2124887082544768</v>
      </c>
      <c r="AL126" s="10">
        <f>NA!AS60/NA!AS$79</f>
        <v>0.21022756834649833</v>
      </c>
      <c r="AM126" s="10">
        <f>NA!AT60/NA!AT$79</f>
        <v>0.22084223924640725</v>
      </c>
      <c r="AN126" s="10">
        <f>NA!AU60/NA!AU$79</f>
        <v>0.21668451414894946</v>
      </c>
      <c r="AO126" s="10">
        <f>NA!AV60/NA!AV$79</f>
        <v>0.21902217058219337</v>
      </c>
      <c r="AP126" s="10">
        <f>NA!AW60/NA!AW$79</f>
        <v>0.19912798086440775</v>
      </c>
      <c r="AQ126" s="10">
        <f>NA!AX60/NA!AX$79</f>
        <v>0.21696560420644082</v>
      </c>
      <c r="AR126" s="10">
        <f>NA!AY60/NA!AY$79</f>
        <v>0.24295667498278686</v>
      </c>
      <c r="AS126" s="10">
        <f>NA!AZ60/NA!AZ$79</f>
        <v>0.23267574562799756</v>
      </c>
      <c r="AT126" s="10">
        <f>NA!BA60/NA!BA$79</f>
        <v>0.2423338125661115</v>
      </c>
      <c r="AU126" s="10">
        <f>NA!BB60/NA!BB$79</f>
        <v>0.24990475949879185</v>
      </c>
      <c r="AV126" s="10">
        <f>NA!BC60/NA!BC$79</f>
        <v>0.24540538928083061</v>
      </c>
      <c r="AW126" s="10">
        <f>NA!BD60/NA!BD$79</f>
        <v>0.25122991947757239</v>
      </c>
      <c r="AX126" s="10">
        <f>NA!BE60/NA!BE$79</f>
        <v>0.25649401205047223</v>
      </c>
      <c r="AY126" s="10">
        <f>NA!BF60/NA!BF$79</f>
        <v>0.26224359844386302</v>
      </c>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row>
    <row r="127" spans="5:182" x14ac:dyDescent="0.2">
      <c r="E127" s="191" t="s">
        <v>136</v>
      </c>
      <c r="G127" s="10"/>
      <c r="H127" s="10"/>
      <c r="I127" s="10"/>
      <c r="J127" s="10"/>
      <c r="K127" s="10">
        <f>NA!K61/NA!K$79</f>
        <v>1.5100025024983367E-2</v>
      </c>
      <c r="L127" s="10">
        <f>NA!L61/NA!L$79</f>
        <v>1.8326171736396262E-2</v>
      </c>
      <c r="M127" s="10">
        <f>NA!M61/NA!M$79</f>
        <v>2.2471591154256624E-2</v>
      </c>
      <c r="N127" s="10">
        <f>NA!N61/NA!N$79</f>
        <v>2.6184391298083601E-2</v>
      </c>
      <c r="O127" s="10">
        <f>NA!O61/NA!O$79</f>
        <v>2.8932320090582893E-2</v>
      </c>
      <c r="P127" s="10">
        <f>NA!P61/NA!P$79</f>
        <v>3.2057542394016036E-2</v>
      </c>
      <c r="Q127" s="10">
        <f>NA!Q61/NA!Q$79</f>
        <v>3.8754327845097677E-2</v>
      </c>
      <c r="R127" s="10">
        <f>NA!R61/NA!R$79</f>
        <v>3.9941129853768166E-2</v>
      </c>
      <c r="S127" s="10">
        <f>NA!S61/NA!S$79</f>
        <v>3.4684640720409707E-2</v>
      </c>
      <c r="T127" s="10">
        <f>NA!T61/NA!T$79</f>
        <v>3.1349919862852862E-2</v>
      </c>
      <c r="U127" s="10">
        <f>NA!U61/NA!U$79</f>
        <v>3.7404429983662335E-2</v>
      </c>
      <c r="V127" s="10">
        <f>NA!V61/NA!V$79</f>
        <v>4.9361411012908932E-2</v>
      </c>
      <c r="W127" s="10"/>
      <c r="X127" s="10"/>
      <c r="Y127" s="10"/>
      <c r="Z127" s="10"/>
      <c r="AA127" s="10"/>
      <c r="AB127" s="10"/>
      <c r="AF127" s="10">
        <f>NA!AM61/NA!AM$79</f>
        <v>1.4502747589989571E-2</v>
      </c>
      <c r="AG127" s="10">
        <f>NA!AN61/NA!AN$79</f>
        <v>1.5632300484361927E-2</v>
      </c>
      <c r="AH127" s="10">
        <f>NA!AO61/NA!AO$79</f>
        <v>2.0282755331080888E-2</v>
      </c>
      <c r="AI127" s="10">
        <f>NA!AP61/NA!AP$79</f>
        <v>2.4385198494029162E-2</v>
      </c>
      <c r="AJ127" s="10">
        <f>NA!AQ61/NA!AQ$79</f>
        <v>2.7747175055673142E-2</v>
      </c>
      <c r="AK127" s="10">
        <f>NA!AR61/NA!AR$79</f>
        <v>2.9964457357860644E-2</v>
      </c>
      <c r="AL127" s="10">
        <f>NA!AS61/NA!AS$79</f>
        <v>3.390797097018055E-2</v>
      </c>
      <c r="AM127" s="10">
        <f>NA!AT61/NA!AT$79</f>
        <v>4.273648831566209E-2</v>
      </c>
      <c r="AN127" s="10">
        <f>NA!AU61/NA!AU$79</f>
        <v>3.7493129861312882E-2</v>
      </c>
      <c r="AO127" s="10">
        <f>NA!AV61/NA!AV$79</f>
        <v>3.2394243545754375E-2</v>
      </c>
      <c r="AP127" s="10">
        <f>NA!AW61/NA!AW$79</f>
        <v>3.0443487757041844E-2</v>
      </c>
      <c r="AQ127" s="10">
        <f>NA!AX61/NA!AX$79</f>
        <v>4.3385456150648427E-2</v>
      </c>
      <c r="AR127" s="10">
        <f>NA!AY61/NA!AY$79</f>
        <v>5.4313605800808115E-2</v>
      </c>
      <c r="AS127" s="10">
        <f>NA!AZ61/NA!AZ$79</f>
        <v>5.2136855547637015E-2</v>
      </c>
      <c r="AT127" s="10">
        <f>NA!BA61/NA!BA$79</f>
        <v>4.4927604959235562E-2</v>
      </c>
      <c r="AU127" s="10">
        <f>NA!BB61/NA!BB$79</f>
        <v>4.0052935829732135E-2</v>
      </c>
      <c r="AV127" s="10">
        <f>NA!BC61/NA!BC$79</f>
        <v>3.6725713358062614E-2</v>
      </c>
      <c r="AW127" s="10">
        <f>NA!BD61/NA!BD$79</f>
        <v>3.7223334202617843E-2</v>
      </c>
      <c r="AX127" s="10">
        <f>NA!BE61/NA!BE$79</f>
        <v>3.7670495781296005E-2</v>
      </c>
      <c r="AY127" s="10">
        <f>NA!BF61/NA!BF$79</f>
        <v>3.8114401841759113E-2</v>
      </c>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row>
    <row r="128" spans="5:182" s="601" customFormat="1" x14ac:dyDescent="0.2">
      <c r="E128" s="603" t="s">
        <v>135</v>
      </c>
      <c r="G128" s="602"/>
      <c r="H128" s="602"/>
      <c r="I128" s="602"/>
      <c r="J128" s="602"/>
      <c r="K128" s="602">
        <f>NA!K62/NA!K$79</f>
        <v>9.5270278143534642E-2</v>
      </c>
      <c r="L128" s="602">
        <f>NA!L62/NA!L$79</f>
        <v>8.5714468086579218E-2</v>
      </c>
      <c r="M128" s="602">
        <f>NA!M62/NA!M$79</f>
        <v>7.9504909742759838E-2</v>
      </c>
      <c r="N128" s="602">
        <f>NA!N62/NA!N$79</f>
        <v>7.9492787383788621E-2</v>
      </c>
      <c r="O128" s="602">
        <f>NA!O62/NA!O$79</f>
        <v>7.8886866902549937E-2</v>
      </c>
      <c r="P128" s="602">
        <f>NA!P62/NA!P$79</f>
        <v>7.7902974229293917E-2</v>
      </c>
      <c r="Q128" s="602">
        <f>NA!Q62/NA!Q$79</f>
        <v>7.8909063701109908E-2</v>
      </c>
      <c r="R128" s="602">
        <f>NA!R62/NA!R$79</f>
        <v>7.7494490626363835E-2</v>
      </c>
      <c r="S128" s="602">
        <f>NA!S62/NA!S$79</f>
        <v>7.4964556572359467E-2</v>
      </c>
      <c r="T128" s="602">
        <f>NA!T62/NA!T$79</f>
        <v>7.4134445209942848E-2</v>
      </c>
      <c r="U128" s="602">
        <f>NA!U62/NA!U$79</f>
        <v>7.3673272750045996E-2</v>
      </c>
      <c r="V128" s="602">
        <f>NA!V62/NA!V$79</f>
        <v>7.7915594522596138E-2</v>
      </c>
      <c r="W128" s="602"/>
      <c r="X128" s="602"/>
      <c r="Y128" s="602"/>
      <c r="Z128" s="602"/>
      <c r="AA128" s="602"/>
      <c r="AB128" s="602"/>
      <c r="AF128" s="602">
        <f>NA!AM62/NA!AM$79</f>
        <v>9.6838895288369628E-2</v>
      </c>
      <c r="AG128" s="602">
        <f>NA!AN62/NA!AN$79</f>
        <v>9.3872374317878163E-2</v>
      </c>
      <c r="AH128" s="602">
        <f>NA!AO62/NA!AO$79</f>
        <v>7.9789305372480968E-2</v>
      </c>
      <c r="AI128" s="602">
        <f>NA!AP62/NA!AP$79</f>
        <v>7.9256274573931126E-2</v>
      </c>
      <c r="AJ128" s="602">
        <f>NA!AQ62/NA!AQ$79</f>
        <v>7.9698223052981063E-2</v>
      </c>
      <c r="AK128" s="602">
        <f>NA!AR62/NA!AR$79</f>
        <v>7.8180260626332682E-2</v>
      </c>
      <c r="AL128" s="602">
        <f>NA!AS62/NA!AS$79</f>
        <v>7.7657834321454955E-2</v>
      </c>
      <c r="AM128" s="602">
        <f>NA!AT62/NA!AT$79</f>
        <v>7.9937175394877019E-2</v>
      </c>
      <c r="AN128" s="602">
        <f>NA!AU62/NA!AU$79</f>
        <v>7.5355340182366948E-2</v>
      </c>
      <c r="AO128" s="602">
        <f>NA!AV62/NA!AV$79</f>
        <v>7.4645862202768656E-2</v>
      </c>
      <c r="AP128" s="602">
        <f>NA!AW62/NA!AW$79</f>
        <v>7.3690555265336147E-2</v>
      </c>
      <c r="AQ128" s="602">
        <f>NA!AX62/NA!AX$79</f>
        <v>7.3658423154572231E-2</v>
      </c>
      <c r="AR128" s="602">
        <f>NA!AY62/NA!AY$79</f>
        <v>8.1443456152385435E-2</v>
      </c>
      <c r="AS128" s="602">
        <f>NA!AZ62/NA!AZ$79</f>
        <v>7.991036145496036E-2</v>
      </c>
      <c r="AT128" s="602">
        <f>NA!BA62/NA!BA$79</f>
        <v>6.8830125970879202E-2</v>
      </c>
      <c r="AU128" s="602">
        <f>NA!BB62/NA!BB$79</f>
        <v>6.0907444243451812E-2</v>
      </c>
      <c r="AV128" s="602">
        <f>NA!BC62/NA!BC$79</f>
        <v>7.9383515580228825E-2</v>
      </c>
      <c r="AW128" s="602">
        <f>NA!BD62/NA!BD$79</f>
        <v>7.9468471325945839E-2</v>
      </c>
      <c r="AX128" s="602">
        <f>NA!BE62/NA!BE$79</f>
        <v>7.9466914369226455E-2</v>
      </c>
      <c r="AY128" s="602">
        <f>NA!BF62/NA!BF$79</f>
        <v>7.9413090395376668E-2</v>
      </c>
      <c r="AZ128" s="602"/>
      <c r="BA128" s="602"/>
      <c r="BB128" s="602"/>
      <c r="BC128" s="602"/>
      <c r="BD128" s="602"/>
      <c r="BE128" s="602"/>
      <c r="BF128" s="602"/>
      <c r="BG128" s="602"/>
      <c r="BH128" s="602"/>
      <c r="BI128" s="602"/>
      <c r="BJ128" s="602"/>
      <c r="BK128" s="602"/>
      <c r="BL128" s="602"/>
      <c r="BM128" s="602"/>
      <c r="BN128" s="602"/>
      <c r="BO128" s="602"/>
      <c r="BP128" s="602"/>
      <c r="BQ128" s="602"/>
      <c r="BR128" s="602"/>
      <c r="BS128" s="602"/>
      <c r="BT128" s="602"/>
      <c r="BU128" s="602"/>
      <c r="BV128" s="602"/>
      <c r="BW128" s="602"/>
      <c r="BX128" s="602"/>
      <c r="BY128" s="602"/>
      <c r="BZ128" s="602"/>
      <c r="CA128" s="602"/>
      <c r="CB128" s="602"/>
      <c r="CC128" s="602"/>
      <c r="CD128" s="602"/>
      <c r="CE128" s="602"/>
      <c r="CF128" s="602"/>
      <c r="CG128" s="602"/>
      <c r="CH128" s="602"/>
      <c r="CI128" s="602"/>
      <c r="CJ128" s="602"/>
      <c r="CK128" s="602"/>
      <c r="CL128" s="602"/>
      <c r="CM128" s="602"/>
      <c r="CN128" s="602"/>
      <c r="CO128" s="602"/>
      <c r="CP128" s="602"/>
      <c r="CQ128" s="602"/>
      <c r="CR128" s="602"/>
      <c r="CS128" s="602"/>
      <c r="CT128" s="602"/>
      <c r="CU128" s="602"/>
      <c r="CV128" s="602"/>
      <c r="CW128" s="602"/>
      <c r="CX128" s="602"/>
      <c r="CY128" s="602"/>
      <c r="CZ128" s="602"/>
      <c r="DA128" s="602"/>
      <c r="DB128" s="602"/>
      <c r="DC128" s="602"/>
      <c r="DD128" s="602"/>
      <c r="DE128" s="602"/>
      <c r="DF128" s="602"/>
      <c r="DG128" s="602"/>
      <c r="DH128" s="602"/>
      <c r="DI128" s="602"/>
      <c r="DJ128" s="602"/>
      <c r="DK128" s="602"/>
      <c r="DL128" s="602"/>
      <c r="DM128" s="602"/>
      <c r="DN128" s="602"/>
      <c r="DO128" s="602"/>
      <c r="DP128" s="602"/>
      <c r="DQ128" s="602"/>
      <c r="DR128" s="602"/>
      <c r="DS128" s="602"/>
      <c r="DT128" s="602"/>
      <c r="DU128" s="602"/>
      <c r="DV128" s="602"/>
      <c r="DW128" s="602"/>
      <c r="DX128" s="602"/>
      <c r="DY128" s="602"/>
      <c r="DZ128" s="602"/>
      <c r="EA128" s="602"/>
      <c r="EB128" s="602"/>
      <c r="EC128" s="602"/>
      <c r="ED128" s="602"/>
      <c r="EE128" s="602"/>
      <c r="EF128" s="602"/>
      <c r="EG128" s="602"/>
      <c r="EH128" s="602"/>
      <c r="EI128" s="602"/>
      <c r="EJ128" s="602"/>
      <c r="EK128" s="602"/>
      <c r="EL128" s="602"/>
      <c r="EM128" s="602"/>
      <c r="EN128" s="602"/>
      <c r="EO128" s="602"/>
      <c r="EP128" s="602"/>
      <c r="EQ128" s="602"/>
      <c r="ER128" s="602"/>
      <c r="ES128" s="602"/>
      <c r="ET128" s="602"/>
      <c r="EU128" s="602"/>
      <c r="EV128" s="602"/>
      <c r="EW128" s="602"/>
      <c r="EX128" s="602"/>
      <c r="EY128" s="602"/>
      <c r="EZ128" s="602"/>
      <c r="FA128" s="602"/>
      <c r="FB128" s="602"/>
      <c r="FC128" s="602"/>
      <c r="FD128" s="602"/>
      <c r="FE128" s="602"/>
      <c r="FF128" s="602"/>
      <c r="FG128" s="602"/>
      <c r="FH128" s="602"/>
      <c r="FI128" s="602"/>
      <c r="FJ128" s="602"/>
      <c r="FK128" s="602"/>
      <c r="FL128" s="602"/>
      <c r="FM128" s="602"/>
      <c r="FN128" s="602"/>
      <c r="FO128" s="602"/>
      <c r="FP128" s="602"/>
      <c r="FQ128" s="602"/>
      <c r="FR128" s="602"/>
      <c r="FS128" s="602"/>
      <c r="FT128" s="602"/>
      <c r="FU128" s="602"/>
      <c r="FV128" s="602"/>
      <c r="FW128" s="602"/>
      <c r="FX128" s="602"/>
      <c r="FY128" s="602"/>
      <c r="FZ128" s="602"/>
    </row>
    <row r="129" spans="5:182" x14ac:dyDescent="0.2">
      <c r="E129" s="191" t="s">
        <v>107</v>
      </c>
      <c r="G129" s="10"/>
      <c r="H129" s="10"/>
      <c r="I129" s="10"/>
      <c r="J129" s="10"/>
      <c r="K129" s="10">
        <f>NA!K63/NA!K$79</f>
        <v>2.1227816683951108E-2</v>
      </c>
      <c r="L129" s="10">
        <f>NA!L63/NA!L$79</f>
        <v>1.7545769294201995E-2</v>
      </c>
      <c r="M129" s="10">
        <f>NA!M63/NA!M$79</f>
        <v>1.3554482711025816E-2</v>
      </c>
      <c r="N129" s="10">
        <f>NA!N63/NA!N$79</f>
        <v>1.2687032903119452E-2</v>
      </c>
      <c r="O129" s="10">
        <f>NA!O63/NA!O$79</f>
        <v>1.192847149861069E-2</v>
      </c>
      <c r="P129" s="10">
        <f>NA!P63/NA!P$79</f>
        <v>1.1466638451868631E-2</v>
      </c>
      <c r="Q129" s="10">
        <f>NA!Q63/NA!Q$79</f>
        <v>1.0297287981267647E-2</v>
      </c>
      <c r="R129" s="10">
        <f>NA!R63/NA!R$79</f>
        <v>9.3687397380124542E-3</v>
      </c>
      <c r="S129" s="10">
        <f>NA!S63/NA!S$79</f>
        <v>9.7090022748219894E-3</v>
      </c>
      <c r="T129" s="10">
        <f>NA!T63/NA!T$79</f>
        <v>1.0047135993378347E-2</v>
      </c>
      <c r="U129" s="10">
        <f>NA!U63/NA!U$79</f>
        <v>9.9798326295776549E-3</v>
      </c>
      <c r="V129" s="10">
        <f>NA!V63/NA!V$79</f>
        <v>7.8402581707420552E-3</v>
      </c>
      <c r="W129" s="10"/>
      <c r="X129" s="10"/>
      <c r="Y129" s="10"/>
      <c r="Z129" s="10"/>
      <c r="AA129" s="10"/>
      <c r="AB129" s="10"/>
      <c r="AF129" s="10">
        <f>NA!AM63/NA!AM$79</f>
        <v>1.999336468866289E-2</v>
      </c>
      <c r="AG129" s="10">
        <f>NA!AN63/NA!AN$79</f>
        <v>2.2327922705668867E-2</v>
      </c>
      <c r="AH129" s="10">
        <f>NA!AO63/NA!AO$79</f>
        <v>1.4072447061346466E-2</v>
      </c>
      <c r="AI129" s="10">
        <f>NA!AP63/NA!AP$79</f>
        <v>1.3101648207853249E-2</v>
      </c>
      <c r="AJ129" s="10">
        <f>NA!AQ63/NA!AQ$79</f>
        <v>1.2326896923014452E-2</v>
      </c>
      <c r="AK129" s="10">
        <f>NA!AR63/NA!AR$79</f>
        <v>1.1581484660169105E-2</v>
      </c>
      <c r="AL129" s="10">
        <f>NA!AS63/NA!AS$79</f>
        <v>1.1365106644974777E-2</v>
      </c>
      <c r="AM129" s="10">
        <f>NA!AT63/NA!AT$79</f>
        <v>9.4198814298943247E-3</v>
      </c>
      <c r="AN129" s="10">
        <f>NA!AU63/NA!AU$79</f>
        <v>9.3239530449826993E-3</v>
      </c>
      <c r="AO129" s="10">
        <f>NA!AV63/NA!AV$79</f>
        <v>1.002302010572003E-2</v>
      </c>
      <c r="AP129" s="10">
        <f>NA!AW63/NA!AW$79</f>
        <v>1.0068067640521403E-2</v>
      </c>
      <c r="AQ129" s="10">
        <f>NA!AX63/NA!AX$79</f>
        <v>9.9040187681609243E-3</v>
      </c>
      <c r="AR129" s="10">
        <f>NA!AY63/NA!AY$79</f>
        <v>6.1300470480724475E-3</v>
      </c>
      <c r="AS129" s="10">
        <f>NA!AZ63/NA!AZ$79</f>
        <v>9.2642559243977969E-3</v>
      </c>
      <c r="AT129" s="10">
        <f>NA!BA63/NA!BA$79</f>
        <v>8.2239582036199785E-3</v>
      </c>
      <c r="AU129" s="10">
        <f>NA!BB63/NA!BB$79</f>
        <v>8.1983616346495702E-3</v>
      </c>
      <c r="AV129" s="10">
        <f>NA!BC63/NA!BC$79</f>
        <v>9.7454761227485781E-3</v>
      </c>
      <c r="AW129" s="10">
        <f>NA!BD63/NA!BD$79</f>
        <v>9.933026032213365E-3</v>
      </c>
      <c r="AX129" s="10">
        <f>NA!BE63/NA!BE$79</f>
        <v>1.0094538564899513E-2</v>
      </c>
      <c r="AY129" s="10">
        <f>NA!BF63/NA!BF$79</f>
        <v>1.0247391174402301E-2</v>
      </c>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row>
    <row r="130" spans="5:182" x14ac:dyDescent="0.2">
      <c r="E130" s="191" t="s">
        <v>134</v>
      </c>
      <c r="G130" s="10"/>
      <c r="H130" s="10"/>
      <c r="I130" s="10"/>
      <c r="J130" s="10"/>
      <c r="K130" s="10">
        <f>NA!K64/NA!K$79</f>
        <v>4.6661051304545172E-3</v>
      </c>
      <c r="L130" s="10">
        <f>NA!L64/NA!L$79</f>
        <v>1.0291276821330273E-2</v>
      </c>
      <c r="M130" s="10">
        <f>NA!M64/NA!M$79</f>
        <v>1.3994996773226144E-2</v>
      </c>
      <c r="N130" s="10">
        <f>NA!N64/NA!N$79</f>
        <v>1.3522150208274603E-2</v>
      </c>
      <c r="O130" s="10">
        <f>NA!O64/NA!O$79</f>
        <v>1.3230369790595605E-2</v>
      </c>
      <c r="P130" s="10">
        <f>NA!P64/NA!P$79</f>
        <v>1.309228945904207E-2</v>
      </c>
      <c r="Q130" s="10">
        <f>NA!Q64/NA!Q$79</f>
        <v>1.1148984731998083E-2</v>
      </c>
      <c r="R130" s="10">
        <f>NA!R64/NA!R$79</f>
        <v>9.6391173774217909E-3</v>
      </c>
      <c r="S130" s="10">
        <f>NA!S64/NA!S$79</f>
        <v>8.7960537172549653E-3</v>
      </c>
      <c r="T130" s="10">
        <f>NA!T64/NA!T$79</f>
        <v>7.7791091245650078E-3</v>
      </c>
      <c r="U130" s="10">
        <f>NA!U64/NA!U$79</f>
        <v>6.8943713790262946E-3</v>
      </c>
      <c r="V130" s="10">
        <f>NA!V64/NA!V$79</f>
        <v>5.6242574838995538E-3</v>
      </c>
      <c r="W130" s="10"/>
      <c r="X130" s="10"/>
      <c r="Y130" s="10"/>
      <c r="Z130" s="10"/>
      <c r="AA130" s="10"/>
      <c r="AB130" s="10"/>
      <c r="AF130" s="10">
        <f>NA!AM64/NA!AM$79</f>
        <v>4.4218727415581563E-3</v>
      </c>
      <c r="AG130" s="10">
        <f>NA!AN64/NA!AN$79</f>
        <v>4.8837575970947207E-3</v>
      </c>
      <c r="AH130" s="10">
        <f>NA!AO64/NA!AO$79</f>
        <v>1.4218808025388788E-2</v>
      </c>
      <c r="AI130" s="10">
        <f>NA!AP64/NA!AP$79</f>
        <v>1.3799327984216325E-2</v>
      </c>
      <c r="AJ130" s="10">
        <f>NA!AQ64/NA!AQ$79</f>
        <v>1.3281392839064156E-2</v>
      </c>
      <c r="AK130" s="10">
        <f>NA!AR64/NA!AR$79</f>
        <v>1.3185934056349359E-2</v>
      </c>
      <c r="AL130" s="10">
        <f>NA!AS64/NA!AS$79</f>
        <v>1.3009501308600215E-2</v>
      </c>
      <c r="AM130" s="10">
        <f>NA!AT64/NA!AT$79</f>
        <v>9.6202331857551098E-3</v>
      </c>
      <c r="AN130" s="10">
        <f>NA!AU64/NA!AU$79</f>
        <v>9.6556549706098352E-3</v>
      </c>
      <c r="AO130" s="10">
        <f>NA!AV64/NA!AV$79</f>
        <v>8.0950261600036579E-3</v>
      </c>
      <c r="AP130" s="10">
        <f>NA!AW64/NA!AW$79</f>
        <v>7.5049054955726802E-3</v>
      </c>
      <c r="AQ130" s="10">
        <f>NA!AX64/NA!AX$79</f>
        <v>6.3697842745770008E-3</v>
      </c>
      <c r="AR130" s="10">
        <f>NA!AY64/NA!AY$79</f>
        <v>5.0064492888698651E-3</v>
      </c>
      <c r="AS130" s="10">
        <f>NA!AZ64/NA!AZ$79</f>
        <v>4.7782616128468885E-3</v>
      </c>
      <c r="AT130" s="10">
        <f>NA!BA64/NA!BA$79</f>
        <v>4.9037887334407735E-3</v>
      </c>
      <c r="AU130" s="10">
        <f>NA!BB64/NA!BB$79</f>
        <v>5.1178861697097899E-3</v>
      </c>
      <c r="AV130" s="10">
        <f>NA!BC64/NA!BC$79</f>
        <v>7.249734513376932E-3</v>
      </c>
      <c r="AW130" s="10">
        <f>NA!BD64/NA!BD$79</f>
        <v>7.024004506048895E-3</v>
      </c>
      <c r="AX130" s="10">
        <f>NA!BE64/NA!BE$79</f>
        <v>6.7967142502416526E-3</v>
      </c>
      <c r="AY130" s="10">
        <f>NA!BF64/NA!BF$79</f>
        <v>6.5525152301960906E-3</v>
      </c>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row>
    <row r="131" spans="5:182" x14ac:dyDescent="0.2">
      <c r="E131" s="191" t="s">
        <v>109</v>
      </c>
      <c r="G131" s="10"/>
      <c r="H131" s="10"/>
      <c r="I131" s="10"/>
      <c r="J131" s="10"/>
      <c r="K131" s="10">
        <f>NA!K65/NA!K$79</f>
        <v>5.6944321908956777E-2</v>
      </c>
      <c r="L131" s="10">
        <f>NA!L65/NA!L$79</f>
        <v>5.314072131537298E-2</v>
      </c>
      <c r="M131" s="10">
        <f>NA!M65/NA!M$79</f>
        <v>6.0010133836185552E-2</v>
      </c>
      <c r="N131" s="10">
        <f>NA!N65/NA!N$79</f>
        <v>7.3996585155669384E-2</v>
      </c>
      <c r="O131" s="10">
        <f>NA!O65/NA!O$79</f>
        <v>7.9705073309878763E-2</v>
      </c>
      <c r="P131" s="10">
        <f>NA!P65/NA!P$79</f>
        <v>7.6769126337375607E-2</v>
      </c>
      <c r="Q131" s="10">
        <f>NA!Q65/NA!Q$79</f>
        <v>7.6944758277562988E-2</v>
      </c>
      <c r="R131" s="10">
        <f>NA!R65/NA!R$79</f>
        <v>8.2182180020079709E-2</v>
      </c>
      <c r="S131" s="10">
        <f>NA!S65/NA!S$79</f>
        <v>8.98178523697023E-2</v>
      </c>
      <c r="T131" s="10">
        <f>NA!T65/NA!T$79</f>
        <v>8.5061342873386001E-2</v>
      </c>
      <c r="U131" s="10">
        <f>NA!U65/NA!U$79</f>
        <v>8.0770183902602127E-2</v>
      </c>
      <c r="V131" s="10">
        <f>NA!V65/NA!V$79</f>
        <v>9.0437053258607056E-2</v>
      </c>
      <c r="W131" s="10"/>
      <c r="X131" s="10"/>
      <c r="Y131" s="10"/>
      <c r="Z131" s="10"/>
      <c r="AA131" s="10"/>
      <c r="AB131" s="10"/>
      <c r="AF131" s="10">
        <f>NA!AM65/NA!AM$79</f>
        <v>5.9023066685467696E-2</v>
      </c>
      <c r="AG131" s="10">
        <f>NA!AN65/NA!AN$79</f>
        <v>5.5091807874403272E-2</v>
      </c>
      <c r="AH131" s="10">
        <f>NA!AO65/NA!AO$79</f>
        <v>5.1723629110121704E-2</v>
      </c>
      <c r="AI131" s="10">
        <f>NA!AP65/NA!AP$79</f>
        <v>6.7254677303976954E-2</v>
      </c>
      <c r="AJ131" s="10">
        <f>NA!AQ65/NA!AQ$79</f>
        <v>7.9852624631842992E-2</v>
      </c>
      <c r="AK131" s="10">
        <f>NA!AR65/NA!AR$79</f>
        <v>7.9576571553765019E-2</v>
      </c>
      <c r="AL131" s="10">
        <f>NA!AS65/NA!AS$79</f>
        <v>7.4287155101287861E-2</v>
      </c>
      <c r="AM131" s="10">
        <f>NA!AT65/NA!AT$79</f>
        <v>7.9128460920218732E-2</v>
      </c>
      <c r="AN131" s="10">
        <f>NA!AU65/NA!AU$79</f>
        <v>8.4856436089677106E-2</v>
      </c>
      <c r="AO131" s="10">
        <f>NA!AV65/NA!AV$79</f>
        <v>9.3864018567946614E-2</v>
      </c>
      <c r="AP131" s="10">
        <f>NA!AW65/NA!AW$79</f>
        <v>7.7420964705935666E-2</v>
      </c>
      <c r="AQ131" s="10">
        <f>NA!AX65/NA!AX$79</f>
        <v>8.3647921858482216E-2</v>
      </c>
      <c r="AR131" s="10">
        <f>NA!AY65/NA!AY$79</f>
        <v>9.6063116692650982E-2</v>
      </c>
      <c r="AS131" s="10">
        <f>NA!AZ65/NA!AZ$79</f>
        <v>8.6586011088155501E-2</v>
      </c>
      <c r="AT131" s="10">
        <f>NA!BA65/NA!BA$79</f>
        <v>0.11544833469893598</v>
      </c>
      <c r="AU131" s="10">
        <f>NA!BB65/NA!BB$79</f>
        <v>0.13562813162124854</v>
      </c>
      <c r="AV131" s="10">
        <f>NA!BC65/NA!BC$79</f>
        <v>0.11230094970641366</v>
      </c>
      <c r="AW131" s="10">
        <f>NA!BD65/NA!BD$79</f>
        <v>0.11758108341074641</v>
      </c>
      <c r="AX131" s="10">
        <f>NA!BE65/NA!BE$79</f>
        <v>0.12246534908480862</v>
      </c>
      <c r="AY131" s="10">
        <f>NA!BF65/NA!BF$79</f>
        <v>0.12791619980212884</v>
      </c>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row>
    <row r="132" spans="5:182" x14ac:dyDescent="0.2">
      <c r="E132" s="192" t="s">
        <v>110</v>
      </c>
      <c r="G132" s="10"/>
      <c r="H132" s="10"/>
      <c r="I132" s="10"/>
      <c r="J132" s="10"/>
      <c r="K132" s="10">
        <f>NA!K66/NA!K$79</f>
        <v>0.48101395850291784</v>
      </c>
      <c r="L132" s="10">
        <f>NA!L66/NA!L$79</f>
        <v>0.5031530317773949</v>
      </c>
      <c r="M132" s="10">
        <f>NA!M66/NA!M$79</f>
        <v>0.50971256482222349</v>
      </c>
      <c r="N132" s="10">
        <f>NA!N66/NA!N$79</f>
        <v>0.49558324736152026</v>
      </c>
      <c r="O132" s="10">
        <f>NA!O66/NA!O$79</f>
        <v>0.48451036407996634</v>
      </c>
      <c r="P132" s="10">
        <f>NA!P66/NA!P$79</f>
        <v>0.48870557346126681</v>
      </c>
      <c r="Q132" s="10">
        <f>NA!Q66/NA!Q$79</f>
        <v>0.48919713969570044</v>
      </c>
      <c r="R132" s="10">
        <f>NA!R66/NA!R$79</f>
        <v>0.49717175139303782</v>
      </c>
      <c r="S132" s="10">
        <f>NA!S66/NA!S$79</f>
        <v>0.49406083696154507</v>
      </c>
      <c r="T132" s="10">
        <f>NA!T66/NA!T$79</f>
        <v>0.48445162789612295</v>
      </c>
      <c r="U132" s="10">
        <f>NA!U66/NA!U$79</f>
        <v>0.47902955139119252</v>
      </c>
      <c r="V132" s="10">
        <f>NA!V66/NA!V$79</f>
        <v>0.46321363797753923</v>
      </c>
      <c r="W132" s="10"/>
      <c r="X132" s="10"/>
      <c r="Y132" s="10"/>
      <c r="Z132" s="10"/>
      <c r="AA132" s="10"/>
      <c r="AB132" s="10"/>
      <c r="AF132" s="10">
        <f>NA!AM66/NA!AM$79</f>
        <v>0.47708050422478576</v>
      </c>
      <c r="AG132" s="10">
        <f>NA!AN66/NA!AN$79</f>
        <v>0.48451933315826379</v>
      </c>
      <c r="AH132" s="10">
        <f>NA!AO66/NA!AO$79</f>
        <v>0.5166868593495022</v>
      </c>
      <c r="AI132" s="10">
        <f>NA!AP66/NA!AP$79</f>
        <v>0.50361523168475097</v>
      </c>
      <c r="AJ132" s="10">
        <f>NA!AQ66/NA!AQ$79</f>
        <v>0.488606643957331</v>
      </c>
      <c r="AK132" s="10">
        <f>NA!AR66/NA!AR$79</f>
        <v>0.48094293309549607</v>
      </c>
      <c r="AL132" s="10">
        <f>NA!AS66/NA!AS$79</f>
        <v>0.49556827197144987</v>
      </c>
      <c r="AM132" s="10">
        <f>NA!AT66/NA!AT$79</f>
        <v>0.48396209990064609</v>
      </c>
      <c r="AN132" s="10">
        <f>NA!AU66/NA!AU$79</f>
        <v>0.50873993743948964</v>
      </c>
      <c r="AO132" s="10">
        <f>NA!AV66/NA!AV$79</f>
        <v>0.48208964228199075</v>
      </c>
      <c r="AP132" s="10">
        <f>NA!AW66/NA!AW$79</f>
        <v>0.48650173901508637</v>
      </c>
      <c r="AQ132" s="10">
        <f>NA!AX66/NA!AX$79</f>
        <v>0.47260924962051759</v>
      </c>
      <c r="AR132" s="10">
        <f>NA!AY66/NA!AY$79</f>
        <v>0.45542761882580118</v>
      </c>
      <c r="AS132" s="10">
        <f>NA!AZ66/NA!AZ$79</f>
        <v>0.44668316061663504</v>
      </c>
      <c r="AT132" s="10">
        <f>NA!BA66/NA!BA$79</f>
        <v>0.43780538450729195</v>
      </c>
      <c r="AU132" s="10">
        <f>NA!BB66/NA!BB$79</f>
        <v>0.44672274867580963</v>
      </c>
      <c r="AV132" s="10">
        <f>NA!BC66/NA!BC$79</f>
        <v>0.53021307645877103</v>
      </c>
      <c r="AW132" s="10">
        <f>NA!BD66/NA!BD$79</f>
        <v>0.53337093144950476</v>
      </c>
      <c r="AX132" s="10">
        <f>NA!BE66/NA!BE$79</f>
        <v>0.53670536319416784</v>
      </c>
      <c r="AY132" s="10">
        <f>NA!BF66/NA!BF$79</f>
        <v>0.53983718354790566</v>
      </c>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row>
    <row r="133" spans="5:182" s="601" customFormat="1" x14ac:dyDescent="0.2">
      <c r="E133" s="603" t="s">
        <v>111</v>
      </c>
      <c r="G133" s="602"/>
      <c r="H133" s="602"/>
      <c r="I133" s="602"/>
      <c r="J133" s="602"/>
      <c r="K133" s="602">
        <f>NA!K67/NA!K$79</f>
        <v>0.13814727174967914</v>
      </c>
      <c r="L133" s="602">
        <f>NA!L67/NA!L$79</f>
        <v>0.12820265776809039</v>
      </c>
      <c r="M133" s="602">
        <f>NA!M67/NA!M$79</f>
        <v>0.11897273118142614</v>
      </c>
      <c r="N133" s="602">
        <f>NA!N67/NA!N$79</f>
        <v>0.11500463738113459</v>
      </c>
      <c r="O133" s="602">
        <f>NA!O67/NA!O$79</f>
        <v>0.11076737804844432</v>
      </c>
      <c r="P133" s="602">
        <f>NA!P67/NA!P$79</f>
        <v>0.1098101161446384</v>
      </c>
      <c r="Q133" s="602">
        <f>NA!Q67/NA!Q$79</f>
        <v>0.10667952677161974</v>
      </c>
      <c r="R133" s="602">
        <f>NA!R67/NA!R$79</f>
        <v>0.10463691514824394</v>
      </c>
      <c r="S133" s="602">
        <f>NA!S67/NA!S$79</f>
        <v>0.10512984477227881</v>
      </c>
      <c r="T133" s="602">
        <f>NA!T67/NA!T$79</f>
        <v>0.10538767992893448</v>
      </c>
      <c r="U133" s="602">
        <f>NA!U67/NA!U$79</f>
        <v>0.10714111968453026</v>
      </c>
      <c r="V133" s="602">
        <f>NA!V67/NA!V$79</f>
        <v>0.11044648891319032</v>
      </c>
      <c r="W133" s="602"/>
      <c r="X133" s="602"/>
      <c r="Y133" s="602"/>
      <c r="Z133" s="602"/>
      <c r="AA133" s="602"/>
      <c r="AB133" s="602"/>
      <c r="AF133" s="602">
        <f>NA!AM67/NA!AM$79</f>
        <v>0.13908881337730578</v>
      </c>
      <c r="AG133" s="602">
        <f>NA!AN67/NA!AN$79</f>
        <v>0.13730819852674012</v>
      </c>
      <c r="AH133" s="602">
        <f>NA!AO67/NA!AO$79</f>
        <v>0.12158921933607464</v>
      </c>
      <c r="AI133" s="602">
        <f>NA!AP67/NA!AP$79</f>
        <v>0.1166852453480214</v>
      </c>
      <c r="AJ133" s="602">
        <f>NA!AQ67/NA!AQ$79</f>
        <v>0.11354485673527627</v>
      </c>
      <c r="AK133" s="602">
        <f>NA!AR67/NA!AR$79</f>
        <v>0.10834848485199497</v>
      </c>
      <c r="AL133" s="602">
        <f>NA!AS67/NA!AS$79</f>
        <v>0.11110229695191777</v>
      </c>
      <c r="AM133" s="602">
        <f>NA!AT67/NA!AT$79</f>
        <v>0.10304541953665164</v>
      </c>
      <c r="AN133" s="602">
        <f>NA!AU67/NA!AU$79</f>
        <v>0.1060306474005759</v>
      </c>
      <c r="AO133" s="602">
        <f>NA!AV67/NA!AV$79</f>
        <v>0.10439521640404867</v>
      </c>
      <c r="AP133" s="602">
        <f>NA!AW67/NA!AW$79</f>
        <v>0.10624909944620851</v>
      </c>
      <c r="AQ133" s="602">
        <f>NA!AX67/NA!AX$79</f>
        <v>0.1079075671298891</v>
      </c>
      <c r="AR133" s="602">
        <f>NA!AY67/NA!AY$79</f>
        <v>0.11255045982862526</v>
      </c>
      <c r="AS133" s="602">
        <f>NA!AZ67/NA!AZ$79</f>
        <v>0.11099534523656893</v>
      </c>
      <c r="AT133" s="602">
        <f>NA!BA67/NA!BA$79</f>
        <v>0.10939378734550662</v>
      </c>
      <c r="AU133" s="602">
        <f>NA!BB67/NA!BB$79</f>
        <v>0.11479070365972636</v>
      </c>
      <c r="AV133" s="602">
        <f>NA!BC67/NA!BC$79</f>
        <v>0.11407476463236262</v>
      </c>
      <c r="AW133" s="602">
        <f>NA!BD67/NA!BD$79</f>
        <v>0.11751984546681013</v>
      </c>
      <c r="AX133" s="602">
        <f>NA!BE67/NA!BE$79</f>
        <v>0.12086992573942028</v>
      </c>
      <c r="AY133" s="602">
        <f>NA!BF67/NA!BF$79</f>
        <v>0.12403823617161167</v>
      </c>
      <c r="AZ133" s="602"/>
      <c r="BA133" s="602"/>
      <c r="BB133" s="602"/>
      <c r="BC133" s="602"/>
      <c r="BD133" s="602"/>
      <c r="BE133" s="602"/>
      <c r="BF133" s="602"/>
      <c r="BG133" s="602"/>
      <c r="BH133" s="602"/>
      <c r="BI133" s="602"/>
      <c r="BJ133" s="602"/>
      <c r="BK133" s="602"/>
      <c r="BL133" s="602"/>
      <c r="BM133" s="602"/>
      <c r="BN133" s="602"/>
      <c r="BO133" s="602"/>
      <c r="BP133" s="602"/>
      <c r="BQ133" s="602"/>
      <c r="BR133" s="602"/>
      <c r="BS133" s="602"/>
      <c r="BT133" s="602"/>
      <c r="BU133" s="602"/>
      <c r="BV133" s="602"/>
      <c r="BW133" s="602"/>
      <c r="BX133" s="602"/>
      <c r="BY133" s="602"/>
      <c r="BZ133" s="602"/>
      <c r="CA133" s="602"/>
      <c r="CB133" s="602"/>
      <c r="CC133" s="602"/>
      <c r="CD133" s="602"/>
      <c r="CE133" s="602"/>
      <c r="CF133" s="602"/>
      <c r="CG133" s="602"/>
      <c r="CH133" s="602"/>
      <c r="CI133" s="602"/>
      <c r="CJ133" s="602"/>
      <c r="CK133" s="602"/>
      <c r="CL133" s="602"/>
      <c r="CM133" s="602"/>
      <c r="CN133" s="602"/>
      <c r="CO133" s="602"/>
      <c r="CP133" s="602"/>
      <c r="CQ133" s="602"/>
      <c r="CR133" s="602"/>
      <c r="CS133" s="602"/>
      <c r="CT133" s="602"/>
      <c r="CU133" s="602"/>
      <c r="CV133" s="602"/>
      <c r="CW133" s="602"/>
      <c r="CX133" s="602"/>
      <c r="CY133" s="602"/>
      <c r="CZ133" s="602"/>
      <c r="DA133" s="602"/>
      <c r="DB133" s="602"/>
      <c r="DC133" s="602"/>
      <c r="DD133" s="602"/>
      <c r="DE133" s="602"/>
      <c r="DF133" s="602"/>
      <c r="DG133" s="602"/>
      <c r="DH133" s="602"/>
      <c r="DI133" s="602"/>
      <c r="DJ133" s="602"/>
      <c r="DK133" s="602"/>
      <c r="DL133" s="602"/>
      <c r="DM133" s="602"/>
      <c r="DN133" s="602"/>
      <c r="DO133" s="602"/>
      <c r="DP133" s="602"/>
      <c r="DQ133" s="602"/>
      <c r="DR133" s="602"/>
      <c r="DS133" s="602"/>
      <c r="DT133" s="602"/>
      <c r="DU133" s="602"/>
      <c r="DV133" s="602"/>
      <c r="DW133" s="602"/>
      <c r="DX133" s="602"/>
      <c r="DY133" s="602"/>
      <c r="DZ133" s="602"/>
      <c r="EA133" s="602"/>
      <c r="EB133" s="602"/>
      <c r="EC133" s="602"/>
      <c r="ED133" s="602"/>
      <c r="EE133" s="602"/>
      <c r="EF133" s="602"/>
      <c r="EG133" s="602"/>
      <c r="EH133" s="602"/>
      <c r="EI133" s="602"/>
      <c r="EJ133" s="602"/>
      <c r="EK133" s="602"/>
      <c r="EL133" s="602"/>
      <c r="EM133" s="602"/>
      <c r="EN133" s="602"/>
      <c r="EO133" s="602"/>
      <c r="EP133" s="602"/>
      <c r="EQ133" s="602"/>
      <c r="ER133" s="602"/>
      <c r="ES133" s="602"/>
      <c r="ET133" s="602"/>
      <c r="EU133" s="602"/>
      <c r="EV133" s="602"/>
      <c r="EW133" s="602"/>
      <c r="EX133" s="602"/>
      <c r="EY133" s="602"/>
      <c r="EZ133" s="602"/>
      <c r="FA133" s="602"/>
      <c r="FB133" s="602"/>
      <c r="FC133" s="602"/>
      <c r="FD133" s="602"/>
      <c r="FE133" s="602"/>
      <c r="FF133" s="602"/>
      <c r="FG133" s="602"/>
      <c r="FH133" s="602"/>
      <c r="FI133" s="602"/>
      <c r="FJ133" s="602"/>
      <c r="FK133" s="602"/>
      <c r="FL133" s="602"/>
      <c r="FM133" s="602"/>
      <c r="FN133" s="602"/>
      <c r="FO133" s="602"/>
      <c r="FP133" s="602"/>
      <c r="FQ133" s="602"/>
      <c r="FR133" s="602"/>
      <c r="FS133" s="602"/>
      <c r="FT133" s="602"/>
      <c r="FU133" s="602"/>
      <c r="FV133" s="602"/>
      <c r="FW133" s="602"/>
      <c r="FX133" s="602"/>
      <c r="FY133" s="602"/>
      <c r="FZ133" s="602"/>
    </row>
    <row r="134" spans="5:182" x14ac:dyDescent="0.2">
      <c r="E134" s="191" t="s">
        <v>112</v>
      </c>
      <c r="G134" s="10"/>
      <c r="H134" s="10"/>
      <c r="I134" s="10"/>
      <c r="J134" s="10"/>
      <c r="K134" s="10">
        <f>NA!K68/NA!K$79</f>
        <v>3.008997619019875E-2</v>
      </c>
      <c r="L134" s="10">
        <f>NA!L68/NA!L$79</f>
        <v>2.4625851701239224E-2</v>
      </c>
      <c r="M134" s="10">
        <f>NA!M68/NA!M$79</f>
        <v>2.0372603889904445E-2</v>
      </c>
      <c r="N134" s="10">
        <f>NA!N68/NA!N$79</f>
        <v>1.8974576204312806E-2</v>
      </c>
      <c r="O134" s="10">
        <f>NA!O68/NA!O$79</f>
        <v>1.7996113081112271E-2</v>
      </c>
      <c r="P134" s="10">
        <f>NA!P68/NA!P$79</f>
        <v>1.8600835752524053E-2</v>
      </c>
      <c r="Q134" s="10">
        <f>NA!Q68/NA!Q$79</f>
        <v>1.7866726857712661E-2</v>
      </c>
      <c r="R134" s="10">
        <f>NA!R68/NA!R$79</f>
        <v>1.8066378202622357E-2</v>
      </c>
      <c r="S134" s="10">
        <f>NA!S68/NA!S$79</f>
        <v>1.875704979276056E-2</v>
      </c>
      <c r="T134" s="10">
        <f>NA!T68/NA!T$79</f>
        <v>1.8840944324833239E-2</v>
      </c>
      <c r="U134" s="10">
        <f>NA!U68/NA!U$79</f>
        <v>1.8375423792279237E-2</v>
      </c>
      <c r="V134" s="10">
        <f>NA!V68/NA!V$79</f>
        <v>1.607045920021102E-2</v>
      </c>
      <c r="W134" s="10"/>
      <c r="X134" s="10"/>
      <c r="Y134" s="10"/>
      <c r="Z134" s="10"/>
      <c r="AA134" s="10"/>
      <c r="AB134" s="10"/>
      <c r="AF134" s="10">
        <f>NA!AM68/NA!AM$79</f>
        <v>3.0736887532650352E-2</v>
      </c>
      <c r="AG134" s="10">
        <f>NA!AN68/NA!AN$79</f>
        <v>2.9513468504144609E-2</v>
      </c>
      <c r="AH134" s="10">
        <f>NA!AO68/NA!AO$79</f>
        <v>2.1075930432192722E-2</v>
      </c>
      <c r="AI134" s="10">
        <f>NA!AP68/NA!AP$79</f>
        <v>1.9757714998134137E-2</v>
      </c>
      <c r="AJ134" s="10">
        <f>NA!AQ68/NA!AQ$79</f>
        <v>1.8294339720393869E-2</v>
      </c>
      <c r="AK134" s="10">
        <f>NA!AR68/NA!AR$79</f>
        <v>1.7736388895944522E-2</v>
      </c>
      <c r="AL134" s="10">
        <f>NA!AS68/NA!AS$79</f>
        <v>1.9365065173861138E-2</v>
      </c>
      <c r="AM134" s="10">
        <f>NA!AT68/NA!AT$79</f>
        <v>1.6635570389442765E-2</v>
      </c>
      <c r="AN134" s="10">
        <f>NA!AU68/NA!AU$79</f>
        <v>1.9319390137805627E-2</v>
      </c>
      <c r="AO134" s="10">
        <f>NA!AV68/NA!AV$79</f>
        <v>1.8298446368332964E-2</v>
      </c>
      <c r="AP134" s="10">
        <f>NA!AW68/NA!AW$79</f>
        <v>1.9311811330111232E-2</v>
      </c>
      <c r="AQ134" s="10">
        <f>NA!AX68/NA!AX$79</f>
        <v>1.7570854786549701E-2</v>
      </c>
      <c r="AR134" s="10">
        <f>NA!AY68/NA!AY$79</f>
        <v>1.4827101214129655E-2</v>
      </c>
      <c r="AS134" s="10">
        <f>NA!AZ68/NA!AZ$79</f>
        <v>1.5425955017088162E-2</v>
      </c>
      <c r="AT134" s="10">
        <f>NA!BA68/NA!BA$79</f>
        <v>1.3581633521473372E-2</v>
      </c>
      <c r="AU134" s="10">
        <f>NA!BB68/NA!BB$79</f>
        <v>1.1951687759533952E-2</v>
      </c>
      <c r="AV134" s="10">
        <f>NA!BC68/NA!BC$79</f>
        <v>1.5278953812762498E-2</v>
      </c>
      <c r="AW134" s="10">
        <f>NA!BD68/NA!BD$79</f>
        <v>1.4626374284562073E-2</v>
      </c>
      <c r="AX134" s="10">
        <f>NA!BE68/NA!BE$79</f>
        <v>1.4001630803583577E-2</v>
      </c>
      <c r="AY134" s="10">
        <f>NA!BF68/NA!BF$79</f>
        <v>1.338442574181118E-2</v>
      </c>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row>
    <row r="135" spans="5:182" x14ac:dyDescent="0.2">
      <c r="E135" s="191" t="s">
        <v>113</v>
      </c>
      <c r="G135" s="10"/>
      <c r="H135" s="10"/>
      <c r="I135" s="10"/>
      <c r="J135" s="10"/>
      <c r="K135" s="10">
        <f>NA!K69/NA!K$79</f>
        <v>5.896331370730979E-2</v>
      </c>
      <c r="L135" s="10">
        <f>NA!L69/NA!L$79</f>
        <v>7.1116263746461711E-2</v>
      </c>
      <c r="M135" s="10">
        <f>NA!M69/NA!M$79</f>
        <v>7.7818835931544469E-2</v>
      </c>
      <c r="N135" s="10">
        <f>NA!N69/NA!N$79</f>
        <v>7.3878364690285331E-2</v>
      </c>
      <c r="O135" s="10">
        <f>NA!O69/NA!O$79</f>
        <v>7.0719115488729084E-2</v>
      </c>
      <c r="P135" s="10">
        <f>NA!P69/NA!P$79</f>
        <v>6.8636127115042397E-2</v>
      </c>
      <c r="Q135" s="10">
        <f>NA!Q69/NA!Q$79</f>
        <v>6.5500163647933179E-2</v>
      </c>
      <c r="R135" s="10">
        <f>NA!R69/NA!R$79</f>
        <v>6.3247957092514059E-2</v>
      </c>
      <c r="S135" s="10">
        <f>NA!S69/NA!S$79</f>
        <v>6.3778764597745771E-2</v>
      </c>
      <c r="T135" s="10">
        <f>NA!T69/NA!T$79</f>
        <v>6.5164478307990478E-2</v>
      </c>
      <c r="U135" s="10">
        <f>NA!U69/NA!U$79</f>
        <v>6.3700375099193865E-2</v>
      </c>
      <c r="V135" s="10">
        <f>NA!V69/NA!V$79</f>
        <v>5.8177857302694716E-2</v>
      </c>
      <c r="W135" s="10"/>
      <c r="X135" s="10"/>
      <c r="Y135" s="10"/>
      <c r="Z135" s="10"/>
      <c r="AA135" s="10"/>
      <c r="AB135" s="10"/>
      <c r="AF135" s="10">
        <f>NA!AM69/NA!AM$79</f>
        <v>5.9287272183473717E-2</v>
      </c>
      <c r="AG135" s="10">
        <f>NA!AN69/NA!AN$79</f>
        <v>5.8674611779835295E-2</v>
      </c>
      <c r="AH135" s="10">
        <f>NA!AO69/NA!AO$79</f>
        <v>8.0152750590550395E-2</v>
      </c>
      <c r="AI135" s="10">
        <f>NA!AP69/NA!AP$79</f>
        <v>7.5778392251581048E-2</v>
      </c>
      <c r="AJ135" s="10">
        <f>NA!AQ69/NA!AQ$79</f>
        <v>7.2227995588611482E-2</v>
      </c>
      <c r="AK135" s="10">
        <f>NA!AR69/NA!AR$79</f>
        <v>6.940503886766726E-2</v>
      </c>
      <c r="AL135" s="10">
        <f>NA!AS69/NA!AS$79</f>
        <v>6.7956357179741897E-2</v>
      </c>
      <c r="AM135" s="10">
        <f>NA!AT69/NA!AT$79</f>
        <v>6.3481955529367445E-2</v>
      </c>
      <c r="AN135" s="10">
        <f>NA!AU69/NA!AU$79</f>
        <v>6.3043035906390571E-2</v>
      </c>
      <c r="AO135" s="10">
        <f>NA!AV69/NA!AV$79</f>
        <v>6.4378770804446261E-2</v>
      </c>
      <c r="AP135" s="10">
        <f>NA!AW69/NA!AW$79</f>
        <v>6.5846441686442631E-2</v>
      </c>
      <c r="AQ135" s="10">
        <f>NA!AX69/NA!AX$79</f>
        <v>6.1856417773224079E-2</v>
      </c>
      <c r="AR135" s="10">
        <f>NA!AY69/NA!AY$79</f>
        <v>5.5129482874003564E-2</v>
      </c>
      <c r="AS135" s="10">
        <f>NA!AZ69/NA!AZ$79</f>
        <v>4.7488745742499575E-2</v>
      </c>
      <c r="AT135" s="10">
        <f>NA!BA69/NA!BA$79</f>
        <v>4.492581848951438E-2</v>
      </c>
      <c r="AU135" s="10">
        <f>NA!BB69/NA!BB$79</f>
        <v>4.7104090300139359E-2</v>
      </c>
      <c r="AV135" s="10">
        <f>NA!BC69/NA!BC$79</f>
        <v>7.1931939638093259E-2</v>
      </c>
      <c r="AW135" s="10">
        <f>NA!BD69/NA!BD$79</f>
        <v>7.5843677313960509E-2</v>
      </c>
      <c r="AX135" s="10">
        <f>NA!BE69/NA!BE$79</f>
        <v>7.9929003306589419E-2</v>
      </c>
      <c r="AY135" s="10">
        <f>NA!BF69/NA!BF$79</f>
        <v>8.4078821606776252E-2</v>
      </c>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row>
    <row r="136" spans="5:182" ht="13.5" customHeight="1" x14ac:dyDescent="0.2">
      <c r="E136" s="191" t="s">
        <v>114</v>
      </c>
      <c r="G136" s="10"/>
      <c r="H136" s="10"/>
      <c r="I136" s="10"/>
      <c r="J136" s="10"/>
      <c r="K136" s="10">
        <f>NA!K70/NA!K$79</f>
        <v>1.2589134163319367E-2</v>
      </c>
      <c r="L136" s="10">
        <f>NA!L70/NA!L$79</f>
        <v>1.5914015696777431E-2</v>
      </c>
      <c r="M136" s="10">
        <f>NA!M70/NA!M$79</f>
        <v>1.8330029198849514E-2</v>
      </c>
      <c r="N136" s="10">
        <f>NA!N70/NA!N$79</f>
        <v>1.9175731166399496E-2</v>
      </c>
      <c r="O136" s="10">
        <f>NA!O70/NA!O$79</f>
        <v>2.1040839527422209E-2</v>
      </c>
      <c r="P136" s="10">
        <f>NA!P70/NA!P$79</f>
        <v>2.4265701239207894E-2</v>
      </c>
      <c r="Q136" s="10">
        <f>NA!Q70/NA!Q$79</f>
        <v>2.5055669950349753E-2</v>
      </c>
      <c r="R136" s="10">
        <f>NA!R70/NA!R$79</f>
        <v>2.4409485321572045E-2</v>
      </c>
      <c r="S136" s="10">
        <f>NA!S70/NA!S$79</f>
        <v>2.4083238176553407E-2</v>
      </c>
      <c r="T136" s="10">
        <f>NA!T70/NA!T$79</f>
        <v>2.4837697368927391E-2</v>
      </c>
      <c r="U136" s="10">
        <f>NA!U70/NA!U$79</f>
        <v>2.7069061975596897E-2</v>
      </c>
      <c r="V136" s="10">
        <f>NA!V70/NA!V$79</f>
        <v>2.6475794386226714E-2</v>
      </c>
      <c r="W136" s="10"/>
      <c r="X136" s="10"/>
      <c r="Y136" s="10"/>
      <c r="Z136" s="10"/>
      <c r="AA136" s="10"/>
      <c r="AB136" s="10"/>
      <c r="AF136" s="10">
        <f>NA!AM70/NA!AM$79</f>
        <v>1.2417216837205551E-2</v>
      </c>
      <c r="AG136" s="10">
        <f>NA!AN70/NA!AN$79</f>
        <v>1.2742341648436089E-2</v>
      </c>
      <c r="AH136" s="10">
        <f>NA!AO70/NA!AO$79</f>
        <v>1.8217631879616655E-2</v>
      </c>
      <c r="AI136" s="10">
        <f>NA!AP70/NA!AP$79</f>
        <v>1.8428293460050565E-2</v>
      </c>
      <c r="AJ136" s="10">
        <f>NA!AQ70/NA!AQ$79</f>
        <v>1.9824957588748356E-2</v>
      </c>
      <c r="AK136" s="10">
        <f>NA!AR70/NA!AR$79</f>
        <v>2.2099745420413416E-2</v>
      </c>
      <c r="AL136" s="10">
        <f>NA!AS70/NA!AS$79</f>
        <v>2.6180552510214519E-2</v>
      </c>
      <c r="AM136" s="10">
        <f>NA!AT70/NA!AT$79</f>
        <v>2.4131375066680595E-2</v>
      </c>
      <c r="AN136" s="10">
        <f>NA!AU70/NA!AU$79</f>
        <v>2.4653036877179957E-2</v>
      </c>
      <c r="AO136" s="10">
        <f>NA!AV70/NA!AV$79</f>
        <v>2.361855226588699E-2</v>
      </c>
      <c r="AP136" s="10">
        <f>NA!AW70/NA!AW$79</f>
        <v>2.5895867628906371E-2</v>
      </c>
      <c r="AQ136" s="10">
        <f>NA!AX70/NA!AX$79</f>
        <v>2.8077101671671625E-2</v>
      </c>
      <c r="AR136" s="10">
        <f>NA!AY70/NA!AY$79</f>
        <v>2.5148812209221844E-2</v>
      </c>
      <c r="AS136" s="10">
        <f>NA!AZ70/NA!AZ$79</f>
        <v>2.527062481488446E-2</v>
      </c>
      <c r="AT136" s="10">
        <f>NA!BA70/NA!BA$79</f>
        <v>2.4436810265516848E-2</v>
      </c>
      <c r="AU136" s="10">
        <f>NA!BB70/NA!BB$79</f>
        <v>2.3296842964267067E-2</v>
      </c>
      <c r="AV136" s="10">
        <f>NA!BC70/NA!BC$79</f>
        <v>4.6726498252598309E-2</v>
      </c>
      <c r="AW136" s="10">
        <f>NA!BD70/NA!BD$79</f>
        <v>4.724720042205597E-2</v>
      </c>
      <c r="AX136" s="10">
        <f>NA!BE70/NA!BE$79</f>
        <v>4.7686354391834884E-2</v>
      </c>
      <c r="AY136" s="10">
        <f>NA!BF70/NA!BF$79</f>
        <v>4.8170749042511396E-2</v>
      </c>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row>
    <row r="137" spans="5:182" s="601" customFormat="1" x14ac:dyDescent="0.2">
      <c r="E137" s="603" t="s">
        <v>115</v>
      </c>
      <c r="G137" s="602"/>
      <c r="H137" s="602"/>
      <c r="I137" s="602"/>
      <c r="J137" s="602"/>
      <c r="K137" s="602">
        <f>NA!K71/NA!K$79</f>
        <v>1.6983973467968854E-2</v>
      </c>
      <c r="L137" s="602">
        <f>NA!L71/NA!L$79</f>
        <v>2.0231984719444866E-2</v>
      </c>
      <c r="M137" s="602">
        <f>NA!M71/NA!M$79</f>
        <v>2.4286270508158014E-2</v>
      </c>
      <c r="N137" s="602">
        <f>NA!N71/NA!N$79</f>
        <v>2.5445224737546557E-2</v>
      </c>
      <c r="O137" s="602">
        <f>NA!O71/NA!O$79</f>
        <v>2.4991403884729053E-2</v>
      </c>
      <c r="P137" s="602">
        <f>NA!P71/NA!P$79</f>
        <v>2.4958022774238236E-2</v>
      </c>
      <c r="Q137" s="602">
        <f>NA!Q71/NA!Q$79</f>
        <v>2.5797335182440817E-2</v>
      </c>
      <c r="R137" s="602">
        <f>NA!R71/NA!R$79</f>
        <v>2.8435965021918596E-2</v>
      </c>
      <c r="S137" s="602">
        <f>NA!S71/NA!S$79</f>
        <v>3.0884322022976324E-2</v>
      </c>
      <c r="T137" s="602">
        <f>NA!T71/NA!T$79</f>
        <v>3.2475341540789217E-2</v>
      </c>
      <c r="U137" s="602">
        <f>NA!U71/NA!U$79</f>
        <v>3.3924546942522608E-2</v>
      </c>
      <c r="V137" s="602">
        <f>NA!V71/NA!V$79</f>
        <v>3.5143493180384497E-2</v>
      </c>
      <c r="W137" s="602"/>
      <c r="X137" s="602"/>
      <c r="Y137" s="602"/>
      <c r="Z137" s="602"/>
      <c r="AA137" s="602"/>
      <c r="AB137" s="602"/>
      <c r="AF137" s="602">
        <f>NA!AM71/NA!AM$79</f>
        <v>1.7305239334855668E-2</v>
      </c>
      <c r="AG137" s="602">
        <f>NA!AN71/NA!AN$79</f>
        <v>1.6697671111875985E-2</v>
      </c>
      <c r="AH137" s="602">
        <f>NA!AO71/NA!AO$79</f>
        <v>2.2798989366685438E-2</v>
      </c>
      <c r="AI137" s="602">
        <f>NA!AP71/NA!AP$79</f>
        <v>2.558653801954125E-2</v>
      </c>
      <c r="AJ137" s="602">
        <f>NA!AQ71/NA!AQ$79</f>
        <v>2.5322479636890688E-2</v>
      </c>
      <c r="AK137" s="602">
        <f>NA!AR71/NA!AR$79</f>
        <v>2.4703071560808833E-2</v>
      </c>
      <c r="AL137" s="602">
        <f>NA!AS71/NA!AS$79</f>
        <v>2.5183416870850826E-2</v>
      </c>
      <c r="AM137" s="602">
        <f>NA!AT71/NA!AT$79</f>
        <v>2.6301780334885585E-2</v>
      </c>
      <c r="AN137" s="602">
        <f>NA!AU71/NA!AU$79</f>
        <v>3.0304950402138962E-2</v>
      </c>
      <c r="AO137" s="602">
        <f>NA!AV71/NA!AV$79</f>
        <v>3.135681490326378E-2</v>
      </c>
      <c r="AP137" s="602">
        <f>NA!AW71/NA!AW$79</f>
        <v>3.3446178908607023E-2</v>
      </c>
      <c r="AQ137" s="602">
        <f>NA!AX71/NA!AX$79</f>
        <v>3.4335573443698995E-2</v>
      </c>
      <c r="AR137" s="602">
        <f>NA!AY71/NA!AY$79</f>
        <v>3.5813005584891082E-2</v>
      </c>
      <c r="AS137" s="602">
        <f>NA!AZ71/NA!AZ$79</f>
        <v>3.5963118840990078E-2</v>
      </c>
      <c r="AT137" s="602">
        <f>NA!BA71/NA!BA$79</f>
        <v>3.473155529628217E-2</v>
      </c>
      <c r="AU137" s="602">
        <f>NA!BB71/NA!BB$79</f>
        <v>3.6915800905694712E-2</v>
      </c>
      <c r="AV137" s="602">
        <f>NA!BC71/NA!BC$79</f>
        <v>4.6214185800797426E-2</v>
      </c>
      <c r="AW137" s="602">
        <f>NA!BD71/NA!BD$79</f>
        <v>4.7892182216468807E-2</v>
      </c>
      <c r="AX137" s="602">
        <f>NA!BE71/NA!BE$79</f>
        <v>4.9600796660280097E-2</v>
      </c>
      <c r="AY137" s="602">
        <f>NA!BF71/NA!BF$79</f>
        <v>5.1498113730567605E-2</v>
      </c>
      <c r="AZ137" s="602"/>
      <c r="BA137" s="602"/>
      <c r="BB137" s="602"/>
      <c r="BC137" s="602"/>
      <c r="BD137" s="602"/>
      <c r="BE137" s="602"/>
      <c r="BF137" s="602"/>
      <c r="BG137" s="602"/>
      <c r="BH137" s="602"/>
      <c r="BI137" s="602"/>
      <c r="BJ137" s="602"/>
      <c r="BK137" s="602"/>
      <c r="BL137" s="602"/>
      <c r="BM137" s="602"/>
      <c r="BN137" s="602"/>
      <c r="BO137" s="602"/>
      <c r="BP137" s="602"/>
      <c r="BQ137" s="602"/>
      <c r="BR137" s="602"/>
      <c r="BS137" s="602"/>
      <c r="BT137" s="602"/>
      <c r="BU137" s="602"/>
      <c r="BV137" s="602"/>
      <c r="BW137" s="602"/>
      <c r="BX137" s="602"/>
      <c r="BY137" s="602"/>
      <c r="BZ137" s="602"/>
      <c r="CA137" s="602"/>
      <c r="CB137" s="602"/>
      <c r="CC137" s="602"/>
      <c r="CD137" s="602"/>
      <c r="CE137" s="602"/>
      <c r="CF137" s="602"/>
      <c r="CG137" s="602"/>
      <c r="CH137" s="602"/>
      <c r="CI137" s="602"/>
      <c r="CJ137" s="602"/>
      <c r="CK137" s="602"/>
      <c r="CL137" s="602"/>
      <c r="CM137" s="602"/>
      <c r="CN137" s="602"/>
      <c r="CO137" s="602"/>
      <c r="CP137" s="602"/>
      <c r="CQ137" s="602"/>
      <c r="CR137" s="602"/>
      <c r="CS137" s="602"/>
      <c r="CT137" s="602"/>
      <c r="CU137" s="602"/>
      <c r="CV137" s="602"/>
      <c r="CW137" s="602"/>
      <c r="CX137" s="602"/>
      <c r="CY137" s="602"/>
      <c r="CZ137" s="602"/>
      <c r="DA137" s="602"/>
      <c r="DB137" s="602"/>
      <c r="DC137" s="602"/>
      <c r="DD137" s="602"/>
      <c r="DE137" s="602"/>
      <c r="DF137" s="602"/>
      <c r="DG137" s="602"/>
      <c r="DH137" s="602"/>
      <c r="DI137" s="602"/>
      <c r="DJ137" s="602"/>
      <c r="DK137" s="602"/>
      <c r="DL137" s="602"/>
      <c r="DM137" s="602"/>
      <c r="DN137" s="602"/>
      <c r="DO137" s="602"/>
      <c r="DP137" s="602"/>
      <c r="DQ137" s="602"/>
      <c r="DR137" s="602"/>
      <c r="DS137" s="602"/>
      <c r="DT137" s="602"/>
      <c r="DU137" s="602"/>
      <c r="DV137" s="602"/>
      <c r="DW137" s="602"/>
      <c r="DX137" s="602"/>
      <c r="DY137" s="602"/>
      <c r="DZ137" s="602"/>
      <c r="EA137" s="602"/>
      <c r="EB137" s="602"/>
      <c r="EC137" s="602"/>
      <c r="ED137" s="602"/>
      <c r="EE137" s="602"/>
      <c r="EF137" s="602"/>
      <c r="EG137" s="602"/>
      <c r="EH137" s="602"/>
      <c r="EI137" s="602"/>
      <c r="EJ137" s="602"/>
      <c r="EK137" s="602"/>
      <c r="EL137" s="602"/>
      <c r="EM137" s="602"/>
      <c r="EN137" s="602"/>
      <c r="EO137" s="602"/>
      <c r="EP137" s="602"/>
      <c r="EQ137" s="602"/>
      <c r="ER137" s="602"/>
      <c r="ES137" s="602"/>
      <c r="ET137" s="602"/>
      <c r="EU137" s="602"/>
      <c r="EV137" s="602"/>
      <c r="EW137" s="602"/>
      <c r="EX137" s="602"/>
      <c r="EY137" s="602"/>
      <c r="EZ137" s="602"/>
      <c r="FA137" s="602"/>
      <c r="FB137" s="602"/>
      <c r="FC137" s="602"/>
      <c r="FD137" s="602"/>
      <c r="FE137" s="602"/>
      <c r="FF137" s="602"/>
      <c r="FG137" s="602"/>
      <c r="FH137" s="602"/>
      <c r="FI137" s="602"/>
      <c r="FJ137" s="602"/>
      <c r="FK137" s="602"/>
      <c r="FL137" s="602"/>
      <c r="FM137" s="602"/>
      <c r="FN137" s="602"/>
      <c r="FO137" s="602"/>
      <c r="FP137" s="602"/>
      <c r="FQ137" s="602"/>
      <c r="FR137" s="602"/>
      <c r="FS137" s="602"/>
      <c r="FT137" s="602"/>
      <c r="FU137" s="602"/>
      <c r="FV137" s="602"/>
      <c r="FW137" s="602"/>
      <c r="FX137" s="602"/>
      <c r="FY137" s="602"/>
      <c r="FZ137" s="602"/>
    </row>
    <row r="138" spans="5:182" x14ac:dyDescent="0.2">
      <c r="E138" s="177"/>
      <c r="G138" s="10"/>
      <c r="H138" s="10"/>
      <c r="I138" s="10"/>
      <c r="J138" s="10"/>
      <c r="K138" s="10"/>
      <c r="L138" s="10"/>
      <c r="M138" s="10"/>
      <c r="N138" s="10"/>
      <c r="O138" s="10"/>
      <c r="P138" s="10"/>
      <c r="Q138" s="10"/>
      <c r="R138" s="10"/>
      <c r="S138" s="10"/>
      <c r="T138" s="10"/>
      <c r="U138" s="10"/>
      <c r="V138" s="10"/>
      <c r="W138" s="10"/>
      <c r="X138" s="10"/>
      <c r="Y138" s="10"/>
      <c r="Z138" s="10"/>
      <c r="AA138" s="10"/>
      <c r="AB138" s="10"/>
      <c r="AF138" s="10"/>
      <c r="AG138" s="10"/>
      <c r="AH138" s="10"/>
      <c r="AI138" s="10"/>
      <c r="AJ138" s="10"/>
      <c r="AK138" s="10"/>
      <c r="AL138" s="10"/>
      <c r="AM138" s="10"/>
      <c r="AN138" s="10"/>
      <c r="AO138" s="10"/>
      <c r="AP138" s="10"/>
      <c r="AQ138" s="10"/>
      <c r="AR138" s="10"/>
      <c r="AS138" s="10"/>
      <c r="AT138" s="10"/>
      <c r="AU138" s="10"/>
      <c r="AV138" s="10"/>
      <c r="AW138" s="10"/>
      <c r="AX138" s="10"/>
    </row>
    <row r="139" spans="5:182" x14ac:dyDescent="0.2">
      <c r="E139" s="191" t="s">
        <v>116</v>
      </c>
      <c r="G139" s="10"/>
      <c r="H139" s="10"/>
      <c r="I139" s="10"/>
      <c r="J139" s="10"/>
      <c r="K139" s="10">
        <f>NA!K72/NA!K$79</f>
        <v>0.11038244111776779</v>
      </c>
      <c r="L139" s="10">
        <f>NA!L72/NA!L$79</f>
        <v>0.1149482841020051</v>
      </c>
      <c r="M139" s="10">
        <f>NA!M72/NA!M$79</f>
        <v>0.11206070010941786</v>
      </c>
      <c r="N139" s="10">
        <f>NA!N72/NA!N$79</f>
        <v>0.10761276023854363</v>
      </c>
      <c r="O139" s="10">
        <f>NA!O72/NA!O$79</f>
        <v>0.10504757438185604</v>
      </c>
      <c r="P139" s="10">
        <f>NA!P72/NA!P$79</f>
        <v>9.100943416469863E-2</v>
      </c>
      <c r="Q139" s="10">
        <f>NA!Q72/NA!Q$79</f>
        <v>7.7521622120001729E-2</v>
      </c>
      <c r="R139" s="10">
        <f>NA!R72/NA!R$79</f>
        <v>7.6375026535019902E-2</v>
      </c>
      <c r="S139" s="10">
        <f>NA!S72/NA!S$79</f>
        <v>7.3576621666410116E-2</v>
      </c>
      <c r="T139" s="10">
        <f>NA!T72/NA!T$79</f>
        <v>7.0483752776026587E-2</v>
      </c>
      <c r="U139" s="10">
        <f>NA!U72/NA!U$79</f>
        <v>6.8693680526864725E-2</v>
      </c>
      <c r="V139" s="10">
        <f>NA!V72/NA!V$79</f>
        <v>6.4695798982860098E-2</v>
      </c>
      <c r="W139" s="10"/>
      <c r="X139" s="10"/>
      <c r="Y139" s="10"/>
      <c r="Z139" s="10"/>
      <c r="AA139" s="10"/>
      <c r="AB139" s="10"/>
      <c r="AF139" s="10">
        <f>NA!AM72/NA!AM$79</f>
        <v>0.10641019942142675</v>
      </c>
      <c r="AG139" s="10">
        <f>NA!AN72/NA!AN$79</f>
        <v>0.11392238193891158</v>
      </c>
      <c r="AH139" s="10">
        <f>NA!AO72/NA!AO$79</f>
        <v>0.11569340632733209</v>
      </c>
      <c r="AI139" s="10">
        <f>NA!AP72/NA!AP$79</f>
        <v>0.10888477745307533</v>
      </c>
      <c r="AJ139" s="10">
        <f>NA!AQ72/NA!AQ$79</f>
        <v>0.10650788263022687</v>
      </c>
      <c r="AK139" s="10">
        <f>NA!AR72/NA!AR$79</f>
        <v>0.10377579875907633</v>
      </c>
      <c r="AL139" s="10">
        <f>NA!AS72/NA!AS$79</f>
        <v>7.9723105395867092E-2</v>
      </c>
      <c r="AM139" s="10">
        <f>NA!AT72/NA!AT$79</f>
        <v>7.5712704637442313E-2</v>
      </c>
      <c r="AN139" s="10">
        <f>NA!AU72/NA!AU$79</f>
        <v>7.695504660127446E-2</v>
      </c>
      <c r="AO139" s="10">
        <f>NA!AV72/NA!AV$79</f>
        <v>7.082142677784807E-2</v>
      </c>
      <c r="AP139" s="10">
        <f>NA!AW72/NA!AW$79</f>
        <v>7.0190664951284079E-2</v>
      </c>
      <c r="AQ139" s="10">
        <f>NA!AX72/NA!AX$79</f>
        <v>6.7407431809014137E-2</v>
      </c>
      <c r="AR139" s="10">
        <f>NA!AY72/NA!AY$79</f>
        <v>6.2448704709578272E-2</v>
      </c>
      <c r="AS139" s="10">
        <f>NA!AZ72/NA!AZ$79</f>
        <v>5.9462875701139568E-2</v>
      </c>
      <c r="AT139" s="10">
        <f>NA!BA72/NA!BA$79</f>
        <v>5.3778990985576175E-2</v>
      </c>
      <c r="AU139" s="10">
        <f>NA!BB72/NA!BB$79</f>
        <v>5.4234849726221515E-2</v>
      </c>
      <c r="AV139" s="10">
        <f>NA!BC72/NA!BC$79</f>
        <v>6.20628160479266E-2</v>
      </c>
      <c r="AW139" s="10">
        <f>NA!BD72/NA!BD$79</f>
        <v>5.9149162250545895E-2</v>
      </c>
      <c r="AX139" s="10">
        <f>NA!BE72/NA!BE$79</f>
        <v>5.6160600730164996E-2</v>
      </c>
      <c r="AY139" s="10">
        <f>NA!BF72/NA!BF$79</f>
        <v>5.3214255320368872E-2</v>
      </c>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row>
    <row r="140" spans="5:182" x14ac:dyDescent="0.2">
      <c r="E140" s="191" t="s">
        <v>117</v>
      </c>
      <c r="G140" s="10"/>
      <c r="H140" s="10"/>
      <c r="I140" s="10"/>
      <c r="J140" s="10"/>
      <c r="K140" s="10">
        <f>NA!K73/NA!K$79</f>
        <v>6.9570771596255465E-2</v>
      </c>
      <c r="L140" s="10">
        <f>NA!L73/NA!L$79</f>
        <v>6.4512007020154111E-2</v>
      </c>
      <c r="M140" s="10">
        <f>NA!M73/NA!M$79</f>
        <v>6.0853164825218499E-2</v>
      </c>
      <c r="N140" s="10">
        <f>NA!N73/NA!N$79</f>
        <v>6.1614680818568739E-2</v>
      </c>
      <c r="O140" s="10">
        <f>NA!O73/NA!O$79</f>
        <v>6.4222023153120922E-2</v>
      </c>
      <c r="P140" s="10">
        <f>NA!P73/NA!P$79</f>
        <v>8.4298319657895915E-2</v>
      </c>
      <c r="Q140" s="10">
        <f>NA!Q73/NA!Q$79</f>
        <v>0.10428912814868971</v>
      </c>
      <c r="R140" s="10">
        <f>NA!R73/NA!R$79</f>
        <v>0.11385224708816054</v>
      </c>
      <c r="S140" s="10">
        <f>NA!S73/NA!S$79</f>
        <v>0.10991938794211818</v>
      </c>
      <c r="T140" s="10">
        <f>NA!T73/NA!T$79</f>
        <v>9.9330619399517525E-2</v>
      </c>
      <c r="U140" s="10">
        <f>NA!U73/NA!U$79</f>
        <v>9.2498600517018706E-2</v>
      </c>
      <c r="V140" s="10">
        <f>NA!V73/NA!V$79</f>
        <v>8.930880669952572E-2</v>
      </c>
      <c r="W140" s="10"/>
      <c r="X140" s="10"/>
      <c r="Y140" s="10"/>
      <c r="Z140" s="10"/>
      <c r="AA140" s="10"/>
      <c r="AB140" s="10"/>
      <c r="AF140" s="10">
        <f>NA!AM73/NA!AM$79</f>
        <v>6.8121450336578668E-2</v>
      </c>
      <c r="AG140" s="10">
        <f>NA!AN73/NA!AN$79</f>
        <v>7.0862362562335718E-2</v>
      </c>
      <c r="AH140" s="10">
        <f>NA!AO73/NA!AO$79</f>
        <v>5.9899685082027282E-2</v>
      </c>
      <c r="AI140" s="10">
        <f>NA!AP73/NA!AP$79</f>
        <v>6.1686752166752373E-2</v>
      </c>
      <c r="AJ140" s="10">
        <f>NA!AQ73/NA!AQ$79</f>
        <v>6.155207944973537E-2</v>
      </c>
      <c r="AK140" s="10">
        <f>NA!AR73/NA!AR$79</f>
        <v>6.6547264635491613E-2</v>
      </c>
      <c r="AL140" s="10">
        <f>NA!AS73/NA!AS$79</f>
        <v>9.9991451519781185E-2</v>
      </c>
      <c r="AM140" s="10">
        <f>NA!AT73/NA!AT$79</f>
        <v>0.107820448360679</v>
      </c>
      <c r="AN140" s="10">
        <f>NA!AU73/NA!AU$79</f>
        <v>0.1191345189114896</v>
      </c>
      <c r="AO140" s="10">
        <f>NA!AV73/NA!AV$79</f>
        <v>0.10240420491045452</v>
      </c>
      <c r="AP140" s="10">
        <f>NA!AW73/NA!AW$79</f>
        <v>9.6662867405874792E-2</v>
      </c>
      <c r="AQ140" s="10">
        <f>NA!AX73/NA!AX$79</f>
        <v>8.8920551968747125E-2</v>
      </c>
      <c r="AR140" s="10">
        <f>NA!AY73/NA!AY$79</f>
        <v>8.9630548261912898E-2</v>
      </c>
      <c r="AS140" s="10">
        <f>NA!AZ73/NA!AZ$79</f>
        <v>9.4594504882936317E-2</v>
      </c>
      <c r="AT140" s="10">
        <f>NA!BA73/NA!BA$79</f>
        <v>0.10000776496603851</v>
      </c>
      <c r="AU140" s="10">
        <f>NA!BB73/NA!BB$79</f>
        <v>9.9065785854593219E-2</v>
      </c>
      <c r="AV140" s="10">
        <f>NA!BC73/NA!BC$79</f>
        <v>0.10382827090034071</v>
      </c>
      <c r="AW140" s="10">
        <f>NA!BD73/NA!BD$79</f>
        <v>0.10178375786068153</v>
      </c>
      <c r="AX140" s="10">
        <f>NA!BE73/NA!BE$79</f>
        <v>9.997879977874817E-2</v>
      </c>
      <c r="AY140" s="10">
        <f>NA!BF73/NA!BF$79</f>
        <v>9.7867449149214844E-2</v>
      </c>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row>
    <row r="141" spans="5:182" x14ac:dyDescent="0.2">
      <c r="E141" s="191" t="s">
        <v>118</v>
      </c>
      <c r="G141" s="10"/>
      <c r="H141" s="10"/>
      <c r="I141" s="10"/>
      <c r="J141" s="10"/>
      <c r="K141" s="10">
        <f>NA!K74/NA!K$79</f>
        <v>2.2264466909592114E-2</v>
      </c>
      <c r="L141" s="10">
        <f>NA!L74/NA!L$79</f>
        <v>3.0445451455705801E-2</v>
      </c>
      <c r="M141" s="10">
        <f>NA!M74/NA!M$79</f>
        <v>3.6051512351800215E-2</v>
      </c>
      <c r="N141" s="10">
        <f>NA!N74/NA!N$79</f>
        <v>3.4131365129979253E-2</v>
      </c>
      <c r="O141" s="10">
        <f>NA!O74/NA!O$79</f>
        <v>3.1425624860424134E-2</v>
      </c>
      <c r="P141" s="10">
        <f>NA!P74/NA!P$79</f>
        <v>2.9243407343670248E-2</v>
      </c>
      <c r="Q141" s="10">
        <f>NA!Q74/NA!Q$79</f>
        <v>2.8627864730276845E-2</v>
      </c>
      <c r="R141" s="10">
        <f>NA!R74/NA!R$79</f>
        <v>3.1661160057632941E-2</v>
      </c>
      <c r="S141" s="10">
        <f>NA!S74/NA!S$79</f>
        <v>3.3461886393383704E-2</v>
      </c>
      <c r="T141" s="10">
        <f>NA!T74/NA!T$79</f>
        <v>3.3423165890787983E-2</v>
      </c>
      <c r="U141" s="10">
        <f>NA!U74/NA!U$79</f>
        <v>3.3741880169902656E-2</v>
      </c>
      <c r="V141" s="10">
        <f>NA!V74/NA!V$79</f>
        <v>3.1417070290222525E-2</v>
      </c>
      <c r="W141" s="10"/>
      <c r="X141" s="10"/>
      <c r="Y141" s="10"/>
      <c r="Z141" s="10"/>
      <c r="AA141" s="10"/>
      <c r="AB141" s="10"/>
      <c r="AF141" s="10">
        <f>NA!AM74/NA!AM$79</f>
        <v>2.2372833257334388E-2</v>
      </c>
      <c r="AG141" s="10">
        <f>NA!AN74/NA!AN$79</f>
        <v>2.2167894120890839E-2</v>
      </c>
      <c r="AH141" s="10">
        <f>NA!AO74/NA!AO$79</f>
        <v>3.6457517872439643E-2</v>
      </c>
      <c r="AI141" s="10">
        <f>NA!AP74/NA!AP$79</f>
        <v>3.5696558756808092E-2</v>
      </c>
      <c r="AJ141" s="10">
        <f>NA!AQ74/NA!AQ$79</f>
        <v>3.2771833693449152E-2</v>
      </c>
      <c r="AK141" s="10">
        <f>NA!AR74/NA!AR$79</f>
        <v>3.0253217884758557E-2</v>
      </c>
      <c r="AL141" s="10">
        <f>NA!AS74/NA!AS$79</f>
        <v>2.8350666604777853E-2</v>
      </c>
      <c r="AM141" s="10">
        <f>NA!AT74/NA!AT$79</f>
        <v>2.8855633226565217E-2</v>
      </c>
      <c r="AN141" s="10">
        <f>NA!AU74/NA!AU$79</f>
        <v>3.4118064871419766E-2</v>
      </c>
      <c r="AO141" s="10">
        <f>NA!AV74/NA!AV$79</f>
        <v>3.2926755489626633E-2</v>
      </c>
      <c r="AP141" s="10">
        <f>NA!AW74/NA!AW$79</f>
        <v>3.3854030700844771E-2</v>
      </c>
      <c r="AQ141" s="10">
        <f>NA!AX74/NA!AX$79</f>
        <v>3.3645517459457944E-2</v>
      </c>
      <c r="AR141" s="10">
        <f>NA!AY74/NA!AY$79</f>
        <v>2.9570385582764418E-2</v>
      </c>
      <c r="AS141" s="10">
        <f>NA!AZ74/NA!AZ$79</f>
        <v>2.7922517049836934E-2</v>
      </c>
      <c r="AT141" s="10">
        <f>NA!BA74/NA!BA$79</f>
        <v>2.8487795234663254E-2</v>
      </c>
      <c r="AU141" s="10">
        <f>NA!BB74/NA!BB$79</f>
        <v>2.9759044921792408E-2</v>
      </c>
      <c r="AV141" s="10">
        <f>NA!BC74/NA!BC$79</f>
        <v>3.4541040423742321E-2</v>
      </c>
      <c r="AW141" s="10">
        <f>NA!BD74/NA!BD$79</f>
        <v>3.3697010724534675E-2</v>
      </c>
      <c r="AX141" s="10">
        <f>NA!BE74/NA!BE$79</f>
        <v>3.2844566968617338E-2</v>
      </c>
      <c r="AY141" s="10">
        <f>NA!BF74/NA!BF$79</f>
        <v>3.1998505605248355E-2</v>
      </c>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0"/>
      <c r="EX141" s="10"/>
      <c r="EY141" s="10"/>
      <c r="EZ141" s="10"/>
      <c r="FA141" s="10"/>
      <c r="FB141" s="10"/>
      <c r="FC141" s="10"/>
      <c r="FD141" s="10"/>
      <c r="FE141" s="10"/>
      <c r="FF141" s="10"/>
      <c r="FG141" s="10"/>
      <c r="FH141" s="10"/>
      <c r="FI141" s="10"/>
      <c r="FJ141" s="10"/>
      <c r="FK141" s="10"/>
      <c r="FL141" s="10"/>
      <c r="FM141" s="10"/>
      <c r="FN141" s="10"/>
      <c r="FO141" s="10"/>
      <c r="FP141" s="10"/>
      <c r="FQ141" s="10"/>
      <c r="FR141" s="10"/>
      <c r="FS141" s="10"/>
      <c r="FT141" s="10"/>
      <c r="FU141" s="10"/>
      <c r="FV141" s="10"/>
      <c r="FW141" s="10"/>
      <c r="FX141" s="10"/>
      <c r="FY141" s="10"/>
      <c r="FZ141" s="10"/>
    </row>
    <row r="142" spans="5:182" x14ac:dyDescent="0.2">
      <c r="E142" s="191" t="s">
        <v>119</v>
      </c>
      <c r="G142" s="10"/>
      <c r="H142" s="10"/>
      <c r="I142" s="10"/>
      <c r="J142" s="10"/>
      <c r="K142" s="10">
        <f>NA!K75/NA!K$79</f>
        <v>1.20196215845198E-2</v>
      </c>
      <c r="L142" s="10">
        <f>NA!L75/NA!L$79</f>
        <v>1.5058493517955808E-2</v>
      </c>
      <c r="M142" s="10">
        <f>NA!M75/NA!M$79</f>
        <v>1.7761695092926057E-2</v>
      </c>
      <c r="N142" s="10">
        <f>NA!N75/NA!N$79</f>
        <v>1.8662203969530927E-2</v>
      </c>
      <c r="O142" s="10">
        <f>NA!O75/NA!O$79</f>
        <v>1.8664006433356188E-2</v>
      </c>
      <c r="P142" s="10">
        <f>NA!P75/NA!P$79</f>
        <v>1.8924805551150125E-2</v>
      </c>
      <c r="Q142" s="10">
        <f>NA!Q75/NA!Q$79</f>
        <v>1.9947048736392674E-2</v>
      </c>
      <c r="R142" s="10">
        <f>NA!R75/NA!R$79</f>
        <v>1.8988256963344403E-2</v>
      </c>
      <c r="S142" s="10">
        <f>NA!S75/NA!S$79</f>
        <v>1.7474902190195547E-2</v>
      </c>
      <c r="T142" s="10">
        <f>NA!T75/NA!T$79</f>
        <v>1.8162300787767555E-2</v>
      </c>
      <c r="U142" s="10">
        <f>NA!U75/NA!U$79</f>
        <v>1.8347122980503051E-2</v>
      </c>
      <c r="V142" s="10">
        <f>NA!V75/NA!V$79</f>
        <v>1.7195368958672727E-2</v>
      </c>
      <c r="W142" s="10"/>
      <c r="X142" s="10"/>
      <c r="Y142" s="10"/>
      <c r="Z142" s="10"/>
      <c r="AA142" s="10"/>
      <c r="AB142" s="10"/>
      <c r="AF142" s="10">
        <f>NA!AM75/NA!AM$79</f>
        <v>1.117478864296108E-2</v>
      </c>
      <c r="AG142" s="10">
        <f>NA!AN75/NA!AN$79</f>
        <v>1.2772510971795881E-2</v>
      </c>
      <c r="AH142" s="10">
        <f>NA!AO75/NA!AO$79</f>
        <v>1.6718823774709627E-2</v>
      </c>
      <c r="AI142" s="10">
        <f>NA!AP75/NA!AP$79</f>
        <v>1.8673433738578236E-2</v>
      </c>
      <c r="AJ142" s="10">
        <f>NA!AQ75/NA!AQ$79</f>
        <v>1.8652449761627762E-2</v>
      </c>
      <c r="AK142" s="10">
        <f>NA!AR75/NA!AR$79</f>
        <v>1.8674071084707079E-2</v>
      </c>
      <c r="AL142" s="10">
        <f>NA!AS75/NA!AS$79</f>
        <v>1.9146471758552656E-2</v>
      </c>
      <c r="AM142" s="10">
        <f>NA!AT75/NA!AT$79</f>
        <v>2.0604867811025506E-2</v>
      </c>
      <c r="AN142" s="10">
        <f>NA!AU75/NA!AU$79</f>
        <v>1.7572530359091582E-2</v>
      </c>
      <c r="AO142" s="10">
        <f>NA!AV75/NA!AV$79</f>
        <v>1.7395283836344855E-2</v>
      </c>
      <c r="AP142" s="10">
        <f>NA!AW75/NA!AW$79</f>
        <v>1.8828041498099021E-2</v>
      </c>
      <c r="AQ142" s="10">
        <f>NA!AX75/NA!AX$79</f>
        <v>1.7933905036109029E-2</v>
      </c>
      <c r="AR142" s="10">
        <f>NA!AY75/NA!AY$79</f>
        <v>1.6583353875283681E-2</v>
      </c>
      <c r="AS142" s="10">
        <f>NA!AZ75/NA!AZ$79</f>
        <v>1.5970317798585817E-2</v>
      </c>
      <c r="AT142" s="10">
        <f>NA!BA75/NA!BA$79</f>
        <v>1.5344414611310423E-2</v>
      </c>
      <c r="AU142" s="10">
        <f>NA!BB75/NA!BB$79</f>
        <v>1.5782911086105723E-2</v>
      </c>
      <c r="AV142" s="10">
        <f>NA!BC75/NA!BC$79</f>
        <v>1.8815683111762915E-2</v>
      </c>
      <c r="AW142" s="10">
        <f>NA!BD75/NA!BD$79</f>
        <v>1.902322325716985E-2</v>
      </c>
      <c r="AX142" s="10">
        <f>NA!BE75/NA!BE$79</f>
        <v>1.9203026867640673E-2</v>
      </c>
      <c r="AY142" s="10">
        <f>NA!BF75/NA!BF$79</f>
        <v>1.9356406468048714E-2</v>
      </c>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c r="DG142" s="10"/>
      <c r="DH142" s="10"/>
      <c r="DI142" s="10"/>
      <c r="DJ142" s="10"/>
      <c r="DK142" s="10"/>
      <c r="DL142" s="10"/>
      <c r="DM142" s="10"/>
      <c r="DN142" s="10"/>
      <c r="DO142" s="10"/>
      <c r="DP142" s="10"/>
      <c r="DQ142" s="10"/>
      <c r="DR142" s="10"/>
      <c r="DS142" s="10"/>
      <c r="DT142" s="10"/>
      <c r="DU142" s="10"/>
      <c r="DV142" s="10"/>
      <c r="DW142" s="10"/>
      <c r="DX142" s="10"/>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0"/>
      <c r="EX142" s="10"/>
      <c r="EY142" s="10"/>
      <c r="EZ142" s="10"/>
      <c r="FA142" s="10"/>
      <c r="FB142" s="10"/>
      <c r="FC142" s="10"/>
      <c r="FD142" s="10"/>
      <c r="FE142" s="10"/>
      <c r="FF142" s="10"/>
      <c r="FG142" s="10"/>
      <c r="FH142" s="10"/>
      <c r="FI142" s="10"/>
      <c r="FJ142" s="10"/>
      <c r="FK142" s="10"/>
      <c r="FL142" s="10"/>
      <c r="FM142" s="10"/>
      <c r="FN142" s="10"/>
      <c r="FO142" s="10"/>
      <c r="FP142" s="10"/>
      <c r="FQ142" s="10"/>
      <c r="FR142" s="10"/>
      <c r="FS142" s="10"/>
      <c r="FT142" s="10"/>
      <c r="FU142" s="10"/>
      <c r="FV142" s="10"/>
      <c r="FW142" s="10"/>
      <c r="FX142" s="10"/>
      <c r="FY142" s="10"/>
      <c r="FZ142" s="10"/>
    </row>
    <row r="143" spans="5:182" x14ac:dyDescent="0.2">
      <c r="E143" s="191" t="s">
        <v>120</v>
      </c>
      <c r="G143" s="10"/>
      <c r="H143" s="10"/>
      <c r="I143" s="10"/>
      <c r="J143" s="10"/>
      <c r="K143" s="10">
        <f>NA!K76/NA!K$79</f>
        <v>1.0003057376016745E-2</v>
      </c>
      <c r="L143" s="10">
        <f>NA!L76/NA!L$79</f>
        <v>1.8098022049560458E-2</v>
      </c>
      <c r="M143" s="10">
        <f>NA!M76/NA!M$79</f>
        <v>2.3205021732978223E-2</v>
      </c>
      <c r="N143" s="10">
        <f>NA!N76/NA!N$79</f>
        <v>2.1083703025218909E-2</v>
      </c>
      <c r="O143" s="10">
        <f>NA!O76/NA!O$79</f>
        <v>1.9636285220772098E-2</v>
      </c>
      <c r="P143" s="10">
        <f>NA!P76/NA!P$79</f>
        <v>1.8958803718200856E-2</v>
      </c>
      <c r="Q143" s="10">
        <f>NA!Q76/NA!Q$79</f>
        <v>1.7912053550283226E-2</v>
      </c>
      <c r="R143" s="10">
        <f>NA!R76/NA!R$79</f>
        <v>1.7498359962009002E-2</v>
      </c>
      <c r="S143" s="10">
        <f>NA!S76/NA!S$79</f>
        <v>1.6994819407122622E-2</v>
      </c>
      <c r="T143" s="10">
        <f>NA!T76/NA!T$79</f>
        <v>1.6345647570548523E-2</v>
      </c>
      <c r="U143" s="10">
        <f>NA!U76/NA!U$79</f>
        <v>1.5537739702780582E-2</v>
      </c>
      <c r="V143" s="10">
        <f>NA!V76/NA!V$79</f>
        <v>1.4282500063550915E-2</v>
      </c>
      <c r="W143" s="10"/>
      <c r="X143" s="10"/>
      <c r="Y143" s="10"/>
      <c r="Z143" s="10"/>
      <c r="AA143" s="10"/>
      <c r="AB143" s="10"/>
      <c r="AF143" s="10">
        <f>NA!AM76/NA!AM$79</f>
        <v>1.0165950490686278E-2</v>
      </c>
      <c r="AG143" s="10">
        <f>NA!AN76/NA!AN$79</f>
        <v>9.8578919932976877E-3</v>
      </c>
      <c r="AH143" s="10">
        <f>NA!AO76/NA!AO$79</f>
        <v>2.4082904687873708E-2</v>
      </c>
      <c r="AI143" s="10">
        <f>NA!AP76/NA!AP$79</f>
        <v>2.2437525492208628E-2</v>
      </c>
      <c r="AJ143" s="10">
        <f>NA!AQ76/NA!AQ$79</f>
        <v>1.9907769152371274E-2</v>
      </c>
      <c r="AK143" s="10">
        <f>NA!AR76/NA!AR$79</f>
        <v>1.9399851134633495E-2</v>
      </c>
      <c r="AL143" s="10">
        <f>NA!AS76/NA!AS$79</f>
        <v>1.8568888005884857E-2</v>
      </c>
      <c r="AM143" s="10">
        <f>NA!AT76/NA!AT$79</f>
        <v>1.7372345007905972E-2</v>
      </c>
      <c r="AN143" s="10">
        <f>NA!AU76/NA!AU$79</f>
        <v>1.7608715972123167E-2</v>
      </c>
      <c r="AO143" s="10">
        <f>NA!AV76/NA!AV$79</f>
        <v>1.6494170521738044E-2</v>
      </c>
      <c r="AP143" s="10">
        <f>NA!AW76/NA!AW$79</f>
        <v>1.6216735458707929E-2</v>
      </c>
      <c r="AQ143" s="10">
        <f>NA!AX76/NA!AX$79</f>
        <v>1.4954328542155912E-2</v>
      </c>
      <c r="AR143" s="10">
        <f>NA!AY76/NA!AY$79</f>
        <v>1.3725764685390543E-2</v>
      </c>
      <c r="AS143" s="10">
        <f>NA!AZ76/NA!AZ$79</f>
        <v>1.358915553210524E-2</v>
      </c>
      <c r="AT143" s="10">
        <f>NA!BA76/NA!BA$79</f>
        <v>1.3116813791410204E-2</v>
      </c>
      <c r="AU143" s="10">
        <f>NA!BB76/NA!BB$79</f>
        <v>1.3821031497735328E-2</v>
      </c>
      <c r="AV143" s="10">
        <f>NA!BC76/NA!BC$79</f>
        <v>1.6738923838384503E-2</v>
      </c>
      <c r="AW143" s="10">
        <f>NA!BD76/NA!BD$79</f>
        <v>1.6588497652715313E-2</v>
      </c>
      <c r="AX143" s="10">
        <f>NA!BE76/NA!BE$79</f>
        <v>1.6430657947288468E-2</v>
      </c>
      <c r="AY143" s="10">
        <f>NA!BF76/NA!BF$79</f>
        <v>1.6230220711746842E-2</v>
      </c>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0"/>
      <c r="EX143" s="10"/>
      <c r="EY143" s="10"/>
      <c r="EZ143" s="10"/>
      <c r="FA143" s="10"/>
      <c r="FB143" s="10"/>
      <c r="FC143" s="10"/>
      <c r="FD143" s="10"/>
      <c r="FE143" s="10"/>
      <c r="FF143" s="10"/>
      <c r="FG143" s="10"/>
      <c r="FH143" s="10"/>
      <c r="FI143" s="10"/>
      <c r="FJ143" s="10"/>
      <c r="FK143" s="10"/>
      <c r="FL143" s="10"/>
      <c r="FM143" s="10"/>
      <c r="FN143" s="10"/>
      <c r="FO143" s="10"/>
      <c r="FP143" s="10"/>
      <c r="FQ143" s="10"/>
      <c r="FR143" s="10"/>
      <c r="FS143" s="10"/>
      <c r="FT143" s="10"/>
      <c r="FU143" s="10"/>
      <c r="FV143" s="10"/>
      <c r="FW143" s="10"/>
      <c r="FX143" s="10"/>
      <c r="FY143" s="10"/>
      <c r="FZ143" s="10"/>
    </row>
    <row r="144" spans="5:182" x14ac:dyDescent="0.2">
      <c r="E144" s="177"/>
      <c r="G144" s="10"/>
      <c r="H144" s="10"/>
      <c r="I144" s="10"/>
      <c r="J144" s="10"/>
      <c r="K144" s="10"/>
      <c r="L144" s="10"/>
      <c r="M144" s="10"/>
      <c r="N144" s="10"/>
      <c r="O144" s="10"/>
      <c r="P144" s="10"/>
      <c r="Q144" s="10"/>
      <c r="R144" s="10"/>
      <c r="S144" s="10"/>
      <c r="T144" s="10"/>
      <c r="U144" s="10"/>
      <c r="V144" s="10"/>
      <c r="W144" s="10"/>
      <c r="X144" s="10"/>
      <c r="Y144" s="10"/>
      <c r="Z144" s="10"/>
      <c r="AA144" s="10"/>
      <c r="AB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0"/>
      <c r="EX144" s="10"/>
      <c r="EY144" s="10"/>
      <c r="EZ144" s="10"/>
      <c r="FA144" s="10"/>
      <c r="FB144" s="10"/>
      <c r="FC144" s="10"/>
      <c r="FD144" s="10"/>
      <c r="FE144" s="10"/>
      <c r="FF144" s="10"/>
      <c r="FG144" s="10"/>
      <c r="FH144" s="10"/>
      <c r="FI144" s="10"/>
      <c r="FJ144" s="10"/>
      <c r="FK144" s="10"/>
      <c r="FL144" s="10"/>
      <c r="FM144" s="10"/>
      <c r="FN144" s="10"/>
      <c r="FO144" s="10"/>
      <c r="FP144" s="10"/>
      <c r="FQ144" s="10"/>
      <c r="FR144" s="10"/>
      <c r="FS144" s="10"/>
      <c r="FT144" s="10"/>
      <c r="FU144" s="10"/>
      <c r="FV144" s="10"/>
      <c r="FW144" s="10"/>
      <c r="FX144" s="10"/>
      <c r="FY144" s="10"/>
      <c r="FZ144" s="10"/>
    </row>
    <row r="145" spans="5:182" x14ac:dyDescent="0.2">
      <c r="E145" s="177" t="s">
        <v>121</v>
      </c>
      <c r="G145" s="10"/>
      <c r="H145" s="10"/>
      <c r="I145" s="10"/>
      <c r="J145" s="10"/>
      <c r="K145" s="10">
        <f>NA!K77/NA!K$79</f>
        <v>1.0120888425750985</v>
      </c>
      <c r="L145" s="10">
        <f>NA!L77/NA!L$79</f>
        <v>1.0105307891467217</v>
      </c>
      <c r="M145" s="10">
        <f>NA!M77/NA!M$79</f>
        <v>1.0100130551823518</v>
      </c>
      <c r="N145" s="10">
        <f>NA!N77/NA!N$79</f>
        <v>1.0100231302096694</v>
      </c>
      <c r="O145" s="10">
        <f>NA!O77/NA!O$79</f>
        <v>1.0100627073373663</v>
      </c>
      <c r="P145" s="10">
        <f>NA!P77/NA!P$79</f>
        <v>1.0102546072334424</v>
      </c>
      <c r="Q145" s="10">
        <f>NA!Q77/NA!Q$79</f>
        <v>1.0126476755784315</v>
      </c>
      <c r="R145" s="10">
        <f>NA!R77/NA!R$79</f>
        <v>1.0138254440264434</v>
      </c>
      <c r="S145" s="10">
        <f>NA!S77/NA!S$79</f>
        <v>1.0111633888175591</v>
      </c>
      <c r="T145" s="10">
        <f>NA!T77/NA!T$79</f>
        <v>1.0093618094300643</v>
      </c>
      <c r="U145" s="10">
        <f>NA!U77/NA!U$79</f>
        <v>1.0092247091489892</v>
      </c>
      <c r="V145" s="10">
        <f>NA!V77/NA!V$79</f>
        <v>1.0103192763734592</v>
      </c>
      <c r="W145" s="10"/>
      <c r="X145" s="10"/>
      <c r="Y145" s="10"/>
      <c r="Z145" s="10"/>
      <c r="AA145" s="10"/>
      <c r="AB145" s="10"/>
      <c r="AF145" s="10">
        <f>NA!AM77/NA!AM$79</f>
        <v>1.0131377103819073</v>
      </c>
      <c r="AG145" s="10">
        <f>NA!AN77/NA!AN$79</f>
        <v>1.0111541235299997</v>
      </c>
      <c r="AH145" s="10">
        <f>NA!AO77/NA!AO$79</f>
        <v>1.0100780556215381</v>
      </c>
      <c r="AI145" s="10">
        <f>NA!AP77/NA!AP$79</f>
        <v>1.0099562280251033</v>
      </c>
      <c r="AJ145" s="10">
        <f>NA!AQ77/NA!AQ$79</f>
        <v>1.0100812416289413</v>
      </c>
      <c r="AK145" s="10">
        <f>NA!AR77/NA!AR$79</f>
        <v>1.0100465659095295</v>
      </c>
      <c r="AL145" s="10">
        <f>NA!AS77/NA!AS$79</f>
        <v>1.0104385298185936</v>
      </c>
      <c r="AM145" s="10">
        <f>NA!AT77/NA!AT$79</f>
        <v>1.0144628891802348</v>
      </c>
      <c r="AN145" s="10">
        <f>NA!AU77/NA!AU$79</f>
        <v>1.0132672094554773</v>
      </c>
      <c r="AO145" s="10">
        <f>NA!AV77/NA!AV$79</f>
        <v>1.0094476674444939</v>
      </c>
      <c r="AP145" s="10">
        <f>NA!AW77/NA!AW$79</f>
        <v>1.0092872880320587</v>
      </c>
      <c r="AQ145" s="10">
        <f>NA!AX77/NA!AX$79</f>
        <v>1.0091709397130488</v>
      </c>
      <c r="AR145" s="10">
        <f>NA!AY77/NA!AY$79</f>
        <v>1.0112708877820982</v>
      </c>
      <c r="AS145" s="10">
        <f>NA!AZ77/NA!AZ$79</f>
        <v>1.0110891799302204</v>
      </c>
      <c r="AT145" s="10">
        <f>NA!BA77/NA!BA$79</f>
        <v>1.0130452898531952</v>
      </c>
      <c r="AU145" s="10">
        <f>NA!BB77/NA!BB$79</f>
        <v>1.0113222099343266</v>
      </c>
      <c r="AV145" s="10">
        <f>NA!BC77/NA!BC$79</f>
        <v>1.0167869579737459</v>
      </c>
      <c r="AW145" s="10">
        <f>NA!BD77/NA!BD$79</f>
        <v>1.0164620724336442</v>
      </c>
      <c r="AX145" s="10">
        <f>NA!BE77/NA!BE$79</f>
        <v>1.0171031723334922</v>
      </c>
      <c r="AY145" s="10">
        <f>NA!BF77/NA!BF$79</f>
        <v>1.0183638124380034</v>
      </c>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0"/>
      <c r="EX145" s="10"/>
      <c r="EY145" s="10"/>
      <c r="EZ145" s="10"/>
      <c r="FA145" s="10"/>
      <c r="FB145" s="10"/>
      <c r="FC145" s="10"/>
      <c r="FD145" s="10"/>
      <c r="FE145" s="10"/>
      <c r="FF145" s="10"/>
      <c r="FG145" s="10"/>
      <c r="FH145" s="10"/>
      <c r="FI145" s="10"/>
      <c r="FJ145" s="10"/>
      <c r="FK145" s="10"/>
      <c r="FL145" s="10"/>
      <c r="FM145" s="10"/>
      <c r="FN145" s="10"/>
      <c r="FO145" s="10"/>
      <c r="FP145" s="10"/>
      <c r="FQ145" s="10"/>
      <c r="FR145" s="10"/>
      <c r="FS145" s="10"/>
      <c r="FT145" s="10"/>
      <c r="FU145" s="10"/>
      <c r="FV145" s="10"/>
      <c r="FW145" s="10"/>
      <c r="FX145" s="10"/>
      <c r="FY145" s="10"/>
      <c r="FZ145" s="10"/>
    </row>
    <row r="146" spans="5:182" x14ac:dyDescent="0.2">
      <c r="E146" s="177" t="s">
        <v>122</v>
      </c>
      <c r="G146" s="10"/>
      <c r="H146" s="10"/>
      <c r="I146" s="10"/>
      <c r="J146" s="10"/>
      <c r="K146" s="10">
        <f>NA!K78/NA!K$79</f>
        <v>-1.2088842575098532E-2</v>
      </c>
      <c r="L146" s="10">
        <f>NA!L78/NA!L$79</f>
        <v>-1.0530789146721665E-2</v>
      </c>
      <c r="M146" s="10">
        <f>NA!M78/NA!M$79</f>
        <v>-1.0013055182351823E-2</v>
      </c>
      <c r="N146" s="10">
        <f>NA!N78/NA!N$79</f>
        <v>-1.0023130209669414E-2</v>
      </c>
      <c r="O146" s="10">
        <f>NA!O78/NA!O$79</f>
        <v>-1.0062707337366231E-2</v>
      </c>
      <c r="P146" s="10">
        <f>NA!P78/NA!P$79</f>
        <v>-1.0254607233442178E-2</v>
      </c>
      <c r="Q146" s="10">
        <f>NA!Q78/NA!Q$79</f>
        <v>-1.2647675578431643E-2</v>
      </c>
      <c r="R146" s="10">
        <f>NA!R78/NA!R$79</f>
        <v>-1.3825444026443551E-2</v>
      </c>
      <c r="S146" s="10">
        <f>NA!S78/NA!S$79</f>
        <v>-1.1163388817559154E-2</v>
      </c>
      <c r="T146" s="10">
        <f>NA!T78/NA!T$79</f>
        <v>-9.3618094300643058E-3</v>
      </c>
      <c r="U146" s="10">
        <f>NA!U78/NA!U$79</f>
        <v>-9.22470914898923E-3</v>
      </c>
      <c r="V146" s="10">
        <f>NA!V78/NA!V$79</f>
        <v>-1.0319276373459233E-2</v>
      </c>
      <c r="W146" s="10"/>
      <c r="X146" s="10"/>
      <c r="Y146" s="10"/>
      <c r="Z146" s="10"/>
      <c r="AA146" s="10"/>
      <c r="AB146" s="10"/>
      <c r="AF146" s="10">
        <f>NA!AM78/NA!AM$79</f>
        <v>-1.3137710381907208E-2</v>
      </c>
      <c r="AG146" s="10">
        <f>NA!AN78/NA!AN$79</f>
        <v>-1.115412352999972E-2</v>
      </c>
      <c r="AH146" s="10">
        <f>NA!AO78/NA!AO$79</f>
        <v>-1.00780556215379E-2</v>
      </c>
      <c r="AI146" s="10">
        <f>NA!AP78/NA!AP$79</f>
        <v>-9.9562280251032503E-3</v>
      </c>
      <c r="AJ146" s="10">
        <f>NA!AQ78/NA!AQ$79</f>
        <v>-1.0081241628941239E-2</v>
      </c>
      <c r="AK146" s="10">
        <f>NA!AR78/NA!AR$79</f>
        <v>-1.0046565909529416E-2</v>
      </c>
      <c r="AL146" s="10">
        <f>NA!AS78/NA!AS$79</f>
        <v>-1.0438529818593509E-2</v>
      </c>
      <c r="AM146" s="10">
        <f>NA!AT78/NA!AT$79</f>
        <v>-1.4462889180234926E-2</v>
      </c>
      <c r="AN146" s="10">
        <f>NA!AU78/NA!AU$79</f>
        <v>-1.3267209455477408E-2</v>
      </c>
      <c r="AO146" s="10">
        <f>NA!AV78/NA!AV$79</f>
        <v>-9.4476674444937941E-3</v>
      </c>
      <c r="AP146" s="10">
        <f>NA!AW78/NA!AW$79</f>
        <v>-9.2872880320588047E-3</v>
      </c>
      <c r="AQ146" s="10">
        <f>NA!AX78/NA!AX$79</f>
        <v>-9.1709397130487168E-3</v>
      </c>
      <c r="AR146" s="10">
        <f>NA!AY78/NA!AY$79</f>
        <v>-1.1270887782098185E-2</v>
      </c>
      <c r="AS146" s="10">
        <f>NA!AZ78/NA!AZ$79</f>
        <v>-1.1089179930220365E-2</v>
      </c>
      <c r="AT146" s="10">
        <f>NA!BA78/NA!BA$79</f>
        <v>-1.3045289853195259E-2</v>
      </c>
      <c r="AU146" s="10">
        <f>NA!BB78/NA!BB$79</f>
        <v>-1.1322209934326789E-2</v>
      </c>
      <c r="AV146" s="10">
        <f>NA!BC78/NA!BC$79</f>
        <v>-1.6786957973745992E-2</v>
      </c>
      <c r="AW146" s="10">
        <f>NA!BD78/NA!BD$79</f>
        <v>-1.6462072433644209E-2</v>
      </c>
      <c r="AX146" s="10">
        <f>NA!BE78/NA!BE$79</f>
        <v>-1.7103172333492189E-2</v>
      </c>
      <c r="AY146" s="10">
        <f>NA!BF78/NA!BF$79</f>
        <v>-1.8363812438003464E-2</v>
      </c>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0"/>
      <c r="EX146" s="10"/>
      <c r="EY146" s="10"/>
      <c r="EZ146" s="10"/>
      <c r="FA146" s="10"/>
      <c r="FB146" s="10"/>
      <c r="FC146" s="10"/>
      <c r="FD146" s="10"/>
      <c r="FE146" s="10"/>
      <c r="FF146" s="10"/>
      <c r="FG146" s="10"/>
      <c r="FH146" s="10"/>
      <c r="FI146" s="10"/>
      <c r="FJ146" s="10"/>
      <c r="FK146" s="10"/>
      <c r="FL146" s="10"/>
      <c r="FM146" s="10"/>
      <c r="FN146" s="10"/>
      <c r="FO146" s="10"/>
      <c r="FP146" s="10"/>
      <c r="FQ146" s="10"/>
      <c r="FR146" s="10"/>
      <c r="FS146" s="10"/>
      <c r="FT146" s="10"/>
      <c r="FU146" s="10"/>
      <c r="FV146" s="10"/>
      <c r="FW146" s="10"/>
      <c r="FX146" s="10"/>
      <c r="FY146" s="10"/>
      <c r="FZ146" s="10"/>
    </row>
    <row r="147" spans="5:182" x14ac:dyDescent="0.2">
      <c r="E147" s="177" t="s">
        <v>123</v>
      </c>
      <c r="G147" s="10"/>
      <c r="H147" s="10"/>
      <c r="I147" s="10"/>
      <c r="J147" s="10"/>
      <c r="K147" s="10">
        <f>NA!K79/NA!K$79</f>
        <v>1</v>
      </c>
      <c r="L147" s="10">
        <f>NA!L79/NA!L$79</f>
        <v>1</v>
      </c>
      <c r="M147" s="10">
        <f>NA!M79/NA!M$79</f>
        <v>1</v>
      </c>
      <c r="N147" s="10">
        <f>NA!N79/NA!N$79</f>
        <v>1</v>
      </c>
      <c r="O147" s="10">
        <f>NA!O79/NA!O$79</f>
        <v>1</v>
      </c>
      <c r="P147" s="10">
        <f>NA!P79/NA!P$79</f>
        <v>1</v>
      </c>
      <c r="Q147" s="10">
        <f>NA!Q79/NA!Q$79</f>
        <v>1</v>
      </c>
      <c r="R147" s="10">
        <f>NA!R79/NA!R$79</f>
        <v>1</v>
      </c>
      <c r="S147" s="10">
        <f>NA!S79/NA!S$79</f>
        <v>1</v>
      </c>
      <c r="T147" s="10">
        <f>NA!T79/NA!T$79</f>
        <v>1</v>
      </c>
      <c r="U147" s="10">
        <f>NA!U79/NA!U$79</f>
        <v>1</v>
      </c>
      <c r="V147" s="10">
        <f>NA!V79/NA!V$79</f>
        <v>1</v>
      </c>
      <c r="W147" s="10"/>
      <c r="X147" s="10"/>
      <c r="Y147" s="10"/>
      <c r="Z147" s="10"/>
      <c r="AA147" s="10"/>
      <c r="AB147" s="10"/>
      <c r="AF147" s="10">
        <f>NA!AM79/NA!AM$79</f>
        <v>1</v>
      </c>
      <c r="AG147" s="10">
        <f>NA!AN79/NA!AN$79</f>
        <v>1</v>
      </c>
      <c r="AH147" s="10">
        <f>NA!AO79/NA!AO$79</f>
        <v>1</v>
      </c>
      <c r="AI147" s="10">
        <f>NA!AP79/NA!AP$79</f>
        <v>1</v>
      </c>
      <c r="AJ147" s="10">
        <f>NA!AQ79/NA!AQ$79</f>
        <v>1</v>
      </c>
      <c r="AK147" s="10">
        <f>NA!AR79/NA!AR$79</f>
        <v>1</v>
      </c>
      <c r="AL147" s="10">
        <f>NA!AS79/NA!AS$79</f>
        <v>1</v>
      </c>
      <c r="AM147" s="10">
        <f>NA!AT79/NA!AT$79</f>
        <v>1</v>
      </c>
      <c r="AN147" s="10">
        <f>NA!AU79/NA!AU$79</f>
        <v>1</v>
      </c>
      <c r="AO147" s="10">
        <f>NA!AV79/NA!AV$79</f>
        <v>1</v>
      </c>
      <c r="AP147" s="10">
        <f>NA!AW79/NA!AW$79</f>
        <v>1</v>
      </c>
      <c r="AQ147" s="10">
        <f>NA!AX79/NA!AX$79</f>
        <v>1</v>
      </c>
      <c r="AR147" s="10">
        <f>NA!AY79/NA!AY$79</f>
        <v>1</v>
      </c>
      <c r="AS147" s="10">
        <f>NA!AZ79/NA!AZ$79</f>
        <v>1</v>
      </c>
      <c r="AT147" s="10">
        <f>NA!BA79/NA!BA$79</f>
        <v>1</v>
      </c>
      <c r="AU147" s="10">
        <f>NA!BB79/NA!BB$79</f>
        <v>1</v>
      </c>
      <c r="AV147" s="10">
        <f>NA!BC79/NA!BC$79</f>
        <v>1</v>
      </c>
      <c r="AW147" s="10">
        <f>NA!BD79/NA!BD$79</f>
        <v>1</v>
      </c>
      <c r="AX147" s="10">
        <f>NA!BE79/NA!BE$79</f>
        <v>1</v>
      </c>
      <c r="AY147" s="10">
        <f>NA!BF79/NA!BF$79</f>
        <v>1</v>
      </c>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0"/>
      <c r="EX147" s="10"/>
      <c r="EY147" s="10"/>
      <c r="EZ147" s="10"/>
      <c r="FA147" s="10"/>
      <c r="FB147" s="10"/>
      <c r="FC147" s="10"/>
      <c r="FD147" s="10"/>
      <c r="FE147" s="10"/>
      <c r="FF147" s="10"/>
      <c r="FG147" s="10"/>
      <c r="FH147" s="10"/>
      <c r="FI147" s="10"/>
      <c r="FJ147" s="10"/>
      <c r="FK147" s="10"/>
      <c r="FL147" s="10"/>
      <c r="FM147" s="10"/>
      <c r="FN147" s="10"/>
      <c r="FO147" s="10"/>
      <c r="FP147" s="10"/>
      <c r="FQ147" s="10"/>
      <c r="FR147" s="10"/>
      <c r="FS147" s="10"/>
      <c r="FT147" s="10"/>
      <c r="FU147" s="10"/>
      <c r="FV147" s="10"/>
      <c r="FW147" s="10"/>
      <c r="FX147" s="10"/>
      <c r="FY147" s="10"/>
      <c r="FZ147" s="10"/>
    </row>
    <row r="148" spans="5:182" x14ac:dyDescent="0.2">
      <c r="E148" s="177" t="s">
        <v>124</v>
      </c>
      <c r="G148" s="10"/>
      <c r="H148" s="10"/>
      <c r="I148" s="10"/>
      <c r="J148" s="10"/>
      <c r="K148" s="10">
        <f>NA!K80/NA!K$79</f>
        <v>6.6429747769253006E-2</v>
      </c>
      <c r="L148" s="10">
        <f>NA!L80/NA!L$79</f>
        <v>5.78563759903429E-2</v>
      </c>
      <c r="M148" s="10">
        <f>NA!M80/NA!M$79</f>
        <v>4.9637028719663828E-2</v>
      </c>
      <c r="N148" s="10">
        <f>NA!N80/NA!N$79</f>
        <v>5.0462034273790389E-2</v>
      </c>
      <c r="O148" s="10">
        <f>NA!O80/NA!O$79</f>
        <v>5.2305410984804131E-2</v>
      </c>
      <c r="P148" s="10">
        <f>NA!P80/NA!P$79</f>
        <v>5.9357781158481525E-2</v>
      </c>
      <c r="Q148" s="10">
        <f>NA!Q80/NA!Q$79</f>
        <v>6.5574327501813995E-2</v>
      </c>
      <c r="R148" s="10">
        <f>NA!R80/NA!R$79</f>
        <v>6.9903319424250349E-2</v>
      </c>
      <c r="S148" s="10">
        <f>NA!S80/NA!S$79</f>
        <v>7.1912531862320078E-2</v>
      </c>
      <c r="T148" s="10">
        <f>NA!T80/NA!T$79</f>
        <v>7.5732357726705696E-2</v>
      </c>
      <c r="U148" s="10">
        <f>NA!U80/NA!U$79</f>
        <v>7.6502961445621437E-2</v>
      </c>
      <c r="V148" s="10">
        <f>NA!V80/NA!V$79</f>
        <v>7.3956124143514171E-2</v>
      </c>
      <c r="W148" s="10"/>
      <c r="X148" s="10"/>
      <c r="Y148" s="10"/>
      <c r="Z148" s="10"/>
      <c r="AA148" s="10"/>
      <c r="AB148" s="10"/>
      <c r="AF148" s="10">
        <f>NA!AM80/NA!AM$79</f>
        <v>6.308638533613857E-2</v>
      </c>
      <c r="AG148" s="10">
        <f>NA!AN80/NA!AN$79</f>
        <v>6.9409250544162776E-2</v>
      </c>
      <c r="AH148" s="10">
        <f>NA!AO80/NA!AO$79</f>
        <v>4.9465416397755306E-2</v>
      </c>
      <c r="AI148" s="10">
        <f>NA!AP80/NA!AP$79</f>
        <v>4.9787062173668191E-2</v>
      </c>
      <c r="AJ148" s="10">
        <f>NA!AQ80/NA!AQ$79</f>
        <v>5.1048316873698527E-2</v>
      </c>
      <c r="AK148" s="10">
        <f>NA!AR80/NA!AR$79</f>
        <v>5.3400208365992421E-2</v>
      </c>
      <c r="AL148" s="10">
        <f>NA!AS80/NA!AS$79</f>
        <v>6.4624677987504375E-2</v>
      </c>
      <c r="AM148" s="10">
        <f>NA!AT80/NA!AT$79</f>
        <v>6.6354636681343657E-2</v>
      </c>
      <c r="AN148" s="10">
        <f>NA!AU80/NA!AU$79</f>
        <v>7.3011033674957204E-2</v>
      </c>
      <c r="AO148" s="10">
        <f>NA!AV80/NA!AV$79</f>
        <v>7.1016674580419131E-2</v>
      </c>
      <c r="AP148" s="10">
        <f>NA!AW80/NA!AW$79</f>
        <v>7.037820255109796E-2</v>
      </c>
      <c r="AQ148" s="10">
        <f>NA!AX80/NA!AX$79</f>
        <v>6.8626119199268712E-2</v>
      </c>
      <c r="AR148" s="10">
        <f>NA!AY80/NA!AY$79</f>
        <v>6.5886911645787874E-2</v>
      </c>
      <c r="AS148" s="10">
        <f>NA!AZ80/NA!AZ$79</f>
        <v>6.7242734591817482E-2</v>
      </c>
      <c r="AT148" s="10">
        <f>NA!BA80/NA!BA$79</f>
        <v>6.7401741508052282E-2</v>
      </c>
      <c r="AU148" s="10">
        <f>NA!BB80/NA!BB$79</f>
        <v>8.8418701101407385E-2</v>
      </c>
      <c r="AV148" s="10">
        <f>NA!BC80/NA!BC$79</f>
        <v>8.037749701667056E-2</v>
      </c>
      <c r="AW148" s="10">
        <f>NA!BD80/NA!BD$79</f>
        <v>8.688818792228574E-2</v>
      </c>
      <c r="AX148" s="10">
        <f>NA!BE80/NA!BE$79</f>
        <v>8.5749384749454594E-2</v>
      </c>
      <c r="AY148" s="10">
        <f>NA!BF80/NA!BF$79</f>
        <v>9.1792413571923651E-2</v>
      </c>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0"/>
      <c r="EX148" s="10"/>
      <c r="EY148" s="10"/>
      <c r="EZ148" s="10"/>
      <c r="FA148" s="10"/>
      <c r="FB148" s="10"/>
      <c r="FC148" s="10"/>
      <c r="FD148" s="10"/>
      <c r="FE148" s="10"/>
      <c r="FF148" s="10"/>
      <c r="FG148" s="10"/>
      <c r="FH148" s="10"/>
      <c r="FI148" s="10"/>
      <c r="FJ148" s="10"/>
      <c r="FK148" s="10"/>
      <c r="FL148" s="10"/>
      <c r="FM148" s="10"/>
      <c r="FN148" s="10"/>
      <c r="FO148" s="10"/>
      <c r="FP148" s="10"/>
      <c r="FQ148" s="10"/>
      <c r="FR148" s="10"/>
      <c r="FS148" s="10"/>
      <c r="FT148" s="10"/>
      <c r="FU148" s="10"/>
      <c r="FV148" s="10"/>
      <c r="FW148" s="10"/>
      <c r="FX148" s="10"/>
      <c r="FY148" s="10"/>
      <c r="FZ148" s="10"/>
    </row>
    <row r="149" spans="5:182" x14ac:dyDescent="0.2">
      <c r="E149" s="177"/>
      <c r="G149" s="10"/>
      <c r="H149" s="10"/>
      <c r="I149" s="10"/>
      <c r="J149" s="10"/>
      <c r="K149" s="10"/>
      <c r="L149" s="10"/>
      <c r="M149" s="10"/>
      <c r="N149" s="10"/>
      <c r="O149" s="10"/>
      <c r="P149" s="10"/>
      <c r="Q149" s="10"/>
      <c r="R149" s="10"/>
      <c r="S149" s="10"/>
      <c r="T149" s="10"/>
      <c r="U149" s="10"/>
      <c r="V149" s="10"/>
      <c r="W149" s="10"/>
      <c r="X149" s="10"/>
      <c r="Y149" s="10"/>
      <c r="Z149" s="10"/>
      <c r="AA149" s="10"/>
      <c r="AB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c r="FH149" s="10"/>
      <c r="FI149" s="10"/>
      <c r="FJ149" s="10"/>
      <c r="FK149" s="10"/>
      <c r="FL149" s="10"/>
      <c r="FM149" s="10"/>
      <c r="FN149" s="10"/>
      <c r="FO149" s="10"/>
      <c r="FP149" s="10"/>
      <c r="FQ149" s="10"/>
      <c r="FR149" s="10"/>
      <c r="FS149" s="10"/>
      <c r="FT149" s="10"/>
      <c r="FU149" s="10"/>
      <c r="FV149" s="10"/>
      <c r="FW149" s="10"/>
      <c r="FX149" s="10"/>
      <c r="FY149" s="10"/>
      <c r="FZ149" s="10"/>
    </row>
    <row r="150" spans="5:182" x14ac:dyDescent="0.2">
      <c r="E150" s="15" t="s">
        <v>125</v>
      </c>
      <c r="G150" s="10"/>
      <c r="H150" s="10"/>
      <c r="I150" s="10"/>
      <c r="J150" s="10"/>
      <c r="K150" s="10">
        <f>NA!K82/NA!K$79</f>
        <v>1.066429747769253</v>
      </c>
      <c r="L150" s="10">
        <f>NA!L82/NA!L$79</f>
        <v>1.0578563759903428</v>
      </c>
      <c r="M150" s="10">
        <f>NA!M82/NA!M$79</f>
        <v>1.0496370287196639</v>
      </c>
      <c r="N150" s="10">
        <f>NA!N82/NA!N$79</f>
        <v>1.0504620342737905</v>
      </c>
      <c r="O150" s="10">
        <f>NA!O82/NA!O$79</f>
        <v>1.0523054109848042</v>
      </c>
      <c r="P150" s="10">
        <f>NA!P82/NA!P$79</f>
        <v>1.0593577811584816</v>
      </c>
      <c r="Q150" s="10">
        <f>NA!Q82/NA!Q$79</f>
        <v>1.0655743275018141</v>
      </c>
      <c r="R150" s="10">
        <f>NA!R82/NA!R$79</f>
        <v>1.0699033194242504</v>
      </c>
      <c r="S150" s="10">
        <f>NA!S82/NA!S$79</f>
        <v>1.0719125318623202</v>
      </c>
      <c r="T150" s="10">
        <f>NA!T82/NA!T$79</f>
        <v>1.0757323577267057</v>
      </c>
      <c r="U150" s="10">
        <f>NA!U82/NA!U$79</f>
        <v>1.0765029614456214</v>
      </c>
      <c r="V150" s="10">
        <f>NA!V82/NA!V$79</f>
        <v>1.073956124143514</v>
      </c>
      <c r="W150" s="10"/>
      <c r="X150" s="10"/>
      <c r="Y150" s="10"/>
      <c r="Z150" s="10"/>
      <c r="AA150" s="10"/>
      <c r="AB150" s="10"/>
      <c r="AF150" s="10">
        <f>NA!AM82/NA!AM$79</f>
        <v>1.0630863853361385</v>
      </c>
      <c r="AG150" s="10">
        <f>NA!AN82/NA!AN$79</f>
        <v>1.0694092505441628</v>
      </c>
      <c r="AH150" s="10">
        <f>NA!AO82/NA!AO$79</f>
        <v>1.0494654163977553</v>
      </c>
      <c r="AI150" s="10">
        <f>NA!AP82/NA!AP$79</f>
        <v>1.0497870621736682</v>
      </c>
      <c r="AJ150" s="10">
        <f>NA!AQ82/NA!AQ$79</f>
        <v>1.0510483168736986</v>
      </c>
      <c r="AK150" s="10">
        <f>NA!AR82/NA!AR$79</f>
        <v>1.0534002083659924</v>
      </c>
      <c r="AL150" s="10">
        <f>NA!AS82/NA!AS$79</f>
        <v>1.0646246779875044</v>
      </c>
      <c r="AM150" s="10">
        <f>NA!AT82/NA!AT$79</f>
        <v>1.0663546366813437</v>
      </c>
      <c r="AN150" s="10">
        <f>NA!AU82/NA!AU$79</f>
        <v>1.0730110336749572</v>
      </c>
      <c r="AO150" s="10">
        <f>NA!AV82/NA!AV$79</f>
        <v>1.0710166745804193</v>
      </c>
      <c r="AP150" s="10">
        <f>NA!AW82/NA!AW$79</f>
        <v>1.0703782025510979</v>
      </c>
      <c r="AQ150" s="10">
        <f>NA!AX82/NA!AX$79</f>
        <v>1.0686261191992688</v>
      </c>
      <c r="AR150" s="10">
        <f>NA!AY82/NA!AY$79</f>
        <v>1.0658869116457879</v>
      </c>
      <c r="AS150" s="10">
        <f>NA!AZ82/NA!AZ$79</f>
        <v>1.0672427345918174</v>
      </c>
      <c r="AT150" s="10">
        <f>NA!BA82/NA!BA$79</f>
        <v>1.0674017415080523</v>
      </c>
      <c r="AU150" s="10">
        <f>NA!BB82/NA!BB$79</f>
        <v>1.0884187011014075</v>
      </c>
      <c r="AV150" s="10">
        <f>NA!BC82/NA!BC$79</f>
        <v>1.0803774970166706</v>
      </c>
      <c r="AW150" s="10">
        <f>NA!BD82/NA!BD$79</f>
        <v>1.0868881879222858</v>
      </c>
      <c r="AX150" s="10">
        <f>NA!BE82/NA!BE$79</f>
        <v>1.0857493847494546</v>
      </c>
      <c r="AY150" s="10">
        <f>NA!BF82/NA!BF$79</f>
        <v>1.0917924135719237</v>
      </c>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c r="DG150" s="10"/>
      <c r="DH150" s="10"/>
      <c r="DI150" s="10"/>
      <c r="DJ150" s="10"/>
      <c r="DK150" s="10"/>
      <c r="DL150" s="10"/>
      <c r="DM150" s="10"/>
      <c r="DN150" s="10"/>
      <c r="DO150" s="10"/>
      <c r="DP150" s="10"/>
      <c r="DQ150" s="10"/>
      <c r="DR150" s="10"/>
      <c r="DS150" s="10"/>
      <c r="DT150" s="10"/>
      <c r="DU150" s="10"/>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0"/>
      <c r="EX150" s="10"/>
      <c r="EY150" s="10"/>
      <c r="EZ150" s="10"/>
      <c r="FA150" s="10"/>
      <c r="FB150" s="10"/>
      <c r="FC150" s="10"/>
      <c r="FD150" s="10"/>
      <c r="FE150" s="10"/>
      <c r="FF150" s="10"/>
      <c r="FG150" s="10"/>
      <c r="FH150" s="10"/>
      <c r="FI150" s="10"/>
      <c r="FJ150" s="10"/>
      <c r="FK150" s="10"/>
      <c r="FL150" s="10"/>
      <c r="FM150" s="10"/>
      <c r="FN150" s="10"/>
      <c r="FO150" s="10"/>
      <c r="FP150" s="10"/>
      <c r="FQ150" s="10"/>
      <c r="FR150" s="10"/>
      <c r="FS150" s="10"/>
      <c r="FT150" s="10"/>
      <c r="FU150" s="10"/>
      <c r="FV150" s="10"/>
      <c r="FW150" s="10"/>
      <c r="FX150" s="10"/>
      <c r="FY150" s="10"/>
      <c r="FZ150" s="10"/>
    </row>
    <row r="154" spans="5:182" x14ac:dyDescent="0.2">
      <c r="E154" s="15" t="s">
        <v>0</v>
      </c>
    </row>
    <row r="155" spans="5:182" x14ac:dyDescent="0.2">
      <c r="E155" s="15" t="s">
        <v>100</v>
      </c>
    </row>
    <row r="156" spans="5:182" x14ac:dyDescent="0.2">
      <c r="E156" s="177" t="s">
        <v>101</v>
      </c>
      <c r="AJ156" s="10">
        <f>(NA!AQ89-NA!AP89)/(NA!AQ$116-NA!AP$116)</f>
        <v>4.4914111321311143</v>
      </c>
      <c r="AK156" s="10">
        <f>(NA!AR89-NA!AQ89)/(NA!AR$116-NA!AQ$116)</f>
        <v>0.23218292208855426</v>
      </c>
      <c r="AL156" s="10">
        <f>(NA!AS89-NA!AR89)/(NA!AS$116-NA!AR$116)</f>
        <v>0.17269022532366515</v>
      </c>
      <c r="AM156" s="10">
        <f>(NA!AT89-NA!AS89)/(NA!AT$116-NA!AS$116)</f>
        <v>0.14657491945571979</v>
      </c>
      <c r="AN156" s="10">
        <f>(NA!AU89-NA!AT89)/(NA!AU$116-NA!AT$116)</f>
        <v>7.9373153542154157E-2</v>
      </c>
      <c r="AO156" s="10">
        <f>(NA!AV89-NA!AU89)/(NA!AV$116-NA!AU$116)</f>
        <v>0.3614790386080815</v>
      </c>
      <c r="AP156" s="10">
        <f>(NA!AW89-NA!AV89)/(NA!AW$116-NA!AV$116)</f>
        <v>0.25883957171977384</v>
      </c>
      <c r="AQ156" s="10">
        <f>(NA!AX89-NA!AW89)/(NA!AX$116-NA!AW$116)</f>
        <v>0.11547540943465784</v>
      </c>
      <c r="AR156" s="10">
        <f>(NA!AY89-NA!AX89)/(NA!AY$116-NA!AX$116)</f>
        <v>0.11558200260262692</v>
      </c>
      <c r="AS156" s="10">
        <f>(NA!AZ89-NA!AY89)/(NA!AZ$116-NA!AY$116)</f>
        <v>0.15939781436841377</v>
      </c>
      <c r="AT156" s="10">
        <f>(NA!BA89-NA!AZ89)/(NA!BA$116-NA!AZ$116)</f>
        <v>0.10912027018176328</v>
      </c>
      <c r="AU156" s="10">
        <f>(NA!BB89-NA!BA89)/(NA!BB$116-NA!BA$116)</f>
        <v>0.11573881312699084</v>
      </c>
      <c r="AV156" s="10">
        <f>(NA!BC89-NA!BB89)/(NA!BC$116-NA!BB$116)</f>
        <v>0.11288734355248609</v>
      </c>
      <c r="AW156" s="10">
        <f>(NA!BD89-NA!BC89)/(NA!BD$116-NA!BC$116)</f>
        <v>8.5865982231080343E-2</v>
      </c>
      <c r="AX156" s="10">
        <f>(NA!BE89-NA!BD89)/(NA!BE$116-NA!BD$116)</f>
        <v>9.8208611477238111E-2</v>
      </c>
      <c r="AY156" s="10">
        <f>(NA!BF89-NA!BE89)/(NA!BF$116-NA!BE$116)</f>
        <v>9.8810803639936648E-2</v>
      </c>
    </row>
    <row r="157" spans="5:182" x14ac:dyDescent="0.2">
      <c r="E157" s="177" t="s">
        <v>131</v>
      </c>
      <c r="AJ157" s="10">
        <f>(NA!AQ90-NA!AP90)/(NA!AQ$116-NA!AP$116)</f>
        <v>4.7603969484660169</v>
      </c>
      <c r="AK157" s="10">
        <f>(NA!AR90-NA!AQ90)/(NA!AR$116-NA!AQ$116)</f>
        <v>0.14979697465899572</v>
      </c>
      <c r="AL157" s="10">
        <f>(NA!AS90-NA!AR90)/(NA!AS$116-NA!AR$116)</f>
        <v>9.2817835545074445E-2</v>
      </c>
      <c r="AM157" s="10">
        <f>(NA!AT90-NA!AS90)/(NA!AT$116-NA!AS$116)</f>
        <v>-4.7579237728313649E-2</v>
      </c>
      <c r="AN157" s="10">
        <f>(NA!AU90-NA!AT90)/(NA!AU$116-NA!AT$116)</f>
        <v>-2.6555939585036156E-2</v>
      </c>
      <c r="AO157" s="10">
        <f>(NA!AV90-NA!AU90)/(NA!AV$116-NA!AU$116)</f>
        <v>0.1887288676342794</v>
      </c>
      <c r="AP157" s="361">
        <f>(NA!AW90-NA!AV90)/(NA!AW$116-NA!AV$116)</f>
        <v>0.14066727648942776</v>
      </c>
      <c r="AQ157" s="10">
        <f>(NA!AX90-NA!AW90)/(NA!AX$116-NA!AW$116)</f>
        <v>7.9044040614292557E-2</v>
      </c>
      <c r="AR157" s="10">
        <f>(NA!AY90-NA!AX90)/(NA!AY$116-NA!AX$116)</f>
        <v>8.2185699117081928E-2</v>
      </c>
      <c r="AS157" s="10">
        <f>(NA!AZ90-NA!AY90)/(NA!AZ$116-NA!AY$116)</f>
        <v>0.10617563992726679</v>
      </c>
      <c r="AT157" s="10">
        <f>(NA!BA90-NA!AZ90)/(NA!BA$116-NA!AZ$116)</f>
        <v>6.168244950705818E-2</v>
      </c>
      <c r="AU157" s="10">
        <f>(NA!BB90-NA!BA90)/(NA!BB$116-NA!BA$116)</f>
        <v>7.1539790351504193E-2</v>
      </c>
      <c r="AV157" s="10">
        <f>(NA!BC90-NA!BB90)/(NA!BC$116-NA!BB$116)</f>
        <v>5.8719647822349438E-2</v>
      </c>
      <c r="AW157" s="10">
        <f>(NA!BD90-NA!BC90)/(NA!BD$116-NA!BC$116)</f>
        <v>4.4822565805409789E-2</v>
      </c>
      <c r="AX157" s="10">
        <f>(NA!BE90-NA!BD90)/(NA!BE$116-NA!BD$116)</f>
        <v>4.6987099833217742E-2</v>
      </c>
      <c r="AY157" s="10">
        <f>(NA!BF90-NA!BE90)/(NA!BF$116-NA!BE$116)</f>
        <v>4.7739081373185333E-2</v>
      </c>
    </row>
    <row r="158" spans="5:182" x14ac:dyDescent="0.2">
      <c r="E158" s="177" t="s">
        <v>132</v>
      </c>
      <c r="AJ158" s="10">
        <f>(NA!AQ91-NA!AP91)/(NA!AQ$116-NA!AP$116)</f>
        <v>-0.14689166307771581</v>
      </c>
      <c r="AK158" s="10">
        <f>(NA!AR91-NA!AQ91)/(NA!AR$116-NA!AQ$116)</f>
        <v>5.6164821333457002E-2</v>
      </c>
      <c r="AL158" s="10">
        <f>(NA!AS91-NA!AR91)/(NA!AS$116-NA!AR$116)</f>
        <v>5.4434691990831535E-2</v>
      </c>
      <c r="AM158" s="10">
        <f>(NA!AT91-NA!AS91)/(NA!AT$116-NA!AS$116)</f>
        <v>0.1458734133287552</v>
      </c>
      <c r="AN158" s="10">
        <f>(NA!AU91-NA!AT91)/(NA!AU$116-NA!AT$116)</f>
        <v>8.6957948028882043E-2</v>
      </c>
      <c r="AO158" s="10">
        <f>(NA!AV91-NA!AU91)/(NA!AV$116-NA!AU$116)</f>
        <v>0.13591600308085106</v>
      </c>
      <c r="AP158" s="10">
        <f>(NA!AW91-NA!AV91)/(NA!AW$116-NA!AV$116)</f>
        <v>9.4563415965615835E-2</v>
      </c>
      <c r="AQ158" s="10">
        <f>(NA!AX91-NA!AW91)/(NA!AX$116-NA!AW$116)</f>
        <v>2.1637441371798183E-2</v>
      </c>
      <c r="AR158" s="10">
        <f>(NA!AY91-NA!AX91)/(NA!AY$116-NA!AX$116)</f>
        <v>1.8921415734552388E-2</v>
      </c>
      <c r="AS158" s="10">
        <f>(NA!AZ91-NA!AY91)/(NA!AZ$116-NA!AY$116)</f>
        <v>3.0689700257792822E-2</v>
      </c>
      <c r="AT158" s="10">
        <f>(NA!BA91-NA!AZ91)/(NA!BA$116-NA!AZ$116)</f>
        <v>2.319355418792125E-2</v>
      </c>
      <c r="AU158" s="10">
        <f>(NA!BB91-NA!BA91)/(NA!BB$116-NA!BA$116)</f>
        <v>2.5016998443940505E-2</v>
      </c>
      <c r="AV158" s="10">
        <f>(NA!BC91-NA!BB91)/(NA!BC$116-NA!BB$116)</f>
        <v>3.4115656995871095E-2</v>
      </c>
      <c r="AW158" s="10">
        <f>(NA!BD91-NA!BC91)/(NA!BD$116-NA!BC$116)</f>
        <v>2.1466267444226469E-2</v>
      </c>
      <c r="AX158" s="10">
        <f>(NA!BE91-NA!BD91)/(NA!BE$116-NA!BD$116)</f>
        <v>3.3354138602464375E-2</v>
      </c>
      <c r="AY158" s="10">
        <f>(NA!BF91-NA!BE91)/(NA!BF$116-NA!BE$116)</f>
        <v>3.343680859599462E-2</v>
      </c>
    </row>
    <row r="159" spans="5:182" x14ac:dyDescent="0.2">
      <c r="E159" s="177" t="s">
        <v>133</v>
      </c>
      <c r="AJ159" s="10">
        <f>(NA!AQ92-NA!AP92)/(NA!AQ$116-NA!AP$116)</f>
        <v>-5.2770450588808804E-2</v>
      </c>
      <c r="AK159" s="10">
        <f>(NA!AR92-NA!AQ92)/(NA!AR$116-NA!AQ$116)</f>
        <v>9.7468219365101083E-3</v>
      </c>
      <c r="AL159" s="10">
        <f>(NA!AS92-NA!AR92)/(NA!AS$116-NA!AR$116)</f>
        <v>1.1636821727675467E-2</v>
      </c>
      <c r="AM159" s="10">
        <f>(NA!AT92-NA!AS92)/(NA!AT$116-NA!AS$116)</f>
        <v>3.7690508945437344E-2</v>
      </c>
      <c r="AN159" s="10">
        <f>(NA!AU92-NA!AT92)/(NA!AU$116-NA!AT$116)</f>
        <v>1.7211905863338126E-2</v>
      </c>
      <c r="AO159" s="10">
        <f>(NA!AV92-NA!AU92)/(NA!AV$116-NA!AU$116)</f>
        <v>1.6176929283550641E-2</v>
      </c>
      <c r="AP159" s="10">
        <f>(NA!AW92-NA!AV92)/(NA!AW$116-NA!AV$116)</f>
        <v>2.2236137144731213E-2</v>
      </c>
      <c r="AQ159" s="10">
        <f>(NA!AX92-NA!AW92)/(NA!AX$116-NA!AW$116)</f>
        <v>1.2600921408138776E-2</v>
      </c>
      <c r="AR159" s="10">
        <f>(NA!AY92-NA!AX92)/(NA!AY$116-NA!AX$116)</f>
        <v>9.6368246033582561E-3</v>
      </c>
      <c r="AS159" s="10">
        <f>(NA!AZ92-NA!AY92)/(NA!AZ$116-NA!AY$116)</f>
        <v>1.474304105095631E-2</v>
      </c>
      <c r="AT159" s="10">
        <f>(NA!BA92-NA!AZ92)/(NA!BA$116-NA!AZ$116)</f>
        <v>1.4038515039282584E-2</v>
      </c>
      <c r="AU159" s="10">
        <f>(NA!BB92-NA!BA92)/(NA!BB$116-NA!BA$116)</f>
        <v>1.5350783300804515E-2</v>
      </c>
      <c r="AV159" s="10">
        <f>(NA!BC92-NA!BB92)/(NA!BC$116-NA!BB$116)</f>
        <v>1.513374899468696E-2</v>
      </c>
      <c r="AW159" s="10">
        <f>(NA!BD92-NA!BC92)/(NA!BD$116-NA!BC$116)</f>
        <v>1.3834967914346095E-2</v>
      </c>
      <c r="AX159" s="10">
        <f>(NA!BE92-NA!BD92)/(NA!BE$116-NA!BD$116)</f>
        <v>1.2265566771407565E-2</v>
      </c>
      <c r="AY159" s="10">
        <f>(NA!BF92-NA!BE92)/(NA!BF$116-NA!BE$116)</f>
        <v>1.1698707396888542E-2</v>
      </c>
    </row>
    <row r="160" spans="5:182" x14ac:dyDescent="0.2">
      <c r="E160" s="177" t="s">
        <v>105</v>
      </c>
      <c r="AJ160" s="10">
        <f>(NA!AQ93-NA!AP93)/(NA!AQ$116-NA!AP$116)</f>
        <v>-6.9323702668377188E-2</v>
      </c>
      <c r="AK160" s="10">
        <f>(NA!AR93-NA!AQ93)/(NA!AR$116-NA!AQ$116)</f>
        <v>1.6474304159590798E-2</v>
      </c>
      <c r="AL160" s="10">
        <f>(NA!AS93-NA!AR93)/(NA!AS$116-NA!AR$116)</f>
        <v>1.3800876060084333E-2</v>
      </c>
      <c r="AM160" s="10">
        <f>(NA!AT93-NA!AS93)/(NA!AT$116-NA!AS$116)</f>
        <v>1.0590234909840252E-2</v>
      </c>
      <c r="AN160" s="10">
        <f>(NA!AU93-NA!AT93)/(NA!AU$116-NA!AT$116)</f>
        <v>1.75923923496989E-3</v>
      </c>
      <c r="AO160" s="10">
        <f>(NA!AV93-NA!AU93)/(NA!AV$116-NA!AU$116)</f>
        <v>2.0657238609400511E-2</v>
      </c>
      <c r="AP160" s="10">
        <f>(NA!AW93-NA!AV93)/(NA!AW$116-NA!AV$116)</f>
        <v>1.3727421199993069E-3</v>
      </c>
      <c r="AQ160" s="10">
        <f>(NA!AX93-NA!AW93)/(NA!AX$116-NA!AW$116)</f>
        <v>2.1930060404281668E-3</v>
      </c>
      <c r="AR160" s="10">
        <f>(NA!AY93-NA!AX93)/(NA!AY$116-NA!AX$116)</f>
        <v>4.8380631476342782E-3</v>
      </c>
      <c r="AS160" s="10">
        <f>(NA!AZ93-NA!AY93)/(NA!AZ$116-NA!AY$116)</f>
        <v>7.789433132397312E-3</v>
      </c>
      <c r="AT160" s="10">
        <f>(NA!BA93-NA!AZ93)/(NA!BA$116-NA!AZ$116)</f>
        <v>1.0205751447502244E-2</v>
      </c>
      <c r="AU160" s="10">
        <f>(NA!BB93-NA!BA93)/(NA!BB$116-NA!BA$116)</f>
        <v>3.8312410307411106E-3</v>
      </c>
      <c r="AV160" s="10">
        <f>(NA!BC93-NA!BB93)/(NA!BC$116-NA!BB$116)</f>
        <v>4.9182897395785566E-3</v>
      </c>
      <c r="AW160" s="10">
        <f>(NA!BD93-NA!BC93)/(NA!BD$116-NA!BC$116)</f>
        <v>5.7421810670986832E-3</v>
      </c>
      <c r="AX160" s="10">
        <f>(NA!BE93-NA!BD93)/(NA!BE$116-NA!BD$116)</f>
        <v>5.6018062701481963E-3</v>
      </c>
      <c r="AY160" s="10">
        <f>(NA!BF93-NA!BE93)/(NA!BF$116-NA!BE$116)</f>
        <v>5.9362062738677257E-3</v>
      </c>
    </row>
    <row r="161" spans="5:51" x14ac:dyDescent="0.2">
      <c r="E161" s="177" t="s">
        <v>106</v>
      </c>
      <c r="AJ161" s="10">
        <f>(NA!AQ94-NA!AP94)/(NA!AQ$116-NA!AP$116)</f>
        <v>-1.3188542463279707</v>
      </c>
      <c r="AK161" s="10">
        <f>(NA!AR94-NA!AQ94)/(NA!AR$116-NA!AQ$116)</f>
        <v>0.29119258435096784</v>
      </c>
      <c r="AL161" s="10">
        <f>(NA!AS94-NA!AR94)/(NA!AS$116-NA!AR$116)</f>
        <v>0.26626650211819719</v>
      </c>
      <c r="AM161" s="10">
        <f>(NA!AT94-NA!AS94)/(NA!AT$116-NA!AS$116)</f>
        <v>0.25809783129840186</v>
      </c>
      <c r="AN161" s="10">
        <f>(NA!AU94-NA!AT94)/(NA!AU$116-NA!AT$116)</f>
        <v>0.25696207144440192</v>
      </c>
      <c r="AO161" s="10">
        <f>(NA!AV94-NA!AU94)/(NA!AV$116-NA!AU$116)</f>
        <v>0.23697012019070166</v>
      </c>
      <c r="AP161" s="10">
        <f>(NA!AW94-NA!AV94)/(NA!AW$116-NA!AV$116)</f>
        <v>0.12503687493864704</v>
      </c>
      <c r="AQ161" s="10">
        <f>(NA!AX94-NA!AW94)/(NA!AX$116-NA!AW$116)</f>
        <v>0.28543241097772054</v>
      </c>
      <c r="AR161" s="10">
        <f>(NA!AY94-NA!AX94)/(NA!AY$116-NA!AX$116)</f>
        <v>0.3122838293182012</v>
      </c>
      <c r="AS161" s="10">
        <f>(NA!AZ94-NA!AY94)/(NA!AZ$116-NA!AY$116)</f>
        <v>0.16745894493932281</v>
      </c>
      <c r="AT161" s="10">
        <f>(NA!BA94-NA!AZ94)/(NA!BA$116-NA!AZ$116)</f>
        <v>0.27633265676954671</v>
      </c>
      <c r="AU161" s="10">
        <f>(NA!BB94-NA!BA94)/(NA!BB$116-NA!BA$116)</f>
        <v>0.31925991513660323</v>
      </c>
      <c r="AV161" s="10">
        <f>(NA!BC94-NA!BB94)/(NA!BC$116-NA!BB$116)</f>
        <v>0.29397231638415883</v>
      </c>
      <c r="AW161" s="10">
        <f>(NA!BD94-NA!BC94)/(NA!BD$116-NA!BC$116)</f>
        <v>0.29774854887766039</v>
      </c>
      <c r="AX161" s="10">
        <f>(NA!BE94-NA!BD94)/(NA!BE$116-NA!BD$116)</f>
        <v>0.29203417424042022</v>
      </c>
      <c r="AY161" s="10">
        <f>(NA!BF94-NA!BE94)/(NA!BF$116-NA!BE$116)</f>
        <v>0.30114347277996051</v>
      </c>
    </row>
    <row r="162" spans="5:51" x14ac:dyDescent="0.2">
      <c r="E162" s="191" t="s">
        <v>136</v>
      </c>
      <c r="AJ162" s="10">
        <f>(NA!AQ95-NA!AP95)/(NA!AQ$116-NA!AP$116)</f>
        <v>-0.3639899222725313</v>
      </c>
      <c r="AK162" s="10">
        <f>(NA!AR95-NA!AQ95)/(NA!AR$116-NA!AQ$116)</f>
        <v>7.9927648769163348E-2</v>
      </c>
      <c r="AL162" s="10">
        <f>(NA!AS95-NA!AR95)/(NA!AS$116-NA!AR$116)</f>
        <v>8.2084927473579108E-2</v>
      </c>
      <c r="AM162" s="10">
        <f>(NA!AT95-NA!AS95)/(NA!AT$116-NA!AS$116)</f>
        <v>-0.12336279483872961</v>
      </c>
      <c r="AN162" s="10">
        <f>(NA!AU95-NA!AT95)/(NA!AU$116-NA!AT$116)</f>
        <v>3.7865109416344529E-2</v>
      </c>
      <c r="AO162" s="10">
        <f>(NA!AV95-NA!AU95)/(NA!AV$116-NA!AU$116)</f>
        <v>-6.1376391654570372E-2</v>
      </c>
      <c r="AP162" s="10">
        <f>(NA!AW95-NA!AV95)/(NA!AW$116-NA!AV$116)</f>
        <v>0.10367856095870201</v>
      </c>
      <c r="AQ162" s="10">
        <f>(NA!AX95-NA!AW95)/(NA!AX$116-NA!AW$116)</f>
        <v>3.8353084364216777E-2</v>
      </c>
      <c r="AR162" s="10">
        <f>(NA!AY95-NA!AX95)/(NA!AY$116-NA!AX$116)</f>
        <v>2.6964338379809126E-2</v>
      </c>
      <c r="AS162" s="10">
        <f>(NA!AZ95-NA!AY95)/(NA!AZ$116-NA!AY$116)</f>
        <v>4.3265627591951683E-2</v>
      </c>
      <c r="AT162" s="10">
        <f>(NA!BA95-NA!AZ95)/(NA!BA$116-NA!AZ$116)</f>
        <v>1.8015445583847208E-2</v>
      </c>
      <c r="AU162" s="10">
        <f>(NA!BB95-NA!BA95)/(NA!BB$116-NA!BA$116)</f>
        <v>4.4138679702935654E-2</v>
      </c>
      <c r="AV162" s="10">
        <f>(NA!BC95-NA!BB95)/(NA!BC$116-NA!BB$116)</f>
        <v>3.8877624932747594E-2</v>
      </c>
      <c r="AW162" s="10">
        <f>(NA!BD95-NA!BC95)/(NA!BD$116-NA!BC$116)</f>
        <v>3.9414447813715801E-2</v>
      </c>
      <c r="AX162" s="10">
        <f>(NA!BE95-NA!BD95)/(NA!BE$116-NA!BD$116)</f>
        <v>3.8820573729979817E-2</v>
      </c>
      <c r="AY162" s="10">
        <f>(NA!BF95-NA!BE95)/(NA!BF$116-NA!BE$116)</f>
        <v>3.9029155359348137E-2</v>
      </c>
    </row>
    <row r="163" spans="5:51" x14ac:dyDescent="0.2">
      <c r="E163" s="191" t="s">
        <v>135</v>
      </c>
      <c r="AJ163" s="10">
        <f>(NA!AQ96-NA!AP96)/(NA!AQ$116-NA!AP$116)</f>
        <v>-0.36245956341302232</v>
      </c>
      <c r="AK163" s="10">
        <f>(NA!AR96-NA!AQ96)/(NA!AR$116-NA!AQ$116)</f>
        <v>8.2827031980600777E-2</v>
      </c>
      <c r="AL163" s="10">
        <f>(NA!AS96-NA!AR96)/(NA!AS$116-NA!AR$116)</f>
        <v>8.125895549644542E-2</v>
      </c>
      <c r="AM163" s="10">
        <f>(NA!AT96-NA!AS96)/(NA!AT$116-NA!AS$116)</f>
        <v>0.11933115581989562</v>
      </c>
      <c r="AN163" s="10">
        <f>(NA!AU96-NA!AT96)/(NA!AU$116-NA!AT$116)</f>
        <v>9.2864293412560486E-2</v>
      </c>
      <c r="AO163" s="10">
        <f>(NA!AV96-NA!AU96)/(NA!AV$116-NA!AU$116)</f>
        <v>0.14360705516625996</v>
      </c>
      <c r="AP163" s="361">
        <f>(NA!AW96-NA!AV96)/(NA!AW$116-NA!AV$116)</f>
        <v>6.4540647410217755E-2</v>
      </c>
      <c r="AQ163" s="10">
        <f>(NA!AX96-NA!AW96)/(NA!AX$116-NA!AW$116)</f>
        <v>0.10359346783444917</v>
      </c>
      <c r="AR163" s="10">
        <f>(NA!AY96-NA!AX96)/(NA!AY$116-NA!AX$116)</f>
        <v>6.6190904819503446E-2</v>
      </c>
      <c r="AS163" s="10">
        <f>(NA!AZ96-NA!AY96)/(NA!AZ$116-NA!AY$116)</f>
        <v>5.9801073306248703E-2</v>
      </c>
      <c r="AT163" s="10">
        <f>(NA!BA96-NA!AZ96)/(NA!BA$116-NA!AZ$116)</f>
        <v>6.597495302350323E-2</v>
      </c>
      <c r="AU163" s="10">
        <f>(NA!BB96-NA!BA96)/(NA!BB$116-NA!BA$116)</f>
        <v>7.185693101275048E-2</v>
      </c>
      <c r="AV163" s="10">
        <f>(NA!BC96-NA!BB96)/(NA!BC$116-NA!BB$116)</f>
        <v>7.2259187177822787E-2</v>
      </c>
      <c r="AW163" s="10">
        <f>(NA!BD96-NA!BC96)/(NA!BD$116-NA!BC$116)</f>
        <v>7.1569540867502279E-2</v>
      </c>
      <c r="AX163" s="10">
        <f>(NA!BE96-NA!BD96)/(NA!BE$116-NA!BD$116)</f>
        <v>7.0096531081020375E-2</v>
      </c>
      <c r="AY163" s="10">
        <f>(NA!BF96-NA!BE96)/(NA!BF$116-NA!BE$116)</f>
        <v>6.9479167388204838E-2</v>
      </c>
    </row>
    <row r="164" spans="5:51" x14ac:dyDescent="0.2">
      <c r="E164" s="191" t="s">
        <v>107</v>
      </c>
      <c r="AJ164" s="10">
        <f>(NA!AQ97-NA!AP97)/(NA!AQ$116-NA!AP$116)</f>
        <v>-4.1251883711653177E-2</v>
      </c>
      <c r="AK164" s="10">
        <f>(NA!AR97-NA!AQ97)/(NA!AR$116-NA!AQ$116)</f>
        <v>9.2800324658264422E-3</v>
      </c>
      <c r="AL164" s="10">
        <f>(NA!AS97-NA!AR97)/(NA!AS$116-NA!AR$116)</f>
        <v>1.0930275971812276E-2</v>
      </c>
      <c r="AM164" s="10">
        <f>(NA!AT97-NA!AS97)/(NA!AT$116-NA!AS$116)</f>
        <v>-1.7023340636299306E-2</v>
      </c>
      <c r="AN164" s="10">
        <f>(NA!AU97-NA!AT97)/(NA!AU$116-NA!AT$116)</f>
        <v>1.7557961653514153E-2</v>
      </c>
      <c r="AO164" s="10">
        <f>(NA!AV97-NA!AU97)/(NA!AV$116-NA!AU$116)</f>
        <v>1.2574406773876229E-2</v>
      </c>
      <c r="AP164" s="10">
        <f>(NA!AW97-NA!AV97)/(NA!AW$116-NA!AV$116)</f>
        <v>7.0600171985715793E-3</v>
      </c>
      <c r="AQ164" s="10">
        <f>(NA!AX97-NA!AW97)/(NA!AX$116-NA!AW$116)</f>
        <v>1.855447875920441E-2</v>
      </c>
      <c r="AR164" s="10">
        <f>(NA!AY97-NA!AX97)/(NA!AY$116-NA!AX$116)</f>
        <v>-5.1298715393178016E-3</v>
      </c>
      <c r="AS164" s="10">
        <f>(NA!AZ97-NA!AY97)/(NA!AZ$116-NA!AY$116)</f>
        <v>5.3551986839518615E-3</v>
      </c>
      <c r="AT164" s="10">
        <f>(NA!BA97-NA!AZ97)/(NA!BA$116-NA!AZ$116)</f>
        <v>1.466483292406927E-2</v>
      </c>
      <c r="AU164" s="10">
        <f>(NA!BB97-NA!BA97)/(NA!BB$116-NA!BA$116)</f>
        <v>1.1557381028237289E-2</v>
      </c>
      <c r="AV164" s="10">
        <f>(NA!BC97-NA!BB97)/(NA!BC$116-NA!BB$116)</f>
        <v>1.1685554774944023E-2</v>
      </c>
      <c r="AW164" s="10">
        <f>(NA!BD97-NA!BC97)/(NA!BD$116-NA!BC$116)</f>
        <v>1.1222337901594649E-2</v>
      </c>
      <c r="AX164" s="10">
        <f>(NA!BE97-NA!BD97)/(NA!BE$116-NA!BD$116)</f>
        <v>1.0923184384374328E-2</v>
      </c>
      <c r="AY164" s="10">
        <f>(NA!BF97-NA!BE97)/(NA!BF$116-NA!BE$116)</f>
        <v>1.0898643985542201E-2</v>
      </c>
    </row>
    <row r="165" spans="5:51" x14ac:dyDescent="0.2">
      <c r="E165" s="191" t="s">
        <v>134</v>
      </c>
      <c r="AJ165" s="10">
        <f>(NA!AQ98-NA!AP98)/(NA!AQ$116-NA!AP$116)</f>
        <v>-3.400573259520797E-2</v>
      </c>
      <c r="AK165" s="10">
        <f>(NA!AR98-NA!AQ98)/(NA!AR$116-NA!AQ$116)</f>
        <v>8.1131287998697059E-3</v>
      </c>
      <c r="AL165" s="10">
        <f>(NA!AS98-NA!AR98)/(NA!AS$116-NA!AR$116)</f>
        <v>6.2752870399818044E-3</v>
      </c>
      <c r="AM165" s="10">
        <f>(NA!AT98-NA!AS98)/(NA!AT$116-NA!AS$116)</f>
        <v>5.0132807397690604E-3</v>
      </c>
      <c r="AN165" s="10">
        <f>(NA!AU98-NA!AT98)/(NA!AU$116-NA!AT$116)</f>
        <v>-9.0296811978219597E-3</v>
      </c>
      <c r="AO165" s="10">
        <f>(NA!AV98-NA!AU98)/(NA!AV$116-NA!AU$116)</f>
        <v>3.7637404615002588E-3</v>
      </c>
      <c r="AP165" s="10">
        <f>(NA!AW98-NA!AV98)/(NA!AW$116-NA!AV$116)</f>
        <v>7.39498670117848E-3</v>
      </c>
      <c r="AQ165" s="10">
        <f>(NA!AX98-NA!AW98)/(NA!AX$116-NA!AW$116)</f>
        <v>2.947245669931061E-3</v>
      </c>
      <c r="AR165" s="10">
        <f>(NA!AY98-NA!AX98)/(NA!AY$116-NA!AX$116)</f>
        <v>-1.31267660547364E-3</v>
      </c>
      <c r="AS165" s="10">
        <f>(NA!AZ98-NA!AY98)/(NA!AZ$116-NA!AY$116)</f>
        <v>4.1871351025966428E-3</v>
      </c>
      <c r="AT165" s="10">
        <f>(NA!BA98-NA!AZ98)/(NA!BA$116-NA!AZ$116)</f>
        <v>2.7200486623749865E-3</v>
      </c>
      <c r="AU165" s="10">
        <f>(NA!BB98-NA!BA98)/(NA!BB$116-NA!BA$116)</f>
        <v>3.817125483552362E-3</v>
      </c>
      <c r="AV165" s="10">
        <f>(NA!BC98-NA!BB98)/(NA!BC$116-NA!BB$116)</f>
        <v>3.6508673927745519E-3</v>
      </c>
      <c r="AW165" s="10">
        <f>(NA!BD98-NA!BC98)/(NA!BD$116-NA!BC$116)</f>
        <v>3.3246818032409437E-3</v>
      </c>
      <c r="AX165" s="10">
        <f>(NA!BE98-NA!BD98)/(NA!BE$116-NA!BD$116)</f>
        <v>3.1592261879528354E-3</v>
      </c>
      <c r="AY165" s="10">
        <f>(NA!BF98-NA!BE98)/(NA!BF$116-NA!BE$116)</f>
        <v>2.8324373865678612E-3</v>
      </c>
    </row>
    <row r="166" spans="5:51" x14ac:dyDescent="0.2">
      <c r="E166" s="191" t="s">
        <v>109</v>
      </c>
      <c r="AJ166" s="10">
        <f>(NA!AQ99-NA!AP99)/(NA!AQ$116-NA!AP$116)</f>
        <v>-0.51714714433555597</v>
      </c>
      <c r="AK166" s="10">
        <f>(NA!AR99-NA!AQ99)/(NA!AR$116-NA!AQ$116)</f>
        <v>0.11104474233550772</v>
      </c>
      <c r="AL166" s="10">
        <f>(NA!AS99-NA!AR99)/(NA!AS$116-NA!AR$116)</f>
        <v>8.5717056136377881E-2</v>
      </c>
      <c r="AM166" s="10">
        <f>(NA!AT99-NA!AS99)/(NA!AT$116-NA!AS$116)</f>
        <v>0.27413953021376702</v>
      </c>
      <c r="AN166" s="10">
        <f>(NA!AU99-NA!AT99)/(NA!AU$116-NA!AT$116)</f>
        <v>0.1177043881598047</v>
      </c>
      <c r="AO166" s="10">
        <f>(NA!AV99-NA!AU99)/(NA!AV$116-NA!AU$116)</f>
        <v>0.13840130944363549</v>
      </c>
      <c r="AP166" s="10">
        <f>(NA!AW99-NA!AV99)/(NA!AW$116-NA!AV$116)</f>
        <v>-5.7637337330023297E-2</v>
      </c>
      <c r="AQ166" s="10">
        <f>(NA!AX99-NA!AW99)/(NA!AX$116-NA!AW$116)</f>
        <v>0.12198413434991973</v>
      </c>
      <c r="AR166" s="10">
        <f>(NA!AY99-NA!AX99)/(NA!AY$116-NA!AX$116)</f>
        <v>0.22557113426367992</v>
      </c>
      <c r="AS166" s="10">
        <f>(NA!AZ99-NA!AY99)/(NA!AZ$116-NA!AY$116)</f>
        <v>5.484991025457394E-2</v>
      </c>
      <c r="AT166" s="10">
        <f>(NA!BA99-NA!AZ99)/(NA!BA$116-NA!AZ$116)</f>
        <v>0.17495737657575203</v>
      </c>
      <c r="AU166" s="10">
        <f>(NA!BB99-NA!BA99)/(NA!BB$116-NA!BA$116)</f>
        <v>0.18788979790912716</v>
      </c>
      <c r="AV166" s="10">
        <f>(NA!BC99-NA!BB99)/(NA!BC$116-NA!BB$116)</f>
        <v>0.16749908210587075</v>
      </c>
      <c r="AW166" s="10">
        <f>(NA!BD99-NA!BC99)/(NA!BD$116-NA!BC$116)</f>
        <v>0.17221754049160656</v>
      </c>
      <c r="AX166" s="10">
        <f>(NA!BE99-NA!BD99)/(NA!BE$116-NA!BD$116)</f>
        <v>0.16903465885709257</v>
      </c>
      <c r="AY166" s="10">
        <f>(NA!BF99-NA!BE99)/(NA!BF$116-NA!BE$116)</f>
        <v>0.17890406866029726</v>
      </c>
    </row>
    <row r="167" spans="5:51" x14ac:dyDescent="0.2">
      <c r="E167" s="192" t="s">
        <v>110</v>
      </c>
      <c r="AJ167" s="10">
        <f>(NA!AQ100-NA!AP100)/(NA!AQ$116-NA!AP$116)</f>
        <v>-1.9731400175597706</v>
      </c>
      <c r="AK167" s="10">
        <f>(NA!AR100-NA!AQ100)/(NA!AR$116-NA!AQ$116)</f>
        <v>0.42797960655977912</v>
      </c>
      <c r="AL167" s="10">
        <f>(NA!AS100-NA!AR100)/(NA!AS$116-NA!AR$116)</f>
        <v>0.49159577045719299</v>
      </c>
      <c r="AM167" s="10">
        <f>(NA!AT100-NA!AS100)/(NA!AT$116-NA!AS$116)</f>
        <v>0.60402098129045134</v>
      </c>
      <c r="AN167" s="10">
        <f>(NA!AU100-NA!AT100)/(NA!AU$116-NA!AT$116)</f>
        <v>0.47365082225594274</v>
      </c>
      <c r="AO167" s="10">
        <f>(NA!AV100-NA!AU100)/(NA!AV$116-NA!AU$116)</f>
        <v>0.3574756218081756</v>
      </c>
      <c r="AP167" s="10">
        <f>(NA!AW100-NA!AV100)/(NA!AW$116-NA!AV$116)</f>
        <v>0.50239419842196975</v>
      </c>
      <c r="AQ167" s="10">
        <f>(NA!AX100-NA!AW100)/(NA!AX$116-NA!AW$116)</f>
        <v>0.57405349628704194</v>
      </c>
      <c r="AR167" s="10">
        <f>(NA!AY100-NA!AX100)/(NA!AY$116-NA!AX$116)</f>
        <v>0.50513480568806168</v>
      </c>
      <c r="AS167" s="10">
        <f>(NA!AZ100-NA!AY100)/(NA!AZ$116-NA!AY$116)</f>
        <v>0.67128540322193841</v>
      </c>
      <c r="AT167" s="10">
        <f>(NA!BA100-NA!AZ100)/(NA!BA$116-NA!AZ$116)</f>
        <v>0.47766625639086052</v>
      </c>
      <c r="AU167" s="10">
        <f>(NA!BB100-NA!BA100)/(NA!BB$116-NA!BA$116)</f>
        <v>0.50337326773890489</v>
      </c>
      <c r="AV167" s="10">
        <f>(NA!BC100-NA!BB100)/(NA!BC$116-NA!BB$116)</f>
        <v>0.5104669777361428</v>
      </c>
      <c r="AW167" s="10">
        <f>(NA!BD100-NA!BC100)/(NA!BD$116-NA!BC$116)</f>
        <v>0.51365158657190768</v>
      </c>
      <c r="AX167" s="10">
        <f>(NA!BE100-NA!BD100)/(NA!BE$116-NA!BD$116)</f>
        <v>0.51518103734646048</v>
      </c>
      <c r="AY167" s="10">
        <f>(NA!BF100-NA!BE100)/(NA!BF$116-NA!BE$116)</f>
        <v>0.51462064903784521</v>
      </c>
    </row>
    <row r="168" spans="5:51" x14ac:dyDescent="0.2">
      <c r="E168" s="191" t="s">
        <v>111</v>
      </c>
      <c r="AJ168" s="10">
        <f>(NA!AQ101-NA!AP101)/(NA!AQ$116-NA!AP$116)</f>
        <v>-0.53786173557084682</v>
      </c>
      <c r="AK168" s="10">
        <f>(NA!AR101-NA!AQ101)/(NA!AR$116-NA!AQ$116)</f>
        <v>7.0653232604471608E-2</v>
      </c>
      <c r="AL168" s="10">
        <f>(NA!AS101-NA!AR101)/(NA!AS$116-NA!AR$116)</f>
        <v>0.14092692520240635</v>
      </c>
      <c r="AM168" s="10">
        <f>(NA!AT101-NA!AS101)/(NA!AT$116-NA!AS$116)</f>
        <v>0.18399741763816102</v>
      </c>
      <c r="AN168" s="10">
        <f>(NA!AU101-NA!AT101)/(NA!AU$116-NA!AT$116)</f>
        <v>0.14469456635379616</v>
      </c>
      <c r="AO168" s="10">
        <f>(NA!AV101-NA!AU101)/(NA!AV$116-NA!AU$116)</f>
        <v>0.11528562131560037</v>
      </c>
      <c r="AP168" s="361">
        <f>(NA!AW101-NA!AV101)/(NA!AW$116-NA!AV$116)</f>
        <v>5.0160516038983423E-2</v>
      </c>
      <c r="AQ168" s="10">
        <f>(NA!AX101-NA!AW101)/(NA!AX$116-NA!AW$116)</f>
        <v>0.1522552752426288</v>
      </c>
      <c r="AR168" s="10">
        <f>(NA!AY101-NA!AX101)/(NA!AY$116-NA!AX$116)</f>
        <v>0.14357502700841784</v>
      </c>
      <c r="AS168" s="10">
        <f>(NA!AZ101-NA!AY101)/(NA!AZ$116-NA!AY$116)</f>
        <v>7.6220719210949417E-2</v>
      </c>
      <c r="AT168" s="10">
        <f>(NA!BA101-NA!AZ101)/(NA!BA$116-NA!AZ$116)</f>
        <v>6.3083903893041443E-2</v>
      </c>
      <c r="AU168" s="10">
        <f>(NA!BB101-NA!BA101)/(NA!BB$116-NA!BA$116)</f>
        <v>0.14302091584502866</v>
      </c>
      <c r="AV168" s="10">
        <f>(NA!BC101-NA!BB101)/(NA!BC$116-NA!BB$116)</f>
        <v>0.14591674576837363</v>
      </c>
      <c r="AW168" s="10">
        <f>(NA!BD101-NA!BC101)/(NA!BD$116-NA!BC$116)</f>
        <v>0.1485510475721277</v>
      </c>
      <c r="AX168" s="10">
        <f>(NA!BE101-NA!BD101)/(NA!BE$116-NA!BD$116)</f>
        <v>0.14847270879140709</v>
      </c>
      <c r="AY168" s="10">
        <f>(NA!BF101-NA!BE101)/(NA!BF$116-NA!BE$116)</f>
        <v>0.14786694168682704</v>
      </c>
    </row>
    <row r="169" spans="5:51" x14ac:dyDescent="0.2">
      <c r="E169" s="191" t="s">
        <v>112</v>
      </c>
      <c r="AJ169" s="10">
        <f>(NA!AQ102-NA!AP102)/(NA!AQ$116-NA!AP$116)</f>
        <v>-4.3336399146407564E-2</v>
      </c>
      <c r="AK169" s="10">
        <f>(NA!AR102-NA!AQ102)/(NA!AR$116-NA!AQ$116)</f>
        <v>9.926192730358779E-3</v>
      </c>
      <c r="AL169" s="10">
        <f>(NA!AS102-NA!AR102)/(NA!AS$116-NA!AR$116)</f>
        <v>1.4193974581298998E-2</v>
      </c>
      <c r="AM169" s="10">
        <f>(NA!AT102-NA!AS102)/(NA!AT$116-NA!AS$116)</f>
        <v>1.3992205302029128E-2</v>
      </c>
      <c r="AN169" s="10">
        <f>(NA!AU102-NA!AT102)/(NA!AU$116-NA!AT$116)</f>
        <v>9.9554661746804312E-3</v>
      </c>
      <c r="AO169" s="10">
        <f>(NA!AV102-NA!AU102)/(NA!AV$116-NA!AU$116)</f>
        <v>1.0669660474963519E-2</v>
      </c>
      <c r="AP169" s="10">
        <f>(NA!AW102-NA!AV102)/(NA!AW$116-NA!AV$116)</f>
        <v>3.3495482429414239E-3</v>
      </c>
      <c r="AQ169" s="10">
        <f>(NA!AX102-NA!AW102)/(NA!AX$116-NA!AW$116)</f>
        <v>9.7940244938786811E-3</v>
      </c>
      <c r="AR169" s="10">
        <f>(NA!AY102-NA!AX102)/(NA!AY$116-NA!AX$116)</f>
        <v>8.6400225474919396E-3</v>
      </c>
      <c r="AS169" s="10">
        <f>(NA!AZ102-NA!AY102)/(NA!AZ$116-NA!AY$116)</f>
        <v>2.0729493590209005E-2</v>
      </c>
      <c r="AT169" s="10">
        <f>(NA!BA102-NA!AZ102)/(NA!BA$116-NA!AZ$116)</f>
        <v>6.1785171707485834E-3</v>
      </c>
      <c r="AU169" s="10">
        <f>(NA!BB102-NA!BA102)/(NA!BB$116-NA!BA$116)</f>
        <v>4.9860710897827731E-3</v>
      </c>
      <c r="AV169" s="10">
        <f>(NA!BC102-NA!BB102)/(NA!BC$116-NA!BB$116)</f>
        <v>4.5990158000431712E-3</v>
      </c>
      <c r="AW169" s="10">
        <f>(NA!BD102-NA!BC102)/(NA!BD$116-NA!BC$116)</f>
        <v>4.5744191748585215E-3</v>
      </c>
      <c r="AX169" s="10">
        <f>(NA!BE102-NA!BD102)/(NA!BE$116-NA!BD$116)</f>
        <v>4.5541412460152744E-3</v>
      </c>
      <c r="AY169" s="10">
        <f>(NA!BF102-NA!BE102)/(NA!BF$116-NA!BE$116)</f>
        <v>4.3533996235239261E-3</v>
      </c>
    </row>
    <row r="170" spans="5:51" x14ac:dyDescent="0.2">
      <c r="E170" s="191" t="s">
        <v>113</v>
      </c>
      <c r="AJ170" s="10">
        <f>(NA!AQ103-NA!AP103)/(NA!AQ$116-NA!AP$116)</f>
        <v>-0.1971530849728432</v>
      </c>
      <c r="AK170" s="10">
        <f>(NA!AR103-NA!AQ103)/(NA!AR$116-NA!AQ$116)</f>
        <v>7.1325097513429983E-2</v>
      </c>
      <c r="AL170" s="10">
        <f>(NA!AS103-NA!AR103)/(NA!AS$116-NA!AR$116)</f>
        <v>5.2755756093290716E-2</v>
      </c>
      <c r="AM170" s="10">
        <f>(NA!AT103-NA!AS103)/(NA!AT$116-NA!AS$116)</f>
        <v>0.11704308128694645</v>
      </c>
      <c r="AN170" s="10">
        <f>(NA!AU103-NA!AT103)/(NA!AU$116-NA!AT$116)</f>
        <v>1.4983555100145478E-2</v>
      </c>
      <c r="AO170" s="10">
        <f>(NA!AV103-NA!AU103)/(NA!AV$116-NA!AU$116)</f>
        <v>1.9049844066664958E-2</v>
      </c>
      <c r="AP170" s="10">
        <f>(NA!AW103-NA!AV103)/(NA!AW$116-NA!AV$116)</f>
        <v>7.3127757909233995E-2</v>
      </c>
      <c r="AQ170" s="10">
        <f>(NA!AX103-NA!AW103)/(NA!AX$116-NA!AW$116)</f>
        <v>9.6968281823104283E-2</v>
      </c>
      <c r="AR170" s="10">
        <f>(NA!AY103-NA!AX103)/(NA!AY$116-NA!AX$116)</f>
        <v>3.3574929017808945E-2</v>
      </c>
      <c r="AS170" s="10">
        <f>(NA!AZ103-NA!AY103)/(NA!AZ$116-NA!AY$116)</f>
        <v>4.6860324458685584E-2</v>
      </c>
      <c r="AT170" s="10">
        <f>(NA!BA103-NA!AZ103)/(NA!BA$116-NA!AZ$116)</f>
        <v>9.6434793778246056E-2</v>
      </c>
      <c r="AU170" s="10">
        <f>(NA!BB103-NA!BA103)/(NA!BB$116-NA!BA$116)</f>
        <v>0.10774572478974047</v>
      </c>
      <c r="AV170" s="10">
        <f>(NA!BC103-NA!BB103)/(NA!BC$116-NA!BB$116)</f>
        <v>0.11265373082208217</v>
      </c>
      <c r="AW170" s="10">
        <f>(NA!BD103-NA!BC103)/(NA!BD$116-NA!BC$116)</f>
        <v>0.11759527124060984</v>
      </c>
      <c r="AX170" s="10">
        <f>(NA!BE103-NA!BD103)/(NA!BE$116-NA!BD$116)</f>
        <v>0.12152886443076807</v>
      </c>
      <c r="AY170" s="10">
        <f>(NA!BF103-NA!BE103)/(NA!BF$116-NA!BE$116)</f>
        <v>0.12445203556189049</v>
      </c>
    </row>
    <row r="171" spans="5:51" x14ac:dyDescent="0.2">
      <c r="E171" s="191" t="s">
        <v>114</v>
      </c>
      <c r="AJ171" s="10">
        <f>(NA!AQ104-NA!AP104)/(NA!AQ$116-NA!AP$116)</f>
        <v>-0.1640712410959711</v>
      </c>
      <c r="AK171" s="10">
        <f>(NA!AR104-NA!AQ104)/(NA!AR$116-NA!AQ$116)</f>
        <v>4.2453410198253674E-2</v>
      </c>
      <c r="AL171" s="10">
        <f>(NA!AS104-NA!AR104)/(NA!AS$116-NA!AR$116)</f>
        <v>4.7032178157252601E-2</v>
      </c>
      <c r="AM171" s="10">
        <f>(NA!AT104-NA!AS104)/(NA!AT$116-NA!AS$116)</f>
        <v>2.0609989876035757E-2</v>
      </c>
      <c r="AN171" s="10">
        <f>(NA!AU104-NA!AT104)/(NA!AU$116-NA!AT$116)</f>
        <v>4.4272714614004685E-2</v>
      </c>
      <c r="AO171" s="10">
        <f>(NA!AV104-NA!AU104)/(NA!AV$116-NA!AU$116)</f>
        <v>4.9013693685209761E-2</v>
      </c>
      <c r="AP171" s="10">
        <f>(NA!AW104-NA!AV104)/(NA!AW$116-NA!AV$116)</f>
        <v>0.12050945215986524</v>
      </c>
      <c r="AQ171" s="10">
        <f>(NA!AX104-NA!AW104)/(NA!AX$116-NA!AW$116)</f>
        <v>0.11247952642743173</v>
      </c>
      <c r="AR171" s="10">
        <f>(NA!AY104-NA!AX104)/(NA!AY$116-NA!AX$116)</f>
        <v>3.715909114032287E-2</v>
      </c>
      <c r="AS171" s="10">
        <f>(NA!AZ104-NA!AY104)/(NA!AZ$116-NA!AY$116)</f>
        <v>0.14902647572390632</v>
      </c>
      <c r="AT171" s="10">
        <f>(NA!BA104-NA!AZ104)/(NA!BA$116-NA!AZ$116)</f>
        <v>7.3536565826301331E-2</v>
      </c>
      <c r="AU171" s="10">
        <f>(NA!BB104-NA!BA104)/(NA!BB$116-NA!BA$116)</f>
        <v>4.8738211237985614E-2</v>
      </c>
      <c r="AV171" s="10">
        <f>(NA!BC104-NA!BB104)/(NA!BC$116-NA!BB$116)</f>
        <v>4.8752415877594345E-2</v>
      </c>
      <c r="AW171" s="10">
        <f>(NA!BD104-NA!BC104)/(NA!BD$116-NA!BC$116)</f>
        <v>4.8601079705247484E-2</v>
      </c>
      <c r="AX171" s="10">
        <f>(NA!BE104-NA!BD104)/(NA!BE$116-NA!BD$116)</f>
        <v>4.7557882295730547E-2</v>
      </c>
      <c r="AY171" s="10">
        <f>(NA!BF104-NA!BE104)/(NA!BF$116-NA!BE$116)</f>
        <v>4.8399790965454631E-2</v>
      </c>
    </row>
    <row r="172" spans="5:51" x14ac:dyDescent="0.2">
      <c r="E172" s="191" t="s">
        <v>115</v>
      </c>
      <c r="AJ172" s="10">
        <f>(NA!AQ105-NA!AP105)/(NA!AQ$116-NA!AP$116)</f>
        <v>-0.14169642818913503</v>
      </c>
      <c r="AK172" s="10">
        <f>(NA!AR105-NA!AQ105)/(NA!AR$116-NA!AQ$116)</f>
        <v>2.4313525921957249E-2</v>
      </c>
      <c r="AL172" s="10">
        <f>(NA!AS105-NA!AR105)/(NA!AS$116-NA!AR$116)</f>
        <v>3.1774959599519786E-2</v>
      </c>
      <c r="AM172" s="10">
        <f>(NA!AT105-NA!AS105)/(NA!AT$116-NA!AS$116)</f>
        <v>9.0665925187994531E-2</v>
      </c>
      <c r="AN172" s="10">
        <f>(NA!AU105-NA!AT105)/(NA!AU$116-NA!AT$116)</f>
        <v>6.4622443191066789E-2</v>
      </c>
      <c r="AO172" s="10">
        <f>(NA!AV105-NA!AU105)/(NA!AV$116-NA!AU$116)</f>
        <v>9.5243711552356516E-2</v>
      </c>
      <c r="AP172" s="10">
        <f>(NA!AW105-NA!AV105)/(NA!AW$116-NA!AV$116)</f>
        <v>0.10841877339450504</v>
      </c>
      <c r="AQ172" s="10">
        <f>(NA!AX105-NA!AW105)/(NA!AX$116-NA!AW$116)</f>
        <v>7.0886095108235903E-2</v>
      </c>
      <c r="AR172" s="10">
        <f>(NA!AY105-NA!AX105)/(NA!AY$116-NA!AX$116)</f>
        <v>7.0841374160209233E-2</v>
      </c>
      <c r="AS172" s="10">
        <f>(NA!AZ105-NA!AY105)/(NA!AZ$116-NA!AY$116)</f>
        <v>4.0180198896931925E-2</v>
      </c>
      <c r="AT172" s="10">
        <f>(NA!BA105-NA!AZ105)/(NA!BA$116-NA!AZ$116)</f>
        <v>3.4133675619019699E-2</v>
      </c>
      <c r="AU172" s="10">
        <f>(NA!BB105-NA!BA105)/(NA!BB$116-NA!BA$116)</f>
        <v>6.1631169721929564E-2</v>
      </c>
      <c r="AV172" s="10">
        <f>(NA!BC105-NA!BB105)/(NA!BC$116-NA!BB$116)</f>
        <v>6.3065304065278049E-2</v>
      </c>
      <c r="AW172" s="10">
        <f>(NA!BD105-NA!BC105)/(NA!BD$116-NA!BC$116)</f>
        <v>6.406433755869205E-2</v>
      </c>
      <c r="AX172" s="10">
        <f>(NA!BE105-NA!BD105)/(NA!BE$116-NA!BD$116)</f>
        <v>6.5096228751108501E-2</v>
      </c>
      <c r="AY172" s="10">
        <f>(NA!BF105-NA!BE105)/(NA!BF$116-NA!BE$116)</f>
        <v>6.8430692139000826E-2</v>
      </c>
    </row>
    <row r="173" spans="5:51" x14ac:dyDescent="0.2">
      <c r="E173" s="177"/>
      <c r="AJ173" s="10"/>
      <c r="AK173" s="10"/>
      <c r="AL173" s="10"/>
      <c r="AM173" s="10"/>
      <c r="AN173" s="10"/>
      <c r="AO173" s="10"/>
      <c r="AP173" s="10"/>
      <c r="AQ173" s="10"/>
      <c r="AR173" s="10"/>
      <c r="AS173" s="10"/>
      <c r="AT173" s="10"/>
      <c r="AU173" s="10"/>
      <c r="AV173" s="10"/>
      <c r="AW173" s="10"/>
      <c r="AX173" s="10"/>
      <c r="AY173" s="10"/>
    </row>
    <row r="174" spans="5:51" x14ac:dyDescent="0.2">
      <c r="E174" s="191" t="s">
        <v>116</v>
      </c>
      <c r="AJ174" s="10">
        <f>(NA!AQ106-NA!AP106)/(NA!AQ$116-NA!AP$116)</f>
        <v>-0.45957567726244286</v>
      </c>
      <c r="AK174" s="10">
        <f>(NA!AR106-NA!AQ106)/(NA!AR$116-NA!AQ$116)</f>
        <v>0.10186391280148047</v>
      </c>
      <c r="AL174" s="10">
        <f>(NA!AS106-NA!AR106)/(NA!AS$116-NA!AR$116)</f>
        <v>-0.33350863635109695</v>
      </c>
      <c r="AM174" s="10">
        <f>(NA!AT106-NA!AS106)/(NA!AT$116-NA!AS$116)</f>
        <v>4.7875752510620713E-2</v>
      </c>
      <c r="AN174" s="10">
        <f>(NA!AU106-NA!AT106)/(NA!AU$116-NA!AT$116)</f>
        <v>2.8671984448082211E-2</v>
      </c>
      <c r="AO174" s="10">
        <f>(NA!AV106-NA!AU106)/(NA!AV$116-NA!AU$116)</f>
        <v>8.3388381607191989E-2</v>
      </c>
      <c r="AP174" s="361">
        <f>(NA!AW106-NA!AV106)/(NA!AW$116-NA!AV$116)</f>
        <v>6.1980813122651121E-2</v>
      </c>
      <c r="AQ174" s="10">
        <f>(NA!AX106-NA!AW106)/(NA!AX$116-NA!AW$116)</f>
        <v>9.2189437045670966E-2</v>
      </c>
      <c r="AR174" s="10">
        <f>(NA!AY106-NA!AX106)/(NA!AY$116-NA!AX$116)</f>
        <v>2.4993878270770015E-2</v>
      </c>
      <c r="AS174" s="10">
        <f>(NA!AZ106-NA!AY106)/(NA!AZ$116-NA!AY$116)</f>
        <v>-2.0908105983805524E-3</v>
      </c>
      <c r="AT174" s="10">
        <f>(NA!BA106-NA!AZ106)/(NA!BA$116-NA!AZ$116)</f>
        <v>2.6801301223056812E-2</v>
      </c>
      <c r="AU174" s="10">
        <f>(NA!BB106-NA!BA106)/(NA!BB$116-NA!BA$116)</f>
        <v>1.5682379276726496E-2</v>
      </c>
      <c r="AV174" s="10">
        <f>(NA!BC106-NA!BB106)/(NA!BC$116-NA!BB$116)</f>
        <v>1.529110649667652E-2</v>
      </c>
      <c r="AW174" s="10">
        <f>(NA!BD106-NA!BC106)/(NA!BD$116-NA!BC$116)</f>
        <v>1.4965396639314166E-2</v>
      </c>
      <c r="AX174" s="10">
        <f>(NA!BE106-NA!BD106)/(NA!BE$116-NA!BD$116)</f>
        <v>1.2240024665516368E-2</v>
      </c>
      <c r="AY174" s="10">
        <f>(NA!BF106-NA!BE106)/(NA!BF$116-NA!BE$116)</f>
        <v>1.1351216519612965E-2</v>
      </c>
    </row>
    <row r="175" spans="5:51" x14ac:dyDescent="0.2">
      <c r="E175" s="191" t="s">
        <v>117</v>
      </c>
      <c r="AJ175" s="10">
        <f>(NA!AQ107-NA!AP107)/(NA!AQ$116-NA!AP$116)</f>
        <v>-0.16932225299732226</v>
      </c>
      <c r="AK175" s="10">
        <f>(NA!AR107-NA!AQ107)/(NA!AR$116-NA!AQ$116)</f>
        <v>5.0354454733687007E-2</v>
      </c>
      <c r="AL175" s="10">
        <f>(NA!AS107-NA!AR107)/(NA!AS$116-NA!AR$116)</f>
        <v>0.48540090209986669</v>
      </c>
      <c r="AM175" s="10">
        <f>(NA!AT107-NA!AS107)/(NA!AT$116-NA!AS$116)</f>
        <v>2.9566795912496262E-2</v>
      </c>
      <c r="AN175" s="10">
        <f>(NA!AU107-NA!AT107)/(NA!AU$116-NA!AT$116)</f>
        <v>9.4247303851596922E-2</v>
      </c>
      <c r="AO175" s="10">
        <f>(NA!AV107-NA!AU107)/(NA!AV$116-NA!AU$116)</f>
        <v>-0.10135802887903658</v>
      </c>
      <c r="AP175" s="10">
        <f>(NA!AW107-NA!AV107)/(NA!AW$116-NA!AV$116)</f>
        <v>-7.9671377919042011E-3</v>
      </c>
      <c r="AQ175" s="10">
        <f>(NA!AX107-NA!AW107)/(NA!AX$116-NA!AW$116)</f>
        <v>-1.781321880062103E-2</v>
      </c>
      <c r="AR175" s="10">
        <f>(NA!AY107-NA!AX107)/(NA!AY$116-NA!AX$116)</f>
        <v>0.13922276028467176</v>
      </c>
      <c r="AS175" s="10">
        <f>(NA!AZ107-NA!AY107)/(NA!AZ$116-NA!AY$116)</f>
        <v>0.2366710899222669</v>
      </c>
      <c r="AT175" s="10">
        <f>(NA!BA107-NA!AZ107)/(NA!BA$116-NA!AZ$116)</f>
        <v>0.12449557949700246</v>
      </c>
      <c r="AU175" s="10">
        <f>(NA!BB107-NA!BA107)/(NA!BB$116-NA!BA$116)</f>
        <v>6.5935588623361338E-2</v>
      </c>
      <c r="AV175" s="10">
        <f>(NA!BC107-NA!BB107)/(NA!BC$116-NA!BB$116)</f>
        <v>6.4815579356173617E-2</v>
      </c>
      <c r="AW175" s="10">
        <f>(NA!BD107-NA!BC107)/(NA!BD$116-NA!BC$116)</f>
        <v>6.3959266238421172E-2</v>
      </c>
      <c r="AX175" s="10">
        <f>(NA!BE107-NA!BD107)/(NA!BE$116-NA!BD$116)</f>
        <v>6.5679351714697715E-2</v>
      </c>
      <c r="AY175" s="10">
        <f>(NA!BF107-NA!BE107)/(NA!BF$116-NA!BE$116)</f>
        <v>6.0885927016047094E-2</v>
      </c>
    </row>
    <row r="176" spans="5:51" x14ac:dyDescent="0.2">
      <c r="E176" s="191" t="s">
        <v>118</v>
      </c>
      <c r="AJ176" s="10">
        <f>(NA!AQ108-NA!AP108)/(NA!AQ$116-NA!AP$116)</f>
        <v>-0.16177492749749078</v>
      </c>
      <c r="AK176" s="10">
        <f>(NA!AR108-NA!AQ108)/(NA!AR$116-NA!AQ$116)</f>
        <v>3.1681960750062979E-2</v>
      </c>
      <c r="AL176" s="10">
        <f>(NA!AS108-NA!AR108)/(NA!AS$116-NA!AR$116)</f>
        <v>3.0999471736107155E-2</v>
      </c>
      <c r="AM176" s="10">
        <f>(NA!AT108-NA!AS108)/(NA!AT$116-NA!AS$116)</f>
        <v>4.8938274146512778E-2</v>
      </c>
      <c r="AN176" s="10">
        <f>(NA!AU108-NA!AT108)/(NA!AU$116-NA!AT$116)</f>
        <v>4.7636779620665037E-2</v>
      </c>
      <c r="AO176" s="10">
        <f>(NA!AV108-NA!AU108)/(NA!AV$116-NA!AU$116)</f>
        <v>5.4503472851307598E-2</v>
      </c>
      <c r="AP176" s="10">
        <f>(NA!AW108-NA!AV108)/(NA!AW$116-NA!AV$116)</f>
        <v>5.6136664574810466E-2</v>
      </c>
      <c r="AQ176" s="10">
        <f>(NA!AX108-NA!AW108)/(NA!AX$116-NA!AW$116)</f>
        <v>3.4176442860346684E-2</v>
      </c>
      <c r="AR176" s="10">
        <f>(NA!AY108-NA!AX108)/(NA!AY$116-NA!AX$116)</f>
        <v>2.4300939044341361E-2</v>
      </c>
      <c r="AS176" s="10">
        <f>(NA!AZ108-NA!AY108)/(NA!AZ$116-NA!AY$116)</f>
        <v>4.8210867891837095E-2</v>
      </c>
      <c r="AT176" s="10">
        <f>(NA!BA108-NA!AZ108)/(NA!BA$116-NA!AZ$116)</f>
        <v>2.0142506611878108E-2</v>
      </c>
      <c r="AU176" s="10">
        <f>(NA!BB108-NA!BA108)/(NA!BB$116-NA!BA$116)</f>
        <v>2.265837749988913E-2</v>
      </c>
      <c r="AV176" s="10">
        <f>(NA!BC108-NA!BB108)/(NA!BC$116-NA!BB$116)</f>
        <v>2.2629911920018893E-2</v>
      </c>
      <c r="AW176" s="10">
        <f>(NA!BD108-NA!BC108)/(NA!BD$116-NA!BC$116)</f>
        <v>1.9023711589509426E-2</v>
      </c>
      <c r="AX176" s="10">
        <f>(NA!BE108-NA!BD108)/(NA!BE$116-NA!BD$116)</f>
        <v>1.833698028590575E-2</v>
      </c>
      <c r="AY176" s="10">
        <f>(NA!BF108-NA!BE108)/(NA!BF$116-NA!BE$116)</f>
        <v>1.8023099030646063E-2</v>
      </c>
    </row>
    <row r="177" spans="5:51" x14ac:dyDescent="0.2">
      <c r="E177" s="191" t="s">
        <v>119</v>
      </c>
      <c r="AJ177" s="10">
        <f>(NA!AQ109-NA!AP109)/(NA!AQ$116-NA!AP$116)</f>
        <v>-2.3157686859923483E-2</v>
      </c>
      <c r="AK177" s="10">
        <f>(NA!AR109-NA!AQ109)/(NA!AR$116-NA!AQ$116)</f>
        <v>7.1219263724290631E-3</v>
      </c>
      <c r="AL177" s="10">
        <f>(NA!AS109-NA!AR109)/(NA!AS$116-NA!AR$116)</f>
        <v>5.6950452222333994E-3</v>
      </c>
      <c r="AM177" s="10">
        <f>(NA!AT109-NA!AS109)/(NA!AT$116-NA!AS$116)</f>
        <v>3.3590136053959233E-2</v>
      </c>
      <c r="AN177" s="10">
        <f>(NA!AU109-NA!AT109)/(NA!AU$116-NA!AT$116)</f>
        <v>1.3815299669714811E-2</v>
      </c>
      <c r="AO177" s="10">
        <f>(NA!AV109-NA!AU109)/(NA!AV$116-NA!AU$116)</f>
        <v>1.6242620865383858E-2</v>
      </c>
      <c r="AP177" s="10">
        <f>(NA!AW109-NA!AV109)/(NA!AW$116-NA!AV$116)</f>
        <v>2.263320278554426E-2</v>
      </c>
      <c r="AQ177" s="10">
        <f>(NA!AX109-NA!AW109)/(NA!AX$116-NA!AW$116)</f>
        <v>8.7913665758802776E-3</v>
      </c>
      <c r="AR177" s="10">
        <f>(NA!AY109-NA!AX109)/(NA!AY$116-NA!AX$116)</f>
        <v>1.0942263926853751E-2</v>
      </c>
      <c r="AS177" s="10">
        <f>(NA!AZ109-NA!AY109)/(NA!AZ$116-NA!AY$116)</f>
        <v>3.5021543400742282E-2</v>
      </c>
      <c r="AT177" s="10">
        <f>(NA!BA109-NA!AZ109)/(NA!BA$116-NA!AZ$116)</f>
        <v>2.0393829436984319E-2</v>
      </c>
      <c r="AU177" s="10">
        <f>(NA!BB109-NA!BA109)/(NA!BB$116-NA!BA$116)</f>
        <v>1.9907712028359763E-2</v>
      </c>
      <c r="AV177" s="10">
        <f>(NA!BC109-NA!BB109)/(NA!BC$116-NA!BB$116)</f>
        <v>1.971883670493273E-2</v>
      </c>
      <c r="AW177" s="10">
        <f>(NA!BD109-NA!BC109)/(NA!BD$116-NA!BC$116)</f>
        <v>1.9541174098475403E-2</v>
      </c>
      <c r="AX177" s="10">
        <f>(NA!BE109-NA!BD109)/(NA!BE$116-NA!BD$116)</f>
        <v>1.9188232103632019E-2</v>
      </c>
      <c r="AY177" s="10">
        <f>(NA!BF109-NA!BE109)/(NA!BF$116-NA!BE$116)</f>
        <v>1.894925815405556E-2</v>
      </c>
    </row>
    <row r="178" spans="5:51" x14ac:dyDescent="0.2">
      <c r="E178" s="191" t="s">
        <v>120</v>
      </c>
      <c r="AJ178" s="10">
        <f>(NA!AQ110-NA!AP110)/(NA!AQ$116-NA!AP$116)</f>
        <v>-7.5190583967386801E-2</v>
      </c>
      <c r="AK178" s="10">
        <f>(NA!AR110-NA!AQ110)/(NA!AR$116-NA!AQ$116)</f>
        <v>1.8285892933649534E-2</v>
      </c>
      <c r="AL178" s="10">
        <f>(NA!AS110-NA!AR110)/(NA!AS$116-NA!AR$116)</f>
        <v>1.6325194116313883E-2</v>
      </c>
      <c r="AM178" s="10">
        <f>(NA!AT110-NA!AS110)/(NA!AT$116-NA!AS$116)</f>
        <v>1.7741403375694156E-2</v>
      </c>
      <c r="AN178" s="10">
        <f>(NA!AU110-NA!AT110)/(NA!AU$116-NA!AT$116)</f>
        <v>1.0750709232190779E-2</v>
      </c>
      <c r="AO178" s="10">
        <f>(NA!AV110-NA!AU110)/(NA!AV$116-NA!AU$116)</f>
        <v>1.5436644268532479E-2</v>
      </c>
      <c r="AP178" s="10">
        <f>(NA!AW110-NA!AV110)/(NA!AW$116-NA!AV$116)</f>
        <v>1.4044607985340383E-2</v>
      </c>
      <c r="AQ178" s="10">
        <f>(NA!AX110-NA!AW110)/(NA!AX$116-NA!AW$116)</f>
        <v>1.4326265510483585E-2</v>
      </c>
      <c r="AR178" s="10">
        <f>(NA!AY110-NA!AX110)/(NA!AY$116-NA!AX$116)</f>
        <v>1.1884520287175218E-2</v>
      </c>
      <c r="AS178" s="10">
        <f>(NA!AZ110-NA!AY110)/(NA!AZ$116-NA!AY$116)</f>
        <v>2.0455500724791249E-2</v>
      </c>
      <c r="AT178" s="10">
        <f>(NA!BA110-NA!AZ110)/(NA!BA$116-NA!AZ$116)</f>
        <v>1.2465583334579958E-2</v>
      </c>
      <c r="AU178" s="10">
        <f>(NA!BB110-NA!BA110)/(NA!BB$116-NA!BA$116)</f>
        <v>1.3067117626103303E-2</v>
      </c>
      <c r="AV178" s="10">
        <f>(NA!BC110-NA!BB110)/(NA!BC$116-NA!BB$116)</f>
        <v>1.3024330924969071E-2</v>
      </c>
      <c r="AW178" s="10">
        <f>(NA!BD110-NA!BC110)/(NA!BD$116-NA!BC$116)</f>
        <v>1.2775882754650983E-2</v>
      </c>
      <c r="AX178" s="10">
        <f>(NA!BE110-NA!BD110)/(NA!BE$116-NA!BD$116)</f>
        <v>1.2526623061678706E-2</v>
      </c>
      <c r="AY178" s="10">
        <f>(NA!BF110-NA!BE110)/(NA!BF$116-NA!BE$116)</f>
        <v>1.1908288340787982E-2</v>
      </c>
    </row>
    <row r="179" spans="5:51" x14ac:dyDescent="0.2">
      <c r="E179" s="177"/>
      <c r="AJ179" s="10"/>
      <c r="AK179" s="10"/>
      <c r="AL179" s="10"/>
      <c r="AM179" s="10"/>
      <c r="AN179" s="10"/>
      <c r="AO179" s="10"/>
      <c r="AP179" s="10"/>
      <c r="AQ179" s="10"/>
      <c r="AR179" s="10"/>
      <c r="AS179" s="10"/>
      <c r="AT179" s="10"/>
      <c r="AU179" s="10"/>
      <c r="AV179" s="10"/>
      <c r="AW179" s="10"/>
      <c r="AX179" s="10"/>
      <c r="AY179" s="10"/>
    </row>
    <row r="180" spans="5:51" x14ac:dyDescent="0.2">
      <c r="E180" s="177" t="s">
        <v>121</v>
      </c>
      <c r="AJ180" s="10">
        <f>(NA!AQ111-NA!AP111)/(NA!AQ$116-NA!AP$116)</f>
        <v>1.1994168682433728</v>
      </c>
      <c r="AK180" s="10">
        <f>(NA!AR111-NA!AQ111)/(NA!AR$116-NA!AQ$116)</f>
        <v>0.95135511299930187</v>
      </c>
      <c r="AL180" s="10">
        <f>(NA!AS111-NA!AR111)/(NA!AS$116-NA!AR$116)</f>
        <v>0.93055249789905481</v>
      </c>
      <c r="AM180" s="10">
        <f>(NA!AT111-NA!AS111)/(NA!AT$116-NA!AS$116)</f>
        <v>1.0086937320445737</v>
      </c>
      <c r="AN180" s="10">
        <f>(NA!AU111-NA!AT111)/(NA!AU$116-NA!AT$116)</f>
        <v>0.80998604724249745</v>
      </c>
      <c r="AO180" s="10">
        <f>(NA!AV111-NA!AU111)/(NA!AV$116-NA!AU$116)</f>
        <v>0.95592478060695996</v>
      </c>
      <c r="AP180" s="10">
        <f>(NA!AW111-NA!AV111)/(NA!AW$116-NA!AV$116)</f>
        <v>0.88627064508039122</v>
      </c>
      <c r="AQ180" s="10">
        <f>(NA!AX111-NA!AW111)/(NA!AX$116-NA!AW$116)</f>
        <v>0.97496131669942032</v>
      </c>
      <c r="AR180" s="10">
        <f>(NA!AY111-NA!AX111)/(NA!AY$116-NA!AX$116)</f>
        <v>0.93300063760888985</v>
      </c>
      <c r="AS180" s="10">
        <f>(NA!AZ111-NA!AY111)/(NA!AZ$116-NA!AY$116)</f>
        <v>0.99814216252967602</v>
      </c>
      <c r="AT180" s="10">
        <f>(NA!BA111-NA!AZ111)/(NA!BA$116-NA!AZ$116)</f>
        <v>0.86311918334216942</v>
      </c>
      <c r="AU180" s="10">
        <f>(NA!BB111-NA!BA111)/(NA!BB$116-NA!BA$116)</f>
        <v>0.93837199600250065</v>
      </c>
      <c r="AV180" s="10">
        <f>(NA!BC111-NA!BB111)/(NA!BC$116-NA!BB$116)</f>
        <v>0.91732663767278644</v>
      </c>
      <c r="AW180" s="10">
        <f>(NA!BD111-NA!BC111)/(NA!BD$116-NA!BC$116)</f>
        <v>0.89726611768064968</v>
      </c>
      <c r="AX180" s="10">
        <f>(NA!BE111-NA!BD111)/(NA!BE$116-NA!BD$116)</f>
        <v>0.90542382306411928</v>
      </c>
      <c r="AY180" s="10">
        <f>(NA!BF111-NA!BE111)/(NA!BF$116-NA!BE$116)</f>
        <v>0.91457492545774088</v>
      </c>
    </row>
    <row r="181" spans="5:51" x14ac:dyDescent="0.2">
      <c r="E181" s="177" t="s">
        <v>122</v>
      </c>
      <c r="AJ181" s="10">
        <f>(NA!AQ112-NA!AP112)/(NA!AQ$116-NA!AP$116)</f>
        <v>4.5203984219634508E-2</v>
      </c>
      <c r="AK181" s="10">
        <f>(NA!AR112-NA!AQ112)/(NA!AR$116-NA!AQ$116)</f>
        <v>-1.10299027874527E-2</v>
      </c>
      <c r="AL181" s="10">
        <f>(NA!AS112-NA!AR112)/(NA!AS$116-NA!AR$116)</f>
        <v>-9.8140617160097626E-3</v>
      </c>
      <c r="AM181" s="10">
        <f>(NA!AT112-NA!AS112)/(NA!AT$116-NA!AS$116)</f>
        <v>-5.115004038984651E-2</v>
      </c>
      <c r="AN181" s="10">
        <f>(NA!AU112-NA!AT112)/(NA!AU$116-NA!AT$116)</f>
        <v>-1.6548373083036493E-2</v>
      </c>
      <c r="AO181" s="10">
        <f>(NA!AV112-NA!AU112)/(NA!AV$116-NA!AU$116)</f>
        <v>-1.5165784647466613E-2</v>
      </c>
      <c r="AP181" s="10">
        <f>(NA!AW112-NA!AV112)/(NA!AW$116-NA!AV$116)</f>
        <v>-4.6397440486923743E-2</v>
      </c>
      <c r="AQ181" s="10">
        <f>(NA!AX112-NA!AW112)/(NA!AX$116-NA!AW$116)</f>
        <v>-1.7789741521668248E-2</v>
      </c>
      <c r="AR181" s="10">
        <f>(NA!AY112-NA!AX112)/(NA!AY$116-NA!AX$116)</f>
        <v>-4.13008710674364E-2</v>
      </c>
      <c r="AS181" s="10">
        <f>(NA!AZ112-NA!AY112)/(NA!AZ$116-NA!AY$116)</f>
        <v>-3.9310510629729243E-3</v>
      </c>
      <c r="AT181" s="10">
        <f>(NA!BA112-NA!AZ112)/(NA!BA$116-NA!AZ$116)</f>
        <v>-1.5196816250756892E-4</v>
      </c>
      <c r="AU181" s="10">
        <f>(NA!BB112-NA!BA112)/(NA!BB$116-NA!BA$116)</f>
        <v>-2.0477566967642954E-2</v>
      </c>
      <c r="AV181" s="10">
        <f>(NA!BC112-NA!BB112)/(NA!BC$116-NA!BB$116)</f>
        <v>-2.0787548385343458E-2</v>
      </c>
      <c r="AW181" s="10">
        <f>(NA!BD112-NA!BC112)/(NA!BD$116-NA!BC$116)</f>
        <v>-1.0418941253436322E-2</v>
      </c>
      <c r="AX181" s="10">
        <f>(NA!BE112-NA!BD112)/(NA!BE$116-NA!BD$116)</f>
        <v>-2.3094740596469467E-2</v>
      </c>
      <c r="AY181" s="10">
        <f>(NA!BF112-NA!BE112)/(NA!BF$116-NA!BE$116)</f>
        <v>-3.1467502030804173E-2</v>
      </c>
    </row>
    <row r="182" spans="5:51" x14ac:dyDescent="0.2">
      <c r="E182" s="177" t="s">
        <v>123</v>
      </c>
      <c r="AJ182" s="10">
        <f>(NA!AQ113-NA!AP113)/(NA!AQ$116-NA!AP$116)</f>
        <v>1.2446208524630029</v>
      </c>
      <c r="AK182" s="10">
        <f>(NA!AR113-NA!AQ113)/(NA!AR$116-NA!AQ$116)</f>
        <v>0.94032521021184967</v>
      </c>
      <c r="AL182" s="10">
        <f>(NA!AS113-NA!AR113)/(NA!AS$116-NA!AR$116)</f>
        <v>0.92073843618304529</v>
      </c>
      <c r="AM182" s="10">
        <f>(NA!AT113-NA!AS113)/(NA!AT$116-NA!AS$116)</f>
        <v>0.95754369165472497</v>
      </c>
      <c r="AN182" s="10">
        <f>(NA!AU113-NA!AT113)/(NA!AU$116-NA!AT$116)</f>
        <v>0.79343767415946198</v>
      </c>
      <c r="AO182" s="10">
        <f>(NA!AV113-NA!AU113)/(NA!AV$116-NA!AU$116)</f>
        <v>0.94075899595949319</v>
      </c>
      <c r="AP182" s="10">
        <f>(NA!AW113-NA!AV113)/(NA!AW$116-NA!AV$116)</f>
        <v>0.83987320459346837</v>
      </c>
      <c r="AQ182" s="10">
        <f>(NA!AX113-NA!AW113)/(NA!AX$116-NA!AW$116)</f>
        <v>0.95717157517775087</v>
      </c>
      <c r="AR182" s="10">
        <f>(NA!AY113-NA!AX113)/(NA!AY$116-NA!AX$116)</f>
        <v>0.89169976654145355</v>
      </c>
      <c r="AS182" s="10">
        <f>(NA!AZ113-NA!AY113)/(NA!AZ$116-NA!AY$116)</f>
        <v>0.99421111146670449</v>
      </c>
      <c r="AT182" s="10">
        <f>(NA!BA113-NA!AZ113)/(NA!BA$116-NA!AZ$116)</f>
        <v>0.8629672151796618</v>
      </c>
      <c r="AU182" s="10">
        <f>(NA!BB113-NA!BA113)/(NA!BB$116-NA!BA$116)</f>
        <v>0.9178944290348573</v>
      </c>
      <c r="AV182" s="10">
        <f>(NA!BC113-NA!BB113)/(NA!BC$116-NA!BB$116)</f>
        <v>0.8965390892874423</v>
      </c>
      <c r="AW182" s="10">
        <f>(NA!BD113-NA!BC113)/(NA!BD$116-NA!BC$116)</f>
        <v>0.88684717642721289</v>
      </c>
      <c r="AX182" s="10">
        <f>(NA!BE113-NA!BD113)/(NA!BE$116-NA!BD$116)</f>
        <v>0.88232908246765163</v>
      </c>
      <c r="AY182" s="10">
        <f>(NA!BF113-NA!BE113)/(NA!BF$116-NA!BE$116)</f>
        <v>0.88310742342693527</v>
      </c>
    </row>
    <row r="183" spans="5:51" x14ac:dyDescent="0.2">
      <c r="E183" s="177" t="s">
        <v>124</v>
      </c>
      <c r="AJ183" s="10">
        <f>(NA!AQ114-NA!AP114)/(NA!AQ$116-NA!AP$116)</f>
        <v>-0.24462085246299972</v>
      </c>
      <c r="AK183" s="10">
        <f>(NA!AR114-NA!AQ114)/(NA!AR$116-NA!AQ$116)</f>
        <v>5.9674789788150058E-2</v>
      </c>
      <c r="AL183" s="10">
        <f>(NA!AS114-NA!AR114)/(NA!AS$116-NA!AR$116)</f>
        <v>7.9261563816954983E-2</v>
      </c>
      <c r="AM183" s="10">
        <f>(NA!AT114-NA!AS114)/(NA!AT$116-NA!AS$116)</f>
        <v>4.2456308345275834E-2</v>
      </c>
      <c r="AN183" s="10">
        <f>(NA!AU114-NA!AT114)/(NA!AU$116-NA!AT$116)</f>
        <v>0.2065623258405378</v>
      </c>
      <c r="AO183" s="10">
        <f>(NA!AV114-NA!AU114)/(NA!AV$116-NA!AU$116)</f>
        <v>5.9241004040507278E-2</v>
      </c>
      <c r="AP183" s="10">
        <f>(NA!AW114-NA!AV114)/(NA!AW$116-NA!AV$116)</f>
        <v>0.1601267954065306</v>
      </c>
      <c r="AQ183" s="10">
        <f>(NA!AX114-NA!AW114)/(NA!AX$116-NA!AW$116)</f>
        <v>4.2828424822248919E-2</v>
      </c>
      <c r="AR183" s="10">
        <f>(NA!AY114-NA!AX114)/(NA!AY$116-NA!AX$116)</f>
        <v>0.10830023345854799</v>
      </c>
      <c r="AS183" s="10">
        <f>(NA!AZ114-NA!AY114)/(NA!AZ$116-NA!AY$116)</f>
        <v>5.7888885332926339E-3</v>
      </c>
      <c r="AT183" s="10">
        <f>(NA!BA114-NA!AZ114)/(NA!BA$116-NA!AZ$116)</f>
        <v>0.13703278482033873</v>
      </c>
      <c r="AU183" s="10">
        <f>(NA!BB114-NA!BA114)/(NA!BB$116-NA!BA$116)</f>
        <v>8.2105570965143343E-2</v>
      </c>
      <c r="AV183" s="10">
        <f>(NA!BC114-NA!BB114)/(NA!BC$116-NA!BB$116)</f>
        <v>0.1034609107125585</v>
      </c>
      <c r="AW183" s="10">
        <f>(NA!BD114-NA!BC114)/(NA!BD$116-NA!BC$116)</f>
        <v>0.11315282357278633</v>
      </c>
      <c r="AX183" s="10">
        <f>(NA!BE114-NA!BD114)/(NA!BE$116-NA!BD$116)</f>
        <v>0.11767091753234714</v>
      </c>
      <c r="AY183" s="10">
        <f>(NA!BF114-NA!BE114)/(NA!BF$116-NA!BE$116)</f>
        <v>0.11689257657306558</v>
      </c>
    </row>
    <row r="184" spans="5:51" x14ac:dyDescent="0.2">
      <c r="AJ184" s="10"/>
      <c r="AK184" s="10"/>
      <c r="AL184" s="10"/>
      <c r="AM184" s="10"/>
      <c r="AN184" s="10"/>
      <c r="AO184" s="10"/>
      <c r="AP184" s="10"/>
      <c r="AQ184" s="10"/>
      <c r="AR184" s="10"/>
      <c r="AS184" s="10"/>
      <c r="AT184" s="10"/>
      <c r="AU184" s="10"/>
      <c r="AV184" s="10"/>
      <c r="AW184" s="10"/>
      <c r="AX184" s="10"/>
      <c r="AY184" s="10"/>
    </row>
    <row r="185" spans="5:51" x14ac:dyDescent="0.2">
      <c r="AJ185" s="10">
        <f>(NA!AQ116-NA!AP116)/(NA!AQ$116-NA!AP$116)</f>
        <v>1</v>
      </c>
      <c r="AK185" s="10">
        <f>(NA!AR116-NA!AQ116)/(NA!AR$116-NA!AQ$116)</f>
        <v>1</v>
      </c>
      <c r="AL185" s="10">
        <f>(NA!AS116-NA!AR116)/(NA!AS$116-NA!AR$116)</f>
        <v>1</v>
      </c>
      <c r="AM185" s="10">
        <f>(NA!AT116-NA!AS116)/(NA!AT$116-NA!AS$116)</f>
        <v>1</v>
      </c>
      <c r="AN185" s="10">
        <f>(NA!AU116-NA!AT116)/(NA!AU$116-NA!AT$116)</f>
        <v>1</v>
      </c>
      <c r="AO185" s="10">
        <f>(NA!AV116-NA!AU116)/(NA!AV$116-NA!AU$116)</f>
        <v>1</v>
      </c>
      <c r="AP185" s="10">
        <f>(NA!AW116-NA!AV116)/(NA!AW$116-NA!AV$116)</f>
        <v>1</v>
      </c>
      <c r="AQ185" s="10">
        <f>(NA!AX116-NA!AW116)/(NA!AX$116-NA!AW$116)</f>
        <v>1</v>
      </c>
      <c r="AR185" s="10">
        <f>(NA!AY116-NA!AX116)/(NA!AY$116-NA!AX$116)</f>
        <v>1</v>
      </c>
      <c r="AS185" s="10">
        <f>(NA!AZ116-NA!AY116)/(NA!AZ$116-NA!AY$116)</f>
        <v>1</v>
      </c>
      <c r="AT185" s="10">
        <f>(NA!BA116-NA!AZ116)/(NA!BA$116-NA!AZ$116)</f>
        <v>1</v>
      </c>
      <c r="AU185" s="10">
        <f>(NA!BB116-NA!BA116)/(NA!BB$116-NA!BA$116)</f>
        <v>1</v>
      </c>
      <c r="AV185" s="10">
        <f>(NA!BC116-NA!BB116)/(NA!BC$116-NA!BB$116)</f>
        <v>1</v>
      </c>
      <c r="AW185" s="10">
        <f>(NA!BD116-NA!BC116)/(NA!BD$116-NA!BC$116)</f>
        <v>1</v>
      </c>
      <c r="AX185" s="10">
        <f>(NA!BE116-NA!BD116)/(NA!BE$116-NA!BD$116)</f>
        <v>1</v>
      </c>
      <c r="AY185" s="10">
        <f>(NA!BF116-NA!BE116)/(NA!BF$116-NA!BE$116)</f>
        <v>1</v>
      </c>
    </row>
    <row r="186" spans="5:51" x14ac:dyDescent="0.2">
      <c r="AJ186" s="10"/>
    </row>
    <row r="187" spans="5:51" x14ac:dyDescent="0.2">
      <c r="AJ187" s="10"/>
    </row>
    <row r="188" spans="5:51" ht="38.25" x14ac:dyDescent="0.2">
      <c r="F188" s="639"/>
      <c r="G188" s="641" t="s">
        <v>525</v>
      </c>
      <c r="H188" s="641" t="s">
        <v>524</v>
      </c>
    </row>
    <row r="189" spans="5:51" x14ac:dyDescent="0.2">
      <c r="F189" s="639" t="s">
        <v>516</v>
      </c>
      <c r="G189" s="48">
        <v>4.4999999999999998E-2</v>
      </c>
      <c r="H189" s="640">
        <v>3029100.3379021743</v>
      </c>
    </row>
    <row r="190" spans="5:51" x14ac:dyDescent="0.2">
      <c r="F190" s="639" t="s">
        <v>517</v>
      </c>
      <c r="G190" s="10">
        <v>7.8938214041599231E-2</v>
      </c>
      <c r="H190" s="640">
        <v>3268212.1087289769</v>
      </c>
    </row>
    <row r="191" spans="5:51" x14ac:dyDescent="0.2">
      <c r="F191" s="639" t="s">
        <v>518</v>
      </c>
      <c r="G191" s="10">
        <v>5.5697754267855545E-2</v>
      </c>
      <c r="H191" s="640">
        <v>3450244.1836561938</v>
      </c>
    </row>
    <row r="192" spans="5:51" x14ac:dyDescent="0.2">
      <c r="F192" s="639" t="s">
        <v>519</v>
      </c>
      <c r="G192" s="10">
        <v>7.5525021839692105E-2</v>
      </c>
      <c r="H192" s="640">
        <v>3710823.9509790987</v>
      </c>
    </row>
    <row r="193" spans="6:8" x14ac:dyDescent="0.2">
      <c r="F193" s="639" t="s">
        <v>520</v>
      </c>
      <c r="G193" s="10">
        <v>6.1284649858991853E-2</v>
      </c>
      <c r="H193" s="640">
        <v>3938240.4975032131</v>
      </c>
    </row>
    <row r="194" spans="6:8" x14ac:dyDescent="0.2">
      <c r="F194" s="639" t="s">
        <v>521</v>
      </c>
      <c r="G194" s="10">
        <v>7.2962572005939849E-2</v>
      </c>
      <c r="H194" s="640">
        <v>4225584.6533789998</v>
      </c>
    </row>
    <row r="195" spans="6:8" x14ac:dyDescent="0.2">
      <c r="F195" s="639" t="s">
        <v>522</v>
      </c>
      <c r="G195" s="10">
        <v>7.1129340514916636E-2</v>
      </c>
      <c r="H195" s="640">
        <v>4526147.7030638009</v>
      </c>
    </row>
    <row r="196" spans="6:8" x14ac:dyDescent="0.2">
      <c r="F196" s="639" t="s">
        <v>523</v>
      </c>
      <c r="G196" s="10">
        <v>7.435490203650133E-2</v>
      </c>
      <c r="H196" s="640">
        <v>4862688.9721278455</v>
      </c>
    </row>
    <row r="198" spans="6:8" x14ac:dyDescent="0.2">
      <c r="G198" s="16"/>
    </row>
    <row r="199" spans="6:8" x14ac:dyDescent="0.2">
      <c r="G199" s="642">
        <v>100</v>
      </c>
    </row>
    <row r="213" spans="5:51" x14ac:dyDescent="0.2">
      <c r="I213" s="639"/>
      <c r="J213" s="553" t="s">
        <v>516</v>
      </c>
      <c r="K213" s="553" t="s">
        <v>517</v>
      </c>
      <c r="L213" s="553" t="s">
        <v>518</v>
      </c>
      <c r="M213" s="553" t="s">
        <v>519</v>
      </c>
      <c r="N213" s="553" t="s">
        <v>520</v>
      </c>
      <c r="O213" s="553" t="s">
        <v>521</v>
      </c>
      <c r="P213" s="553" t="s">
        <v>522</v>
      </c>
      <c r="Q213" s="553" t="s">
        <v>523</v>
      </c>
      <c r="AF213" s="605">
        <f>AF4</f>
        <v>1999</v>
      </c>
      <c r="AG213" s="605">
        <f t="shared" ref="AG213:AY213" si="0">AG4</f>
        <v>2000</v>
      </c>
      <c r="AH213" s="605">
        <f t="shared" si="0"/>
        <v>2001</v>
      </c>
      <c r="AI213" s="605">
        <f t="shared" si="0"/>
        <v>2002</v>
      </c>
      <c r="AJ213" s="605">
        <f t="shared" si="0"/>
        <v>2003</v>
      </c>
      <c r="AK213" s="605">
        <f t="shared" si="0"/>
        <v>2004</v>
      </c>
      <c r="AL213" s="605">
        <f t="shared" si="0"/>
        <v>2005</v>
      </c>
      <c r="AM213" s="605">
        <f t="shared" si="0"/>
        <v>2006</v>
      </c>
      <c r="AN213" s="605">
        <f t="shared" si="0"/>
        <v>2007</v>
      </c>
      <c r="AO213" s="605">
        <f t="shared" si="0"/>
        <v>2008</v>
      </c>
      <c r="AP213" s="605">
        <f t="shared" si="0"/>
        <v>2009</v>
      </c>
      <c r="AQ213" s="605">
        <f t="shared" si="0"/>
        <v>2010</v>
      </c>
      <c r="AR213" s="605">
        <f t="shared" si="0"/>
        <v>2011</v>
      </c>
      <c r="AS213" s="605">
        <f t="shared" si="0"/>
        <v>2012</v>
      </c>
      <c r="AT213" s="605">
        <f t="shared" si="0"/>
        <v>2013</v>
      </c>
      <c r="AU213" s="605">
        <f t="shared" si="0"/>
        <v>2014</v>
      </c>
      <c r="AV213" s="605">
        <f t="shared" si="0"/>
        <v>2015</v>
      </c>
      <c r="AW213" s="605">
        <f t="shared" si="0"/>
        <v>2016</v>
      </c>
      <c r="AX213" s="605">
        <f t="shared" si="0"/>
        <v>2017</v>
      </c>
      <c r="AY213" s="605">
        <f t="shared" si="0"/>
        <v>2018</v>
      </c>
    </row>
    <row r="214" spans="5:51" ht="25.5" x14ac:dyDescent="0.2">
      <c r="E214" s="604" t="s">
        <v>487</v>
      </c>
      <c r="I214" s="641" t="s">
        <v>525</v>
      </c>
      <c r="J214" s="48">
        <v>4.4999999999999998E-2</v>
      </c>
      <c r="K214" s="10">
        <v>7.8938214041599231E-2</v>
      </c>
      <c r="L214" s="10">
        <v>5.5697754267855545E-2</v>
      </c>
      <c r="M214" s="10">
        <v>7.5525021839692105E-2</v>
      </c>
      <c r="N214" s="10">
        <v>6.1284649858991853E-2</v>
      </c>
      <c r="O214" s="10">
        <v>7.2962572005939849E-2</v>
      </c>
      <c r="P214" s="10">
        <v>7.1129340514916636E-2</v>
      </c>
      <c r="Q214" s="10">
        <v>7.435490203650133E-2</v>
      </c>
      <c r="AF214" s="11">
        <f>AF121+AF125</f>
        <v>0.34127711197338106</v>
      </c>
      <c r="AG214" s="11">
        <f t="shared" ref="AG214:AY214" si="1">AG121+AG125</f>
        <v>0.35388537598453657</v>
      </c>
      <c r="AH214" s="11">
        <f t="shared" si="1"/>
        <v>0.33611471892384109</v>
      </c>
      <c r="AI214" s="11">
        <f t="shared" si="1"/>
        <v>0.33099465249266302</v>
      </c>
      <c r="AJ214" s="11">
        <f t="shared" si="1"/>
        <v>0.32972665762579606</v>
      </c>
      <c r="AK214" s="11">
        <f t="shared" si="1"/>
        <v>0.33693956789669632</v>
      </c>
      <c r="AL214" s="11">
        <f t="shared" si="1"/>
        <v>0.32422826459540949</v>
      </c>
      <c r="AM214" s="11">
        <f t="shared" si="1"/>
        <v>0.32735906155166383</v>
      </c>
      <c r="AN214" s="11">
        <f t="shared" si="1"/>
        <v>0.3048684301299614</v>
      </c>
      <c r="AO214" s="11">
        <f t="shared" si="1"/>
        <v>0.32808319165902577</v>
      </c>
      <c r="AP214" s="11">
        <f t="shared" si="1"/>
        <v>0.34768071598361217</v>
      </c>
      <c r="AQ214" s="11">
        <f t="shared" si="1"/>
        <v>0.34153790966756092</v>
      </c>
      <c r="AR214" s="11">
        <f t="shared" si="1"/>
        <v>0.33474083575086255</v>
      </c>
      <c r="AS214" s="11">
        <f t="shared" si="1"/>
        <v>0.35533339079271181</v>
      </c>
      <c r="AT214" s="11">
        <f t="shared" si="1"/>
        <v>0.35860096607571812</v>
      </c>
      <c r="AU214" s="11">
        <f t="shared" si="1"/>
        <v>0.33910666433545089</v>
      </c>
      <c r="AV214" s="11">
        <f t="shared" si="1"/>
        <v>0.25439384116290253</v>
      </c>
      <c r="AW214" s="11">
        <f t="shared" si="1"/>
        <v>0.24465130678636896</v>
      </c>
      <c r="AX214" s="11">
        <f t="shared" si="1"/>
        <v>0.23626872115319039</v>
      </c>
      <c r="AY214" s="11">
        <f t="shared" si="1"/>
        <v>0.2282640399200328</v>
      </c>
    </row>
    <row r="215" spans="5:51" ht="25.5" x14ac:dyDescent="0.2">
      <c r="E215" s="604" t="s">
        <v>491</v>
      </c>
      <c r="I215" s="641" t="s">
        <v>524</v>
      </c>
      <c r="J215" s="643">
        <v>3029100.3379021743</v>
      </c>
      <c r="K215" s="643">
        <v>3268212.1087289769</v>
      </c>
      <c r="L215" s="643">
        <v>3450244.1836561938</v>
      </c>
      <c r="M215" s="643">
        <v>3710823.9509790987</v>
      </c>
      <c r="N215" s="643">
        <v>3938240.4975032131</v>
      </c>
      <c r="O215" s="643">
        <v>4225584.6533789998</v>
      </c>
      <c r="P215" s="643">
        <v>4526147.7030638009</v>
      </c>
      <c r="Q215" s="643">
        <v>4862688.9721278455</v>
      </c>
      <c r="AF215" s="11">
        <f>AF128+AF127</f>
        <v>0.1113416428783592</v>
      </c>
      <c r="AG215" s="11">
        <f t="shared" ref="AG215:AY215" si="2">AG128+AG127</f>
        <v>0.10950467480224009</v>
      </c>
      <c r="AH215" s="11">
        <f t="shared" si="2"/>
        <v>0.10007206070356185</v>
      </c>
      <c r="AI215" s="11">
        <f t="shared" si="2"/>
        <v>0.10364147306796029</v>
      </c>
      <c r="AJ215" s="11">
        <f t="shared" si="2"/>
        <v>0.10744539810865421</v>
      </c>
      <c r="AK215" s="11">
        <f t="shared" si="2"/>
        <v>0.10814471798419333</v>
      </c>
      <c r="AL215" s="11">
        <f t="shared" si="2"/>
        <v>0.11156580529163551</v>
      </c>
      <c r="AM215" s="11">
        <f t="shared" si="2"/>
        <v>0.12267366371053912</v>
      </c>
      <c r="AN215" s="11">
        <f t="shared" si="2"/>
        <v>0.11284847004367983</v>
      </c>
      <c r="AO215" s="11">
        <f t="shared" si="2"/>
        <v>0.10704010574852303</v>
      </c>
      <c r="AP215" s="11">
        <f t="shared" si="2"/>
        <v>0.104134043022378</v>
      </c>
      <c r="AQ215" s="11">
        <f t="shared" si="2"/>
        <v>0.11704387930522066</v>
      </c>
      <c r="AR215" s="11">
        <f t="shared" si="2"/>
        <v>0.13575706195319354</v>
      </c>
      <c r="AS215" s="11">
        <f t="shared" si="2"/>
        <v>0.13204721700259736</v>
      </c>
      <c r="AT215" s="11">
        <f t="shared" si="2"/>
        <v>0.11375773093011476</v>
      </c>
      <c r="AU215" s="11">
        <f t="shared" si="2"/>
        <v>0.10096038007318395</v>
      </c>
      <c r="AV215" s="11">
        <f t="shared" si="2"/>
        <v>0.11610922893829144</v>
      </c>
      <c r="AW215" s="11">
        <f t="shared" si="2"/>
        <v>0.11669180552856367</v>
      </c>
      <c r="AX215" s="11">
        <f t="shared" si="2"/>
        <v>0.11713741015052245</v>
      </c>
      <c r="AY215" s="11">
        <f t="shared" si="2"/>
        <v>0.11752749223713578</v>
      </c>
    </row>
    <row r="216" spans="5:51" x14ac:dyDescent="0.2">
      <c r="E216" s="604" t="s">
        <v>488</v>
      </c>
      <c r="AF216" s="11">
        <f>AF133+AF134</f>
        <v>0.16982570090995613</v>
      </c>
      <c r="AG216" s="11">
        <f t="shared" ref="AG216:AY216" si="3">AG133+AG134</f>
        <v>0.16682166703088472</v>
      </c>
      <c r="AH216" s="11">
        <f t="shared" si="3"/>
        <v>0.14266514976826736</v>
      </c>
      <c r="AI216" s="11">
        <f t="shared" si="3"/>
        <v>0.13644296034615552</v>
      </c>
      <c r="AJ216" s="11">
        <f t="shared" si="3"/>
        <v>0.13183919645567013</v>
      </c>
      <c r="AK216" s="11">
        <f t="shared" si="3"/>
        <v>0.1260848737479395</v>
      </c>
      <c r="AL216" s="11">
        <f t="shared" si="3"/>
        <v>0.13046736212577892</v>
      </c>
      <c r="AM216" s="11">
        <f t="shared" si="3"/>
        <v>0.11968098992609441</v>
      </c>
      <c r="AN216" s="11">
        <f t="shared" si="3"/>
        <v>0.12535003753838153</v>
      </c>
      <c r="AO216" s="11">
        <f t="shared" si="3"/>
        <v>0.12269366277238164</v>
      </c>
      <c r="AP216" s="11">
        <f t="shared" si="3"/>
        <v>0.12556091077631976</v>
      </c>
      <c r="AQ216" s="11">
        <f t="shared" si="3"/>
        <v>0.12547842191643879</v>
      </c>
      <c r="AR216" s="11">
        <f t="shared" si="3"/>
        <v>0.12737756104275491</v>
      </c>
      <c r="AS216" s="11">
        <f t="shared" si="3"/>
        <v>0.12642130025365708</v>
      </c>
      <c r="AT216" s="11">
        <f t="shared" si="3"/>
        <v>0.12297542086697999</v>
      </c>
      <c r="AU216" s="11">
        <f t="shared" si="3"/>
        <v>0.1267423914192603</v>
      </c>
      <c r="AV216" s="11">
        <f t="shared" si="3"/>
        <v>0.12935371844512511</v>
      </c>
      <c r="AW216" s="11">
        <f t="shared" si="3"/>
        <v>0.1321462197513722</v>
      </c>
      <c r="AX216" s="11">
        <f t="shared" si="3"/>
        <v>0.13487155654300387</v>
      </c>
      <c r="AY216" s="11">
        <f t="shared" si="3"/>
        <v>0.13742266191342284</v>
      </c>
    </row>
    <row r="217" spans="5:51" x14ac:dyDescent="0.2">
      <c r="E217" s="604" t="s">
        <v>490</v>
      </c>
      <c r="AF217" s="11">
        <f>AF137+AF139</f>
        <v>0.12371543875628242</v>
      </c>
      <c r="AG217" s="11">
        <f t="shared" ref="AG217:AY217" si="4">AG137+AG139</f>
        <v>0.13062005305078755</v>
      </c>
      <c r="AH217" s="11">
        <f t="shared" si="4"/>
        <v>0.13849239569401753</v>
      </c>
      <c r="AI217" s="11">
        <f t="shared" si="4"/>
        <v>0.13447131547261659</v>
      </c>
      <c r="AJ217" s="11">
        <f t="shared" si="4"/>
        <v>0.13183036226711756</v>
      </c>
      <c r="AK217" s="11">
        <f t="shared" si="4"/>
        <v>0.12847887031988517</v>
      </c>
      <c r="AL217" s="11">
        <f t="shared" si="4"/>
        <v>0.10490652226671791</v>
      </c>
      <c r="AM217" s="11">
        <f t="shared" si="4"/>
        <v>0.1020144849723279</v>
      </c>
      <c r="AN217" s="11">
        <f t="shared" si="4"/>
        <v>0.10725999700341342</v>
      </c>
      <c r="AO217" s="11">
        <f t="shared" si="4"/>
        <v>0.10217824168111185</v>
      </c>
      <c r="AP217" s="11">
        <f t="shared" si="4"/>
        <v>0.10363684385989111</v>
      </c>
      <c r="AQ217" s="11">
        <f t="shared" si="4"/>
        <v>0.10174300525271313</v>
      </c>
      <c r="AR217" s="11">
        <f t="shared" si="4"/>
        <v>9.8261710294469354E-2</v>
      </c>
      <c r="AS217" s="11">
        <f t="shared" si="4"/>
        <v>9.5425994542129647E-2</v>
      </c>
      <c r="AT217" s="11">
        <f t="shared" si="4"/>
        <v>8.8510546281858338E-2</v>
      </c>
      <c r="AU217" s="11">
        <f t="shared" si="4"/>
        <v>9.1150650631916227E-2</v>
      </c>
      <c r="AV217" s="11">
        <f t="shared" si="4"/>
        <v>0.10827700184872402</v>
      </c>
      <c r="AW217" s="11">
        <f t="shared" si="4"/>
        <v>0.1070413444670147</v>
      </c>
      <c r="AX217" s="11">
        <f t="shared" si="4"/>
        <v>0.1057613973904451</v>
      </c>
      <c r="AY217" s="11">
        <f t="shared" si="4"/>
        <v>0.10471236905093648</v>
      </c>
    </row>
    <row r="218" spans="5:51" x14ac:dyDescent="0.2">
      <c r="E218" s="604" t="s">
        <v>489</v>
      </c>
      <c r="I218" s="639"/>
      <c r="J218" s="380" t="s">
        <v>70</v>
      </c>
      <c r="K218" s="380" t="s">
        <v>71</v>
      </c>
      <c r="L218" s="380" t="s">
        <v>142</v>
      </c>
      <c r="M218" s="380" t="s">
        <v>300</v>
      </c>
      <c r="N218" s="380" t="s">
        <v>317</v>
      </c>
      <c r="O218" s="240" t="s">
        <v>329</v>
      </c>
      <c r="P218" s="240" t="s">
        <v>342</v>
      </c>
      <c r="Q218" s="240" t="s">
        <v>343</v>
      </c>
      <c r="R218" s="240" t="s">
        <v>344</v>
      </c>
      <c r="S218" s="240" t="s">
        <v>345</v>
      </c>
      <c r="T218" s="240" t="s">
        <v>346</v>
      </c>
      <c r="U218" s="240" t="s">
        <v>347</v>
      </c>
      <c r="V218" s="553"/>
      <c r="AF218" s="11">
        <f t="shared" ref="AF218:AY218" si="5">AF147-SUM(AF214:AF217)</f>
        <v>0.25384010548202118</v>
      </c>
      <c r="AG218" s="11">
        <f t="shared" si="5"/>
        <v>0.23916822913155111</v>
      </c>
      <c r="AH218" s="11">
        <f t="shared" si="5"/>
        <v>0.28265567491031218</v>
      </c>
      <c r="AI218" s="11">
        <f t="shared" si="5"/>
        <v>0.2944495986206046</v>
      </c>
      <c r="AJ218" s="11">
        <f t="shared" si="5"/>
        <v>0.29915838554276208</v>
      </c>
      <c r="AK218" s="11">
        <f t="shared" si="5"/>
        <v>0.30035197005128567</v>
      </c>
      <c r="AL218" s="11">
        <f t="shared" si="5"/>
        <v>0.32883204572045821</v>
      </c>
      <c r="AM218" s="11">
        <f t="shared" si="5"/>
        <v>0.32827179983937471</v>
      </c>
      <c r="AN218" s="11">
        <f t="shared" si="5"/>
        <v>0.34967306528456388</v>
      </c>
      <c r="AO218" s="11">
        <f t="shared" si="5"/>
        <v>0.34000479813895768</v>
      </c>
      <c r="AP218" s="11">
        <f t="shared" si="5"/>
        <v>0.31898748635779894</v>
      </c>
      <c r="AQ218" s="11">
        <f t="shared" si="5"/>
        <v>0.3141967838580666</v>
      </c>
      <c r="AR218" s="11">
        <f t="shared" si="5"/>
        <v>0.30386283095871958</v>
      </c>
      <c r="AS218" s="11">
        <f t="shared" si="5"/>
        <v>0.29077209740890408</v>
      </c>
      <c r="AT218" s="11">
        <f t="shared" si="5"/>
        <v>0.31615533584532884</v>
      </c>
      <c r="AU218" s="11">
        <f t="shared" si="5"/>
        <v>0.34203991354018859</v>
      </c>
      <c r="AV218" s="11">
        <f t="shared" si="5"/>
        <v>0.39186620960495688</v>
      </c>
      <c r="AW218" s="11">
        <f t="shared" si="5"/>
        <v>0.3994693234666804</v>
      </c>
      <c r="AX218" s="11">
        <f t="shared" si="5"/>
        <v>0.40596091476283824</v>
      </c>
      <c r="AY218" s="11">
        <f t="shared" si="5"/>
        <v>0.41207343687847209</v>
      </c>
    </row>
    <row r="219" spans="5:51" ht="51" x14ac:dyDescent="0.2">
      <c r="I219" s="641" t="s">
        <v>616</v>
      </c>
      <c r="J219" s="644">
        <f>NA!AW147</f>
        <v>5.3823461684580076E-2</v>
      </c>
      <c r="K219" s="644">
        <f>NA!AX147</f>
        <v>6.3588860814886905E-2</v>
      </c>
      <c r="L219" s="644">
        <f>NA!AY147</f>
        <v>7.9045075722513625E-2</v>
      </c>
      <c r="M219" s="644">
        <f>NA!AZ147</f>
        <v>5.1410136208195567E-2</v>
      </c>
      <c r="N219" s="644">
        <f>NA!BA147</f>
        <v>7.2630600302156401E-2</v>
      </c>
      <c r="O219" s="644">
        <f>NA!BB147</f>
        <v>6.965132961535736E-2</v>
      </c>
      <c r="P219" s="644">
        <f>NA!BC147</f>
        <v>7.0397469530978585E-2</v>
      </c>
      <c r="Q219" s="644">
        <f>NA!BD147</f>
        <v>7.1739363954783641E-2</v>
      </c>
      <c r="R219" s="644">
        <f>NA!BE147</f>
        <v>7.3741943963407053E-2</v>
      </c>
      <c r="S219" s="644">
        <f>NA!BF147</f>
        <v>7.5887738158493701E-2</v>
      </c>
      <c r="T219" s="644">
        <f>NA!BG147</f>
        <v>7.9163062985012633E-2</v>
      </c>
      <c r="U219" s="644">
        <f>NA!BH147</f>
        <v>8.1465072834696395E-2</v>
      </c>
    </row>
    <row r="220" spans="5:51" ht="51" x14ac:dyDescent="0.2">
      <c r="I220" s="641" t="s">
        <v>526</v>
      </c>
      <c r="J220" s="645">
        <f>(NA!T82)/1000</f>
        <v>35412.37049741493</v>
      </c>
      <c r="K220" s="645">
        <f>(NA!U82)/1000</f>
        <v>41050.915873859834</v>
      </c>
      <c r="L220" s="645">
        <f>(NA!V82)/1000</f>
        <v>48608.337793716368</v>
      </c>
      <c r="M220" s="645">
        <f>(NA!W82)/1000</f>
        <v>57098.397420132576</v>
      </c>
      <c r="N220" s="645">
        <f>(NA!X82)/1000</f>
        <v>66193.720627851289</v>
      </c>
      <c r="O220" s="645">
        <f>(NA!Y82)/1000</f>
        <v>75197.863338904877</v>
      </c>
      <c r="P220" s="645">
        <f>(NA!Z82)/1000</f>
        <v>84279.922233707242</v>
      </c>
      <c r="Q220" s="645">
        <f>(NA!AA82)/1000</f>
        <v>94804.704534106946</v>
      </c>
      <c r="R220" s="645">
        <f>(NA!AB82)/1000</f>
        <v>106888.64262564004</v>
      </c>
      <c r="S220" s="645">
        <f>(NA!AC82)/1000</f>
        <v>118369.60105311633</v>
      </c>
      <c r="T220" s="645">
        <f>(NA!AD82)/1000</f>
        <v>134742.49076419312</v>
      </c>
      <c r="U220" s="645">
        <f>(NA!AE82)/1000</f>
        <v>153318.72362621661</v>
      </c>
    </row>
    <row r="221" spans="5:51" ht="14.25" x14ac:dyDescent="0.2">
      <c r="E221" s="749"/>
      <c r="I221">
        <v>1000</v>
      </c>
      <c r="AF221" s="11">
        <f t="shared" ref="AF221:AY221" si="6">SUM(AF214:AF218)</f>
        <v>1</v>
      </c>
      <c r="AG221" s="11">
        <f t="shared" si="6"/>
        <v>1</v>
      </c>
      <c r="AH221" s="11">
        <f t="shared" si="6"/>
        <v>1</v>
      </c>
      <c r="AI221" s="11">
        <f t="shared" si="6"/>
        <v>1</v>
      </c>
      <c r="AJ221" s="11">
        <f t="shared" si="6"/>
        <v>1</v>
      </c>
      <c r="AK221" s="11">
        <f t="shared" si="6"/>
        <v>1</v>
      </c>
      <c r="AL221" s="11">
        <f t="shared" si="6"/>
        <v>1</v>
      </c>
      <c r="AM221" s="11">
        <f t="shared" si="6"/>
        <v>1</v>
      </c>
      <c r="AN221" s="11">
        <f t="shared" si="6"/>
        <v>1</v>
      </c>
      <c r="AO221" s="11">
        <f t="shared" si="6"/>
        <v>1</v>
      </c>
      <c r="AP221" s="11">
        <f t="shared" si="6"/>
        <v>1</v>
      </c>
      <c r="AQ221" s="11">
        <f t="shared" si="6"/>
        <v>1</v>
      </c>
      <c r="AR221" s="11">
        <f t="shared" si="6"/>
        <v>1</v>
      </c>
      <c r="AS221" s="11">
        <f t="shared" si="6"/>
        <v>1</v>
      </c>
      <c r="AT221" s="11">
        <f t="shared" si="6"/>
        <v>1</v>
      </c>
      <c r="AU221" s="11">
        <f t="shared" si="6"/>
        <v>1</v>
      </c>
      <c r="AV221" s="11">
        <f t="shared" si="6"/>
        <v>1</v>
      </c>
      <c r="AW221" s="11">
        <f t="shared" si="6"/>
        <v>1</v>
      </c>
      <c r="AX221" s="11">
        <f t="shared" si="6"/>
        <v>1</v>
      </c>
      <c r="AY221" s="11">
        <f t="shared" si="6"/>
        <v>1</v>
      </c>
    </row>
    <row r="222" spans="5:51" ht="14.25" x14ac:dyDescent="0.2">
      <c r="E222" s="749"/>
    </row>
    <row r="224" spans="5:51" x14ac:dyDescent="0.2">
      <c r="E224" s="604"/>
      <c r="AH224">
        <v>1961</v>
      </c>
      <c r="AI224">
        <v>1970</v>
      </c>
      <c r="AJ224">
        <v>1980</v>
      </c>
      <c r="AK224">
        <v>1990</v>
      </c>
      <c r="AL224" s="422">
        <v>2000</v>
      </c>
      <c r="AM224" s="606">
        <v>2010</v>
      </c>
      <c r="AN224" s="605">
        <f t="shared" ref="AN224:AN229" si="7">AT213</f>
        <v>2013</v>
      </c>
      <c r="AO224" s="605"/>
    </row>
    <row r="225" spans="5:41" x14ac:dyDescent="0.2">
      <c r="E225" s="604"/>
      <c r="AF225" s="604"/>
      <c r="AG225" s="604" t="s">
        <v>487</v>
      </c>
      <c r="AH225" s="11">
        <v>0.58899999999999997</v>
      </c>
      <c r="AI225" s="11">
        <v>0.41099999999999998</v>
      </c>
      <c r="AJ225" s="11">
        <v>0.52100000000000002</v>
      </c>
      <c r="AK225" s="11">
        <v>0.55000000000000004</v>
      </c>
      <c r="AL225" s="11">
        <f>AG214</f>
        <v>0.35388537598453657</v>
      </c>
      <c r="AM225" s="11">
        <f>AQ214</f>
        <v>0.34153790966756092</v>
      </c>
      <c r="AN225" s="11">
        <f t="shared" si="7"/>
        <v>0.35860096607571812</v>
      </c>
      <c r="AO225" s="11"/>
    </row>
    <row r="226" spans="5:41" x14ac:dyDescent="0.2">
      <c r="E226" s="604"/>
      <c r="AF226" s="604"/>
      <c r="AG226" s="604" t="s">
        <v>491</v>
      </c>
      <c r="AH226" s="11">
        <v>2.8000000000000001E-2</v>
      </c>
      <c r="AI226" s="11">
        <v>0.10100000000000001</v>
      </c>
      <c r="AJ226" s="11">
        <v>9.1999999999999998E-2</v>
      </c>
      <c r="AK226" s="11">
        <v>0.09</v>
      </c>
      <c r="AL226" s="11">
        <f>AG215</f>
        <v>0.10950467480224009</v>
      </c>
      <c r="AM226" s="11">
        <f>AQ215</f>
        <v>0.11704387930522066</v>
      </c>
      <c r="AN226" s="11">
        <f t="shared" si="7"/>
        <v>0.11375773093011476</v>
      </c>
      <c r="AO226" s="11"/>
    </row>
    <row r="227" spans="5:41" x14ac:dyDescent="0.2">
      <c r="E227" s="604"/>
      <c r="AF227" s="604"/>
      <c r="AG227" s="604" t="s">
        <v>488</v>
      </c>
      <c r="AH227" s="11">
        <v>0.114</v>
      </c>
      <c r="AI227" s="11">
        <v>0.127</v>
      </c>
      <c r="AJ227" s="11">
        <v>8.5999999999999993E-2</v>
      </c>
      <c r="AK227" s="11">
        <v>0.156</v>
      </c>
      <c r="AL227" s="11">
        <f>AG216</f>
        <v>0.16682166703088472</v>
      </c>
      <c r="AM227" s="11">
        <f>AQ216</f>
        <v>0.12547842191643879</v>
      </c>
      <c r="AN227" s="11">
        <f t="shared" si="7"/>
        <v>0.12297542086697999</v>
      </c>
      <c r="AO227" s="11"/>
    </row>
    <row r="228" spans="5:41" x14ac:dyDescent="0.2">
      <c r="E228" s="604"/>
      <c r="AF228" s="604"/>
      <c r="AG228" s="604" t="s">
        <v>115</v>
      </c>
      <c r="AH228" s="11">
        <v>4.2999999999999997E-2</v>
      </c>
      <c r="AI228" s="11">
        <v>0.10299999999999999</v>
      </c>
      <c r="AJ228" s="11">
        <v>0.104</v>
      </c>
      <c r="AK228" s="11">
        <v>0.05</v>
      </c>
      <c r="AL228" s="11">
        <f>AG217</f>
        <v>0.13062005305078755</v>
      </c>
      <c r="AM228" s="11">
        <f>AQ217</f>
        <v>0.10174300525271313</v>
      </c>
      <c r="AN228" s="11">
        <f t="shared" si="7"/>
        <v>8.8510546281858338E-2</v>
      </c>
      <c r="AO228" s="11"/>
    </row>
    <row r="229" spans="5:41" x14ac:dyDescent="0.2">
      <c r="E229" s="604"/>
      <c r="AF229" s="604"/>
      <c r="AG229" s="604" t="s">
        <v>489</v>
      </c>
      <c r="AH229" s="11">
        <v>0.224</v>
      </c>
      <c r="AI229" s="11">
        <v>0.25800000000000001</v>
      </c>
      <c r="AJ229" s="11">
        <v>0.19700000000000001</v>
      </c>
      <c r="AK229" s="11">
        <v>0.154</v>
      </c>
      <c r="AL229" s="11">
        <f>AG218</f>
        <v>0.23916822913155111</v>
      </c>
      <c r="AM229" s="11">
        <f>AQ218</f>
        <v>0.3141967838580666</v>
      </c>
      <c r="AN229" s="11">
        <f t="shared" si="7"/>
        <v>0.31615533584532884</v>
      </c>
      <c r="AO229" s="11"/>
    </row>
    <row r="263" spans="8:11" x14ac:dyDescent="0.2">
      <c r="H263" t="s">
        <v>533</v>
      </c>
      <c r="I263" s="422" t="s">
        <v>538</v>
      </c>
    </row>
    <row r="264" spans="8:11" x14ac:dyDescent="0.2">
      <c r="I264" s="422" t="s">
        <v>539</v>
      </c>
      <c r="J264" t="s">
        <v>540</v>
      </c>
    </row>
    <row r="265" spans="8:11" x14ac:dyDescent="0.2">
      <c r="H265" t="s">
        <v>334</v>
      </c>
      <c r="I265" s="13">
        <f>'[3]Table%'!$C$77</f>
        <v>1.5999999999999943</v>
      </c>
      <c r="J265" s="13">
        <v>3.1991527186133482</v>
      </c>
      <c r="K265" s="504" t="s">
        <v>334</v>
      </c>
    </row>
    <row r="266" spans="8:11" x14ac:dyDescent="0.2">
      <c r="H266" t="s">
        <v>105</v>
      </c>
      <c r="I266" s="13">
        <f>'[3]Table%'!$D$77</f>
        <v>2.5374277708530713</v>
      </c>
      <c r="J266" s="13">
        <v>0.43985616827219665</v>
      </c>
      <c r="K266" s="504" t="s">
        <v>105</v>
      </c>
    </row>
    <row r="267" spans="8:11" x14ac:dyDescent="0.2">
      <c r="H267" t="s">
        <v>39</v>
      </c>
      <c r="I267" s="13">
        <f>'[3]Table%'!$E$77</f>
        <v>8.7136761729778414</v>
      </c>
      <c r="J267" s="13">
        <v>2.7488388576923501</v>
      </c>
      <c r="K267" s="504" t="s">
        <v>39</v>
      </c>
    </row>
    <row r="268" spans="8:11" x14ac:dyDescent="0.2">
      <c r="H268" t="s">
        <v>528</v>
      </c>
      <c r="I268" s="13">
        <f>'[3]Table%'!$F$77</f>
        <v>8.5</v>
      </c>
      <c r="J268" s="13">
        <v>10.532346762606302</v>
      </c>
      <c r="K268" s="504" t="s">
        <v>528</v>
      </c>
    </row>
    <row r="269" spans="8:11" x14ac:dyDescent="0.2">
      <c r="H269" t="s">
        <v>335</v>
      </c>
      <c r="I269" s="13">
        <v>12.56873395301524</v>
      </c>
      <c r="J269" s="13">
        <v>4.2502494602689973</v>
      </c>
      <c r="K269" s="504" t="s">
        <v>335</v>
      </c>
    </row>
    <row r="270" spans="8:11" x14ac:dyDescent="0.2">
      <c r="H270" t="s">
        <v>529</v>
      </c>
      <c r="I270" s="13">
        <v>6.6215912826432941</v>
      </c>
      <c r="J270" s="13">
        <v>6.0603112200644338</v>
      </c>
      <c r="K270" s="504" t="s">
        <v>529</v>
      </c>
    </row>
    <row r="271" spans="8:11" x14ac:dyDescent="0.2">
      <c r="H271" t="s">
        <v>336</v>
      </c>
      <c r="I271" s="13">
        <v>8</v>
      </c>
      <c r="J271" s="13">
        <v>18.510943817580092</v>
      </c>
      <c r="K271" s="504" t="s">
        <v>336</v>
      </c>
    </row>
    <row r="272" spans="8:11" x14ac:dyDescent="0.2">
      <c r="H272" t="s">
        <v>530</v>
      </c>
      <c r="I272" s="13">
        <v>3.0458348421438188</v>
      </c>
      <c r="J272" s="13">
        <v>0.88493335295397468</v>
      </c>
      <c r="K272" s="504" t="s">
        <v>530</v>
      </c>
    </row>
    <row r="273" spans="8:17" x14ac:dyDescent="0.2">
      <c r="H273" t="s">
        <v>337</v>
      </c>
      <c r="I273" s="13">
        <v>16.534758791969566</v>
      </c>
      <c r="J273" s="13">
        <v>23.416491014346011</v>
      </c>
      <c r="K273" s="504" t="s">
        <v>337</v>
      </c>
    </row>
    <row r="274" spans="8:17" x14ac:dyDescent="0.2">
      <c r="H274" t="s">
        <v>531</v>
      </c>
      <c r="I274" s="13">
        <v>13.199999999999974</v>
      </c>
      <c r="J274" s="13">
        <v>3.3523590109716928</v>
      </c>
      <c r="K274" s="504" t="s">
        <v>531</v>
      </c>
    </row>
    <row r="275" spans="8:17" x14ac:dyDescent="0.2">
      <c r="H275" t="s">
        <v>116</v>
      </c>
      <c r="I275" s="13">
        <v>8.1000000000000085</v>
      </c>
      <c r="J275" s="13">
        <v>14.643746333496885</v>
      </c>
      <c r="K275" s="504" t="s">
        <v>116</v>
      </c>
    </row>
    <row r="276" spans="8:17" x14ac:dyDescent="0.2">
      <c r="H276" t="s">
        <v>532</v>
      </c>
      <c r="I276" s="13">
        <v>5.0999999999999943</v>
      </c>
      <c r="J276" s="13">
        <v>5.7940535753165898</v>
      </c>
      <c r="K276" s="504" t="s">
        <v>532</v>
      </c>
    </row>
    <row r="277" spans="8:17" x14ac:dyDescent="0.2">
      <c r="H277" t="s">
        <v>118</v>
      </c>
      <c r="I277" s="13">
        <v>5.2213534231301395</v>
      </c>
      <c r="J277" s="13">
        <v>1.4024182898124804</v>
      </c>
      <c r="K277" s="504" t="s">
        <v>118</v>
      </c>
    </row>
    <row r="278" spans="8:17" x14ac:dyDescent="0.2">
      <c r="H278" t="s">
        <v>339</v>
      </c>
      <c r="I278" s="13">
        <v>4.4999999999999858</v>
      </c>
      <c r="J278" s="13">
        <v>1.3020369276633541</v>
      </c>
      <c r="K278" s="504" t="s">
        <v>339</v>
      </c>
    </row>
    <row r="279" spans="8:17" x14ac:dyDescent="0.2">
      <c r="I279" s="13"/>
      <c r="J279" s="553"/>
    </row>
    <row r="280" spans="8:17" x14ac:dyDescent="0.2">
      <c r="J280" s="553"/>
    </row>
    <row r="281" spans="8:17" x14ac:dyDescent="0.2">
      <c r="J281" s="553"/>
      <c r="O281" s="535">
        <v>2012</v>
      </c>
      <c r="P281" s="535">
        <v>2013</v>
      </c>
      <c r="Q281" s="9" t="s">
        <v>537</v>
      </c>
    </row>
    <row r="282" spans="8:17" x14ac:dyDescent="0.2">
      <c r="H282" t="s">
        <v>533</v>
      </c>
      <c r="J282" s="553"/>
      <c r="N282" t="s">
        <v>101</v>
      </c>
      <c r="O282" s="650">
        <v>4129430.8161579994</v>
      </c>
      <c r="P282" s="650">
        <v>4306788.7140067136</v>
      </c>
      <c r="Q282" s="559">
        <f>(P282-O282)/($P$305-$O$305)*100</f>
        <v>13.301329626033558</v>
      </c>
    </row>
    <row r="283" spans="8:17" x14ac:dyDescent="0.2">
      <c r="H283" t="s">
        <v>334</v>
      </c>
      <c r="J283" s="10">
        <f>NA!BA120</f>
        <v>3.1994608378182132E-2</v>
      </c>
      <c r="L283" s="13"/>
      <c r="N283" t="s">
        <v>131</v>
      </c>
      <c r="O283" s="650">
        <v>3157171.5327299996</v>
      </c>
      <c r="P283" s="650">
        <v>3299244.2517028493</v>
      </c>
      <c r="Q283" s="559">
        <f t="shared" ref="Q283:Q305" si="8">(P283-O283)/($P$305-$O$305)*100</f>
        <v>10.655043214013862</v>
      </c>
    </row>
    <row r="284" spans="8:17" x14ac:dyDescent="0.2">
      <c r="H284" t="s">
        <v>105</v>
      </c>
      <c r="J284" s="10">
        <f>NA!BA124</f>
        <v>5.463096773803322E-2</v>
      </c>
      <c r="N284" t="s">
        <v>132</v>
      </c>
      <c r="O284" s="650">
        <v>640124.50454799994</v>
      </c>
      <c r="P284" s="650">
        <v>664449.23572082398</v>
      </c>
      <c r="Q284" s="559">
        <f t="shared" si="8"/>
        <v>1.8242845191499448</v>
      </c>
    </row>
    <row r="285" spans="8:17" x14ac:dyDescent="0.2">
      <c r="H285" t="s">
        <v>39</v>
      </c>
      <c r="J285" s="10">
        <f>NA!BA126</f>
        <v>3.8611419402613922E-2</v>
      </c>
      <c r="N285" t="s">
        <v>133</v>
      </c>
      <c r="O285" s="650">
        <v>332134.77888</v>
      </c>
      <c r="P285" s="650">
        <v>343095.22658303997</v>
      </c>
      <c r="Q285" s="559">
        <f t="shared" si="8"/>
        <v>0.8220018928697177</v>
      </c>
    </row>
    <row r="286" spans="8:17" x14ac:dyDescent="0.2">
      <c r="H286" t="s">
        <v>528</v>
      </c>
      <c r="J286" s="10">
        <f>NA!BA127</f>
        <v>6.4756457459789862E-2</v>
      </c>
      <c r="N286" t="s">
        <v>105</v>
      </c>
      <c r="O286" s="650">
        <v>245889.66096110211</v>
      </c>
      <c r="P286" s="650">
        <v>251299.23350224635</v>
      </c>
      <c r="Q286" s="559">
        <f t="shared" si="8"/>
        <v>0.40570230239803895</v>
      </c>
    </row>
    <row r="287" spans="8:17" x14ac:dyDescent="0.2">
      <c r="H287" t="s">
        <v>335</v>
      </c>
      <c r="J287" s="10">
        <f>NA!BA128</f>
        <v>0.1302791654792177</v>
      </c>
      <c r="N287" t="s">
        <v>106</v>
      </c>
      <c r="O287" s="650">
        <v>4184807.890969106</v>
      </c>
      <c r="P287" s="650">
        <v>4500597.231316844</v>
      </c>
      <c r="Q287" s="559">
        <f t="shared" si="8"/>
        <v>23.683287630844095</v>
      </c>
    </row>
    <row r="288" spans="8:17" x14ac:dyDescent="0.2">
      <c r="H288" t="s">
        <v>529</v>
      </c>
      <c r="J288" s="10">
        <f>NA!BA130</f>
        <v>0.14599733326208564</v>
      </c>
      <c r="N288" t="s">
        <v>136</v>
      </c>
      <c r="O288" s="650">
        <v>443153.5</v>
      </c>
      <c r="P288" s="650">
        <v>473731.09149999998</v>
      </c>
      <c r="Q288" s="559">
        <f t="shared" si="8"/>
        <v>2.2932309676935563</v>
      </c>
    </row>
    <row r="289" spans="8:17" x14ac:dyDescent="0.2">
      <c r="H289" t="s">
        <v>336</v>
      </c>
      <c r="J289" s="10">
        <f>NA!BA132</f>
        <v>4.4801530083172336E-2</v>
      </c>
      <c r="N289" t="s">
        <v>135</v>
      </c>
      <c r="O289" s="650">
        <v>1887303.3773440002</v>
      </c>
      <c r="P289" s="650">
        <v>2032178.9017135799</v>
      </c>
      <c r="Q289" s="559">
        <f t="shared" si="8"/>
        <v>10.865245516317497</v>
      </c>
    </row>
    <row r="290" spans="8:17" x14ac:dyDescent="0.2">
      <c r="H290" t="s">
        <v>530</v>
      </c>
      <c r="J290" s="10">
        <f>NA!BA133</f>
        <v>2.7823540056456819E-2</v>
      </c>
      <c r="N290" t="s">
        <v>107</v>
      </c>
      <c r="O290" s="650">
        <v>388112.7</v>
      </c>
      <c r="P290" s="650">
        <v>405189.65880000003</v>
      </c>
      <c r="Q290" s="559">
        <f t="shared" si="8"/>
        <v>1.2807225433104197</v>
      </c>
    </row>
    <row r="291" spans="8:17" x14ac:dyDescent="0.2">
      <c r="H291" t="s">
        <v>534</v>
      </c>
      <c r="J291" s="10">
        <f>NA!BA134</f>
        <v>0.12203681631176222</v>
      </c>
      <c r="N291" t="s">
        <v>134</v>
      </c>
      <c r="O291" s="650">
        <v>76681.872799999997</v>
      </c>
      <c r="P291" s="650">
        <v>80439.284567199997</v>
      </c>
      <c r="Q291" s="559">
        <f t="shared" si="8"/>
        <v>0.28179502047828775</v>
      </c>
    </row>
    <row r="292" spans="8:17" x14ac:dyDescent="0.2">
      <c r="H292" t="s">
        <v>359</v>
      </c>
      <c r="J292" s="10">
        <f>NA!BA135</f>
        <v>0.13335188801711051</v>
      </c>
      <c r="N292" t="s">
        <v>109</v>
      </c>
      <c r="O292" s="650">
        <v>1389556.4408251054</v>
      </c>
      <c r="P292" s="650">
        <v>1509058.2947360645</v>
      </c>
      <c r="Q292" s="559">
        <f t="shared" si="8"/>
        <v>8.9622935830443975</v>
      </c>
    </row>
    <row r="293" spans="8:17" x14ac:dyDescent="0.2">
      <c r="H293" t="s">
        <v>531</v>
      </c>
      <c r="J293" s="10">
        <f>NA!BA136</f>
        <v>6.1649301727801031E-2</v>
      </c>
      <c r="N293" t="s">
        <v>110</v>
      </c>
      <c r="O293" s="650">
        <v>9567175.5841824431</v>
      </c>
      <c r="P293" s="650">
        <v>10351801.851508949</v>
      </c>
      <c r="Q293" s="559">
        <f t="shared" si="8"/>
        <v>58.844701823521561</v>
      </c>
    </row>
    <row r="294" spans="8:17" x14ac:dyDescent="0.2">
      <c r="H294" t="s">
        <v>116</v>
      </c>
      <c r="J294" s="10">
        <f>NA!BA137</f>
        <v>2.9491709685924405E-2</v>
      </c>
      <c r="N294" t="s">
        <v>111</v>
      </c>
      <c r="O294" s="650">
        <v>2840401.8155069998</v>
      </c>
      <c r="P294" s="650">
        <v>3076155.1661940808</v>
      </c>
      <c r="Q294" s="559">
        <f t="shared" si="8"/>
        <v>17.680819777225864</v>
      </c>
    </row>
    <row r="295" spans="8:17" x14ac:dyDescent="0.2">
      <c r="H295" t="s">
        <v>532</v>
      </c>
      <c r="J295" s="10">
        <f>NA!BA138</f>
        <v>9.1796537497565334E-2</v>
      </c>
      <c r="N295" t="s">
        <v>112</v>
      </c>
      <c r="O295" s="650">
        <v>417286.93307408004</v>
      </c>
      <c r="P295" s="650">
        <v>443576.00985774706</v>
      </c>
      <c r="Q295" s="559">
        <f t="shared" si="8"/>
        <v>1.9716047613618943</v>
      </c>
    </row>
    <row r="296" spans="8:17" x14ac:dyDescent="0.2">
      <c r="H296" t="s">
        <v>119</v>
      </c>
      <c r="J296" s="10">
        <f>NA!BA140</f>
        <v>8.8328698472726064E-2</v>
      </c>
      <c r="N296" t="s">
        <v>113</v>
      </c>
      <c r="O296" s="650">
        <v>975376.2394529999</v>
      </c>
      <c r="P296" s="650">
        <v>1035849.566299086</v>
      </c>
      <c r="Q296" s="559">
        <f t="shared" si="8"/>
        <v>4.5353246949779802</v>
      </c>
    </row>
    <row r="297" spans="8:17" x14ac:dyDescent="0.2">
      <c r="H297" t="s">
        <v>118</v>
      </c>
      <c r="J297" s="10">
        <f>NA!BA139</f>
        <v>4.2808987768588658E-2</v>
      </c>
      <c r="N297" t="s">
        <v>114</v>
      </c>
      <c r="O297" s="650">
        <v>740485.0574719276</v>
      </c>
      <c r="P297" s="650">
        <v>909315.65057552711</v>
      </c>
      <c r="Q297" s="559">
        <f t="shared" si="8"/>
        <v>12.661806421190658</v>
      </c>
    </row>
    <row r="298" spans="8:17" x14ac:dyDescent="0.2">
      <c r="H298" t="s">
        <v>339</v>
      </c>
      <c r="J298" s="10">
        <f>NA!BA141</f>
        <v>5.6436038428614888E-2</v>
      </c>
      <c r="N298" t="s">
        <v>115</v>
      </c>
      <c r="O298" s="650">
        <v>422748.28554807481</v>
      </c>
      <c r="P298" s="650">
        <v>474323.57638494001</v>
      </c>
      <c r="Q298" s="559">
        <f t="shared" si="8"/>
        <v>3.8679977170504447</v>
      </c>
    </row>
    <row r="299" spans="8:17" x14ac:dyDescent="0.2">
      <c r="H299" t="s">
        <v>340</v>
      </c>
      <c r="N299" t="s">
        <v>116</v>
      </c>
      <c r="O299" s="650">
        <v>1958385.54706036</v>
      </c>
      <c r="P299" s="650">
        <v>2083722.2220722246</v>
      </c>
      <c r="Q299" s="559">
        <f t="shared" si="8"/>
        <v>9.3998882981006311</v>
      </c>
    </row>
    <row r="300" spans="8:17" x14ac:dyDescent="0.2">
      <c r="H300" t="s">
        <v>341</v>
      </c>
      <c r="N300" t="s">
        <v>117</v>
      </c>
      <c r="O300" s="650">
        <v>1482954.3248160002</v>
      </c>
      <c r="P300" s="650">
        <v>1559098.86856744</v>
      </c>
      <c r="Q300" s="559">
        <f t="shared" si="8"/>
        <v>5.7106206599593925</v>
      </c>
    </row>
    <row r="301" spans="8:17" x14ac:dyDescent="0.2">
      <c r="H301" t="s">
        <v>294</v>
      </c>
      <c r="N301" t="s">
        <v>118</v>
      </c>
      <c r="O301" s="650">
        <v>349321.86161999998</v>
      </c>
      <c r="P301" s="650">
        <v>369792.15940846701</v>
      </c>
      <c r="Q301" s="559">
        <f t="shared" si="8"/>
        <v>1.5352131578584776</v>
      </c>
    </row>
    <row r="302" spans="8:17" x14ac:dyDescent="0.2">
      <c r="H302" t="s">
        <v>165</v>
      </c>
      <c r="N302" t="s">
        <v>119</v>
      </c>
      <c r="O302" s="650">
        <v>267190.31539200002</v>
      </c>
      <c r="P302" s="650">
        <v>282196.36933135602</v>
      </c>
      <c r="Q302" s="559">
        <f t="shared" si="8"/>
        <v>1.1254106654087226</v>
      </c>
    </row>
    <row r="303" spans="8:17" x14ac:dyDescent="0.2">
      <c r="N303" t="s">
        <v>120</v>
      </c>
      <c r="O303" s="650">
        <v>113025.20424000001</v>
      </c>
      <c r="P303" s="650">
        <v>117772.26281808001</v>
      </c>
      <c r="Q303" s="559">
        <f t="shared" si="8"/>
        <v>0.3560156703875258</v>
      </c>
    </row>
    <row r="304" spans="8:17" x14ac:dyDescent="0.2">
      <c r="Q304" s="559">
        <f t="shared" si="8"/>
        <v>0</v>
      </c>
    </row>
    <row r="305" spans="8:17" x14ac:dyDescent="0.2">
      <c r="O305" s="650">
        <v>19155764.91571046</v>
      </c>
      <c r="P305" s="650">
        <v>20489149.64366718</v>
      </c>
      <c r="Q305" s="559">
        <f t="shared" si="8"/>
        <v>100</v>
      </c>
    </row>
    <row r="306" spans="8:17" x14ac:dyDescent="0.2">
      <c r="J306" s="422" t="s">
        <v>535</v>
      </c>
      <c r="L306" s="422" t="s">
        <v>536</v>
      </c>
    </row>
    <row r="307" spans="8:17" x14ac:dyDescent="0.2">
      <c r="H307" s="9" t="s">
        <v>533</v>
      </c>
      <c r="Q307" s="9" t="s">
        <v>537</v>
      </c>
    </row>
    <row r="308" spans="8:17" x14ac:dyDescent="0.2">
      <c r="H308" t="s">
        <v>334</v>
      </c>
      <c r="J308" s="650">
        <v>683670.79156590498</v>
      </c>
      <c r="K308" s="453">
        <f>J308/$J$325*100</f>
        <v>14.059521295410759</v>
      </c>
      <c r="L308">
        <v>672904.32240738673</v>
      </c>
      <c r="M308" s="453">
        <f>L308/$L$325*100</f>
        <v>14.867042937018828</v>
      </c>
      <c r="N308" s="10">
        <f>M308/K308-1</f>
        <v>5.7435927201280768E-2</v>
      </c>
      <c r="O308" s="10">
        <f>J308/L308-1</f>
        <v>1.6000000000000014E-2</v>
      </c>
      <c r="P308" s="10"/>
      <c r="Q308" s="651">
        <f>(J308-L308)/($J$325-$L$325)*100</f>
        <v>3.1991527186133482</v>
      </c>
    </row>
    <row r="309" spans="8:17" x14ac:dyDescent="0.2">
      <c r="H309" t="s">
        <v>105</v>
      </c>
      <c r="J309" s="650">
        <v>59818.8066210916</v>
      </c>
      <c r="K309" s="453">
        <f t="shared" ref="K309:K325" si="9">J309/$J$325*100</f>
        <v>1.2301590121013994</v>
      </c>
      <c r="L309">
        <v>58338.509090331871</v>
      </c>
      <c r="M309" s="453">
        <f t="shared" ref="M309:M325" si="10">L309/$L$325*100</f>
        <v>1.2889219026334882</v>
      </c>
      <c r="N309" s="10">
        <f t="shared" ref="N309:N325" si="11">M309/K309-1</f>
        <v>4.7768532323075874E-2</v>
      </c>
      <c r="O309" s="10">
        <f t="shared" ref="O309:O325" si="12">J309/L309-1</f>
        <v>2.5374277708530846E-2</v>
      </c>
      <c r="Q309" s="651">
        <f t="shared" ref="Q309:Q326" si="13">(J309-L309)/($J$325-$L$325)*100</f>
        <v>0.43985616827219665</v>
      </c>
    </row>
    <row r="310" spans="8:17" x14ac:dyDescent="0.2">
      <c r="H310" t="s">
        <v>39</v>
      </c>
      <c r="J310" s="650">
        <v>115417.15770161484</v>
      </c>
      <c r="K310" s="453">
        <f t="shared" si="9"/>
        <v>2.3735253964044896</v>
      </c>
      <c r="L310">
        <v>106166.18052541142</v>
      </c>
      <c r="M310" s="453">
        <f t="shared" si="10"/>
        <v>2.3456190007574502</v>
      </c>
      <c r="N310" s="10">
        <f t="shared" si="11"/>
        <v>-1.1757361302859093E-2</v>
      </c>
      <c r="O310" s="10">
        <f t="shared" si="12"/>
        <v>8.7136761729778467E-2</v>
      </c>
      <c r="Q310" s="651">
        <f t="shared" si="13"/>
        <v>2.7488388576923501</v>
      </c>
    </row>
    <row r="311" spans="8:17" x14ac:dyDescent="0.2">
      <c r="H311" t="s">
        <v>528</v>
      </c>
      <c r="J311" s="650">
        <v>452453.85177593731</v>
      </c>
      <c r="K311" s="453">
        <f t="shared" si="9"/>
        <v>9.304601926410065</v>
      </c>
      <c r="L311">
        <v>417008.15831883624</v>
      </c>
      <c r="M311" s="453">
        <f t="shared" si="10"/>
        <v>9.2133130793888736</v>
      </c>
      <c r="N311" s="10">
        <f t="shared" si="11"/>
        <v>-9.811150196772922E-3</v>
      </c>
      <c r="O311" s="10">
        <f t="shared" si="12"/>
        <v>8.4999999999999964E-2</v>
      </c>
      <c r="Q311" s="651">
        <f t="shared" si="13"/>
        <v>10.532346762606302</v>
      </c>
    </row>
    <row r="312" spans="8:17" x14ac:dyDescent="0.2">
      <c r="H312" t="s">
        <v>335</v>
      </c>
      <c r="J312" s="650">
        <v>128108.81002984976</v>
      </c>
      <c r="K312" s="453">
        <f t="shared" si="9"/>
        <v>2.63452609788841</v>
      </c>
      <c r="L312">
        <v>113804.96655787277</v>
      </c>
      <c r="M312" s="453">
        <f t="shared" si="10"/>
        <v>2.5143891455605147</v>
      </c>
      <c r="N312" s="10">
        <f t="shared" si="11"/>
        <v>-4.5600972571190668E-2</v>
      </c>
      <c r="O312" s="10">
        <f t="shared" si="12"/>
        <v>0.12568733953015232</v>
      </c>
      <c r="Q312" s="651">
        <f t="shared" si="13"/>
        <v>4.2502494602689973</v>
      </c>
    </row>
    <row r="313" spans="8:17" x14ac:dyDescent="0.2">
      <c r="H313" t="s">
        <v>529</v>
      </c>
      <c r="J313" s="650">
        <v>328409.75208199077</v>
      </c>
      <c r="K313" s="453">
        <f t="shared" si="9"/>
        <v>6.7536655945791084</v>
      </c>
      <c r="L313">
        <v>308014.30379275524</v>
      </c>
      <c r="M313" s="453">
        <f t="shared" si="10"/>
        <v>6.805219891172726</v>
      </c>
      <c r="N313" s="10">
        <f t="shared" si="11"/>
        <v>7.6335281739441374E-3</v>
      </c>
      <c r="O313" s="10">
        <f t="shared" si="12"/>
        <v>6.6215912826433021E-2</v>
      </c>
      <c r="Q313" s="651">
        <f t="shared" si="13"/>
        <v>6.0603112200644338</v>
      </c>
    </row>
    <row r="314" spans="8:17" x14ac:dyDescent="0.2">
      <c r="H314" t="s">
        <v>336</v>
      </c>
      <c r="J314" s="650">
        <v>841009.03073212015</v>
      </c>
      <c r="K314" s="453">
        <f t="shared" si="9"/>
        <v>17.29514339807973</v>
      </c>
      <c r="L314">
        <v>778712.06549270381</v>
      </c>
      <c r="M314" s="453">
        <f t="shared" si="10"/>
        <v>17.204742676991845</v>
      </c>
      <c r="N314" s="10">
        <f t="shared" si="11"/>
        <v>-5.2269425587949669E-3</v>
      </c>
      <c r="O314" s="10">
        <f t="shared" si="12"/>
        <v>8.0000000000000071E-2</v>
      </c>
      <c r="Q314" s="651">
        <f t="shared" si="13"/>
        <v>18.510943817580092</v>
      </c>
    </row>
    <row r="315" spans="8:17" x14ac:dyDescent="0.2">
      <c r="H315" t="s">
        <v>530</v>
      </c>
      <c r="J315" s="650">
        <v>100756.47929715327</v>
      </c>
      <c r="K315" s="453">
        <f t="shared" si="9"/>
        <v>2.0720321590517772</v>
      </c>
      <c r="L315">
        <v>97778.313360750966</v>
      </c>
      <c r="M315" s="453">
        <f t="shared" si="10"/>
        <v>2.1602987744868272</v>
      </c>
      <c r="N315" s="10">
        <f t="shared" si="11"/>
        <v>4.2599056703561677E-2</v>
      </c>
      <c r="O315" s="10">
        <f t="shared" si="12"/>
        <v>3.045834842143802E-2</v>
      </c>
      <c r="Q315" s="651">
        <f t="shared" si="13"/>
        <v>0.88493335295397468</v>
      </c>
    </row>
    <row r="316" spans="8:17" x14ac:dyDescent="0.2">
      <c r="H316" t="s">
        <v>337</v>
      </c>
      <c r="J316" s="650">
        <v>555415.20138367766</v>
      </c>
      <c r="K316" s="453">
        <f t="shared" si="9"/>
        <v>11.421976699871793</v>
      </c>
      <c r="L316">
        <v>476609.04535372963</v>
      </c>
      <c r="M316" s="453">
        <f t="shared" si="10"/>
        <v>10.530125763043648</v>
      </c>
      <c r="N316" s="10">
        <f t="shared" si="11"/>
        <v>-7.8082013320702748E-2</v>
      </c>
      <c r="O316" s="10">
        <f t="shared" si="12"/>
        <v>0.16534758791969573</v>
      </c>
      <c r="Q316" s="651">
        <f t="shared" si="13"/>
        <v>23.416491014346011</v>
      </c>
    </row>
    <row r="317" spans="8:17" x14ac:dyDescent="0.2">
      <c r="H317" t="s">
        <v>531</v>
      </c>
      <c r="J317" s="650">
        <v>96752.310643250967</v>
      </c>
      <c r="K317" s="453">
        <f t="shared" si="9"/>
        <v>1.9896874177604145</v>
      </c>
      <c r="L317">
        <v>85470.239084143977</v>
      </c>
      <c r="M317" s="453">
        <f t="shared" si="10"/>
        <v>1.8883661049392666</v>
      </c>
      <c r="N317" s="10">
        <f t="shared" si="11"/>
        <v>-5.0923231416518111E-2</v>
      </c>
      <c r="O317" s="10">
        <f t="shared" si="12"/>
        <v>0.1319999999999999</v>
      </c>
      <c r="Q317" s="651">
        <f t="shared" si="13"/>
        <v>3.3523590109716928</v>
      </c>
    </row>
    <row r="318" spans="8:17" x14ac:dyDescent="0.2">
      <c r="H318" t="s">
        <v>116</v>
      </c>
      <c r="J318" s="650">
        <v>657705.08616000984</v>
      </c>
      <c r="K318" s="453">
        <f t="shared" si="9"/>
        <v>13.525542964599834</v>
      </c>
      <c r="L318">
        <v>608422.83641073992</v>
      </c>
      <c r="M318" s="453">
        <f t="shared" si="10"/>
        <v>13.442399062648608</v>
      </c>
      <c r="N318" s="10">
        <f t="shared" si="11"/>
        <v>-6.1471766544852757E-3</v>
      </c>
      <c r="O318" s="10">
        <f t="shared" si="12"/>
        <v>8.0999999999999961E-2</v>
      </c>
      <c r="Q318" s="651">
        <f t="shared" si="13"/>
        <v>14.643746333496885</v>
      </c>
    </row>
    <row r="319" spans="8:17" x14ac:dyDescent="0.2">
      <c r="H319" t="s">
        <v>532</v>
      </c>
      <c r="J319" s="650">
        <v>401840.19383695704</v>
      </c>
      <c r="K319" s="453">
        <f t="shared" si="9"/>
        <v>8.26374452777549</v>
      </c>
      <c r="L319">
        <v>382340.81240433594</v>
      </c>
      <c r="M319" s="453">
        <f t="shared" si="10"/>
        <v>8.4473781566060051</v>
      </c>
      <c r="N319" s="10">
        <f t="shared" si="11"/>
        <v>2.2221600415320175E-2</v>
      </c>
      <c r="O319" s="10">
        <f t="shared" si="12"/>
        <v>5.0999999999999934E-2</v>
      </c>
      <c r="Q319" s="651">
        <f t="shared" si="13"/>
        <v>5.7940535753165898</v>
      </c>
    </row>
    <row r="320" spans="8:17" x14ac:dyDescent="0.2">
      <c r="H320" t="s">
        <v>118</v>
      </c>
      <c r="J320" s="650">
        <v>95112.300907311001</v>
      </c>
      <c r="K320" s="453">
        <f t="shared" si="9"/>
        <v>1.9559610218230998</v>
      </c>
      <c r="L320">
        <v>90392.584597189809</v>
      </c>
      <c r="M320" s="453">
        <f t="shared" si="10"/>
        <v>1.9971196374347668</v>
      </c>
      <c r="N320" s="10">
        <f t="shared" si="11"/>
        <v>2.1042656347673105E-2</v>
      </c>
      <c r="O320" s="10">
        <f t="shared" si="12"/>
        <v>5.2213534231301484E-2</v>
      </c>
      <c r="Q320" s="651">
        <f t="shared" si="13"/>
        <v>1.4024182898124804</v>
      </c>
    </row>
    <row r="321" spans="8:17" x14ac:dyDescent="0.2">
      <c r="H321" t="s">
        <v>339</v>
      </c>
      <c r="J321" s="650">
        <v>101757.26048983546</v>
      </c>
      <c r="K321" s="453">
        <f t="shared" si="9"/>
        <v>2.0926129775745843</v>
      </c>
      <c r="L321">
        <v>97375.368889794714</v>
      </c>
      <c r="M321" s="453">
        <f t="shared" si="10"/>
        <v>2.1513961823181385</v>
      </c>
      <c r="N321" s="10">
        <f t="shared" si="11"/>
        <v>2.8090815345934717E-2</v>
      </c>
      <c r="O321" s="10">
        <f t="shared" si="12"/>
        <v>4.4999999999999929E-2</v>
      </c>
      <c r="Q321" s="651">
        <f t="shared" si="13"/>
        <v>1.3020369276633541</v>
      </c>
    </row>
    <row r="322" spans="8:17" x14ac:dyDescent="0.2">
      <c r="H322" t="s">
        <v>340</v>
      </c>
      <c r="J322" s="650">
        <v>-66759.026075828602</v>
      </c>
      <c r="K322" s="453">
        <f t="shared" si="9"/>
        <v>-1.3728829143397954</v>
      </c>
      <c r="L322">
        <v>-57508.067566370803</v>
      </c>
      <c r="M322" s="453">
        <f t="shared" si="10"/>
        <v>-1.2705742573854348</v>
      </c>
      <c r="N322" s="10">
        <f t="shared" si="11"/>
        <v>-7.4521035906080613E-2</v>
      </c>
      <c r="O322" s="10">
        <f t="shared" si="12"/>
        <v>0.16086366488982007</v>
      </c>
      <c r="Q322" s="651">
        <f t="shared" si="13"/>
        <v>-2.7488333110484944</v>
      </c>
    </row>
    <row r="323" spans="8:17" x14ac:dyDescent="0.2">
      <c r="H323" t="s">
        <v>341</v>
      </c>
      <c r="J323" s="650">
        <v>4551468.0071508754</v>
      </c>
      <c r="K323" s="453">
        <f t="shared" si="9"/>
        <v>93.599817574991135</v>
      </c>
      <c r="L323">
        <v>4235829.6387196127</v>
      </c>
      <c r="M323" s="453">
        <f t="shared" si="10"/>
        <v>93.585758057615564</v>
      </c>
      <c r="N323" s="10">
        <f t="shared" si="11"/>
        <v>-1.5020881172456146E-4</v>
      </c>
      <c r="O323" s="10">
        <f t="shared" si="12"/>
        <v>7.451630385368202E-2</v>
      </c>
      <c r="Q323" s="651">
        <f t="shared" si="13"/>
        <v>93.788904198609885</v>
      </c>
    </row>
    <row r="324" spans="8:17" x14ac:dyDescent="0.2">
      <c r="H324" t="s">
        <v>294</v>
      </c>
      <c r="J324" s="650">
        <v>311220.96497696987</v>
      </c>
      <c r="K324" s="453">
        <f t="shared" si="9"/>
        <v>6.4001824250088504</v>
      </c>
      <c r="L324">
        <v>290318.06434418831</v>
      </c>
      <c r="M324" s="453">
        <f t="shared" si="10"/>
        <v>6.4142419423844412</v>
      </c>
      <c r="N324" s="10">
        <f t="shared" si="11"/>
        <v>2.1967369743483012E-3</v>
      </c>
      <c r="O324" s="10">
        <f t="shared" si="12"/>
        <v>7.2000000000000064E-2</v>
      </c>
      <c r="Q324" s="651">
        <f t="shared" si="13"/>
        <v>6.2110958013900186</v>
      </c>
    </row>
    <row r="325" spans="8:17" x14ac:dyDescent="0.2">
      <c r="H325" t="s">
        <v>165</v>
      </c>
      <c r="J325" s="650">
        <v>4862688.9721278455</v>
      </c>
      <c r="K325" s="453">
        <f t="shared" si="9"/>
        <v>100</v>
      </c>
      <c r="L325">
        <v>4526147.7030638009</v>
      </c>
      <c r="M325" s="453">
        <f t="shared" si="10"/>
        <v>100</v>
      </c>
      <c r="N325" s="10">
        <f t="shared" si="11"/>
        <v>0</v>
      </c>
      <c r="O325" s="10">
        <f t="shared" si="12"/>
        <v>7.4354902036501302E-2</v>
      </c>
      <c r="Q325" s="651">
        <f t="shared" si="13"/>
        <v>100</v>
      </c>
    </row>
    <row r="326" spans="8:17" x14ac:dyDescent="0.2">
      <c r="Q326" s="651">
        <f t="shared" si="13"/>
        <v>0</v>
      </c>
    </row>
  </sheetData>
  <phoneticPr fontId="0" type="noConversion"/>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P132"/>
  <sheetViews>
    <sheetView topLeftCell="A4" workbookViewId="0">
      <pane xSplit="1" ySplit="1" topLeftCell="D47" activePane="bottomRight" state="frozen"/>
      <selection activeCell="A4" sqref="A4"/>
      <selection pane="topRight" activeCell="B4" sqref="B4"/>
      <selection pane="bottomLeft" activeCell="A5" sqref="A5"/>
      <selection pane="bottomRight" activeCell="J61" sqref="J61"/>
    </sheetView>
  </sheetViews>
  <sheetFormatPr defaultRowHeight="12.75" x14ac:dyDescent="0.2"/>
  <sheetData>
    <row r="2" spans="1:16" x14ac:dyDescent="0.2">
      <c r="A2" t="s">
        <v>83</v>
      </c>
      <c r="J2" t="s">
        <v>84</v>
      </c>
    </row>
    <row r="3" spans="1:16" x14ac:dyDescent="0.2">
      <c r="B3" t="s">
        <v>85</v>
      </c>
      <c r="F3" s="762" t="s">
        <v>90</v>
      </c>
      <c r="G3" s="762"/>
      <c r="H3" s="762"/>
      <c r="N3" s="762" t="s">
        <v>90</v>
      </c>
      <c r="O3" s="762"/>
      <c r="P3" s="762"/>
    </row>
    <row r="4" spans="1:16" x14ac:dyDescent="0.2">
      <c r="B4" t="s">
        <v>88</v>
      </c>
      <c r="C4" t="s">
        <v>89</v>
      </c>
      <c r="D4" t="s">
        <v>87</v>
      </c>
      <c r="F4" t="s">
        <v>88</v>
      </c>
      <c r="G4" t="s">
        <v>89</v>
      </c>
      <c r="H4" t="s">
        <v>87</v>
      </c>
      <c r="J4" t="s">
        <v>88</v>
      </c>
      <c r="K4" t="s">
        <v>86</v>
      </c>
      <c r="L4" t="s">
        <v>87</v>
      </c>
      <c r="N4" t="s">
        <v>88</v>
      </c>
      <c r="O4" t="s">
        <v>86</v>
      </c>
      <c r="P4" t="s">
        <v>87</v>
      </c>
    </row>
    <row r="5" spans="1:16" ht="15.75" x14ac:dyDescent="0.25">
      <c r="A5" s="18">
        <v>36526</v>
      </c>
      <c r="B5" s="25">
        <v>207.8</v>
      </c>
      <c r="C5" s="25">
        <v>215.9</v>
      </c>
      <c r="D5" s="25">
        <v>187.5</v>
      </c>
      <c r="F5" s="13">
        <v>6.5641025641025834</v>
      </c>
      <c r="G5" s="13">
        <v>7.5199203187250987</v>
      </c>
      <c r="H5" s="13">
        <v>3.8205980066445164</v>
      </c>
    </row>
    <row r="6" spans="1:16" ht="15.75" x14ac:dyDescent="0.25">
      <c r="A6" s="18">
        <v>36557</v>
      </c>
      <c r="B6" s="25">
        <v>214.5</v>
      </c>
      <c r="C6" s="25">
        <v>224.6</v>
      </c>
      <c r="D6" s="25">
        <v>189</v>
      </c>
      <c r="F6" s="13">
        <v>6.2933597621407387</v>
      </c>
      <c r="G6" s="13">
        <v>7.3613766730401551</v>
      </c>
      <c r="H6" s="13">
        <v>3.165938864628842</v>
      </c>
    </row>
    <row r="7" spans="1:16" ht="15.75" x14ac:dyDescent="0.25">
      <c r="A7" s="18">
        <v>36586</v>
      </c>
      <c r="B7" s="25">
        <v>219.4</v>
      </c>
      <c r="C7" s="25">
        <v>231.2</v>
      </c>
      <c r="D7" s="25">
        <v>189.8</v>
      </c>
      <c r="F7" s="13">
        <v>6.1955469506292502</v>
      </c>
      <c r="G7" s="13">
        <v>7.584923220102354</v>
      </c>
      <c r="H7" s="13">
        <v>1.9881783987103745</v>
      </c>
    </row>
    <row r="8" spans="1:16" ht="15.75" x14ac:dyDescent="0.25">
      <c r="A8" s="18">
        <v>36617</v>
      </c>
      <c r="B8" s="25">
        <v>215.2</v>
      </c>
      <c r="C8" s="25">
        <v>225.3</v>
      </c>
      <c r="D8" s="25">
        <v>189.7</v>
      </c>
      <c r="F8" s="13">
        <v>6.0098522167487687</v>
      </c>
      <c r="G8" s="13">
        <v>7.3368270605050014</v>
      </c>
      <c r="H8" s="13">
        <v>2.0441097364174254</v>
      </c>
    </row>
    <row r="9" spans="1:16" ht="15.75" x14ac:dyDescent="0.25">
      <c r="A9" s="18">
        <v>36647</v>
      </c>
      <c r="B9" s="25">
        <v>213.4</v>
      </c>
      <c r="C9" s="25">
        <v>222.8</v>
      </c>
      <c r="D9" s="25">
        <v>189.9</v>
      </c>
      <c r="F9" s="13">
        <v>5.9582919563058567</v>
      </c>
      <c r="G9" s="13">
        <v>7.2184793070259872</v>
      </c>
      <c r="H9" s="13">
        <v>2.3719676549865341</v>
      </c>
    </row>
    <row r="10" spans="1:16" ht="15.75" x14ac:dyDescent="0.25">
      <c r="A10" s="18">
        <v>36678</v>
      </c>
      <c r="B10" s="25">
        <v>208.4</v>
      </c>
      <c r="C10" s="25">
        <v>215.6</v>
      </c>
      <c r="D10" s="25">
        <v>190</v>
      </c>
      <c r="F10" s="13">
        <v>5.8943089430894275</v>
      </c>
      <c r="G10" s="13">
        <v>7.1038251366120022</v>
      </c>
      <c r="H10" s="13">
        <v>2.4258760107816784</v>
      </c>
    </row>
    <row r="11" spans="1:16" ht="15.75" x14ac:dyDescent="0.25">
      <c r="A11" s="18">
        <v>36708</v>
      </c>
      <c r="B11" s="25">
        <v>206.6</v>
      </c>
      <c r="C11" s="25">
        <v>212.5</v>
      </c>
      <c r="D11" s="25">
        <v>191.4</v>
      </c>
      <c r="F11" s="13">
        <v>5.7859703020993294</v>
      </c>
      <c r="G11" s="13">
        <v>6.5697091273821542</v>
      </c>
      <c r="H11" s="13">
        <v>3.4594594594594668</v>
      </c>
    </row>
    <row r="12" spans="1:16" ht="15.75" x14ac:dyDescent="0.25">
      <c r="A12" s="18">
        <v>36739</v>
      </c>
      <c r="B12" s="25">
        <v>204.3</v>
      </c>
      <c r="C12" s="25">
        <v>209</v>
      </c>
      <c r="D12" s="25">
        <v>192.3</v>
      </c>
      <c r="F12" s="13">
        <v>5.6906363166063159</v>
      </c>
      <c r="G12" s="13">
        <v>6.4696892511461925</v>
      </c>
      <c r="H12" s="13">
        <v>3.5541195476575211</v>
      </c>
    </row>
    <row r="13" spans="1:16" ht="15.75" x14ac:dyDescent="0.25">
      <c r="A13" s="18">
        <v>36770</v>
      </c>
      <c r="B13" s="25">
        <v>203.2</v>
      </c>
      <c r="C13" s="25">
        <v>206.9</v>
      </c>
      <c r="D13" s="25">
        <v>193.7</v>
      </c>
      <c r="F13" s="13">
        <v>5.668226729069147</v>
      </c>
      <c r="G13" s="13">
        <v>6.0481804202972853</v>
      </c>
      <c r="H13" s="13">
        <v>4.6461372231226363</v>
      </c>
    </row>
    <row r="14" spans="1:16" ht="15.75" x14ac:dyDescent="0.25">
      <c r="A14" s="18">
        <v>36800</v>
      </c>
      <c r="B14" s="25">
        <v>204.3</v>
      </c>
      <c r="C14" s="25">
        <v>208.1</v>
      </c>
      <c r="D14" s="25">
        <v>194.4</v>
      </c>
      <c r="F14" s="13">
        <v>5.8001035732780934</v>
      </c>
      <c r="G14" s="13">
        <v>6.173469387755091</v>
      </c>
      <c r="H14" s="13">
        <v>4.797843665768184</v>
      </c>
    </row>
    <row r="15" spans="1:16" ht="15.75" x14ac:dyDescent="0.25">
      <c r="A15" s="18">
        <v>36831</v>
      </c>
      <c r="B15" s="25">
        <v>206.5</v>
      </c>
      <c r="C15" s="25">
        <v>211.2</v>
      </c>
      <c r="D15" s="25">
        <v>194.4</v>
      </c>
      <c r="F15" s="13">
        <v>5.7347670250895959</v>
      </c>
      <c r="G15" s="13">
        <v>6.0240963855421796</v>
      </c>
      <c r="H15" s="13">
        <v>4.9109552077711811</v>
      </c>
    </row>
    <row r="16" spans="1:16" ht="15.75" x14ac:dyDescent="0.25">
      <c r="A16" s="18">
        <v>36861</v>
      </c>
      <c r="B16" s="25">
        <v>212.2</v>
      </c>
      <c r="C16" s="25">
        <v>219.1</v>
      </c>
      <c r="D16" s="25">
        <v>194.9</v>
      </c>
      <c r="F16" s="13">
        <v>5.4671968190855011</v>
      </c>
      <c r="G16" s="13">
        <v>5.8965683905268094</v>
      </c>
      <c r="H16" s="13">
        <v>4.3361884368308381</v>
      </c>
    </row>
    <row r="17" spans="1:12" ht="15.75" x14ac:dyDescent="0.25">
      <c r="A17" s="18">
        <v>36892</v>
      </c>
      <c r="B17" s="25">
        <v>219</v>
      </c>
      <c r="C17" s="25">
        <v>228.3</v>
      </c>
      <c r="D17" s="25">
        <v>196</v>
      </c>
      <c r="F17" s="13">
        <v>5.3897978825794013</v>
      </c>
      <c r="G17" s="13">
        <v>5.7433997220935709</v>
      </c>
      <c r="H17" s="13">
        <v>4.5333333333333172</v>
      </c>
      <c r="J17">
        <f>J29/F29*100</f>
        <v>2200.7352941176491</v>
      </c>
    </row>
    <row r="18" spans="1:12" ht="15.75" x14ac:dyDescent="0.25">
      <c r="A18" s="18">
        <v>36923</v>
      </c>
      <c r="B18" s="25">
        <v>226.1</v>
      </c>
      <c r="C18" s="25">
        <v>238</v>
      </c>
      <c r="D18" s="25">
        <v>196.7</v>
      </c>
      <c r="F18" s="13">
        <v>5.4079254079254042</v>
      </c>
      <c r="G18" s="13">
        <v>5.9661620658949346</v>
      </c>
      <c r="H18" s="13">
        <v>4.0740740740740762</v>
      </c>
    </row>
    <row r="19" spans="1:12" ht="15.75" x14ac:dyDescent="0.25">
      <c r="A19" s="18">
        <v>36951</v>
      </c>
      <c r="B19" s="25">
        <v>230.5</v>
      </c>
      <c r="C19" s="25">
        <v>244.2</v>
      </c>
      <c r="D19" s="25">
        <v>196.7</v>
      </c>
      <c r="F19" s="13">
        <v>5.0592525068368275</v>
      </c>
      <c r="G19" s="13">
        <v>5.622837370242209</v>
      </c>
      <c r="H19" s="13">
        <v>3.6354056902002014</v>
      </c>
    </row>
    <row r="20" spans="1:12" ht="15.75" x14ac:dyDescent="0.25">
      <c r="A20" s="18">
        <v>36982</v>
      </c>
      <c r="B20" s="25">
        <v>226.7</v>
      </c>
      <c r="C20" s="25">
        <v>239.2</v>
      </c>
      <c r="D20" s="25">
        <v>195.6</v>
      </c>
      <c r="F20" s="13">
        <v>5.343866171003711</v>
      </c>
      <c r="G20" s="13">
        <v>6.169551708832671</v>
      </c>
      <c r="H20" s="13">
        <v>3.1101739588824415</v>
      </c>
    </row>
    <row r="21" spans="1:12" ht="15.75" x14ac:dyDescent="0.25">
      <c r="A21" s="18">
        <v>37012</v>
      </c>
      <c r="B21" s="26">
        <v>224.7</v>
      </c>
      <c r="C21" s="25">
        <v>236.2</v>
      </c>
      <c r="D21" s="25">
        <v>195.8</v>
      </c>
      <c r="F21" s="13">
        <v>5.2952202436738389</v>
      </c>
      <c r="G21" s="13">
        <v>6.0143626570915387</v>
      </c>
      <c r="H21" s="13">
        <v>3.1068983675618824</v>
      </c>
    </row>
    <row r="22" spans="1:12" ht="15.75" x14ac:dyDescent="0.25">
      <c r="A22" s="18">
        <v>37043</v>
      </c>
      <c r="B22" s="25">
        <v>219.1</v>
      </c>
      <c r="C22" s="25">
        <v>228.5</v>
      </c>
      <c r="D22" s="25">
        <v>195.4</v>
      </c>
      <c r="F22" s="13">
        <v>5.1343570057581474</v>
      </c>
      <c r="G22" s="13">
        <v>5.9833024118738365</v>
      </c>
      <c r="H22" s="13">
        <v>2.8421052631578902</v>
      </c>
    </row>
    <row r="23" spans="1:12" ht="15.75" x14ac:dyDescent="0.25">
      <c r="A23" s="18">
        <v>37073</v>
      </c>
      <c r="B23" s="25">
        <v>217.1</v>
      </c>
      <c r="C23" s="25">
        <v>225.5</v>
      </c>
      <c r="D23" s="25">
        <v>195.8</v>
      </c>
      <c r="F23" s="13">
        <v>5.0822846079380497</v>
      </c>
      <c r="G23" s="13">
        <v>6.1176470588235361</v>
      </c>
      <c r="H23" s="13">
        <v>2.2988505747126453</v>
      </c>
    </row>
    <row r="24" spans="1:12" ht="15.75" x14ac:dyDescent="0.25">
      <c r="A24" s="18">
        <v>37104</v>
      </c>
      <c r="B24" s="25">
        <v>214.9</v>
      </c>
      <c r="C24" s="25">
        <v>222.4</v>
      </c>
      <c r="D24" s="25">
        <v>195.8</v>
      </c>
      <c r="F24" s="13">
        <v>5.1884483602545117</v>
      </c>
      <c r="G24" s="13">
        <v>6.4114832535885142</v>
      </c>
      <c r="H24" s="13">
        <v>1.8200728029121223</v>
      </c>
    </row>
    <row r="25" spans="1:12" ht="15.75" x14ac:dyDescent="0.25">
      <c r="A25" s="18">
        <v>37135</v>
      </c>
      <c r="B25" s="25">
        <v>213.6</v>
      </c>
      <c r="C25" s="25">
        <v>220.7</v>
      </c>
      <c r="D25" s="25">
        <v>195.7</v>
      </c>
      <c r="F25" s="13">
        <v>5.1181102362204882</v>
      </c>
      <c r="G25" s="13">
        <v>6.6698888351860717</v>
      </c>
      <c r="H25" s="13">
        <v>1.0325245224574076</v>
      </c>
    </row>
    <row r="26" spans="1:12" ht="15.75" x14ac:dyDescent="0.25">
      <c r="A26" s="18">
        <v>37165</v>
      </c>
      <c r="B26" s="25">
        <v>214.5</v>
      </c>
      <c r="C26" s="25">
        <v>221.7</v>
      </c>
      <c r="D26" s="25">
        <v>196.3</v>
      </c>
      <c r="F26" s="13">
        <v>4.9926578560939703</v>
      </c>
      <c r="G26" s="13">
        <v>6.535319557904856</v>
      </c>
      <c r="H26" s="13">
        <v>0.97736625514403386</v>
      </c>
    </row>
    <row r="27" spans="1:12" ht="15.75" x14ac:dyDescent="0.25">
      <c r="A27" s="18">
        <v>37196</v>
      </c>
      <c r="B27" s="25">
        <v>216.6</v>
      </c>
      <c r="C27" s="25">
        <v>224.4</v>
      </c>
      <c r="D27" s="25">
        <v>196.6</v>
      </c>
      <c r="F27" s="13">
        <v>4.8910411622276087</v>
      </c>
      <c r="G27" s="13">
        <v>6.25</v>
      </c>
      <c r="H27" s="13">
        <v>1.1268647119341466</v>
      </c>
    </row>
    <row r="28" spans="1:12" ht="15.75" x14ac:dyDescent="0.25">
      <c r="A28" s="18">
        <v>37226</v>
      </c>
      <c r="B28" s="27">
        <v>222.5</v>
      </c>
      <c r="C28" s="25">
        <v>232.4</v>
      </c>
      <c r="D28" s="25">
        <v>197.3</v>
      </c>
      <c r="F28" s="13">
        <v>4.853911404335534</v>
      </c>
      <c r="G28" s="13">
        <v>6.0702875399361034</v>
      </c>
      <c r="H28" s="13">
        <v>1.2314007183170901</v>
      </c>
    </row>
    <row r="29" spans="1:12" ht="15.75" x14ac:dyDescent="0.25">
      <c r="A29" s="18">
        <v>37257</v>
      </c>
      <c r="B29" s="27">
        <v>229.2</v>
      </c>
      <c r="C29" s="25">
        <v>241.7</v>
      </c>
      <c r="D29" s="25">
        <v>197.6</v>
      </c>
      <c r="F29" s="13">
        <v>4.657534246575338</v>
      </c>
      <c r="G29" s="13">
        <v>5.8694699956197951</v>
      </c>
      <c r="H29" s="13">
        <v>0.81632653061222982</v>
      </c>
      <c r="J29" s="22">
        <v>102.5</v>
      </c>
      <c r="K29" s="13">
        <v>102.8</v>
      </c>
      <c r="L29" s="13">
        <v>102.05056689342403</v>
      </c>
    </row>
    <row r="30" spans="1:12" ht="15.75" x14ac:dyDescent="0.25">
      <c r="A30" s="18">
        <v>37288</v>
      </c>
      <c r="B30" s="27">
        <v>236.8</v>
      </c>
      <c r="C30" s="25">
        <v>252</v>
      </c>
      <c r="D30" s="25">
        <v>198.9</v>
      </c>
      <c r="F30" s="13">
        <v>4.7324192835028782</v>
      </c>
      <c r="G30" s="13">
        <v>5.8823529411764781</v>
      </c>
      <c r="H30" s="13">
        <v>1.1184544992374157</v>
      </c>
      <c r="J30" s="23">
        <v>102</v>
      </c>
      <c r="K30" s="13">
        <v>101.5</v>
      </c>
      <c r="L30" s="13">
        <v>102.41836734693877</v>
      </c>
    </row>
    <row r="31" spans="1:12" ht="15.75" x14ac:dyDescent="0.25">
      <c r="A31" s="18">
        <v>37316</v>
      </c>
      <c r="B31" s="27">
        <v>241.3</v>
      </c>
      <c r="C31" s="25">
        <v>258</v>
      </c>
      <c r="D31" s="25">
        <v>199.7</v>
      </c>
      <c r="F31" s="13">
        <v>4.6854663774403633</v>
      </c>
      <c r="G31" s="13">
        <v>5.6511056511056523</v>
      </c>
      <c r="H31" s="13">
        <v>1.5251652262328435</v>
      </c>
      <c r="J31" s="23">
        <v>101.2</v>
      </c>
      <c r="K31" s="13">
        <v>101.6</v>
      </c>
      <c r="L31" s="13">
        <v>100.5061224489796</v>
      </c>
    </row>
    <row r="32" spans="1:12" ht="15.75" x14ac:dyDescent="0.25">
      <c r="A32" s="18">
        <v>37347</v>
      </c>
      <c r="B32" s="27">
        <v>237.5</v>
      </c>
      <c r="C32" s="25">
        <v>249.6</v>
      </c>
      <c r="D32" s="25">
        <v>207.3</v>
      </c>
      <c r="F32" s="13">
        <v>4.7640052933392241</v>
      </c>
      <c r="G32" s="13">
        <v>4.3478260869565162</v>
      </c>
      <c r="H32" s="13">
        <v>5.9815950920245342</v>
      </c>
      <c r="J32" s="23">
        <v>101</v>
      </c>
      <c r="K32" s="13">
        <v>100.4</v>
      </c>
      <c r="L32" s="13">
        <v>101.6455782312925</v>
      </c>
    </row>
    <row r="33" spans="1:16" ht="15.75" x14ac:dyDescent="0.25">
      <c r="A33" s="18">
        <v>37377</v>
      </c>
      <c r="B33" s="27">
        <v>235</v>
      </c>
      <c r="C33" s="25">
        <v>245.6</v>
      </c>
      <c r="D33" s="25">
        <v>208.5</v>
      </c>
      <c r="F33" s="13">
        <v>4.5838896306186001</v>
      </c>
      <c r="G33" s="13">
        <v>3.9796782387806928</v>
      </c>
      <c r="H33" s="13">
        <v>6.4862104187946841</v>
      </c>
      <c r="J33" s="24">
        <v>100.6</v>
      </c>
      <c r="K33" s="13">
        <v>100.8</v>
      </c>
      <c r="L33" s="13">
        <v>100.25918367346937</v>
      </c>
    </row>
    <row r="34" spans="1:16" ht="15.75" x14ac:dyDescent="0.25">
      <c r="A34" s="18">
        <v>37408</v>
      </c>
      <c r="B34" s="27">
        <v>228.9</v>
      </c>
      <c r="C34" s="25">
        <v>237.1</v>
      </c>
      <c r="D34" s="25">
        <v>208.25</v>
      </c>
      <c r="F34" s="13">
        <v>4.472843450479246</v>
      </c>
      <c r="G34" s="13">
        <v>3.7636761487964918</v>
      </c>
      <c r="H34" s="13">
        <v>6.5506653019447185</v>
      </c>
      <c r="J34" s="24">
        <v>100.3</v>
      </c>
      <c r="K34" s="13">
        <v>100.2</v>
      </c>
      <c r="L34" s="13">
        <v>100.35102040816328</v>
      </c>
    </row>
    <row r="35" spans="1:16" ht="15.75" x14ac:dyDescent="0.25">
      <c r="A35" s="18">
        <v>37438</v>
      </c>
      <c r="B35" s="27">
        <v>226.9</v>
      </c>
      <c r="C35" s="25">
        <v>234.1</v>
      </c>
      <c r="D35" s="25">
        <v>208.91</v>
      </c>
      <c r="F35" s="13">
        <v>4.5140488254260731</v>
      </c>
      <c r="G35" s="13">
        <v>3.8137472283813736</v>
      </c>
      <c r="H35" s="13">
        <v>6.6905005107252151</v>
      </c>
      <c r="J35" s="25">
        <v>101.2</v>
      </c>
      <c r="K35" s="13">
        <v>101.4</v>
      </c>
      <c r="L35" s="13">
        <v>100.96643990929705</v>
      </c>
    </row>
    <row r="36" spans="1:16" ht="15.75" x14ac:dyDescent="0.25">
      <c r="A36" s="18">
        <v>37469</v>
      </c>
      <c r="B36" s="27">
        <v>224.4</v>
      </c>
      <c r="C36" s="25">
        <v>230.4</v>
      </c>
      <c r="D36" s="25">
        <v>209.4</v>
      </c>
      <c r="F36" s="13">
        <v>4.4206607724523082</v>
      </c>
      <c r="G36" s="13">
        <v>3.5971223021582688</v>
      </c>
      <c r="H36" s="13">
        <v>6.9458631256384109</v>
      </c>
      <c r="J36" s="24">
        <v>100.7</v>
      </c>
      <c r="K36" s="13">
        <v>100.6</v>
      </c>
      <c r="L36" s="13">
        <v>100.90544217687074</v>
      </c>
    </row>
    <row r="37" spans="1:16" ht="15.75" x14ac:dyDescent="0.25">
      <c r="A37" s="18">
        <v>37500</v>
      </c>
      <c r="B37" s="27">
        <v>223.1</v>
      </c>
      <c r="C37" s="25">
        <v>228.3</v>
      </c>
      <c r="D37" s="25">
        <v>209.8</v>
      </c>
      <c r="F37" s="13">
        <v>4.4475655430711498</v>
      </c>
      <c r="G37" s="13">
        <v>3.4435885817852352</v>
      </c>
      <c r="H37" s="13">
        <v>7.2049054675523934</v>
      </c>
      <c r="J37" s="24">
        <v>100.8</v>
      </c>
      <c r="K37" s="13">
        <v>101.1</v>
      </c>
      <c r="L37" s="13">
        <v>100.43877551020408</v>
      </c>
    </row>
    <row r="38" spans="1:16" ht="15.75" x14ac:dyDescent="0.25">
      <c r="A38" s="18">
        <v>37530</v>
      </c>
      <c r="B38" s="27">
        <v>224.1</v>
      </c>
      <c r="C38" s="25">
        <v>228.4</v>
      </c>
      <c r="D38" s="25">
        <v>213.1</v>
      </c>
      <c r="F38" s="13">
        <v>4.4755244755244803</v>
      </c>
      <c r="G38" s="13">
        <v>3.0221019395579702</v>
      </c>
      <c r="H38" s="13">
        <v>8.5583290881304066</v>
      </c>
      <c r="J38" s="24">
        <v>100.6</v>
      </c>
      <c r="K38" s="13">
        <v>100.7</v>
      </c>
      <c r="L38" s="13">
        <v>100.45804988662128</v>
      </c>
    </row>
    <row r="39" spans="1:16" ht="15.75" x14ac:dyDescent="0.25">
      <c r="A39" s="18">
        <v>37561</v>
      </c>
      <c r="B39" s="27">
        <v>226.3</v>
      </c>
      <c r="C39" s="25">
        <v>231.1</v>
      </c>
      <c r="D39" s="25">
        <v>213.9545</v>
      </c>
      <c r="F39" s="13">
        <v>4.4783010156971557</v>
      </c>
      <c r="G39" s="13">
        <v>2.9857397504456316</v>
      </c>
      <c r="H39" s="13">
        <v>8.8302150725651387</v>
      </c>
      <c r="J39" s="24">
        <v>100.3</v>
      </c>
      <c r="K39" s="13">
        <v>100.1</v>
      </c>
      <c r="L39" s="13">
        <v>100.48163265306124</v>
      </c>
    </row>
    <row r="40" spans="1:16" ht="15.75" x14ac:dyDescent="0.25">
      <c r="A40" s="18">
        <v>37591</v>
      </c>
      <c r="B40" s="27">
        <v>232.3</v>
      </c>
      <c r="C40" s="25">
        <v>239.1</v>
      </c>
      <c r="D40" s="25">
        <v>215</v>
      </c>
      <c r="F40" s="13">
        <v>4.4044943820224773</v>
      </c>
      <c r="G40" s="13">
        <v>2.8829604130808946</v>
      </c>
      <c r="H40" s="13">
        <v>8.9936363124401737</v>
      </c>
      <c r="J40" s="24">
        <v>100.6</v>
      </c>
      <c r="K40" s="13">
        <v>100.7</v>
      </c>
      <c r="L40" s="13">
        <v>100.4</v>
      </c>
    </row>
    <row r="41" spans="1:16" ht="15.75" x14ac:dyDescent="0.25">
      <c r="A41" s="18">
        <v>37622</v>
      </c>
      <c r="B41" s="27">
        <v>239.3</v>
      </c>
      <c r="C41" s="25">
        <v>248</v>
      </c>
      <c r="D41" s="26">
        <v>216.9</v>
      </c>
      <c r="F41" s="13">
        <v>4.4066317626527223</v>
      </c>
      <c r="G41" s="13">
        <v>2.6065370293752608</v>
      </c>
      <c r="H41" s="13">
        <v>9.7672064777327989</v>
      </c>
      <c r="J41" s="25">
        <v>106</v>
      </c>
      <c r="K41" s="13">
        <v>106.3</v>
      </c>
      <c r="L41" s="13">
        <v>105.41496598639453</v>
      </c>
      <c r="N41" s="13">
        <v>3.4146341463414664</v>
      </c>
      <c r="O41" s="13">
        <v>3.4046692607003992</v>
      </c>
      <c r="P41" s="13">
        <v>3.2967960839297428</v>
      </c>
    </row>
    <row r="42" spans="1:16" ht="15.75" x14ac:dyDescent="0.25">
      <c r="A42" s="18">
        <v>37653</v>
      </c>
      <c r="B42" s="27">
        <v>246.7</v>
      </c>
      <c r="C42" s="25">
        <v>258.3</v>
      </c>
      <c r="D42" s="25">
        <v>217.6</v>
      </c>
      <c r="F42" s="13">
        <v>4.1807432432432279</v>
      </c>
      <c r="G42" s="13">
        <v>2.5000000000000142</v>
      </c>
      <c r="H42" s="13">
        <v>9.4017094017093967</v>
      </c>
      <c r="J42" s="25">
        <v>105.5</v>
      </c>
      <c r="K42" s="13">
        <v>105.9</v>
      </c>
      <c r="L42" s="13">
        <v>104.57097505668933</v>
      </c>
      <c r="N42" s="13">
        <v>3.4313725490196179</v>
      </c>
      <c r="O42" s="13">
        <v>4.3349753694581272</v>
      </c>
      <c r="P42" s="13">
        <v>2.1017789733541514</v>
      </c>
    </row>
    <row r="43" spans="1:16" ht="15.75" x14ac:dyDescent="0.25">
      <c r="A43" s="18">
        <v>37681</v>
      </c>
      <c r="B43" s="27">
        <v>251.4</v>
      </c>
      <c r="C43" s="25">
        <v>264.7</v>
      </c>
      <c r="D43" s="26">
        <v>218.1</v>
      </c>
      <c r="F43" s="13">
        <v>4.1856610029009431</v>
      </c>
      <c r="G43" s="13">
        <v>2.5968992248061937</v>
      </c>
      <c r="H43" s="13">
        <v>9.1953903076837946</v>
      </c>
      <c r="J43" s="24">
        <v>104.7</v>
      </c>
      <c r="K43" s="13">
        <v>105.3</v>
      </c>
      <c r="L43" s="13">
        <v>103.45555555555553</v>
      </c>
      <c r="N43" s="13">
        <v>3.4584980237154062</v>
      </c>
      <c r="O43" s="13">
        <v>3.6417322834645605</v>
      </c>
      <c r="P43" s="13">
        <v>2.9345805357013699</v>
      </c>
    </row>
    <row r="44" spans="1:16" ht="15.75" x14ac:dyDescent="0.25">
      <c r="A44" s="18">
        <v>37712</v>
      </c>
      <c r="B44" s="27">
        <v>247.8</v>
      </c>
      <c r="C44" s="25">
        <v>259.10000000000002</v>
      </c>
      <c r="D44" s="25">
        <v>219.5</v>
      </c>
      <c r="F44" s="13">
        <v>4.3368421052631732</v>
      </c>
      <c r="G44" s="13">
        <v>3.8060897435897516</v>
      </c>
      <c r="H44" s="13">
        <v>5.8811706062067799</v>
      </c>
      <c r="J44" s="25">
        <v>104.5</v>
      </c>
      <c r="K44" s="13">
        <v>105.1</v>
      </c>
      <c r="L44" s="13">
        <v>103.38390022675738</v>
      </c>
      <c r="N44" s="13">
        <v>3.4653465346534684</v>
      </c>
      <c r="O44" s="13">
        <v>4.6812749003984022</v>
      </c>
      <c r="P44" s="13">
        <v>1.7101796514053413</v>
      </c>
    </row>
    <row r="45" spans="1:16" ht="15.75" x14ac:dyDescent="0.25">
      <c r="A45" s="18">
        <v>37742</v>
      </c>
      <c r="B45" s="27">
        <v>245.1</v>
      </c>
      <c r="C45" s="25">
        <v>255.2</v>
      </c>
      <c r="D45" s="26">
        <v>219.7</v>
      </c>
      <c r="F45" s="13">
        <v>4.2978723404255277</v>
      </c>
      <c r="G45" s="13">
        <v>3.9087947882736103</v>
      </c>
      <c r="H45" s="13">
        <v>5.3758659738875707</v>
      </c>
      <c r="J45" s="24">
        <v>104.3</v>
      </c>
      <c r="K45" s="13">
        <v>105.8</v>
      </c>
      <c r="L45" s="13">
        <v>101.83990929705213</v>
      </c>
      <c r="N45" s="13">
        <v>3.6779324055665974</v>
      </c>
      <c r="O45" s="13">
        <v>4.9603174603174649</v>
      </c>
      <c r="P45" s="13">
        <v>1.5766392321036493</v>
      </c>
    </row>
    <row r="46" spans="1:16" ht="15.75" x14ac:dyDescent="0.25">
      <c r="A46" s="18">
        <v>37773</v>
      </c>
      <c r="B46" s="27">
        <v>239</v>
      </c>
      <c r="C46" s="25">
        <v>247.2</v>
      </c>
      <c r="D46" s="26">
        <v>218.5</v>
      </c>
      <c r="F46" s="13">
        <v>4.4124071647007526</v>
      </c>
      <c r="G46" s="13">
        <v>4.2598059890341773</v>
      </c>
      <c r="H46" s="13">
        <v>4.9423297577116045</v>
      </c>
      <c r="J46" s="24">
        <v>103.9</v>
      </c>
      <c r="K46" s="13">
        <v>105.8</v>
      </c>
      <c r="L46" s="13">
        <v>101.15668934240361</v>
      </c>
      <c r="N46" s="13">
        <v>3.5892323030907392</v>
      </c>
      <c r="O46" s="13">
        <v>5.5888223552894134</v>
      </c>
      <c r="P46" s="13">
        <v>0.80285076421084955</v>
      </c>
    </row>
    <row r="47" spans="1:16" ht="15.75" x14ac:dyDescent="0.25">
      <c r="A47" s="18">
        <v>37803</v>
      </c>
      <c r="B47" s="27">
        <v>237.2</v>
      </c>
      <c r="C47" s="25">
        <v>244.7</v>
      </c>
      <c r="D47" s="26">
        <v>218.4</v>
      </c>
      <c r="F47" s="13">
        <v>4.5394446892904341</v>
      </c>
      <c r="G47" s="13">
        <v>4.5279794959419064</v>
      </c>
      <c r="H47" s="13">
        <v>4.528349555874712</v>
      </c>
      <c r="J47" s="24">
        <v>104.8</v>
      </c>
      <c r="K47" s="13">
        <v>105.3</v>
      </c>
      <c r="L47" s="13">
        <v>103.93990929705215</v>
      </c>
      <c r="N47" s="13">
        <v>3.5573122529644285</v>
      </c>
      <c r="O47" s="13">
        <v>3.8461538461538325</v>
      </c>
      <c r="P47" s="13">
        <v>2.9450076584123464</v>
      </c>
    </row>
    <row r="48" spans="1:16" ht="15.75" x14ac:dyDescent="0.25">
      <c r="A48" s="18">
        <v>37834</v>
      </c>
      <c r="B48" s="27">
        <v>234.5</v>
      </c>
      <c r="C48" s="25">
        <v>241.4</v>
      </c>
      <c r="D48" s="26">
        <v>217.3</v>
      </c>
      <c r="F48" s="13">
        <v>4.5008912655971471</v>
      </c>
      <c r="G48" s="13">
        <v>4.7743055555555571</v>
      </c>
      <c r="H48" s="13">
        <v>3.7627347978351082</v>
      </c>
      <c r="J48" s="24">
        <v>104.2</v>
      </c>
      <c r="K48" s="13">
        <v>105.1</v>
      </c>
      <c r="L48" s="13">
        <v>102.97482993197279</v>
      </c>
      <c r="N48" s="13">
        <v>3.4756703078450801</v>
      </c>
      <c r="O48" s="13">
        <v>4.4731610337972239</v>
      </c>
      <c r="P48" s="13">
        <v>2.05081877692459</v>
      </c>
    </row>
    <row r="49" spans="1:16" ht="15.75" x14ac:dyDescent="0.25">
      <c r="A49" s="18">
        <v>37865</v>
      </c>
      <c r="B49" s="27">
        <v>233.1</v>
      </c>
      <c r="C49" s="25">
        <v>239.4</v>
      </c>
      <c r="D49" s="26">
        <v>216.9</v>
      </c>
      <c r="F49" s="13">
        <v>4.4822949350067205</v>
      </c>
      <c r="G49" s="13">
        <v>4.8620236530880305</v>
      </c>
      <c r="H49" s="13">
        <v>3.3750728206757685</v>
      </c>
      <c r="J49" s="24">
        <v>104.5</v>
      </c>
      <c r="K49" s="13">
        <v>106.3</v>
      </c>
      <c r="L49" s="13">
        <v>101.8716553287982</v>
      </c>
      <c r="N49" s="13">
        <v>3.6706349206349298</v>
      </c>
      <c r="O49" s="13">
        <v>5.143422354104854</v>
      </c>
      <c r="P49" s="13">
        <v>1.4266201587140426</v>
      </c>
    </row>
    <row r="50" spans="1:16" ht="15.75" x14ac:dyDescent="0.25">
      <c r="A50" s="18">
        <v>37895</v>
      </c>
      <c r="B50" s="27">
        <v>234.5</v>
      </c>
      <c r="C50" s="25">
        <v>241.5</v>
      </c>
      <c r="D50" s="26">
        <v>216.8</v>
      </c>
      <c r="F50" s="13">
        <v>4.6407853636769403</v>
      </c>
      <c r="G50" s="13">
        <v>5.7355516637478132</v>
      </c>
      <c r="H50" s="13">
        <v>1.7595742739454892</v>
      </c>
      <c r="J50" s="24">
        <v>104.2</v>
      </c>
      <c r="K50" s="13">
        <v>105.4</v>
      </c>
      <c r="L50" s="13">
        <v>102.65487528344671</v>
      </c>
      <c r="N50" s="13">
        <v>3.5785288270377746</v>
      </c>
      <c r="O50" s="13">
        <v>4.6673286991062657</v>
      </c>
      <c r="P50" s="13">
        <v>2.1868087219538923</v>
      </c>
    </row>
    <row r="51" spans="1:16" ht="15.75" x14ac:dyDescent="0.25">
      <c r="A51" s="18">
        <v>37926</v>
      </c>
      <c r="B51" s="27">
        <v>236.8</v>
      </c>
      <c r="C51" s="25">
        <v>244.6</v>
      </c>
      <c r="D51" s="26">
        <v>217</v>
      </c>
      <c r="F51" s="13">
        <v>4.6398585947856787</v>
      </c>
      <c r="G51" s="13">
        <v>5.8416270012981357</v>
      </c>
      <c r="H51" s="13">
        <v>1.4158292435927535</v>
      </c>
      <c r="J51" s="24">
        <v>103.7</v>
      </c>
      <c r="K51" s="13">
        <v>104.8</v>
      </c>
      <c r="L51" s="13">
        <v>102.03786848072563</v>
      </c>
      <c r="N51" s="13">
        <v>3.3898305084745894</v>
      </c>
      <c r="O51" s="13">
        <v>4.6953046953047028</v>
      </c>
      <c r="P51" s="13">
        <v>1.548776414728148</v>
      </c>
    </row>
    <row r="52" spans="1:16" ht="15.75" x14ac:dyDescent="0.25">
      <c r="A52" s="18">
        <v>37956</v>
      </c>
      <c r="B52" s="27">
        <v>242.9</v>
      </c>
      <c r="C52" s="25">
        <v>253</v>
      </c>
      <c r="D52" s="26">
        <v>217.5</v>
      </c>
      <c r="F52" s="13">
        <v>4.5630650021523707</v>
      </c>
      <c r="G52" s="13">
        <v>5.8134671685487405</v>
      </c>
      <c r="H52" s="13">
        <v>1.1436589335537946</v>
      </c>
      <c r="J52" s="24">
        <v>104</v>
      </c>
      <c r="K52" s="13">
        <v>105.6</v>
      </c>
      <c r="L52" s="13">
        <v>101.77301587301586</v>
      </c>
      <c r="N52" s="13">
        <v>3.3797216699801291</v>
      </c>
      <c r="O52" s="13">
        <v>4.8659384309831077</v>
      </c>
      <c r="P52" s="13">
        <v>1.3675456902548344</v>
      </c>
    </row>
    <row r="53" spans="1:16" ht="15.75" x14ac:dyDescent="0.25">
      <c r="A53" s="18">
        <v>37987</v>
      </c>
      <c r="B53" s="27">
        <v>250.5</v>
      </c>
      <c r="C53" s="25">
        <v>263.3</v>
      </c>
      <c r="D53" s="26">
        <v>218.4</v>
      </c>
      <c r="F53" s="13">
        <v>4.680317592979506</v>
      </c>
      <c r="G53" s="13">
        <v>6.1693548387096797</v>
      </c>
      <c r="H53" s="13">
        <v>0.68355873162235525</v>
      </c>
      <c r="J53" s="24">
        <v>109.8</v>
      </c>
      <c r="K53" s="13">
        <v>112.6</v>
      </c>
      <c r="L53" s="13">
        <v>105.64897959183673</v>
      </c>
      <c r="N53" s="13">
        <v>3.5849056603773466</v>
      </c>
      <c r="O53" s="13">
        <v>5.9266227657572834</v>
      </c>
      <c r="P53" s="13">
        <v>0.22199277232837211</v>
      </c>
    </row>
    <row r="54" spans="1:16" ht="15.75" x14ac:dyDescent="0.25">
      <c r="A54" s="18">
        <v>38018</v>
      </c>
      <c r="B54" s="27">
        <v>258.5</v>
      </c>
      <c r="C54" s="25">
        <v>274.2</v>
      </c>
      <c r="D54" s="26">
        <v>219.2</v>
      </c>
      <c r="F54" s="13">
        <v>4.7831374138629963</v>
      </c>
      <c r="G54" s="13">
        <v>6.1556329849012688</v>
      </c>
      <c r="H54" s="13">
        <v>0.7442299836601548</v>
      </c>
      <c r="J54" s="24">
        <v>109.5</v>
      </c>
      <c r="K54" s="13">
        <v>112.9</v>
      </c>
      <c r="L54" s="13">
        <v>104.78095238095239</v>
      </c>
      <c r="N54" s="13">
        <v>3.7914691943127909</v>
      </c>
      <c r="O54" s="13">
        <v>6.6100094428706235</v>
      </c>
      <c r="P54" s="13">
        <v>0.20079885852573032</v>
      </c>
    </row>
    <row r="55" spans="1:16" ht="15.75" x14ac:dyDescent="0.25">
      <c r="A55" s="18">
        <v>38047</v>
      </c>
      <c r="B55" s="27">
        <v>263.39999999999998</v>
      </c>
      <c r="C55" s="25">
        <v>280.89999999999998</v>
      </c>
      <c r="D55" s="26">
        <v>219.7</v>
      </c>
      <c r="F55" s="13">
        <v>4.7732696897374591</v>
      </c>
      <c r="G55" s="13">
        <v>6.1201360030222851</v>
      </c>
      <c r="H55" s="13">
        <v>0.77704284244816091</v>
      </c>
      <c r="J55" s="24">
        <v>108.9</v>
      </c>
      <c r="K55" s="13">
        <v>112.7</v>
      </c>
      <c r="L55" s="13">
        <v>103.32630385487529</v>
      </c>
      <c r="N55" s="13">
        <v>4.0114613180515679</v>
      </c>
      <c r="O55" s="13">
        <v>7.0275403608736964</v>
      </c>
      <c r="P55" s="13">
        <v>-0.12493451896919971</v>
      </c>
    </row>
    <row r="56" spans="1:16" ht="15.75" x14ac:dyDescent="0.25">
      <c r="A56" s="18">
        <v>38078</v>
      </c>
      <c r="B56" s="27">
        <v>263.8</v>
      </c>
      <c r="C56" s="25">
        <v>281.8</v>
      </c>
      <c r="D56" s="26">
        <v>219</v>
      </c>
      <c r="F56" s="13">
        <v>6.456820016142049</v>
      </c>
      <c r="G56" s="13">
        <v>8.7610961018911571</v>
      </c>
      <c r="H56" s="13">
        <v>-0.23491780249818364</v>
      </c>
      <c r="J56" s="24">
        <v>109.4</v>
      </c>
      <c r="K56" s="13">
        <v>113.9</v>
      </c>
      <c r="L56" s="13">
        <v>102.853514739229</v>
      </c>
      <c r="N56" s="13">
        <v>4.6889952153110093</v>
      </c>
      <c r="O56" s="13">
        <v>8.3729781160799313</v>
      </c>
      <c r="P56" s="13">
        <v>-0.51302522575087384</v>
      </c>
    </row>
    <row r="57" spans="1:16" ht="15.75" x14ac:dyDescent="0.25">
      <c r="A57" s="18">
        <v>38108</v>
      </c>
      <c r="B57" s="27">
        <v>260.89999999999998</v>
      </c>
      <c r="C57" s="25">
        <v>277.7</v>
      </c>
      <c r="D57" s="26">
        <v>219.1</v>
      </c>
      <c r="F57" s="13">
        <v>6.4463484292125592</v>
      </c>
      <c r="G57" s="13">
        <v>8.8166144200626952</v>
      </c>
      <c r="H57" s="13">
        <v>-0.28936675932937106</v>
      </c>
      <c r="J57" s="24">
        <v>108.8</v>
      </c>
      <c r="K57" s="13">
        <v>112.2</v>
      </c>
      <c r="L57" s="13">
        <v>103.88843537414967</v>
      </c>
      <c r="N57" s="13">
        <v>4.3144774688398835</v>
      </c>
      <c r="O57" s="13">
        <v>6.0491493383743045</v>
      </c>
      <c r="P57" s="13">
        <v>2.0115160070717231</v>
      </c>
    </row>
    <row r="58" spans="1:16" ht="15.75" x14ac:dyDescent="0.25">
      <c r="A58" s="18">
        <v>38139</v>
      </c>
      <c r="B58" s="27">
        <v>254.1</v>
      </c>
      <c r="C58" s="25">
        <v>268.39999999999998</v>
      </c>
      <c r="D58" s="26">
        <v>218.6</v>
      </c>
      <c r="F58" s="13">
        <v>6.3179916317991607</v>
      </c>
      <c r="G58" s="13">
        <v>8.5760517799352698</v>
      </c>
      <c r="H58" s="13">
        <v>5.244330163958566E-2</v>
      </c>
      <c r="J58" s="24">
        <v>108.3</v>
      </c>
      <c r="K58" s="13">
        <v>111</v>
      </c>
      <c r="L58" s="13">
        <v>104.34421768707483</v>
      </c>
      <c r="N58" s="13">
        <v>4.2348411934552299</v>
      </c>
      <c r="O58" s="13">
        <v>4.914933837429114</v>
      </c>
      <c r="P58" s="13">
        <v>3.1510801365610241</v>
      </c>
    </row>
    <row r="59" spans="1:16" ht="15.75" x14ac:dyDescent="0.25">
      <c r="A59" s="18">
        <v>38169</v>
      </c>
      <c r="B59" s="27">
        <v>251.9</v>
      </c>
      <c r="C59" s="25">
        <v>265.10000000000002</v>
      </c>
      <c r="D59" s="26">
        <v>218.8</v>
      </c>
      <c r="F59" s="13">
        <v>6.1973018549747119</v>
      </c>
      <c r="G59" s="13">
        <v>8.3367388639150128</v>
      </c>
      <c r="H59" s="13">
        <v>0.26777933964723866</v>
      </c>
      <c r="J59" s="24">
        <v>109.1</v>
      </c>
      <c r="K59" s="13">
        <v>110.9</v>
      </c>
      <c r="L59" s="13">
        <v>106.26825396825399</v>
      </c>
      <c r="N59" s="13">
        <v>4.1030534351145009</v>
      </c>
      <c r="O59" s="13">
        <v>5.3181386514719931</v>
      </c>
      <c r="P59" s="13">
        <v>2.2400872647941217</v>
      </c>
    </row>
    <row r="60" spans="1:16" ht="15.75" x14ac:dyDescent="0.25">
      <c r="A60" s="18">
        <v>38200</v>
      </c>
      <c r="B60" s="27">
        <v>249.1</v>
      </c>
      <c r="C60" s="25">
        <v>261.3</v>
      </c>
      <c r="D60" s="26">
        <v>218.9</v>
      </c>
      <c r="F60" s="13">
        <v>6.2260127931769702</v>
      </c>
      <c r="G60" s="13">
        <v>8.243579121789562</v>
      </c>
      <c r="H60" s="13">
        <v>0.69467083437203991</v>
      </c>
      <c r="J60" s="24">
        <v>108.5</v>
      </c>
      <c r="K60" s="13">
        <v>111.3</v>
      </c>
      <c r="L60" s="13">
        <v>104.48344671201816</v>
      </c>
      <c r="N60" s="13">
        <v>4.1266794625719694</v>
      </c>
      <c r="O60" s="13">
        <v>5.899143672692686</v>
      </c>
      <c r="P60" s="13">
        <v>1.4650344953635708</v>
      </c>
    </row>
    <row r="61" spans="1:16" x14ac:dyDescent="0.2">
      <c r="A61" s="18">
        <v>38231</v>
      </c>
      <c r="J61" s="24">
        <v>108.7</v>
      </c>
      <c r="K61" s="13">
        <v>111.2</v>
      </c>
      <c r="L61" s="13">
        <v>105.10589569161</v>
      </c>
      <c r="N61" s="13">
        <v>4.0191387559808556</v>
      </c>
      <c r="O61" s="13">
        <v>4.6095954844779019</v>
      </c>
      <c r="P61" s="13">
        <v>3.174818699443982</v>
      </c>
    </row>
    <row r="62" spans="1:16" ht="15.75" x14ac:dyDescent="0.25">
      <c r="A62" s="18">
        <v>38261</v>
      </c>
      <c r="J62" s="34"/>
      <c r="K62" s="13">
        <v>110.9</v>
      </c>
      <c r="L62" s="13">
        <v>105.20294784580499</v>
      </c>
      <c r="N62" s="13">
        <v>4.2226487523992162</v>
      </c>
      <c r="O62" s="13">
        <v>5.2182163187855846</v>
      </c>
      <c r="P62" s="13">
        <v>2.4821739399347953</v>
      </c>
    </row>
    <row r="63" spans="1:16" ht="15.75" x14ac:dyDescent="0.25">
      <c r="A63" s="18">
        <v>38292</v>
      </c>
      <c r="J63" s="35"/>
    </row>
    <row r="64" spans="1:16" ht="15.75" x14ac:dyDescent="0.25">
      <c r="A64" s="18">
        <v>38322</v>
      </c>
      <c r="J64" s="35"/>
    </row>
    <row r="65" spans="1:10" ht="15.75" x14ac:dyDescent="0.25">
      <c r="A65" s="18">
        <v>38353</v>
      </c>
      <c r="J65" s="35"/>
    </row>
    <row r="66" spans="1:10" ht="15.75" x14ac:dyDescent="0.25">
      <c r="A66" s="18">
        <v>38384</v>
      </c>
      <c r="J66" s="35"/>
    </row>
    <row r="67" spans="1:10" ht="15.75" x14ac:dyDescent="0.25">
      <c r="A67" s="18">
        <v>38412</v>
      </c>
      <c r="J67" s="35"/>
    </row>
    <row r="68" spans="1:10" ht="15.75" x14ac:dyDescent="0.25">
      <c r="A68" s="18">
        <v>38443</v>
      </c>
      <c r="J68" s="35"/>
    </row>
    <row r="69" spans="1:10" ht="15.75" x14ac:dyDescent="0.25">
      <c r="A69" s="18">
        <v>38473</v>
      </c>
      <c r="J69" s="35"/>
    </row>
    <row r="70" spans="1:10" ht="15.75" x14ac:dyDescent="0.25">
      <c r="A70" s="18">
        <v>38504</v>
      </c>
      <c r="J70" s="35"/>
    </row>
    <row r="71" spans="1:10" x14ac:dyDescent="0.2">
      <c r="A71" s="18">
        <v>38534</v>
      </c>
      <c r="J71" s="28"/>
    </row>
    <row r="72" spans="1:10" x14ac:dyDescent="0.2">
      <c r="A72" s="18">
        <v>38565</v>
      </c>
      <c r="J72" s="28"/>
    </row>
    <row r="73" spans="1:10" x14ac:dyDescent="0.2">
      <c r="A73" s="18">
        <v>38596</v>
      </c>
      <c r="J73" s="28"/>
    </row>
    <row r="74" spans="1:10" x14ac:dyDescent="0.2">
      <c r="A74" s="18">
        <v>38626</v>
      </c>
    </row>
    <row r="75" spans="1:10" x14ac:dyDescent="0.2">
      <c r="A75" s="18">
        <v>38657</v>
      </c>
    </row>
    <row r="76" spans="1:10" x14ac:dyDescent="0.2">
      <c r="A76" s="18">
        <v>38687</v>
      </c>
    </row>
    <row r="77" spans="1:10" x14ac:dyDescent="0.2">
      <c r="B77" s="13"/>
      <c r="C77" s="13"/>
      <c r="D77" s="13"/>
      <c r="E77" s="13"/>
    </row>
    <row r="78" spans="1:10" x14ac:dyDescent="0.2">
      <c r="B78" s="13"/>
      <c r="C78" s="13"/>
      <c r="D78" s="13"/>
      <c r="E78" s="13"/>
    </row>
    <row r="79" spans="1:10" x14ac:dyDescent="0.2">
      <c r="B79" s="13"/>
      <c r="C79" s="13"/>
      <c r="D79" s="13"/>
      <c r="E79" s="13"/>
    </row>
    <row r="80" spans="1:10" x14ac:dyDescent="0.2">
      <c r="B80" s="13"/>
      <c r="C80" s="13"/>
      <c r="D80" s="13"/>
      <c r="E80" s="13"/>
    </row>
    <row r="81" spans="2:5" x14ac:dyDescent="0.2">
      <c r="B81" s="13"/>
      <c r="C81" s="13"/>
      <c r="D81" s="13"/>
      <c r="E81" s="13"/>
    </row>
    <row r="82" spans="2:5" x14ac:dyDescent="0.2">
      <c r="B82" s="13"/>
      <c r="C82" s="13"/>
      <c r="D82" s="13"/>
      <c r="E82" s="13"/>
    </row>
    <row r="83" spans="2:5" x14ac:dyDescent="0.2">
      <c r="B83" s="13"/>
      <c r="C83" s="13"/>
      <c r="D83" s="13"/>
      <c r="E83" s="13"/>
    </row>
    <row r="84" spans="2:5" x14ac:dyDescent="0.2">
      <c r="B84" s="13"/>
      <c r="C84" s="13"/>
      <c r="D84" s="13"/>
      <c r="E84" s="13"/>
    </row>
    <row r="85" spans="2:5" x14ac:dyDescent="0.2">
      <c r="B85" s="13"/>
      <c r="C85" s="13"/>
      <c r="D85" s="13"/>
      <c r="E85" s="13"/>
    </row>
    <row r="86" spans="2:5" x14ac:dyDescent="0.2">
      <c r="B86" s="13"/>
      <c r="C86" s="13"/>
      <c r="D86" s="13"/>
      <c r="E86" s="13"/>
    </row>
    <row r="87" spans="2:5" x14ac:dyDescent="0.2">
      <c r="B87" s="13"/>
      <c r="C87" s="13"/>
      <c r="D87" s="13"/>
      <c r="E87" s="13"/>
    </row>
    <row r="88" spans="2:5" x14ac:dyDescent="0.2">
      <c r="B88" s="13"/>
      <c r="C88" s="13"/>
      <c r="D88" s="13"/>
      <c r="E88" s="13"/>
    </row>
    <row r="89" spans="2:5" x14ac:dyDescent="0.2">
      <c r="B89" s="13"/>
      <c r="C89" s="13"/>
      <c r="D89" s="13"/>
      <c r="E89" s="13"/>
    </row>
    <row r="90" spans="2:5" x14ac:dyDescent="0.2">
      <c r="B90" s="13"/>
      <c r="C90" s="13"/>
      <c r="D90" s="13"/>
      <c r="E90" s="13"/>
    </row>
    <row r="91" spans="2:5" x14ac:dyDescent="0.2">
      <c r="B91" s="13"/>
      <c r="C91" s="13"/>
      <c r="D91" s="13"/>
      <c r="E91" s="13"/>
    </row>
    <row r="92" spans="2:5" x14ac:dyDescent="0.2">
      <c r="B92" s="13"/>
      <c r="C92" s="13"/>
      <c r="D92" s="13"/>
      <c r="E92" s="13"/>
    </row>
    <row r="93" spans="2:5" x14ac:dyDescent="0.2">
      <c r="B93" s="13"/>
      <c r="C93" s="13"/>
      <c r="D93" s="13"/>
      <c r="E93" s="13"/>
    </row>
    <row r="94" spans="2:5" x14ac:dyDescent="0.2">
      <c r="B94" s="13"/>
      <c r="C94" s="13"/>
      <c r="D94" s="13"/>
      <c r="E94" s="13"/>
    </row>
    <row r="95" spans="2:5" x14ac:dyDescent="0.2">
      <c r="B95" s="13"/>
      <c r="C95" s="13"/>
      <c r="D95" s="13"/>
      <c r="E95" s="13"/>
    </row>
    <row r="96" spans="2:5" x14ac:dyDescent="0.2">
      <c r="B96" s="13"/>
      <c r="C96" s="13"/>
      <c r="D96" s="13"/>
      <c r="E96" s="13"/>
    </row>
    <row r="97" spans="2:5" x14ac:dyDescent="0.2">
      <c r="B97" s="13"/>
      <c r="C97" s="13"/>
      <c r="D97" s="13"/>
      <c r="E97" s="13"/>
    </row>
    <row r="98" spans="2:5" x14ac:dyDescent="0.2">
      <c r="B98" s="13"/>
      <c r="C98" s="13"/>
      <c r="D98" s="13"/>
      <c r="E98" s="13"/>
    </row>
    <row r="99" spans="2:5" x14ac:dyDescent="0.2">
      <c r="B99" s="13"/>
      <c r="C99" s="13"/>
      <c r="D99" s="13"/>
      <c r="E99" s="13"/>
    </row>
    <row r="100" spans="2:5" x14ac:dyDescent="0.2">
      <c r="B100" s="13"/>
      <c r="C100" s="13"/>
      <c r="D100" s="13"/>
      <c r="E100" s="13"/>
    </row>
    <row r="101" spans="2:5" x14ac:dyDescent="0.2">
      <c r="B101" s="13"/>
      <c r="C101" s="13"/>
      <c r="D101" s="13"/>
      <c r="E101" s="13"/>
    </row>
    <row r="102" spans="2:5" x14ac:dyDescent="0.2">
      <c r="B102" s="13"/>
      <c r="C102" s="13"/>
      <c r="D102" s="13"/>
      <c r="E102" s="13"/>
    </row>
    <row r="103" spans="2:5" x14ac:dyDescent="0.2">
      <c r="B103" s="13"/>
      <c r="C103" s="13"/>
      <c r="D103" s="13"/>
      <c r="E103" s="13"/>
    </row>
    <row r="104" spans="2:5" x14ac:dyDescent="0.2">
      <c r="B104" s="13"/>
      <c r="C104" s="13"/>
      <c r="D104" s="13"/>
      <c r="E104" s="13"/>
    </row>
    <row r="105" spans="2:5" x14ac:dyDescent="0.2">
      <c r="B105" s="13"/>
      <c r="C105" s="13"/>
      <c r="D105" s="13"/>
      <c r="E105" s="13"/>
    </row>
    <row r="106" spans="2:5" x14ac:dyDescent="0.2">
      <c r="B106" s="13"/>
      <c r="C106" s="13"/>
      <c r="D106" s="13"/>
      <c r="E106" s="13"/>
    </row>
    <row r="107" spans="2:5" x14ac:dyDescent="0.2">
      <c r="B107" s="13"/>
      <c r="C107" s="13"/>
      <c r="D107" s="13"/>
      <c r="E107" s="13"/>
    </row>
    <row r="108" spans="2:5" x14ac:dyDescent="0.2">
      <c r="B108" s="13"/>
      <c r="C108" s="13"/>
      <c r="D108" s="13"/>
      <c r="E108" s="13"/>
    </row>
    <row r="109" spans="2:5" x14ac:dyDescent="0.2">
      <c r="B109" s="13"/>
      <c r="C109" s="13"/>
      <c r="D109" s="13"/>
      <c r="E109" s="13"/>
    </row>
    <row r="110" spans="2:5" x14ac:dyDescent="0.2">
      <c r="B110" s="13"/>
      <c r="C110" s="13"/>
      <c r="D110" s="13"/>
      <c r="E110" s="13"/>
    </row>
    <row r="111" spans="2:5" x14ac:dyDescent="0.2">
      <c r="B111" s="13"/>
      <c r="C111" s="13"/>
      <c r="D111" s="13"/>
      <c r="E111" s="13"/>
    </row>
    <row r="112" spans="2:5" x14ac:dyDescent="0.2">
      <c r="B112" s="13"/>
      <c r="C112" s="13"/>
      <c r="D112" s="13"/>
      <c r="E112" s="13"/>
    </row>
    <row r="113" spans="2:5" x14ac:dyDescent="0.2">
      <c r="B113" s="13"/>
      <c r="C113" s="13"/>
      <c r="D113" s="13"/>
      <c r="E113" s="13"/>
    </row>
    <row r="114" spans="2:5" x14ac:dyDescent="0.2">
      <c r="B114" s="13"/>
      <c r="C114" s="13"/>
      <c r="D114" s="13"/>
      <c r="E114" s="13"/>
    </row>
    <row r="115" spans="2:5" x14ac:dyDescent="0.2">
      <c r="B115" s="13"/>
      <c r="C115" s="13"/>
      <c r="D115" s="13"/>
      <c r="E115" s="13"/>
    </row>
    <row r="116" spans="2:5" x14ac:dyDescent="0.2">
      <c r="B116" s="13"/>
      <c r="C116" s="13"/>
      <c r="D116" s="13"/>
      <c r="E116" s="13"/>
    </row>
    <row r="117" spans="2:5" x14ac:dyDescent="0.2">
      <c r="B117" s="13"/>
      <c r="C117" s="13"/>
      <c r="D117" s="13"/>
      <c r="E117" s="13"/>
    </row>
    <row r="118" spans="2:5" x14ac:dyDescent="0.2">
      <c r="B118" s="13"/>
      <c r="C118" s="13"/>
      <c r="D118" s="13"/>
      <c r="E118" s="13"/>
    </row>
    <row r="119" spans="2:5" x14ac:dyDescent="0.2">
      <c r="B119" s="13"/>
      <c r="C119" s="13"/>
      <c r="D119" s="13"/>
      <c r="E119" s="13"/>
    </row>
    <row r="120" spans="2:5" x14ac:dyDescent="0.2">
      <c r="B120" s="13"/>
      <c r="C120" s="13"/>
      <c r="D120" s="13"/>
      <c r="E120" s="13"/>
    </row>
    <row r="121" spans="2:5" x14ac:dyDescent="0.2">
      <c r="B121" s="13"/>
      <c r="C121" s="13"/>
      <c r="D121" s="13"/>
      <c r="E121" s="13"/>
    </row>
    <row r="122" spans="2:5" x14ac:dyDescent="0.2">
      <c r="B122" s="13"/>
      <c r="C122" s="13"/>
      <c r="D122" s="13"/>
      <c r="E122" s="13"/>
    </row>
    <row r="123" spans="2:5" x14ac:dyDescent="0.2">
      <c r="B123" s="13"/>
      <c r="C123" s="13"/>
      <c r="D123" s="13"/>
      <c r="E123" s="13"/>
    </row>
    <row r="124" spans="2:5" x14ac:dyDescent="0.2">
      <c r="B124" s="13"/>
      <c r="C124" s="13"/>
      <c r="D124" s="13"/>
      <c r="E124" s="13"/>
    </row>
    <row r="125" spans="2:5" x14ac:dyDescent="0.2">
      <c r="B125" s="13"/>
      <c r="C125" s="13"/>
      <c r="D125" s="13"/>
      <c r="E125" s="13"/>
    </row>
    <row r="126" spans="2:5" x14ac:dyDescent="0.2">
      <c r="B126" s="13"/>
      <c r="C126" s="13"/>
      <c r="D126" s="13"/>
      <c r="E126" s="13"/>
    </row>
    <row r="127" spans="2:5" x14ac:dyDescent="0.2">
      <c r="B127" s="13"/>
      <c r="C127" s="13"/>
      <c r="D127" s="13"/>
      <c r="E127" s="13"/>
    </row>
    <row r="128" spans="2:5" x14ac:dyDescent="0.2">
      <c r="B128" s="13"/>
      <c r="C128" s="13"/>
      <c r="D128" s="13"/>
      <c r="E128" s="13"/>
    </row>
    <row r="129" spans="2:5" x14ac:dyDescent="0.2">
      <c r="B129" s="13"/>
      <c r="C129" s="13"/>
      <c r="D129" s="13"/>
      <c r="E129" s="13"/>
    </row>
    <row r="130" spans="2:5" x14ac:dyDescent="0.2">
      <c r="B130" s="13"/>
      <c r="C130" s="13"/>
      <c r="D130" s="13"/>
      <c r="E130" s="13"/>
    </row>
    <row r="131" spans="2:5" x14ac:dyDescent="0.2">
      <c r="B131" s="13"/>
      <c r="C131" s="13"/>
      <c r="D131" s="13"/>
      <c r="E131" s="13"/>
    </row>
    <row r="132" spans="2:5" x14ac:dyDescent="0.2">
      <c r="B132" s="13"/>
      <c r="C132" s="13"/>
      <c r="D132" s="13"/>
      <c r="E132" s="13"/>
    </row>
  </sheetData>
  <mergeCells count="2">
    <mergeCell ref="F3:H3"/>
    <mergeCell ref="N3:P3"/>
  </mergeCells>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BL132"/>
  <sheetViews>
    <sheetView topLeftCell="D85" workbookViewId="0">
      <selection activeCell="F6" sqref="F6"/>
    </sheetView>
  </sheetViews>
  <sheetFormatPr defaultRowHeight="12.75" x14ac:dyDescent="0.2"/>
  <cols>
    <col min="1" max="1" width="1.85546875" customWidth="1"/>
    <col min="2" max="3" width="9.140625" hidden="1" customWidth="1"/>
    <col min="4" max="4" width="35.28515625" customWidth="1"/>
  </cols>
  <sheetData>
    <row r="2" spans="4:52" x14ac:dyDescent="0.2">
      <c r="D2" s="9" t="s">
        <v>402</v>
      </c>
    </row>
    <row r="3" spans="4:52" ht="13.5" thickBot="1" x14ac:dyDescent="0.25">
      <c r="D3" s="15"/>
    </row>
    <row r="4" spans="4:52" ht="13.5" thickBot="1" x14ac:dyDescent="0.25">
      <c r="D4" s="15"/>
      <c r="F4" s="40" t="s">
        <v>56</v>
      </c>
      <c r="G4" s="40" t="s">
        <v>57</v>
      </c>
      <c r="H4" s="40" t="s">
        <v>58</v>
      </c>
      <c r="I4" s="40" t="s">
        <v>59</v>
      </c>
      <c r="J4" s="40" t="s">
        <v>60</v>
      </c>
      <c r="K4" s="40" t="s">
        <v>61</v>
      </c>
      <c r="L4" s="40" t="s">
        <v>62</v>
      </c>
      <c r="M4" s="40" t="s">
        <v>63</v>
      </c>
      <c r="N4" s="40" t="s">
        <v>64</v>
      </c>
      <c r="O4" s="40" t="s">
        <v>65</v>
      </c>
      <c r="P4" s="41" t="s">
        <v>66</v>
      </c>
      <c r="Q4" s="41" t="s">
        <v>67</v>
      </c>
      <c r="R4" s="41" t="s">
        <v>68</v>
      </c>
      <c r="S4" s="41" t="s">
        <v>69</v>
      </c>
      <c r="T4" s="380" t="s">
        <v>70</v>
      </c>
      <c r="U4" s="380" t="s">
        <v>71</v>
      </c>
      <c r="V4" s="380" t="s">
        <v>142</v>
      </c>
      <c r="W4" s="240" t="s">
        <v>300</v>
      </c>
      <c r="X4" s="240" t="s">
        <v>317</v>
      </c>
      <c r="Y4" s="240" t="s">
        <v>329</v>
      </c>
      <c r="Z4" s="240" t="s">
        <v>342</v>
      </c>
      <c r="AA4" s="240" t="s">
        <v>343</v>
      </c>
      <c r="AB4" s="240" t="s">
        <v>344</v>
      </c>
      <c r="AC4" s="240" t="s">
        <v>345</v>
      </c>
      <c r="AN4" s="269">
        <v>2000</v>
      </c>
      <c r="AO4" s="269">
        <v>2001</v>
      </c>
      <c r="AP4" s="269">
        <v>2002</v>
      </c>
      <c r="AQ4" s="269">
        <v>2003</v>
      </c>
      <c r="AR4" s="269">
        <v>2004</v>
      </c>
      <c r="AS4" s="269">
        <v>2005</v>
      </c>
      <c r="AT4" s="269">
        <v>2006</v>
      </c>
      <c r="AU4" s="269">
        <v>2007</v>
      </c>
      <c r="AV4" s="269">
        <v>2008</v>
      </c>
      <c r="AW4" s="269">
        <v>2009</v>
      </c>
      <c r="AX4" s="269">
        <v>2010</v>
      </c>
      <c r="AY4" s="269">
        <v>2011</v>
      </c>
      <c r="AZ4" s="269">
        <v>2012</v>
      </c>
    </row>
    <row r="6" spans="4:52" x14ac:dyDescent="0.2">
      <c r="D6" t="s">
        <v>100</v>
      </c>
    </row>
    <row r="7" spans="4:52" x14ac:dyDescent="0.2">
      <c r="D7" s="15" t="s">
        <v>388</v>
      </c>
      <c r="E7" s="15"/>
      <c r="F7" s="9"/>
      <c r="G7" s="9"/>
      <c r="H7" s="9"/>
      <c r="I7" s="9"/>
      <c r="J7" s="9"/>
      <c r="K7" s="9"/>
      <c r="L7" s="7">
        <f t="shared" ref="L7:L29" si="0">AVERAGE(AN7:AO7)</f>
        <v>55174.600000000006</v>
      </c>
      <c r="M7" s="7">
        <f t="shared" ref="M7:M29" si="1">AVERAGE(AO7:AP7)</f>
        <v>61268.425000000003</v>
      </c>
      <c r="N7" s="7">
        <f t="shared" ref="N7:N29" si="2">AVERAGE(AP7:AQ7)</f>
        <v>66673.975000000006</v>
      </c>
      <c r="O7" s="7">
        <f t="shared" ref="O7:O29" si="3">AVERAGE(AQ7:AR7)</f>
        <v>78677.725000000006</v>
      </c>
      <c r="P7" s="7">
        <f t="shared" ref="P7:P29" si="4">AVERAGE(AR7:AS7)</f>
        <v>103998.3</v>
      </c>
      <c r="Q7" s="7">
        <f t="shared" ref="Q7:Q29" si="5">AVERAGE(AS7:AT7)</f>
        <v>138632.29999999999</v>
      </c>
      <c r="R7" s="7">
        <f t="shared" ref="R7:R29" si="6">AVERAGE(AT7:AU7)</f>
        <v>175525</v>
      </c>
      <c r="S7" s="7">
        <f t="shared" ref="S7:S29" si="7">AVERAGE(AU7:AV7)</f>
        <v>222800</v>
      </c>
      <c r="T7" s="7">
        <f t="shared" ref="T7:T29" si="8">AVERAGE(AV7:AW7)</f>
        <v>269600</v>
      </c>
      <c r="U7" s="7">
        <f t="shared" ref="U7:U29" si="9">AVERAGE(AW7:AX7)</f>
        <v>317675</v>
      </c>
      <c r="V7" s="7">
        <f t="shared" ref="V7:V29" si="10">AVERAGE(AX7:AY7)</f>
        <v>371850</v>
      </c>
      <c r="W7" s="7">
        <f t="shared" ref="W7:W29" si="11">AVERAGE(AY7:AZ7)</f>
        <v>402825</v>
      </c>
      <c r="X7" s="7">
        <f t="shared" ref="X7:X29" si="12">AVERAGE(AZ7:BA7)</f>
        <v>408400</v>
      </c>
      <c r="Y7" s="60"/>
      <c r="Z7" s="60"/>
      <c r="AA7" s="60"/>
      <c r="AB7" s="60"/>
      <c r="AN7">
        <v>50286.850000000006</v>
      </c>
      <c r="AO7">
        <v>60062.350000000006</v>
      </c>
      <c r="AP7">
        <v>62474.5</v>
      </c>
      <c r="AQ7">
        <v>70873.45</v>
      </c>
      <c r="AR7">
        <v>86482</v>
      </c>
      <c r="AS7">
        <v>121514.6</v>
      </c>
      <c r="AT7">
        <v>155750</v>
      </c>
      <c r="AU7">
        <v>195300</v>
      </c>
      <c r="AV7">
        <v>250300</v>
      </c>
      <c r="AW7">
        <v>288900</v>
      </c>
      <c r="AX7">
        <v>346450</v>
      </c>
      <c r="AY7">
        <v>397250</v>
      </c>
      <c r="AZ7">
        <v>408400</v>
      </c>
    </row>
    <row r="8" spans="4:52" x14ac:dyDescent="0.2">
      <c r="D8" s="191" t="s">
        <v>102</v>
      </c>
      <c r="E8" s="191"/>
      <c r="L8" s="60">
        <f t="shared" si="0"/>
        <v>34043.100000000006</v>
      </c>
      <c r="M8" s="60">
        <f t="shared" si="1"/>
        <v>37916.675000000003</v>
      </c>
      <c r="N8" s="60">
        <f t="shared" si="2"/>
        <v>39618</v>
      </c>
      <c r="O8" s="60">
        <f t="shared" si="3"/>
        <v>45453.95</v>
      </c>
      <c r="P8" s="60">
        <f t="shared" si="4"/>
        <v>63720.425000000003</v>
      </c>
      <c r="Q8" s="60">
        <f t="shared" si="5"/>
        <v>90100</v>
      </c>
      <c r="R8" s="60">
        <f t="shared" si="6"/>
        <v>116100</v>
      </c>
      <c r="S8" s="60">
        <f t="shared" si="7"/>
        <v>150600</v>
      </c>
      <c r="T8" s="60">
        <f t="shared" si="8"/>
        <v>181625</v>
      </c>
      <c r="U8" s="60">
        <f t="shared" si="9"/>
        <v>209025</v>
      </c>
      <c r="V8" s="60">
        <f t="shared" si="10"/>
        <v>239850</v>
      </c>
      <c r="W8" s="60">
        <f t="shared" si="11"/>
        <v>254975</v>
      </c>
      <c r="X8" s="60">
        <f t="shared" si="12"/>
        <v>256300</v>
      </c>
      <c r="Y8" s="60"/>
      <c r="Z8" s="60"/>
      <c r="AA8" s="60"/>
      <c r="AB8" s="60"/>
      <c r="AN8">
        <v>30071.800000000003</v>
      </c>
      <c r="AO8">
        <v>38014.400000000001</v>
      </c>
      <c r="AP8">
        <v>37818.949999999997</v>
      </c>
      <c r="AQ8">
        <v>41417.050000000003</v>
      </c>
      <c r="AR8">
        <v>49490.85</v>
      </c>
      <c r="AS8">
        <v>77950</v>
      </c>
      <c r="AT8">
        <v>102250</v>
      </c>
      <c r="AU8">
        <v>129950</v>
      </c>
      <c r="AV8">
        <v>171250</v>
      </c>
      <c r="AW8">
        <v>192000</v>
      </c>
      <c r="AX8">
        <v>226050</v>
      </c>
      <c r="AY8">
        <v>253650</v>
      </c>
      <c r="AZ8">
        <v>256300</v>
      </c>
    </row>
    <row r="9" spans="4:52" x14ac:dyDescent="0.2">
      <c r="D9" s="191" t="s">
        <v>103</v>
      </c>
      <c r="E9" s="191"/>
      <c r="L9" s="60">
        <f t="shared" si="0"/>
        <v>9709.65</v>
      </c>
      <c r="M9" s="60">
        <f t="shared" si="1"/>
        <v>10732.975</v>
      </c>
      <c r="N9" s="60">
        <f t="shared" si="2"/>
        <v>12468.525000000001</v>
      </c>
      <c r="O9" s="60">
        <f t="shared" si="3"/>
        <v>14518.650000000001</v>
      </c>
      <c r="P9" s="60">
        <f t="shared" si="4"/>
        <v>17061.925000000003</v>
      </c>
      <c r="Q9" s="60">
        <f t="shared" si="5"/>
        <v>20970.2</v>
      </c>
      <c r="R9" s="60">
        <f t="shared" si="6"/>
        <v>26725</v>
      </c>
      <c r="S9" s="60">
        <f t="shared" si="7"/>
        <v>33475</v>
      </c>
      <c r="T9" s="60">
        <f t="shared" si="8"/>
        <v>39275</v>
      </c>
      <c r="U9" s="60">
        <f t="shared" si="9"/>
        <v>44350</v>
      </c>
      <c r="V9" s="60">
        <f t="shared" si="10"/>
        <v>48850</v>
      </c>
      <c r="W9" s="60">
        <f t="shared" si="11"/>
        <v>51100</v>
      </c>
      <c r="X9" s="60">
        <f t="shared" si="12"/>
        <v>51500</v>
      </c>
      <c r="Y9" s="60"/>
      <c r="Z9" s="60"/>
      <c r="AA9" s="60"/>
      <c r="AB9" s="60"/>
      <c r="AN9">
        <v>9386.5499999999993</v>
      </c>
      <c r="AO9">
        <v>10032.75</v>
      </c>
      <c r="AP9">
        <v>11433.2</v>
      </c>
      <c r="AQ9">
        <v>13503.85</v>
      </c>
      <c r="AR9">
        <v>15533.45</v>
      </c>
      <c r="AS9">
        <v>18590.400000000001</v>
      </c>
      <c r="AT9">
        <v>23350</v>
      </c>
      <c r="AU9">
        <v>30100</v>
      </c>
      <c r="AV9">
        <v>36850</v>
      </c>
      <c r="AW9">
        <v>41700</v>
      </c>
      <c r="AX9">
        <v>47000</v>
      </c>
      <c r="AY9">
        <v>50700</v>
      </c>
      <c r="AZ9">
        <v>51500</v>
      </c>
    </row>
    <row r="10" spans="4:52" x14ac:dyDescent="0.2">
      <c r="D10" s="191" t="s">
        <v>287</v>
      </c>
      <c r="E10" s="191"/>
      <c r="L10" s="60">
        <f t="shared" si="0"/>
        <v>1030.125</v>
      </c>
      <c r="M10" s="60">
        <f t="shared" si="1"/>
        <v>1080.8499999999999</v>
      </c>
      <c r="N10" s="60">
        <f t="shared" si="2"/>
        <v>1114.825</v>
      </c>
      <c r="O10" s="60">
        <f t="shared" si="3"/>
        <v>1182.325</v>
      </c>
      <c r="P10" s="60">
        <f t="shared" si="4"/>
        <v>1379.85</v>
      </c>
      <c r="Q10" s="60">
        <f t="shared" si="5"/>
        <v>1767.2249999999999</v>
      </c>
      <c r="R10" s="60">
        <f t="shared" si="6"/>
        <v>2200</v>
      </c>
      <c r="S10" s="60">
        <f t="shared" si="7"/>
        <v>2550</v>
      </c>
      <c r="T10" s="60">
        <f t="shared" si="8"/>
        <v>2875</v>
      </c>
      <c r="U10" s="60">
        <f t="shared" si="9"/>
        <v>3450</v>
      </c>
      <c r="V10" s="60">
        <f t="shared" si="10"/>
        <v>4150</v>
      </c>
      <c r="W10" s="60">
        <f t="shared" si="11"/>
        <v>4475</v>
      </c>
      <c r="X10" s="60">
        <f t="shared" si="12"/>
        <v>4500</v>
      </c>
      <c r="Y10" s="60"/>
      <c r="Z10" s="60"/>
      <c r="AA10" s="60"/>
      <c r="AB10" s="60"/>
      <c r="AN10">
        <v>988.8</v>
      </c>
      <c r="AO10">
        <v>1071.4499999999998</v>
      </c>
      <c r="AP10">
        <v>1090.25</v>
      </c>
      <c r="AQ10">
        <v>1139.4000000000001</v>
      </c>
      <c r="AR10">
        <v>1225.25</v>
      </c>
      <c r="AS10">
        <v>1534.45</v>
      </c>
      <c r="AT10">
        <v>2000</v>
      </c>
      <c r="AU10">
        <v>2400</v>
      </c>
      <c r="AV10">
        <v>2700</v>
      </c>
      <c r="AW10">
        <v>3050</v>
      </c>
      <c r="AX10">
        <v>3850</v>
      </c>
      <c r="AY10">
        <v>4450</v>
      </c>
      <c r="AZ10">
        <v>4500</v>
      </c>
    </row>
    <row r="11" spans="4:52" x14ac:dyDescent="0.2">
      <c r="D11" s="177" t="s">
        <v>105</v>
      </c>
      <c r="E11" s="177"/>
      <c r="L11" s="60">
        <f t="shared" si="0"/>
        <v>10391.775</v>
      </c>
      <c r="M11" s="60">
        <f t="shared" si="1"/>
        <v>11537.949999999999</v>
      </c>
      <c r="N11" s="60">
        <f t="shared" si="2"/>
        <v>13472.65</v>
      </c>
      <c r="O11" s="60">
        <f t="shared" si="3"/>
        <v>17522.849999999999</v>
      </c>
      <c r="P11" s="60">
        <f t="shared" si="4"/>
        <v>21811.125</v>
      </c>
      <c r="Q11" s="60">
        <f t="shared" si="5"/>
        <v>25744.875</v>
      </c>
      <c r="R11" s="60">
        <f t="shared" si="6"/>
        <v>30475</v>
      </c>
      <c r="S11" s="60">
        <f t="shared" si="7"/>
        <v>36175</v>
      </c>
      <c r="T11" s="60">
        <f t="shared" si="8"/>
        <v>45825</v>
      </c>
      <c r="U11" s="60">
        <f t="shared" si="9"/>
        <v>60850</v>
      </c>
      <c r="V11" s="60">
        <f t="shared" si="10"/>
        <v>79000</v>
      </c>
      <c r="W11" s="60">
        <f t="shared" si="11"/>
        <v>92275</v>
      </c>
      <c r="X11" s="60">
        <f t="shared" si="12"/>
        <v>96100</v>
      </c>
      <c r="Y11" s="60"/>
      <c r="Z11" s="60"/>
      <c r="AA11" s="60"/>
      <c r="AB11" s="60"/>
      <c r="AN11">
        <v>9839.75</v>
      </c>
      <c r="AO11">
        <v>10943.8</v>
      </c>
      <c r="AP11">
        <v>12132.099999999999</v>
      </c>
      <c r="AQ11">
        <v>14813.2</v>
      </c>
      <c r="AR11">
        <v>20232.5</v>
      </c>
      <c r="AS11">
        <v>23389.75</v>
      </c>
      <c r="AT11">
        <v>28100</v>
      </c>
      <c r="AU11">
        <v>32850</v>
      </c>
      <c r="AV11">
        <v>39500</v>
      </c>
      <c r="AW11">
        <v>52150</v>
      </c>
      <c r="AX11">
        <v>69550</v>
      </c>
      <c r="AY11">
        <v>88450</v>
      </c>
      <c r="AZ11">
        <v>96100</v>
      </c>
    </row>
    <row r="12" spans="4:52" x14ac:dyDescent="0.2">
      <c r="D12" s="15" t="s">
        <v>389</v>
      </c>
      <c r="E12" s="15"/>
      <c r="F12" s="9"/>
      <c r="G12" s="9"/>
      <c r="H12" s="9"/>
      <c r="I12" s="9"/>
      <c r="J12" s="9"/>
      <c r="K12" s="9"/>
      <c r="L12" s="7">
        <f t="shared" si="0"/>
        <v>25027.424999999999</v>
      </c>
      <c r="M12" s="7">
        <f t="shared" si="1"/>
        <v>30451.974999999999</v>
      </c>
      <c r="N12" s="7">
        <f t="shared" si="2"/>
        <v>37741.75</v>
      </c>
      <c r="O12" s="7">
        <f t="shared" si="3"/>
        <v>45756.534752802821</v>
      </c>
      <c r="P12" s="7">
        <f t="shared" si="4"/>
        <v>57115.894505605633</v>
      </c>
      <c r="Q12" s="7">
        <f t="shared" si="5"/>
        <v>73195.134752802813</v>
      </c>
      <c r="R12" s="7">
        <f t="shared" si="6"/>
        <v>89650</v>
      </c>
      <c r="S12" s="7">
        <f t="shared" si="7"/>
        <v>104025</v>
      </c>
      <c r="T12" s="7">
        <f t="shared" si="8"/>
        <v>113875</v>
      </c>
      <c r="U12" s="7">
        <f t="shared" si="9"/>
        <v>124300</v>
      </c>
      <c r="V12" s="7">
        <f t="shared" si="10"/>
        <v>141150</v>
      </c>
      <c r="W12" s="7">
        <f t="shared" si="11"/>
        <v>154350</v>
      </c>
      <c r="X12" s="7">
        <f t="shared" si="12"/>
        <v>157900</v>
      </c>
      <c r="Y12" s="60"/>
      <c r="Z12" s="60"/>
      <c r="AA12" s="60"/>
      <c r="AB12" s="60"/>
      <c r="AN12">
        <v>22862.85</v>
      </c>
      <c r="AO12">
        <v>27192</v>
      </c>
      <c r="AP12">
        <v>33711.949999999997</v>
      </c>
      <c r="AQ12">
        <v>41771.550000000003</v>
      </c>
      <c r="AR12">
        <v>49741.519505605633</v>
      </c>
      <c r="AS12">
        <v>64490.269505605633</v>
      </c>
      <c r="AT12">
        <v>81900</v>
      </c>
      <c r="AU12">
        <v>97400</v>
      </c>
      <c r="AV12">
        <v>110650</v>
      </c>
      <c r="AW12">
        <v>117100</v>
      </c>
      <c r="AX12">
        <v>131500</v>
      </c>
      <c r="AY12">
        <v>150800</v>
      </c>
      <c r="AZ12">
        <v>157900</v>
      </c>
    </row>
    <row r="13" spans="4:52" x14ac:dyDescent="0.2">
      <c r="D13" s="191" t="s">
        <v>390</v>
      </c>
      <c r="E13" s="191"/>
      <c r="L13" s="60">
        <f t="shared" si="0"/>
        <v>1188.0999999999999</v>
      </c>
      <c r="M13" s="60">
        <f t="shared" si="1"/>
        <v>1595.5250000000001</v>
      </c>
      <c r="N13" s="60">
        <f t="shared" si="2"/>
        <v>2123.0749999999998</v>
      </c>
      <c r="O13" s="60">
        <f t="shared" si="3"/>
        <v>2612.6222542749624</v>
      </c>
      <c r="P13" s="60">
        <f t="shared" si="4"/>
        <v>3173.1445085499249</v>
      </c>
      <c r="Q13" s="60">
        <f t="shared" si="5"/>
        <v>3872.5722542749627</v>
      </c>
      <c r="R13" s="60">
        <f t="shared" si="6"/>
        <v>5050</v>
      </c>
      <c r="S13" s="60">
        <f t="shared" si="7"/>
        <v>6800</v>
      </c>
      <c r="T13" s="60">
        <f t="shared" si="8"/>
        <v>8375</v>
      </c>
      <c r="U13" s="60">
        <f t="shared" si="9"/>
        <v>9950</v>
      </c>
      <c r="V13" s="60">
        <f t="shared" si="10"/>
        <v>12100</v>
      </c>
      <c r="W13" s="60">
        <f t="shared" si="11"/>
        <v>13800</v>
      </c>
      <c r="X13" s="60">
        <f t="shared" si="12"/>
        <v>14300</v>
      </c>
      <c r="Y13" s="60"/>
      <c r="Z13" s="60"/>
      <c r="AA13" s="60"/>
      <c r="AB13" s="60"/>
      <c r="AN13">
        <v>1057.1999999999998</v>
      </c>
      <c r="AO13">
        <v>1319</v>
      </c>
      <c r="AP13">
        <v>1872.05</v>
      </c>
      <c r="AQ13">
        <v>2374.1</v>
      </c>
      <c r="AR13">
        <v>2851.1445085499249</v>
      </c>
      <c r="AS13">
        <v>3495.1445085499249</v>
      </c>
      <c r="AT13">
        <v>4250</v>
      </c>
      <c r="AU13">
        <v>5850</v>
      </c>
      <c r="AV13">
        <v>7750</v>
      </c>
      <c r="AW13">
        <v>9000</v>
      </c>
      <c r="AX13">
        <v>10900</v>
      </c>
      <c r="AY13">
        <v>13300</v>
      </c>
      <c r="AZ13">
        <v>14300</v>
      </c>
    </row>
    <row r="14" spans="4:52" x14ac:dyDescent="0.2">
      <c r="D14" s="191" t="s">
        <v>40</v>
      </c>
      <c r="E14" s="191"/>
      <c r="L14" s="60">
        <f t="shared" si="0"/>
        <v>11748</v>
      </c>
      <c r="M14" s="60">
        <f t="shared" si="1"/>
        <v>13883.924999999999</v>
      </c>
      <c r="N14" s="60">
        <f t="shared" si="2"/>
        <v>16157.225</v>
      </c>
      <c r="O14" s="60">
        <f t="shared" si="3"/>
        <v>17676.044028603239</v>
      </c>
      <c r="P14" s="60">
        <f t="shared" si="4"/>
        <v>19857.013057206474</v>
      </c>
      <c r="Q14" s="60">
        <f t="shared" si="5"/>
        <v>23199.794028603239</v>
      </c>
      <c r="R14" s="60">
        <f t="shared" si="6"/>
        <v>27150</v>
      </c>
      <c r="S14" s="60">
        <f t="shared" si="7"/>
        <v>31675</v>
      </c>
      <c r="T14" s="60">
        <f t="shared" si="8"/>
        <v>35925</v>
      </c>
      <c r="U14" s="60">
        <f t="shared" si="9"/>
        <v>40375</v>
      </c>
      <c r="V14" s="60">
        <f t="shared" si="10"/>
        <v>44700</v>
      </c>
      <c r="W14" s="60">
        <f t="shared" si="11"/>
        <v>46475</v>
      </c>
      <c r="X14" s="60">
        <f t="shared" si="12"/>
        <v>46500</v>
      </c>
      <c r="Y14" s="60"/>
      <c r="Z14" s="60"/>
      <c r="AA14" s="60"/>
      <c r="AB14" s="60"/>
      <c r="AN14">
        <v>11004.95</v>
      </c>
      <c r="AO14">
        <v>12491.05</v>
      </c>
      <c r="AP14">
        <v>15276.8</v>
      </c>
      <c r="AQ14">
        <v>17037.650000000001</v>
      </c>
      <c r="AR14">
        <v>18314.438057206477</v>
      </c>
      <c r="AS14">
        <v>21399.588057206474</v>
      </c>
      <c r="AT14">
        <v>25000</v>
      </c>
      <c r="AU14">
        <v>29300</v>
      </c>
      <c r="AV14">
        <v>34050</v>
      </c>
      <c r="AW14">
        <v>37800</v>
      </c>
      <c r="AX14">
        <v>42950</v>
      </c>
      <c r="AY14">
        <v>46450</v>
      </c>
      <c r="AZ14">
        <v>46500</v>
      </c>
    </row>
    <row r="15" spans="4:52" x14ac:dyDescent="0.2">
      <c r="D15" s="191" t="s">
        <v>391</v>
      </c>
      <c r="E15" s="191"/>
      <c r="L15" s="60">
        <f t="shared" si="0"/>
        <v>3758.3</v>
      </c>
      <c r="M15" s="60">
        <f t="shared" si="1"/>
        <v>4221.0749999999998</v>
      </c>
      <c r="N15" s="60">
        <f t="shared" si="2"/>
        <v>4835.3249999999998</v>
      </c>
      <c r="O15" s="60">
        <f t="shared" si="3"/>
        <v>5609.9761006054041</v>
      </c>
      <c r="P15" s="60">
        <f t="shared" si="4"/>
        <v>7102.5522012108086</v>
      </c>
      <c r="Q15" s="60">
        <f t="shared" si="5"/>
        <v>9333.9511006054036</v>
      </c>
      <c r="R15" s="60">
        <f t="shared" si="6"/>
        <v>11225</v>
      </c>
      <c r="S15" s="60">
        <f t="shared" si="7"/>
        <v>12250</v>
      </c>
      <c r="T15" s="60">
        <f t="shared" si="8"/>
        <v>12625</v>
      </c>
      <c r="U15" s="60">
        <f t="shared" si="9"/>
        <v>14075</v>
      </c>
      <c r="V15" s="60">
        <f t="shared" si="10"/>
        <v>17275</v>
      </c>
      <c r="W15" s="60">
        <f t="shared" si="11"/>
        <v>19750</v>
      </c>
      <c r="X15" s="60">
        <f t="shared" si="12"/>
        <v>20400</v>
      </c>
      <c r="Y15" s="60"/>
      <c r="Z15" s="60"/>
      <c r="AA15" s="60"/>
      <c r="AB15" s="60"/>
      <c r="AN15">
        <v>3562.35</v>
      </c>
      <c r="AO15">
        <v>3954.25</v>
      </c>
      <c r="AP15">
        <v>4487.8999999999996</v>
      </c>
      <c r="AQ15">
        <v>5182.75</v>
      </c>
      <c r="AR15">
        <v>6037.2022012108082</v>
      </c>
      <c r="AS15">
        <v>8167.902201210808</v>
      </c>
      <c r="AT15">
        <v>10500</v>
      </c>
      <c r="AU15">
        <v>11950</v>
      </c>
      <c r="AV15">
        <v>12550</v>
      </c>
      <c r="AW15">
        <v>12700</v>
      </c>
      <c r="AX15">
        <v>15450</v>
      </c>
      <c r="AY15">
        <v>19100</v>
      </c>
      <c r="AZ15">
        <v>20400</v>
      </c>
    </row>
    <row r="16" spans="4:52" x14ac:dyDescent="0.2">
      <c r="D16" s="191" t="s">
        <v>109</v>
      </c>
      <c r="E16" s="191"/>
      <c r="L16" s="60">
        <f t="shared" si="0"/>
        <v>8333.0250000000015</v>
      </c>
      <c r="M16" s="60">
        <f t="shared" si="1"/>
        <v>10751.45</v>
      </c>
      <c r="N16" s="60">
        <f t="shared" si="2"/>
        <v>14626.1</v>
      </c>
      <c r="O16" s="60">
        <f t="shared" si="3"/>
        <v>19857.842369319213</v>
      </c>
      <c r="P16" s="60">
        <f t="shared" si="4"/>
        <v>26983.159738638424</v>
      </c>
      <c r="Q16" s="60">
        <f t="shared" si="5"/>
        <v>36788.817369319215</v>
      </c>
      <c r="R16" s="60">
        <f t="shared" si="6"/>
        <v>46225</v>
      </c>
      <c r="S16" s="60">
        <f t="shared" si="7"/>
        <v>53300</v>
      </c>
      <c r="T16" s="60">
        <f t="shared" si="8"/>
        <v>56950</v>
      </c>
      <c r="U16" s="60">
        <f t="shared" si="9"/>
        <v>59900</v>
      </c>
      <c r="V16" s="60">
        <f t="shared" si="10"/>
        <v>67075</v>
      </c>
      <c r="W16" s="60">
        <f t="shared" si="11"/>
        <v>74325</v>
      </c>
      <c r="X16" s="60">
        <f t="shared" si="12"/>
        <v>76700</v>
      </c>
      <c r="Y16" s="60"/>
      <c r="Z16" s="60"/>
      <c r="AA16" s="60"/>
      <c r="AB16" s="60"/>
      <c r="AN16">
        <v>7238.35</v>
      </c>
      <c r="AO16">
        <v>9427.7000000000007</v>
      </c>
      <c r="AP16">
        <v>12075.2</v>
      </c>
      <c r="AQ16">
        <v>17177</v>
      </c>
      <c r="AR16">
        <v>22538.684738638425</v>
      </c>
      <c r="AS16">
        <v>31427.634738638426</v>
      </c>
      <c r="AT16">
        <v>42150</v>
      </c>
      <c r="AU16">
        <v>50300</v>
      </c>
      <c r="AV16">
        <v>56300</v>
      </c>
      <c r="AW16">
        <v>57600</v>
      </c>
      <c r="AX16">
        <v>62200</v>
      </c>
      <c r="AY16">
        <v>71950</v>
      </c>
      <c r="AZ16">
        <v>76700</v>
      </c>
    </row>
    <row r="17" spans="4:53" x14ac:dyDescent="0.2">
      <c r="D17" s="191" t="s">
        <v>110</v>
      </c>
      <c r="E17" s="191"/>
      <c r="L17" s="60">
        <f t="shared" si="0"/>
        <v>108320.07500000001</v>
      </c>
      <c r="M17" s="60">
        <f t="shared" si="1"/>
        <v>126879.09999999999</v>
      </c>
      <c r="N17" s="60">
        <f t="shared" si="2"/>
        <v>149259.09999999998</v>
      </c>
      <c r="O17" s="60">
        <f t="shared" si="3"/>
        <v>173794.26849059097</v>
      </c>
      <c r="P17" s="60">
        <f t="shared" si="4"/>
        <v>198545.33698118199</v>
      </c>
      <c r="Q17" s="60">
        <f t="shared" si="5"/>
        <v>225724.243490591</v>
      </c>
      <c r="R17" s="60">
        <f t="shared" si="6"/>
        <v>265100</v>
      </c>
      <c r="S17" s="60">
        <f t="shared" si="7"/>
        <v>321450</v>
      </c>
      <c r="T17" s="60">
        <f t="shared" si="8"/>
        <v>375000</v>
      </c>
      <c r="U17" s="60">
        <f t="shared" si="9"/>
        <v>431250</v>
      </c>
      <c r="V17" s="60">
        <f t="shared" si="10"/>
        <v>518175</v>
      </c>
      <c r="W17" s="60">
        <f t="shared" si="11"/>
        <v>592175</v>
      </c>
      <c r="X17" s="60">
        <f t="shared" si="12"/>
        <v>614000</v>
      </c>
      <c r="Y17" s="60"/>
      <c r="Z17" s="60"/>
      <c r="AA17" s="60"/>
      <c r="AB17" s="60"/>
      <c r="AN17">
        <v>100253.8</v>
      </c>
      <c r="AO17">
        <v>116386.35</v>
      </c>
      <c r="AP17">
        <v>137371.84999999998</v>
      </c>
      <c r="AQ17">
        <v>161146.34999999998</v>
      </c>
      <c r="AR17">
        <v>186442.18698118196</v>
      </c>
      <c r="AS17">
        <v>210648.48698118198</v>
      </c>
      <c r="AT17">
        <v>240800</v>
      </c>
      <c r="AU17">
        <v>289400</v>
      </c>
      <c r="AV17">
        <v>353500</v>
      </c>
      <c r="AW17">
        <v>396500</v>
      </c>
      <c r="AX17">
        <v>466000</v>
      </c>
      <c r="AY17">
        <v>570350</v>
      </c>
      <c r="AZ17">
        <v>614000</v>
      </c>
    </row>
    <row r="18" spans="4:53" x14ac:dyDescent="0.2">
      <c r="D18" s="358" t="s">
        <v>392</v>
      </c>
      <c r="E18" s="358"/>
      <c r="F18" s="9"/>
      <c r="G18" s="9"/>
      <c r="H18" s="9"/>
      <c r="I18" s="9"/>
      <c r="J18" s="9"/>
      <c r="K18" s="9"/>
      <c r="L18" s="7">
        <f t="shared" si="0"/>
        <v>23082.824999999997</v>
      </c>
      <c r="M18" s="7">
        <f t="shared" si="1"/>
        <v>25587.524999999998</v>
      </c>
      <c r="N18" s="7">
        <f t="shared" si="2"/>
        <v>27914.974999999999</v>
      </c>
      <c r="O18" s="7">
        <f t="shared" si="3"/>
        <v>31917.05</v>
      </c>
      <c r="P18" s="7">
        <f t="shared" si="4"/>
        <v>38282.050000000003</v>
      </c>
      <c r="Q18" s="7">
        <f t="shared" si="5"/>
        <v>46375</v>
      </c>
      <c r="R18" s="7">
        <f t="shared" si="6"/>
        <v>55725</v>
      </c>
      <c r="S18" s="7">
        <f t="shared" si="7"/>
        <v>64950</v>
      </c>
      <c r="T18" s="7">
        <f t="shared" si="8"/>
        <v>73850</v>
      </c>
      <c r="U18" s="7">
        <f t="shared" si="9"/>
        <v>89100</v>
      </c>
      <c r="V18" s="7">
        <f t="shared" si="10"/>
        <v>110700</v>
      </c>
      <c r="W18" s="7">
        <f t="shared" si="11"/>
        <v>124425</v>
      </c>
      <c r="X18" s="7">
        <f t="shared" si="12"/>
        <v>127200</v>
      </c>
      <c r="Y18" s="7"/>
      <c r="Z18" s="7"/>
      <c r="AA18" s="7"/>
      <c r="AB18" s="7"/>
      <c r="AC18" s="9"/>
      <c r="AD18" s="9"/>
      <c r="AE18" s="9"/>
      <c r="AF18" s="9"/>
      <c r="AG18" s="9"/>
      <c r="AH18" s="9"/>
      <c r="AI18" s="9"/>
      <c r="AJ18" s="9"/>
      <c r="AK18" s="9"/>
      <c r="AL18" s="9"/>
      <c r="AM18" s="9"/>
      <c r="AN18" s="9">
        <v>21600.55</v>
      </c>
      <c r="AO18" s="9">
        <v>24565.1</v>
      </c>
      <c r="AP18" s="9">
        <v>26609.949999999997</v>
      </c>
      <c r="AQ18" s="9">
        <v>29220</v>
      </c>
      <c r="AR18" s="9">
        <v>34614.1</v>
      </c>
      <c r="AS18" s="9">
        <v>41950</v>
      </c>
      <c r="AT18" s="9">
        <v>50800</v>
      </c>
      <c r="AU18" s="9">
        <v>60650</v>
      </c>
      <c r="AV18" s="9">
        <v>69250</v>
      </c>
      <c r="AW18" s="9">
        <v>78450</v>
      </c>
      <c r="AX18" s="9">
        <v>99750</v>
      </c>
      <c r="AY18" s="9">
        <v>121650</v>
      </c>
      <c r="AZ18" s="9">
        <v>127200</v>
      </c>
      <c r="BA18" s="9"/>
    </row>
    <row r="19" spans="4:53" x14ac:dyDescent="0.2">
      <c r="D19" s="191" t="s">
        <v>393</v>
      </c>
      <c r="E19" s="191"/>
      <c r="L19" s="60">
        <f t="shared" si="0"/>
        <v>14606.575000000001</v>
      </c>
      <c r="M19" s="60">
        <f t="shared" si="1"/>
        <v>15402.650000000001</v>
      </c>
      <c r="N19" s="60">
        <f t="shared" si="2"/>
        <v>17052.424999999999</v>
      </c>
      <c r="O19" s="60">
        <f t="shared" si="3"/>
        <v>21612.324809364261</v>
      </c>
      <c r="P19" s="60">
        <f t="shared" si="4"/>
        <v>29982.924618728524</v>
      </c>
      <c r="Q19" s="60">
        <f t="shared" si="5"/>
        <v>38595.224809364263</v>
      </c>
      <c r="R19" s="60">
        <f t="shared" si="6"/>
        <v>46525</v>
      </c>
      <c r="S19" s="60">
        <f t="shared" si="7"/>
        <v>54875</v>
      </c>
      <c r="T19" s="60">
        <f t="shared" si="8"/>
        <v>62575</v>
      </c>
      <c r="U19" s="60">
        <f t="shared" si="9"/>
        <v>72075</v>
      </c>
      <c r="V19" s="60">
        <f t="shared" si="10"/>
        <v>82800</v>
      </c>
      <c r="W19" s="60">
        <f t="shared" si="11"/>
        <v>87475</v>
      </c>
      <c r="X19" s="60">
        <f t="shared" si="12"/>
        <v>87500</v>
      </c>
      <c r="Y19" s="60"/>
      <c r="Z19" s="60"/>
      <c r="AA19" s="60"/>
      <c r="AB19" s="60"/>
      <c r="AN19">
        <v>14513.45</v>
      </c>
      <c r="AO19">
        <v>14699.7</v>
      </c>
      <c r="AP19">
        <v>16105.6</v>
      </c>
      <c r="AQ19">
        <v>17999.25</v>
      </c>
      <c r="AR19">
        <v>25225.399618728523</v>
      </c>
      <c r="AS19">
        <v>34740.449618728526</v>
      </c>
      <c r="AT19">
        <v>42450</v>
      </c>
      <c r="AU19">
        <v>50600</v>
      </c>
      <c r="AV19">
        <v>59150</v>
      </c>
      <c r="AW19">
        <v>66000</v>
      </c>
      <c r="AX19">
        <v>78150</v>
      </c>
      <c r="AY19">
        <v>87450</v>
      </c>
      <c r="AZ19">
        <v>87500</v>
      </c>
    </row>
    <row r="20" spans="4:53" x14ac:dyDescent="0.2">
      <c r="D20" s="191" t="s">
        <v>394</v>
      </c>
      <c r="E20" s="191"/>
      <c r="L20" s="60">
        <f t="shared" si="0"/>
        <v>13620.8</v>
      </c>
      <c r="M20" s="60">
        <f t="shared" si="1"/>
        <v>17210.224999999999</v>
      </c>
      <c r="N20" s="60">
        <f t="shared" si="2"/>
        <v>22443.599999999999</v>
      </c>
      <c r="O20" s="60">
        <f t="shared" si="3"/>
        <v>27258.05</v>
      </c>
      <c r="P20" s="60">
        <f t="shared" si="4"/>
        <v>31126.275000000001</v>
      </c>
      <c r="Q20" s="60">
        <f t="shared" si="5"/>
        <v>35250</v>
      </c>
      <c r="R20" s="60">
        <f t="shared" si="6"/>
        <v>43775</v>
      </c>
      <c r="S20" s="60">
        <f t="shared" si="7"/>
        <v>64425</v>
      </c>
      <c r="T20" s="60">
        <f t="shared" si="8"/>
        <v>85350</v>
      </c>
      <c r="U20" s="60">
        <f t="shared" si="9"/>
        <v>95075</v>
      </c>
      <c r="V20" s="60">
        <f t="shared" si="10"/>
        <v>109450</v>
      </c>
      <c r="W20" s="60">
        <f t="shared" si="11"/>
        <v>125625</v>
      </c>
      <c r="X20" s="60">
        <f t="shared" si="12"/>
        <v>130600</v>
      </c>
      <c r="Y20" s="60"/>
      <c r="Z20" s="60"/>
      <c r="AA20" s="60"/>
      <c r="AB20" s="60"/>
      <c r="AN20">
        <v>12444.8</v>
      </c>
      <c r="AO20">
        <v>14796.8</v>
      </c>
      <c r="AP20">
        <v>19623.650000000001</v>
      </c>
      <c r="AQ20">
        <v>25263.55</v>
      </c>
      <c r="AR20">
        <v>29252.55</v>
      </c>
      <c r="AS20">
        <v>33000</v>
      </c>
      <c r="AT20">
        <v>37500</v>
      </c>
      <c r="AU20">
        <v>50050</v>
      </c>
      <c r="AV20">
        <v>78800</v>
      </c>
      <c r="AW20">
        <v>91900</v>
      </c>
      <c r="AX20">
        <v>98250</v>
      </c>
      <c r="AY20">
        <v>120650</v>
      </c>
      <c r="AZ20">
        <v>130600</v>
      </c>
    </row>
    <row r="21" spans="4:53" x14ac:dyDescent="0.2">
      <c r="D21" s="191" t="s">
        <v>115</v>
      </c>
      <c r="E21" s="191"/>
      <c r="L21" s="60">
        <f t="shared" si="0"/>
        <v>3081.5750000000003</v>
      </c>
      <c r="M21" s="60">
        <f t="shared" si="1"/>
        <v>3765.4750000000004</v>
      </c>
      <c r="N21" s="60">
        <f t="shared" si="2"/>
        <v>4625.6750000000002</v>
      </c>
      <c r="O21" s="60">
        <f t="shared" si="3"/>
        <v>5879.9</v>
      </c>
      <c r="P21" s="60">
        <f t="shared" si="4"/>
        <v>7292.2749999999996</v>
      </c>
      <c r="Q21" s="60">
        <f t="shared" si="5"/>
        <v>8650</v>
      </c>
      <c r="R21" s="60">
        <f t="shared" si="6"/>
        <v>10825</v>
      </c>
      <c r="S21" s="60">
        <f t="shared" si="7"/>
        <v>13400</v>
      </c>
      <c r="T21" s="60">
        <f t="shared" si="8"/>
        <v>16075</v>
      </c>
      <c r="U21" s="60">
        <f t="shared" si="9"/>
        <v>19625</v>
      </c>
      <c r="V21" s="60">
        <f t="shared" si="10"/>
        <v>23275</v>
      </c>
      <c r="W21" s="60">
        <f t="shared" si="11"/>
        <v>25600</v>
      </c>
      <c r="X21" s="60">
        <f t="shared" si="12"/>
        <v>26300</v>
      </c>
      <c r="Y21" s="60"/>
      <c r="Z21" s="60"/>
      <c r="AA21" s="60"/>
      <c r="AB21" s="60"/>
      <c r="AN21">
        <v>2808.3</v>
      </c>
      <c r="AO21">
        <v>3354.8500000000004</v>
      </c>
      <c r="AP21">
        <v>4176.1000000000004</v>
      </c>
      <c r="AQ21">
        <v>5075.25</v>
      </c>
      <c r="AR21">
        <v>6684.55</v>
      </c>
      <c r="AS21">
        <v>7900</v>
      </c>
      <c r="AT21">
        <v>9400</v>
      </c>
      <c r="AU21">
        <v>12250</v>
      </c>
      <c r="AV21">
        <v>14550</v>
      </c>
      <c r="AW21">
        <v>17600</v>
      </c>
      <c r="AX21">
        <v>21650</v>
      </c>
      <c r="AY21">
        <v>24900</v>
      </c>
      <c r="AZ21">
        <v>26300</v>
      </c>
    </row>
    <row r="22" spans="4:53" x14ac:dyDescent="0.2">
      <c r="D22" s="191" t="s">
        <v>288</v>
      </c>
      <c r="E22" s="191"/>
      <c r="L22" s="60">
        <f t="shared" si="0"/>
        <v>2282.2750000000001</v>
      </c>
      <c r="M22" s="60">
        <f t="shared" si="1"/>
        <v>2532.9250000000002</v>
      </c>
      <c r="N22" s="60">
        <f t="shared" si="2"/>
        <v>2866.7750000000001</v>
      </c>
      <c r="O22" s="60">
        <f t="shared" si="3"/>
        <v>3268.0015301144736</v>
      </c>
      <c r="P22" s="60">
        <f t="shared" si="4"/>
        <v>3799.478060228947</v>
      </c>
      <c r="Q22" s="60">
        <f t="shared" si="5"/>
        <v>4532.2265301144735</v>
      </c>
      <c r="R22" s="60">
        <f t="shared" si="6"/>
        <v>5525</v>
      </c>
      <c r="S22" s="60">
        <f t="shared" si="7"/>
        <v>6675</v>
      </c>
      <c r="T22" s="60">
        <f t="shared" si="8"/>
        <v>7700</v>
      </c>
      <c r="U22" s="60">
        <f t="shared" si="9"/>
        <v>8800</v>
      </c>
      <c r="V22" s="60">
        <f t="shared" si="10"/>
        <v>10075</v>
      </c>
      <c r="W22" s="60">
        <f t="shared" si="11"/>
        <v>10900</v>
      </c>
      <c r="X22" s="60">
        <f t="shared" si="12"/>
        <v>11100</v>
      </c>
      <c r="Y22" s="60"/>
      <c r="Z22" s="60"/>
      <c r="AA22" s="60"/>
      <c r="AB22" s="60"/>
      <c r="AN22">
        <v>2180.75</v>
      </c>
      <c r="AO22">
        <v>2383.8000000000002</v>
      </c>
      <c r="AP22">
        <v>2682.05</v>
      </c>
      <c r="AQ22">
        <v>3051.5</v>
      </c>
      <c r="AR22">
        <v>3484.5030602289471</v>
      </c>
      <c r="AS22">
        <v>4114.4530602289469</v>
      </c>
      <c r="AT22">
        <v>4950</v>
      </c>
      <c r="AU22">
        <v>6100</v>
      </c>
      <c r="AV22">
        <v>7250</v>
      </c>
      <c r="AW22">
        <v>8150</v>
      </c>
      <c r="AX22">
        <v>9450</v>
      </c>
      <c r="AY22">
        <v>10700</v>
      </c>
      <c r="AZ22">
        <v>11100</v>
      </c>
    </row>
    <row r="23" spans="4:53" x14ac:dyDescent="0.2">
      <c r="D23" s="191" t="s">
        <v>117</v>
      </c>
      <c r="E23" s="191"/>
      <c r="L23" s="60">
        <f t="shared" si="0"/>
        <v>35001.949999999997</v>
      </c>
      <c r="M23" s="60">
        <f t="shared" si="1"/>
        <v>42814.025000000001</v>
      </c>
      <c r="N23" s="60">
        <f t="shared" si="2"/>
        <v>51152.800000000003</v>
      </c>
      <c r="O23" s="60">
        <f t="shared" si="3"/>
        <v>56896.056497996091</v>
      </c>
      <c r="P23" s="60">
        <f t="shared" si="4"/>
        <v>56824.162995992185</v>
      </c>
      <c r="Q23" s="60">
        <f t="shared" si="5"/>
        <v>55832.331497996092</v>
      </c>
      <c r="R23" s="60">
        <f t="shared" si="6"/>
        <v>61100</v>
      </c>
      <c r="S23" s="60">
        <f t="shared" si="7"/>
        <v>70950</v>
      </c>
      <c r="T23" s="60">
        <f t="shared" si="8"/>
        <v>79575</v>
      </c>
      <c r="U23" s="60">
        <f t="shared" si="9"/>
        <v>89275</v>
      </c>
      <c r="V23" s="60">
        <f t="shared" si="10"/>
        <v>107100</v>
      </c>
      <c r="W23" s="60">
        <f t="shared" si="11"/>
        <v>125425</v>
      </c>
      <c r="X23" s="60">
        <f t="shared" si="12"/>
        <v>132200</v>
      </c>
      <c r="Y23" s="60"/>
      <c r="Z23" s="60"/>
      <c r="AA23" s="60"/>
      <c r="AB23" s="60"/>
      <c r="AN23">
        <v>31323</v>
      </c>
      <c r="AO23">
        <v>38680.9</v>
      </c>
      <c r="AP23">
        <v>46947.15</v>
      </c>
      <c r="AQ23">
        <v>55358.45</v>
      </c>
      <c r="AR23">
        <v>58433.662995992185</v>
      </c>
      <c r="AS23">
        <v>55214.662995992185</v>
      </c>
      <c r="AT23">
        <v>56450</v>
      </c>
      <c r="AU23">
        <v>65750</v>
      </c>
      <c r="AV23">
        <v>76150</v>
      </c>
      <c r="AW23">
        <v>83000</v>
      </c>
      <c r="AX23">
        <v>95550</v>
      </c>
      <c r="AY23">
        <v>118650</v>
      </c>
      <c r="AZ23">
        <v>132200</v>
      </c>
    </row>
    <row r="24" spans="4:53" x14ac:dyDescent="0.2">
      <c r="D24" s="191" t="s">
        <v>118</v>
      </c>
      <c r="E24" s="191"/>
      <c r="L24" s="60">
        <f t="shared" si="0"/>
        <v>12769.125</v>
      </c>
      <c r="M24" s="60">
        <f t="shared" si="1"/>
        <v>14928.775000000001</v>
      </c>
      <c r="N24" s="60">
        <f t="shared" si="2"/>
        <v>17529.900000000001</v>
      </c>
      <c r="O24" s="60">
        <f t="shared" si="3"/>
        <v>20282.012044912895</v>
      </c>
      <c r="P24" s="60">
        <f t="shared" si="4"/>
        <v>23394.174089825789</v>
      </c>
      <c r="Q24" s="60">
        <f t="shared" si="5"/>
        <v>27140.087044912892</v>
      </c>
      <c r="R24" s="60">
        <f t="shared" si="6"/>
        <v>30575</v>
      </c>
      <c r="S24" s="60">
        <f t="shared" si="7"/>
        <v>33325</v>
      </c>
      <c r="T24" s="60">
        <f t="shared" si="8"/>
        <v>35525</v>
      </c>
      <c r="U24" s="60">
        <f t="shared" si="9"/>
        <v>41325</v>
      </c>
      <c r="V24" s="60">
        <f t="shared" si="10"/>
        <v>55550</v>
      </c>
      <c r="W24" s="60">
        <f t="shared" si="11"/>
        <v>69800</v>
      </c>
      <c r="X24" s="60">
        <f t="shared" si="12"/>
        <v>74700</v>
      </c>
      <c r="Y24" s="60"/>
      <c r="Z24" s="60"/>
      <c r="AA24" s="60"/>
      <c r="AB24" s="60"/>
      <c r="AN24">
        <v>11784.65</v>
      </c>
      <c r="AO24">
        <v>13753.6</v>
      </c>
      <c r="AP24">
        <v>16103.95</v>
      </c>
      <c r="AQ24">
        <v>18955.849999999999</v>
      </c>
      <c r="AR24">
        <v>21608.174089825789</v>
      </c>
      <c r="AS24">
        <v>25180.174089825789</v>
      </c>
      <c r="AT24">
        <v>29100</v>
      </c>
      <c r="AU24">
        <v>32050</v>
      </c>
      <c r="AV24">
        <v>34600</v>
      </c>
      <c r="AW24">
        <v>36450</v>
      </c>
      <c r="AX24">
        <v>46200</v>
      </c>
      <c r="AY24">
        <v>64900</v>
      </c>
      <c r="AZ24">
        <v>74700</v>
      </c>
    </row>
    <row r="25" spans="4:53" x14ac:dyDescent="0.2">
      <c r="D25" s="191" t="s">
        <v>119</v>
      </c>
      <c r="E25" s="191"/>
      <c r="L25" s="60">
        <f t="shared" si="0"/>
        <v>3004.2</v>
      </c>
      <c r="M25" s="60">
        <f t="shared" si="1"/>
        <v>3650.7749999999996</v>
      </c>
      <c r="N25" s="60">
        <f t="shared" si="2"/>
        <v>4528.6499999999996</v>
      </c>
      <c r="O25" s="60">
        <f t="shared" si="3"/>
        <v>5356.5028058649232</v>
      </c>
      <c r="P25" s="60">
        <f t="shared" si="4"/>
        <v>6259.4556117298471</v>
      </c>
      <c r="Q25" s="60">
        <f t="shared" si="5"/>
        <v>7447.6528058649237</v>
      </c>
      <c r="R25" s="60">
        <f t="shared" si="6"/>
        <v>8875</v>
      </c>
      <c r="S25" s="60">
        <f t="shared" si="7"/>
        <v>10375</v>
      </c>
      <c r="T25" s="60">
        <f t="shared" si="8"/>
        <v>11550</v>
      </c>
      <c r="U25" s="60">
        <f t="shared" si="9"/>
        <v>12750</v>
      </c>
      <c r="V25" s="60">
        <f t="shared" si="10"/>
        <v>15225</v>
      </c>
      <c r="W25" s="60">
        <f t="shared" si="11"/>
        <v>18125</v>
      </c>
      <c r="X25" s="60">
        <f t="shared" si="12"/>
        <v>19300</v>
      </c>
      <c r="Y25" s="60"/>
      <c r="Z25" s="60"/>
      <c r="AA25" s="60"/>
      <c r="AB25" s="60"/>
      <c r="AN25">
        <v>2774.75</v>
      </c>
      <c r="AO25">
        <v>3233.6499999999996</v>
      </c>
      <c r="AP25">
        <v>4067.8999999999996</v>
      </c>
      <c r="AQ25">
        <v>4989.3999999999996</v>
      </c>
      <c r="AR25">
        <v>5723.6056117298467</v>
      </c>
      <c r="AS25">
        <v>6795.3056117298465</v>
      </c>
      <c r="AT25">
        <v>8100</v>
      </c>
      <c r="AU25">
        <v>9650</v>
      </c>
      <c r="AV25">
        <v>11100</v>
      </c>
      <c r="AW25">
        <v>12000</v>
      </c>
      <c r="AX25">
        <v>13500</v>
      </c>
      <c r="AY25">
        <v>16950</v>
      </c>
      <c r="AZ25">
        <v>19300</v>
      </c>
    </row>
    <row r="26" spans="4:53" x14ac:dyDescent="0.2">
      <c r="D26" s="191" t="s">
        <v>285</v>
      </c>
      <c r="E26" s="191"/>
      <c r="L26" s="60">
        <f t="shared" si="0"/>
        <v>870.82499999999993</v>
      </c>
      <c r="M26" s="60">
        <f t="shared" si="1"/>
        <v>986.77499999999998</v>
      </c>
      <c r="N26" s="60">
        <f t="shared" si="2"/>
        <v>1144.2750000000001</v>
      </c>
      <c r="O26" s="60">
        <f t="shared" si="3"/>
        <v>1324.3458023383519</v>
      </c>
      <c r="P26" s="60">
        <f t="shared" si="4"/>
        <v>1534.5416046767036</v>
      </c>
      <c r="Q26" s="60">
        <f t="shared" si="5"/>
        <v>1801.7208023383519</v>
      </c>
      <c r="R26" s="60">
        <f t="shared" si="6"/>
        <v>2125</v>
      </c>
      <c r="S26" s="60">
        <f t="shared" si="7"/>
        <v>2475</v>
      </c>
      <c r="T26" s="60">
        <f t="shared" si="8"/>
        <v>2800</v>
      </c>
      <c r="U26" s="60">
        <f t="shared" si="9"/>
        <v>3225</v>
      </c>
      <c r="V26" s="60">
        <f t="shared" si="10"/>
        <v>4000</v>
      </c>
      <c r="W26" s="60">
        <f t="shared" si="11"/>
        <v>4800</v>
      </c>
      <c r="X26" s="60">
        <f t="shared" si="12"/>
        <v>5100</v>
      </c>
      <c r="Y26" s="60"/>
      <c r="Z26" s="60"/>
      <c r="AA26" s="60"/>
      <c r="AB26" s="60"/>
      <c r="AN26">
        <v>823.59999999999991</v>
      </c>
      <c r="AO26">
        <v>918.05</v>
      </c>
      <c r="AP26">
        <v>1055.5</v>
      </c>
      <c r="AQ26">
        <v>1233.0500000000002</v>
      </c>
      <c r="AR26">
        <v>1415.6416046767035</v>
      </c>
      <c r="AS26">
        <v>1653.4416046767035</v>
      </c>
      <c r="AT26">
        <v>1950</v>
      </c>
      <c r="AU26">
        <v>2300</v>
      </c>
      <c r="AV26">
        <v>2650</v>
      </c>
      <c r="AW26">
        <v>2950</v>
      </c>
      <c r="AX26">
        <v>3500</v>
      </c>
      <c r="AY26">
        <v>4500</v>
      </c>
      <c r="AZ26">
        <v>5100</v>
      </c>
    </row>
    <row r="27" spans="4:53" x14ac:dyDescent="0.2">
      <c r="D27" t="s">
        <v>395</v>
      </c>
      <c r="L27" s="60" t="e">
        <f t="shared" si="0"/>
        <v>#DIV/0!</v>
      </c>
      <c r="M27" s="60" t="e">
        <f t="shared" si="1"/>
        <v>#DIV/0!</v>
      </c>
      <c r="N27" s="60" t="e">
        <f t="shared" si="2"/>
        <v>#DIV/0!</v>
      </c>
      <c r="O27" s="60" t="e">
        <f t="shared" si="3"/>
        <v>#DIV/0!</v>
      </c>
      <c r="P27" s="60" t="e">
        <f t="shared" si="4"/>
        <v>#DIV/0!</v>
      </c>
      <c r="Q27" s="60" t="e">
        <f t="shared" si="5"/>
        <v>#DIV/0!</v>
      </c>
      <c r="R27" s="60" t="e">
        <f t="shared" si="6"/>
        <v>#DIV/0!</v>
      </c>
      <c r="S27" s="60" t="e">
        <f t="shared" si="7"/>
        <v>#DIV/0!</v>
      </c>
      <c r="T27" s="60" t="e">
        <f t="shared" si="8"/>
        <v>#DIV/0!</v>
      </c>
      <c r="U27" s="60">
        <f t="shared" si="9"/>
        <v>887675</v>
      </c>
      <c r="V27" s="60">
        <f t="shared" si="10"/>
        <v>1031175</v>
      </c>
      <c r="W27" s="60">
        <f t="shared" si="11"/>
        <v>1149350</v>
      </c>
      <c r="X27" s="60">
        <f t="shared" si="12"/>
        <v>1180300</v>
      </c>
      <c r="Y27" s="60"/>
      <c r="Z27" s="60"/>
      <c r="AA27" s="60"/>
      <c r="AB27" s="60"/>
      <c r="AN27" t="e">
        <v>#DIV/0!</v>
      </c>
      <c r="AO27" t="e">
        <v>#DIV/0!</v>
      </c>
      <c r="AP27" t="e">
        <v>#DIV/0!</v>
      </c>
      <c r="AQ27" t="e">
        <v>#DIV/0!</v>
      </c>
      <c r="AR27" t="e">
        <v>#DIV/0!</v>
      </c>
      <c r="AS27" t="e">
        <v>#DIV/0!</v>
      </c>
      <c r="AT27" t="e">
        <v>#DIV/0!</v>
      </c>
      <c r="AU27" t="e">
        <v>#DIV/0!</v>
      </c>
      <c r="AV27" t="e">
        <v>#DIV/0!</v>
      </c>
      <c r="AW27">
        <v>831400</v>
      </c>
      <c r="AX27">
        <v>943950</v>
      </c>
      <c r="AY27">
        <v>1118400</v>
      </c>
      <c r="AZ27">
        <v>1180300</v>
      </c>
    </row>
    <row r="28" spans="4:53" x14ac:dyDescent="0.2">
      <c r="D28" t="s">
        <v>396</v>
      </c>
      <c r="L28" s="60">
        <f t="shared" si="0"/>
        <v>34294.074999999997</v>
      </c>
      <c r="M28" s="60">
        <f t="shared" si="1"/>
        <v>36633.775000000001</v>
      </c>
      <c r="N28" s="60">
        <f t="shared" si="2"/>
        <v>39710.050000000003</v>
      </c>
      <c r="O28" s="60">
        <f t="shared" si="3"/>
        <v>44310.95</v>
      </c>
      <c r="P28" s="60">
        <f t="shared" si="4"/>
        <v>51359.724999999999</v>
      </c>
      <c r="Q28" s="60">
        <f t="shared" si="5"/>
        <v>63067.25</v>
      </c>
      <c r="R28" s="60">
        <f t="shared" si="6"/>
        <v>77925</v>
      </c>
      <c r="S28" s="60">
        <f t="shared" si="7"/>
        <v>92300</v>
      </c>
      <c r="T28" s="60">
        <f t="shared" si="8"/>
        <v>104850</v>
      </c>
      <c r="U28" s="60">
        <f t="shared" si="9"/>
        <v>119500</v>
      </c>
      <c r="V28" s="60">
        <f t="shared" si="10"/>
        <v>143050</v>
      </c>
      <c r="W28" s="60">
        <f t="shared" si="11"/>
        <v>165800</v>
      </c>
      <c r="X28" s="60">
        <f t="shared" si="12"/>
        <v>173900</v>
      </c>
      <c r="Y28" s="60"/>
      <c r="Z28" s="60"/>
      <c r="AA28" s="60"/>
      <c r="AB28" s="60"/>
      <c r="AN28">
        <v>33053.75</v>
      </c>
      <c r="AO28">
        <v>35534.400000000001</v>
      </c>
      <c r="AP28">
        <v>37733.15</v>
      </c>
      <c r="AQ28">
        <v>41686.949999999997</v>
      </c>
      <c r="AR28">
        <v>46934.95</v>
      </c>
      <c r="AS28">
        <v>55784.5</v>
      </c>
      <c r="AT28">
        <v>70350</v>
      </c>
      <c r="AU28">
        <v>85500</v>
      </c>
      <c r="AV28">
        <v>99100</v>
      </c>
      <c r="AW28">
        <v>110600</v>
      </c>
      <c r="AX28">
        <v>128400</v>
      </c>
      <c r="AY28">
        <v>157700</v>
      </c>
      <c r="AZ28">
        <v>173900</v>
      </c>
    </row>
    <row r="29" spans="4:53" x14ac:dyDescent="0.2">
      <c r="D29" t="s">
        <v>397</v>
      </c>
      <c r="L29" s="60">
        <f t="shared" si="0"/>
        <v>222816.17499999999</v>
      </c>
      <c r="M29" s="60">
        <f t="shared" si="1"/>
        <v>255233.27499999997</v>
      </c>
      <c r="N29" s="60">
        <f t="shared" si="2"/>
        <v>293384.875</v>
      </c>
      <c r="O29" s="60">
        <f t="shared" si="3"/>
        <v>342539.47824339382</v>
      </c>
      <c r="P29" s="60">
        <f t="shared" si="4"/>
        <v>411019.25648678758</v>
      </c>
      <c r="Q29" s="60">
        <f t="shared" si="5"/>
        <v>500618.92824339378</v>
      </c>
      <c r="R29" s="60">
        <f t="shared" si="6"/>
        <v>608200</v>
      </c>
      <c r="S29" s="60">
        <f t="shared" si="7"/>
        <v>740575</v>
      </c>
      <c r="T29" s="60">
        <f t="shared" si="8"/>
        <v>863325</v>
      </c>
      <c r="U29" s="60">
        <f t="shared" si="9"/>
        <v>992725</v>
      </c>
      <c r="V29" s="60">
        <f t="shared" si="10"/>
        <v>1174225</v>
      </c>
      <c r="W29" s="60">
        <f t="shared" si="11"/>
        <v>1315150</v>
      </c>
      <c r="X29" s="60">
        <f t="shared" si="12"/>
        <v>1354200</v>
      </c>
      <c r="Y29" s="60"/>
      <c r="Z29" s="60"/>
      <c r="AA29" s="60"/>
      <c r="AB29" s="60"/>
      <c r="AN29">
        <v>206457.25</v>
      </c>
      <c r="AO29">
        <v>239175.09999999998</v>
      </c>
      <c r="AP29">
        <v>271291.44999999995</v>
      </c>
      <c r="AQ29">
        <v>315478.30000000005</v>
      </c>
      <c r="AR29">
        <v>369600.6564867876</v>
      </c>
      <c r="AS29">
        <v>452437.85648678761</v>
      </c>
      <c r="AT29">
        <v>548800</v>
      </c>
      <c r="AU29">
        <v>667600</v>
      </c>
      <c r="AV29">
        <v>813550</v>
      </c>
      <c r="AW29">
        <v>913100</v>
      </c>
      <c r="AX29">
        <v>1072350</v>
      </c>
      <c r="AY29">
        <v>1276100</v>
      </c>
      <c r="AZ29">
        <v>1354200</v>
      </c>
    </row>
    <row r="30" spans="4:53" x14ac:dyDescent="0.2">
      <c r="D30" t="s">
        <v>398</v>
      </c>
    </row>
    <row r="31" spans="4:53" x14ac:dyDescent="0.2">
      <c r="D31" t="s">
        <v>399</v>
      </c>
    </row>
    <row r="32" spans="4:53" x14ac:dyDescent="0.2">
      <c r="D32" t="s">
        <v>400</v>
      </c>
    </row>
    <row r="34" spans="4:52" x14ac:dyDescent="0.2">
      <c r="D34" t="s">
        <v>403</v>
      </c>
    </row>
    <row r="35" spans="4:52" x14ac:dyDescent="0.2">
      <c r="D35" t="s">
        <v>100</v>
      </c>
    </row>
    <row r="36" spans="4:52" x14ac:dyDescent="0.2">
      <c r="D36" s="15" t="s">
        <v>388</v>
      </c>
      <c r="E36" s="9"/>
      <c r="F36" s="9"/>
      <c r="G36" s="9"/>
      <c r="H36" s="9"/>
      <c r="I36" s="9"/>
      <c r="J36" s="9"/>
      <c r="K36" s="9"/>
      <c r="L36" s="7">
        <f t="shared" ref="L36:L66" si="13">AVERAGE(AN36:AO36)</f>
        <v>54550.5</v>
      </c>
      <c r="M36" s="7">
        <f t="shared" ref="M36:M65" si="14">AVERAGE(AO36:AP36)</f>
        <v>56418.924999999996</v>
      </c>
      <c r="N36" s="7">
        <f t="shared" ref="N36:N65" si="15">AVERAGE(AP36:AQ36)</f>
        <v>57778.149999999994</v>
      </c>
      <c r="O36" s="7">
        <f t="shared" ref="O36:O65" si="16">AVERAGE(AQ36:AR36)</f>
        <v>59599.375</v>
      </c>
      <c r="P36" s="7">
        <f t="shared" ref="P36:P65" si="17">AVERAGE(AR36:AS36)</f>
        <v>63709.574999999997</v>
      </c>
      <c r="Q36" s="7">
        <f t="shared" ref="Q36:Q65" si="18">AVERAGE(AS36:AT36)</f>
        <v>69769.899999999994</v>
      </c>
      <c r="R36" s="7">
        <f t="shared" ref="R36:R65" si="19">AVERAGE(AT36:AU36)</f>
        <v>73500</v>
      </c>
      <c r="S36" s="7">
        <f t="shared" ref="S36:S65" si="20">AVERAGE(AU36:AV36)</f>
        <v>76325</v>
      </c>
      <c r="T36" s="7">
        <f t="shared" ref="T36:T65" si="21">AVERAGE(AV36:AW36)</f>
        <v>79675</v>
      </c>
      <c r="U36" s="7">
        <f t="shared" ref="U36:U65" si="22">AVERAGE(AW36:AX36)</f>
        <v>82350</v>
      </c>
      <c r="V36" s="7">
        <f t="shared" ref="V36:V65" si="23">AVERAGE(AX36:AY36)</f>
        <v>84375</v>
      </c>
      <c r="W36" s="7">
        <f t="shared" ref="W36:W65" si="24">AVERAGE(AY36:AZ36)</f>
        <v>85450</v>
      </c>
      <c r="X36" s="7">
        <f t="shared" ref="X36:X65" si="25">AVERAGE(AZ36:BA36)</f>
        <v>85700</v>
      </c>
      <c r="Y36" s="60"/>
      <c r="Z36" s="60"/>
      <c r="AA36" s="60"/>
      <c r="AN36">
        <v>53050.05</v>
      </c>
      <c r="AO36">
        <v>56050.95</v>
      </c>
      <c r="AP36">
        <v>56786.899999999994</v>
      </c>
      <c r="AQ36">
        <v>58769.399999999994</v>
      </c>
      <c r="AR36">
        <v>60429.35</v>
      </c>
      <c r="AS36">
        <v>66989.8</v>
      </c>
      <c r="AT36">
        <v>72550</v>
      </c>
      <c r="AU36">
        <v>74450</v>
      </c>
      <c r="AV36">
        <v>78200</v>
      </c>
      <c r="AW36">
        <v>81150</v>
      </c>
      <c r="AX36">
        <v>83550</v>
      </c>
      <c r="AY36">
        <v>85200</v>
      </c>
      <c r="AZ36">
        <v>85700</v>
      </c>
    </row>
    <row r="37" spans="4:52" x14ac:dyDescent="0.2">
      <c r="D37" s="191" t="s">
        <v>102</v>
      </c>
      <c r="L37" s="60">
        <f t="shared" si="13"/>
        <v>34350.300000000003</v>
      </c>
      <c r="M37" s="60">
        <f t="shared" si="14"/>
        <v>35536.674999999996</v>
      </c>
      <c r="N37" s="60">
        <f t="shared" si="15"/>
        <v>36306.574999999997</v>
      </c>
      <c r="O37" s="60">
        <f t="shared" si="16"/>
        <v>37258.925000000003</v>
      </c>
      <c r="P37" s="60">
        <f t="shared" si="17"/>
        <v>40522.65</v>
      </c>
      <c r="Q37" s="60">
        <f t="shared" si="18"/>
        <v>45975.224999999999</v>
      </c>
      <c r="R37" s="60">
        <f t="shared" si="19"/>
        <v>49025</v>
      </c>
      <c r="S37" s="60">
        <f t="shared" si="20"/>
        <v>50975</v>
      </c>
      <c r="T37" s="60">
        <f t="shared" si="21"/>
        <v>53525</v>
      </c>
      <c r="U37" s="60">
        <f t="shared" si="22"/>
        <v>55200</v>
      </c>
      <c r="V37" s="60">
        <f t="shared" si="23"/>
        <v>55900</v>
      </c>
      <c r="W37" s="60">
        <f t="shared" si="24"/>
        <v>56125</v>
      </c>
      <c r="X37" s="60">
        <f t="shared" si="25"/>
        <v>56200</v>
      </c>
      <c r="Y37" s="60"/>
      <c r="Z37" s="60"/>
      <c r="AA37" s="60"/>
      <c r="AN37">
        <v>33317.4</v>
      </c>
      <c r="AO37">
        <v>35383.199999999997</v>
      </c>
      <c r="AP37">
        <v>35690.149999999994</v>
      </c>
      <c r="AQ37">
        <v>36923</v>
      </c>
      <c r="AR37">
        <v>37594.850000000006</v>
      </c>
      <c r="AS37">
        <v>43450.45</v>
      </c>
      <c r="AT37">
        <v>48500</v>
      </c>
      <c r="AU37">
        <v>49550</v>
      </c>
      <c r="AV37">
        <v>52400</v>
      </c>
      <c r="AW37">
        <v>54650</v>
      </c>
      <c r="AX37">
        <v>55750</v>
      </c>
      <c r="AY37">
        <v>56050</v>
      </c>
      <c r="AZ37">
        <v>56200</v>
      </c>
    </row>
    <row r="38" spans="4:52" x14ac:dyDescent="0.2">
      <c r="D38" s="191" t="s">
        <v>103</v>
      </c>
      <c r="L38" s="60">
        <f t="shared" si="13"/>
        <v>9423.4750000000004</v>
      </c>
      <c r="M38" s="60">
        <f t="shared" si="14"/>
        <v>9748.75</v>
      </c>
      <c r="N38" s="60">
        <f t="shared" si="15"/>
        <v>10089.650000000001</v>
      </c>
      <c r="O38" s="60">
        <f t="shared" si="16"/>
        <v>10445</v>
      </c>
      <c r="P38" s="60">
        <f t="shared" si="17"/>
        <v>10815.475</v>
      </c>
      <c r="Q38" s="60">
        <f t="shared" si="18"/>
        <v>11202.525</v>
      </c>
      <c r="R38" s="60">
        <f t="shared" si="19"/>
        <v>11600</v>
      </c>
      <c r="S38" s="60">
        <f t="shared" si="20"/>
        <v>12000</v>
      </c>
      <c r="T38" s="60">
        <f t="shared" si="21"/>
        <v>12400</v>
      </c>
      <c r="U38" s="60">
        <f t="shared" si="22"/>
        <v>12800</v>
      </c>
      <c r="V38" s="60">
        <f t="shared" si="23"/>
        <v>13200</v>
      </c>
      <c r="W38" s="60">
        <f t="shared" si="24"/>
        <v>13500</v>
      </c>
      <c r="X38" s="60">
        <f t="shared" si="25"/>
        <v>13600</v>
      </c>
      <c r="Y38" s="60"/>
      <c r="Z38" s="60"/>
      <c r="AA38" s="60"/>
      <c r="AN38">
        <v>9264.6500000000015</v>
      </c>
      <c r="AO38">
        <v>9582.2999999999993</v>
      </c>
      <c r="AP38">
        <v>9915.2000000000007</v>
      </c>
      <c r="AQ38">
        <v>10264.1</v>
      </c>
      <c r="AR38">
        <v>10625.900000000001</v>
      </c>
      <c r="AS38">
        <v>11005.05</v>
      </c>
      <c r="AT38">
        <v>11400</v>
      </c>
      <c r="AU38">
        <v>11800</v>
      </c>
      <c r="AV38">
        <v>12200</v>
      </c>
      <c r="AW38">
        <v>12600</v>
      </c>
      <c r="AX38">
        <v>13000</v>
      </c>
      <c r="AY38">
        <v>13400</v>
      </c>
      <c r="AZ38">
        <v>13600</v>
      </c>
    </row>
    <row r="39" spans="4:52" x14ac:dyDescent="0.2">
      <c r="D39" s="191" t="s">
        <v>287</v>
      </c>
      <c r="L39" s="60">
        <f t="shared" si="13"/>
        <v>1048.0999999999999</v>
      </c>
      <c r="M39" s="60">
        <f t="shared" si="14"/>
        <v>1080.8499999999999</v>
      </c>
      <c r="N39" s="60">
        <f t="shared" si="15"/>
        <v>1103.9749999999999</v>
      </c>
      <c r="O39" s="60">
        <f t="shared" si="16"/>
        <v>1138.125</v>
      </c>
      <c r="P39" s="60">
        <f t="shared" si="17"/>
        <v>1174</v>
      </c>
      <c r="Q39" s="60">
        <f t="shared" si="18"/>
        <v>1219.7249999999999</v>
      </c>
      <c r="R39" s="60">
        <f t="shared" si="19"/>
        <v>1275</v>
      </c>
      <c r="S39" s="60">
        <f t="shared" si="20"/>
        <v>1325</v>
      </c>
      <c r="T39" s="60">
        <f t="shared" si="21"/>
        <v>1375</v>
      </c>
      <c r="U39" s="60">
        <f t="shared" si="22"/>
        <v>1425</v>
      </c>
      <c r="V39" s="60">
        <f t="shared" si="23"/>
        <v>1475</v>
      </c>
      <c r="W39" s="60">
        <f t="shared" si="24"/>
        <v>1500</v>
      </c>
      <c r="X39" s="60">
        <f t="shared" si="25"/>
        <v>1500</v>
      </c>
      <c r="Y39" s="60"/>
      <c r="Z39" s="60"/>
      <c r="AA39" s="60"/>
      <c r="AN39">
        <v>1024.75</v>
      </c>
      <c r="AO39">
        <v>1071.4499999999998</v>
      </c>
      <c r="AP39">
        <v>1090.25</v>
      </c>
      <c r="AQ39">
        <v>1117.7</v>
      </c>
      <c r="AR39">
        <v>1158.5500000000002</v>
      </c>
      <c r="AS39">
        <v>1189.45</v>
      </c>
      <c r="AT39">
        <v>1250</v>
      </c>
      <c r="AU39">
        <v>1300</v>
      </c>
      <c r="AV39">
        <v>1350</v>
      </c>
      <c r="AW39">
        <v>1400</v>
      </c>
      <c r="AX39">
        <v>1450</v>
      </c>
      <c r="AY39">
        <v>1500</v>
      </c>
      <c r="AZ39">
        <v>1500</v>
      </c>
    </row>
    <row r="40" spans="4:52" x14ac:dyDescent="0.2">
      <c r="D40" s="177" t="s">
        <v>105</v>
      </c>
      <c r="L40" s="60">
        <f t="shared" si="13"/>
        <v>9728.65</v>
      </c>
      <c r="M40" s="60">
        <f t="shared" si="14"/>
        <v>10052.674999999999</v>
      </c>
      <c r="N40" s="60">
        <f t="shared" si="15"/>
        <v>10277.924999999999</v>
      </c>
      <c r="O40" s="60">
        <f t="shared" si="16"/>
        <v>10757.275</v>
      </c>
      <c r="P40" s="60">
        <f t="shared" si="17"/>
        <v>11197.424999999999</v>
      </c>
      <c r="Q40" s="60">
        <f t="shared" si="18"/>
        <v>11372.424999999999</v>
      </c>
      <c r="R40" s="60">
        <f t="shared" si="19"/>
        <v>11600</v>
      </c>
      <c r="S40" s="60">
        <f t="shared" si="20"/>
        <v>12025</v>
      </c>
      <c r="T40" s="60">
        <f t="shared" si="21"/>
        <v>12375</v>
      </c>
      <c r="U40" s="60">
        <f t="shared" si="22"/>
        <v>12925</v>
      </c>
      <c r="V40" s="60">
        <f t="shared" si="23"/>
        <v>13800</v>
      </c>
      <c r="W40" s="60">
        <f t="shared" si="24"/>
        <v>14325</v>
      </c>
      <c r="X40" s="60">
        <f t="shared" si="25"/>
        <v>14400</v>
      </c>
      <c r="Y40" s="60"/>
      <c r="Z40" s="60"/>
      <c r="AA40" s="60"/>
      <c r="AN40">
        <v>9443.25</v>
      </c>
      <c r="AO40">
        <v>10014.049999999999</v>
      </c>
      <c r="AP40">
        <v>10091.299999999999</v>
      </c>
      <c r="AQ40">
        <v>10464.549999999999</v>
      </c>
      <c r="AR40">
        <v>11050</v>
      </c>
      <c r="AS40">
        <v>11344.85</v>
      </c>
      <c r="AT40">
        <v>11400</v>
      </c>
      <c r="AU40">
        <v>11800</v>
      </c>
      <c r="AV40">
        <v>12250</v>
      </c>
      <c r="AW40">
        <v>12500</v>
      </c>
      <c r="AX40">
        <v>13350</v>
      </c>
      <c r="AY40">
        <v>14250</v>
      </c>
      <c r="AZ40">
        <v>14400</v>
      </c>
    </row>
    <row r="41" spans="4:52" x14ac:dyDescent="0.2">
      <c r="D41" s="15" t="s">
        <v>389</v>
      </c>
      <c r="E41" s="9"/>
      <c r="F41" s="9"/>
      <c r="G41" s="9"/>
      <c r="H41" s="9"/>
      <c r="I41" s="9"/>
      <c r="J41" s="9"/>
      <c r="K41" s="9"/>
      <c r="L41" s="7">
        <f t="shared" si="13"/>
        <v>25053.4</v>
      </c>
      <c r="M41" s="7">
        <f t="shared" si="14"/>
        <v>28336.625</v>
      </c>
      <c r="N41" s="7">
        <f t="shared" si="15"/>
        <v>32512.325000000001</v>
      </c>
      <c r="O41" s="7">
        <f t="shared" si="16"/>
        <v>36308.100000000006</v>
      </c>
      <c r="P41" s="7">
        <f t="shared" si="17"/>
        <v>40254.9</v>
      </c>
      <c r="Q41" s="7">
        <f t="shared" si="18"/>
        <v>44811.7</v>
      </c>
      <c r="R41" s="7">
        <f t="shared" si="19"/>
        <v>47850</v>
      </c>
      <c r="S41" s="7">
        <f t="shared" si="20"/>
        <v>49325</v>
      </c>
      <c r="T41" s="7">
        <f t="shared" si="21"/>
        <v>50650</v>
      </c>
      <c r="U41" s="7">
        <f t="shared" si="22"/>
        <v>52275</v>
      </c>
      <c r="V41" s="7">
        <f t="shared" si="23"/>
        <v>55225</v>
      </c>
      <c r="W41" s="7">
        <f t="shared" si="24"/>
        <v>58450</v>
      </c>
      <c r="X41" s="7">
        <f t="shared" si="25"/>
        <v>59700</v>
      </c>
      <c r="Y41" s="60"/>
      <c r="Z41" s="60"/>
      <c r="AA41" s="60"/>
      <c r="AN41">
        <v>23778.400000000001</v>
      </c>
      <c r="AO41">
        <v>26328.400000000001</v>
      </c>
      <c r="AP41">
        <v>30344.85</v>
      </c>
      <c r="AQ41">
        <v>34679.800000000003</v>
      </c>
      <c r="AR41">
        <v>37936.400000000001</v>
      </c>
      <c r="AS41">
        <v>42573.4</v>
      </c>
      <c r="AT41">
        <v>47050</v>
      </c>
      <c r="AU41">
        <v>48650</v>
      </c>
      <c r="AV41">
        <v>50000</v>
      </c>
      <c r="AW41">
        <v>51300</v>
      </c>
      <c r="AX41">
        <v>53250</v>
      </c>
      <c r="AY41">
        <v>57200</v>
      </c>
      <c r="AZ41">
        <v>59700</v>
      </c>
    </row>
    <row r="42" spans="4:52" x14ac:dyDescent="0.2">
      <c r="D42" s="191" t="s">
        <v>390</v>
      </c>
      <c r="L42" s="60">
        <f t="shared" si="13"/>
        <v>1176.8499999999999</v>
      </c>
      <c r="M42" s="60">
        <f t="shared" si="14"/>
        <v>1484.875</v>
      </c>
      <c r="N42" s="60">
        <f t="shared" si="15"/>
        <v>1838.0500000000002</v>
      </c>
      <c r="O42" s="60">
        <f t="shared" si="16"/>
        <v>2085.9750000000004</v>
      </c>
      <c r="P42" s="60">
        <f t="shared" si="17"/>
        <v>2277.8249999999998</v>
      </c>
      <c r="Q42" s="60">
        <f t="shared" si="18"/>
        <v>2435.4250000000002</v>
      </c>
      <c r="R42" s="60">
        <f t="shared" si="19"/>
        <v>2700</v>
      </c>
      <c r="S42" s="60">
        <f t="shared" si="20"/>
        <v>3150</v>
      </c>
      <c r="T42" s="60">
        <f t="shared" si="21"/>
        <v>3550</v>
      </c>
      <c r="U42" s="60">
        <f t="shared" si="22"/>
        <v>3875</v>
      </c>
      <c r="V42" s="60">
        <f t="shared" si="23"/>
        <v>4350</v>
      </c>
      <c r="W42" s="60">
        <f t="shared" si="24"/>
        <v>4825</v>
      </c>
      <c r="X42" s="60">
        <f t="shared" si="25"/>
        <v>5000</v>
      </c>
      <c r="Y42" s="60"/>
      <c r="Z42" s="60"/>
      <c r="AA42" s="60"/>
      <c r="AN42">
        <v>1072.9000000000001</v>
      </c>
      <c r="AO42">
        <v>1280.8</v>
      </c>
      <c r="AP42">
        <v>1688.95</v>
      </c>
      <c r="AQ42">
        <v>1987.15</v>
      </c>
      <c r="AR42">
        <v>2184.8000000000002</v>
      </c>
      <c r="AS42">
        <v>2370.85</v>
      </c>
      <c r="AT42">
        <v>2500</v>
      </c>
      <c r="AU42">
        <v>2900</v>
      </c>
      <c r="AV42">
        <v>3400</v>
      </c>
      <c r="AW42">
        <v>3700</v>
      </c>
      <c r="AX42">
        <v>4050</v>
      </c>
      <c r="AY42">
        <v>4650</v>
      </c>
      <c r="AZ42">
        <v>5000</v>
      </c>
    </row>
    <row r="43" spans="4:52" x14ac:dyDescent="0.2">
      <c r="D43" s="191" t="s">
        <v>40</v>
      </c>
      <c r="L43" s="60">
        <f t="shared" si="13"/>
        <v>11959.1</v>
      </c>
      <c r="M43" s="60">
        <f t="shared" si="14"/>
        <v>12990.9</v>
      </c>
      <c r="N43" s="60">
        <f t="shared" si="15"/>
        <v>14061.9</v>
      </c>
      <c r="O43" s="60">
        <f t="shared" si="16"/>
        <v>14179.924999999999</v>
      </c>
      <c r="P43" s="60">
        <f t="shared" si="17"/>
        <v>14271.9</v>
      </c>
      <c r="Q43" s="60">
        <f t="shared" si="18"/>
        <v>14609.85</v>
      </c>
      <c r="R43" s="60">
        <f t="shared" si="19"/>
        <v>14825</v>
      </c>
      <c r="S43" s="60">
        <f t="shared" si="20"/>
        <v>15025</v>
      </c>
      <c r="T43" s="60">
        <f t="shared" si="21"/>
        <v>15350</v>
      </c>
      <c r="U43" s="60">
        <f t="shared" si="22"/>
        <v>15775</v>
      </c>
      <c r="V43" s="60">
        <f t="shared" si="23"/>
        <v>16100</v>
      </c>
      <c r="W43" s="60">
        <f t="shared" si="24"/>
        <v>16200</v>
      </c>
      <c r="X43" s="60">
        <f t="shared" si="25"/>
        <v>16200</v>
      </c>
      <c r="Y43" s="60"/>
      <c r="Z43" s="60"/>
      <c r="AA43" s="60"/>
      <c r="AN43">
        <v>11774.45</v>
      </c>
      <c r="AO43">
        <v>12143.75</v>
      </c>
      <c r="AP43">
        <v>13838.05</v>
      </c>
      <c r="AQ43">
        <v>14285.75</v>
      </c>
      <c r="AR43">
        <v>14074.099999999999</v>
      </c>
      <c r="AS43">
        <v>14469.7</v>
      </c>
      <c r="AT43">
        <v>14750</v>
      </c>
      <c r="AU43">
        <v>14900</v>
      </c>
      <c r="AV43">
        <v>15150</v>
      </c>
      <c r="AW43">
        <v>15550</v>
      </c>
      <c r="AX43">
        <v>16000</v>
      </c>
      <c r="AY43">
        <v>16200</v>
      </c>
      <c r="AZ43">
        <v>16200</v>
      </c>
    </row>
    <row r="44" spans="4:52" x14ac:dyDescent="0.2">
      <c r="D44" s="191" t="s">
        <v>391</v>
      </c>
      <c r="L44" s="60">
        <f t="shared" si="13"/>
        <v>3667.7750000000001</v>
      </c>
      <c r="M44" s="60">
        <f t="shared" si="14"/>
        <v>3818.85</v>
      </c>
      <c r="N44" s="60">
        <f t="shared" si="15"/>
        <v>4002.0499999999997</v>
      </c>
      <c r="O44" s="60">
        <f t="shared" si="16"/>
        <v>4243.05</v>
      </c>
      <c r="P44" s="60">
        <f t="shared" si="17"/>
        <v>4526.5</v>
      </c>
      <c r="Q44" s="60">
        <f t="shared" si="18"/>
        <v>4810.3999999999996</v>
      </c>
      <c r="R44" s="60">
        <f t="shared" si="19"/>
        <v>5050</v>
      </c>
      <c r="S44" s="60">
        <f t="shared" si="20"/>
        <v>5200</v>
      </c>
      <c r="T44" s="60">
        <f t="shared" si="21"/>
        <v>5275</v>
      </c>
      <c r="U44" s="60">
        <f t="shared" si="22"/>
        <v>5500</v>
      </c>
      <c r="V44" s="60">
        <f t="shared" si="23"/>
        <v>5975</v>
      </c>
      <c r="W44" s="60">
        <f t="shared" si="24"/>
        <v>6325</v>
      </c>
      <c r="X44" s="60">
        <f t="shared" si="25"/>
        <v>6400</v>
      </c>
      <c r="Y44" s="60"/>
      <c r="Z44" s="60"/>
      <c r="AA44" s="60"/>
      <c r="AN44">
        <v>3598.05</v>
      </c>
      <c r="AO44">
        <v>3737.5</v>
      </c>
      <c r="AP44">
        <v>3900.2</v>
      </c>
      <c r="AQ44">
        <v>4103.8999999999996</v>
      </c>
      <c r="AR44">
        <v>4382.2000000000007</v>
      </c>
      <c r="AS44">
        <v>4670.8</v>
      </c>
      <c r="AT44">
        <v>4950</v>
      </c>
      <c r="AU44">
        <v>5150</v>
      </c>
      <c r="AV44">
        <v>5250</v>
      </c>
      <c r="AW44">
        <v>5300</v>
      </c>
      <c r="AX44">
        <v>5700</v>
      </c>
      <c r="AY44">
        <v>6250</v>
      </c>
      <c r="AZ44">
        <v>6400</v>
      </c>
    </row>
    <row r="45" spans="4:52" x14ac:dyDescent="0.2">
      <c r="D45" s="191" t="s">
        <v>109</v>
      </c>
      <c r="L45" s="60">
        <f t="shared" si="13"/>
        <v>8249.65</v>
      </c>
      <c r="M45" s="60">
        <f t="shared" si="14"/>
        <v>10041.950000000001</v>
      </c>
      <c r="N45" s="60">
        <f t="shared" si="15"/>
        <v>12610.325000000001</v>
      </c>
      <c r="O45" s="60">
        <f t="shared" si="16"/>
        <v>15799.199999999999</v>
      </c>
      <c r="P45" s="60">
        <f t="shared" si="17"/>
        <v>19178.699999999997</v>
      </c>
      <c r="Q45" s="60">
        <f t="shared" si="18"/>
        <v>22956.025000000001</v>
      </c>
      <c r="R45" s="60">
        <f t="shared" si="19"/>
        <v>25275</v>
      </c>
      <c r="S45" s="60">
        <f t="shared" si="20"/>
        <v>25950</v>
      </c>
      <c r="T45" s="60">
        <f t="shared" si="21"/>
        <v>26475</v>
      </c>
      <c r="U45" s="60">
        <f t="shared" si="22"/>
        <v>27125</v>
      </c>
      <c r="V45" s="60">
        <f t="shared" si="23"/>
        <v>28800</v>
      </c>
      <c r="W45" s="60">
        <f t="shared" si="24"/>
        <v>31100</v>
      </c>
      <c r="X45" s="60">
        <f t="shared" si="25"/>
        <v>32100</v>
      </c>
      <c r="Y45" s="60"/>
      <c r="Z45" s="60"/>
      <c r="AA45" s="60"/>
      <c r="AN45">
        <v>7333</v>
      </c>
      <c r="AO45">
        <v>9166.2999999999993</v>
      </c>
      <c r="AP45">
        <v>10917.6</v>
      </c>
      <c r="AQ45">
        <v>14303.05</v>
      </c>
      <c r="AR45">
        <v>17295.349999999999</v>
      </c>
      <c r="AS45">
        <v>21062.05</v>
      </c>
      <c r="AT45">
        <v>24850</v>
      </c>
      <c r="AU45">
        <v>25700</v>
      </c>
      <c r="AV45">
        <v>26200</v>
      </c>
      <c r="AW45">
        <v>26750</v>
      </c>
      <c r="AX45">
        <v>27500</v>
      </c>
      <c r="AY45">
        <v>30100</v>
      </c>
      <c r="AZ45">
        <v>32100</v>
      </c>
    </row>
    <row r="46" spans="4:52" x14ac:dyDescent="0.2">
      <c r="D46" s="524" t="s">
        <v>110</v>
      </c>
      <c r="E46" s="9"/>
      <c r="F46" s="9"/>
      <c r="G46" s="9"/>
      <c r="H46" s="9"/>
      <c r="I46" s="9"/>
      <c r="J46" s="9"/>
      <c r="K46" s="9"/>
      <c r="L46" s="7">
        <f t="shared" si="13"/>
        <v>108134.77500000001</v>
      </c>
      <c r="M46" s="7">
        <f t="shared" si="14"/>
        <v>118009.575</v>
      </c>
      <c r="N46" s="7">
        <f t="shared" si="15"/>
        <v>126027.34999999999</v>
      </c>
      <c r="O46" s="7">
        <f t="shared" si="16"/>
        <v>133258.70000000001</v>
      </c>
      <c r="P46" s="7">
        <f t="shared" si="17"/>
        <v>137895.1</v>
      </c>
      <c r="Q46" s="7">
        <f t="shared" si="18"/>
        <v>141231.6</v>
      </c>
      <c r="R46" s="7">
        <f t="shared" si="19"/>
        <v>149765</v>
      </c>
      <c r="S46" s="7">
        <f t="shared" si="20"/>
        <v>161695</v>
      </c>
      <c r="T46" s="7">
        <f t="shared" si="21"/>
        <v>175175</v>
      </c>
      <c r="U46" s="7">
        <f t="shared" si="22"/>
        <v>190775</v>
      </c>
      <c r="V46" s="7">
        <f t="shared" si="23"/>
        <v>207525</v>
      </c>
      <c r="W46" s="7">
        <f t="shared" si="24"/>
        <v>220800</v>
      </c>
      <c r="X46" s="7">
        <f t="shared" si="25"/>
        <v>225400</v>
      </c>
      <c r="Y46" s="60"/>
      <c r="Z46" s="60"/>
      <c r="AA46" s="60"/>
      <c r="AN46">
        <v>102904.70000000001</v>
      </c>
      <c r="AO46">
        <v>113364.85</v>
      </c>
      <c r="AP46">
        <v>122654.29999999999</v>
      </c>
      <c r="AQ46">
        <v>129400.4</v>
      </c>
      <c r="AR46">
        <v>137117</v>
      </c>
      <c r="AS46">
        <v>138673.20000000001</v>
      </c>
      <c r="AT46">
        <v>143790</v>
      </c>
      <c r="AU46">
        <v>155740</v>
      </c>
      <c r="AV46">
        <v>167650</v>
      </c>
      <c r="AW46">
        <v>182700</v>
      </c>
      <c r="AX46">
        <v>198850</v>
      </c>
      <c r="AY46">
        <v>216200</v>
      </c>
      <c r="AZ46">
        <v>225400</v>
      </c>
    </row>
    <row r="47" spans="4:52" x14ac:dyDescent="0.2">
      <c r="D47" s="192" t="s">
        <v>392</v>
      </c>
      <c r="L47" s="60">
        <f t="shared" si="13"/>
        <v>22917.200000000001</v>
      </c>
      <c r="M47" s="60">
        <f t="shared" si="14"/>
        <v>24049.725000000002</v>
      </c>
      <c r="N47" s="60">
        <f t="shared" si="15"/>
        <v>24328.125</v>
      </c>
      <c r="O47" s="60">
        <f t="shared" si="16"/>
        <v>25528.35</v>
      </c>
      <c r="P47" s="60">
        <f t="shared" si="17"/>
        <v>27537</v>
      </c>
      <c r="Q47" s="60">
        <f t="shared" si="18"/>
        <v>29125</v>
      </c>
      <c r="R47" s="60">
        <f t="shared" si="19"/>
        <v>30125</v>
      </c>
      <c r="S47" s="60">
        <f t="shared" si="20"/>
        <v>30600</v>
      </c>
      <c r="T47" s="60">
        <f t="shared" si="21"/>
        <v>31550</v>
      </c>
      <c r="U47" s="60">
        <f t="shared" si="22"/>
        <v>34750</v>
      </c>
      <c r="V47" s="60">
        <f t="shared" si="23"/>
        <v>39875</v>
      </c>
      <c r="W47" s="60">
        <f t="shared" si="24"/>
        <v>43625</v>
      </c>
      <c r="X47" s="60">
        <f t="shared" si="25"/>
        <v>44600</v>
      </c>
      <c r="Y47" s="60"/>
      <c r="Z47" s="60"/>
      <c r="AA47" s="60"/>
      <c r="AN47">
        <v>21908.5</v>
      </c>
      <c r="AO47">
        <v>23925.9</v>
      </c>
      <c r="AP47">
        <v>24173.550000000003</v>
      </c>
      <c r="AQ47">
        <v>24482.7</v>
      </c>
      <c r="AR47">
        <v>26574</v>
      </c>
      <c r="AS47">
        <v>28500</v>
      </c>
      <c r="AT47">
        <v>29750</v>
      </c>
      <c r="AU47">
        <v>30500</v>
      </c>
      <c r="AV47">
        <v>30700</v>
      </c>
      <c r="AW47">
        <v>32400</v>
      </c>
      <c r="AX47">
        <v>37100</v>
      </c>
      <c r="AY47">
        <v>42650</v>
      </c>
      <c r="AZ47">
        <v>44600</v>
      </c>
    </row>
    <row r="48" spans="4:52" x14ac:dyDescent="0.2">
      <c r="D48" s="191" t="s">
        <v>393</v>
      </c>
      <c r="L48" s="60">
        <f t="shared" si="13"/>
        <v>14528.075000000001</v>
      </c>
      <c r="M48" s="60">
        <f t="shared" si="14"/>
        <v>14472.7</v>
      </c>
      <c r="N48" s="60">
        <f t="shared" si="15"/>
        <v>14748.425000000001</v>
      </c>
      <c r="O48" s="60">
        <f t="shared" si="16"/>
        <v>16808.900000000001</v>
      </c>
      <c r="P48" s="60">
        <f t="shared" si="17"/>
        <v>20836.900000000001</v>
      </c>
      <c r="Q48" s="60">
        <f t="shared" si="18"/>
        <v>23674.85</v>
      </c>
      <c r="R48" s="60">
        <f t="shared" si="19"/>
        <v>24700</v>
      </c>
      <c r="S48" s="60">
        <f t="shared" si="20"/>
        <v>25225</v>
      </c>
      <c r="T48" s="60">
        <f t="shared" si="21"/>
        <v>26000</v>
      </c>
      <c r="U48" s="60">
        <f t="shared" si="22"/>
        <v>27375</v>
      </c>
      <c r="V48" s="60">
        <f t="shared" si="23"/>
        <v>28950</v>
      </c>
      <c r="W48" s="60">
        <f t="shared" si="24"/>
        <v>29675</v>
      </c>
      <c r="X48" s="60">
        <f t="shared" si="25"/>
        <v>29700</v>
      </c>
      <c r="Y48" s="60"/>
      <c r="Z48" s="60"/>
      <c r="AA48" s="60"/>
      <c r="AN48">
        <v>14763.9</v>
      </c>
      <c r="AO48">
        <v>14292.25</v>
      </c>
      <c r="AP48">
        <v>14653.150000000001</v>
      </c>
      <c r="AQ48">
        <v>14843.7</v>
      </c>
      <c r="AR48">
        <v>18774.099999999999</v>
      </c>
      <c r="AS48">
        <v>22899.7</v>
      </c>
      <c r="AT48">
        <v>24450</v>
      </c>
      <c r="AU48">
        <v>24950</v>
      </c>
      <c r="AV48">
        <v>25500</v>
      </c>
      <c r="AW48">
        <v>26500</v>
      </c>
      <c r="AX48">
        <v>28250</v>
      </c>
      <c r="AY48">
        <v>29650</v>
      </c>
      <c r="AZ48">
        <v>29700</v>
      </c>
    </row>
    <row r="49" spans="4:52" x14ac:dyDescent="0.2">
      <c r="D49" s="191" t="s">
        <v>394</v>
      </c>
      <c r="L49" s="60">
        <f t="shared" si="13"/>
        <v>14103.3</v>
      </c>
      <c r="M49" s="60">
        <f t="shared" si="14"/>
        <v>16580.400000000001</v>
      </c>
      <c r="N49" s="60">
        <f t="shared" si="15"/>
        <v>19245.650000000001</v>
      </c>
      <c r="O49" s="60">
        <f t="shared" si="16"/>
        <v>21300.224999999999</v>
      </c>
      <c r="P49" s="60">
        <f t="shared" si="17"/>
        <v>22705.674999999999</v>
      </c>
      <c r="Q49" s="60">
        <f t="shared" si="18"/>
        <v>25450</v>
      </c>
      <c r="R49" s="60">
        <f t="shared" si="19"/>
        <v>31775</v>
      </c>
      <c r="S49" s="60">
        <f t="shared" si="20"/>
        <v>40075</v>
      </c>
      <c r="T49" s="60">
        <f t="shared" si="21"/>
        <v>48825</v>
      </c>
      <c r="U49" s="60">
        <f t="shared" si="22"/>
        <v>57125</v>
      </c>
      <c r="V49" s="60">
        <f t="shared" si="23"/>
        <v>65375</v>
      </c>
      <c r="W49" s="60">
        <f t="shared" si="24"/>
        <v>73050</v>
      </c>
      <c r="X49" s="60">
        <f t="shared" si="25"/>
        <v>76200</v>
      </c>
      <c r="Y49" s="60"/>
      <c r="Z49" s="60"/>
      <c r="AA49" s="60"/>
      <c r="AN49">
        <v>13098</v>
      </c>
      <c r="AO49">
        <v>15108.599999999999</v>
      </c>
      <c r="AP49">
        <v>18052.2</v>
      </c>
      <c r="AQ49">
        <v>20439.099999999999</v>
      </c>
      <c r="AR49">
        <v>22161.35</v>
      </c>
      <c r="AS49">
        <v>23250</v>
      </c>
      <c r="AT49">
        <v>27650</v>
      </c>
      <c r="AU49">
        <v>35900</v>
      </c>
      <c r="AV49">
        <v>44250</v>
      </c>
      <c r="AW49">
        <v>53400</v>
      </c>
      <c r="AX49">
        <v>60850</v>
      </c>
      <c r="AY49">
        <v>69900</v>
      </c>
      <c r="AZ49">
        <v>76200</v>
      </c>
    </row>
    <row r="50" spans="4:52" x14ac:dyDescent="0.2">
      <c r="D50" s="191" t="s">
        <v>115</v>
      </c>
      <c r="L50" s="60">
        <f t="shared" si="13"/>
        <v>3030.9250000000002</v>
      </c>
      <c r="M50" s="60">
        <f t="shared" si="14"/>
        <v>3469.3999999999996</v>
      </c>
      <c r="N50" s="60">
        <f t="shared" si="15"/>
        <v>3958.95</v>
      </c>
      <c r="O50" s="60">
        <f t="shared" si="16"/>
        <v>4560.3999999999996</v>
      </c>
      <c r="P50" s="60">
        <f t="shared" si="17"/>
        <v>4928.8999999999996</v>
      </c>
      <c r="Q50" s="60">
        <f t="shared" si="18"/>
        <v>5078.5249999999996</v>
      </c>
      <c r="R50" s="60">
        <f t="shared" si="19"/>
        <v>5500</v>
      </c>
      <c r="S50" s="60">
        <f t="shared" si="20"/>
        <v>5875</v>
      </c>
      <c r="T50" s="60">
        <f t="shared" si="21"/>
        <v>6350</v>
      </c>
      <c r="U50" s="60">
        <f t="shared" si="22"/>
        <v>7200</v>
      </c>
      <c r="V50" s="60">
        <f t="shared" si="23"/>
        <v>7925</v>
      </c>
      <c r="W50" s="60">
        <f t="shared" si="24"/>
        <v>8400</v>
      </c>
      <c r="X50" s="60">
        <f t="shared" si="25"/>
        <v>8600</v>
      </c>
      <c r="Y50" s="60"/>
      <c r="Z50" s="60"/>
      <c r="AA50" s="60"/>
      <c r="AN50">
        <v>2820.9</v>
      </c>
      <c r="AO50">
        <v>3240.95</v>
      </c>
      <c r="AP50">
        <v>3697.85</v>
      </c>
      <c r="AQ50">
        <v>4220.0499999999993</v>
      </c>
      <c r="AR50">
        <v>4900.75</v>
      </c>
      <c r="AS50">
        <v>4957.05</v>
      </c>
      <c r="AT50">
        <v>5200</v>
      </c>
      <c r="AU50">
        <v>5800</v>
      </c>
      <c r="AV50">
        <v>5950</v>
      </c>
      <c r="AW50">
        <v>6750</v>
      </c>
      <c r="AX50">
        <v>7650</v>
      </c>
      <c r="AY50">
        <v>8200</v>
      </c>
      <c r="AZ50">
        <v>8600</v>
      </c>
    </row>
    <row r="51" spans="4:52" x14ac:dyDescent="0.2">
      <c r="D51" s="191" t="s">
        <v>288</v>
      </c>
      <c r="L51" s="60">
        <f t="shared" si="13"/>
        <v>2267.7250000000004</v>
      </c>
      <c r="M51" s="60">
        <f t="shared" si="14"/>
        <v>2372.5749999999998</v>
      </c>
      <c r="N51" s="60">
        <f t="shared" si="15"/>
        <v>2482.9749999999999</v>
      </c>
      <c r="O51" s="60">
        <f t="shared" si="16"/>
        <v>2599.25</v>
      </c>
      <c r="P51" s="60">
        <f t="shared" si="17"/>
        <v>2709.4749999999999</v>
      </c>
      <c r="Q51" s="60">
        <f t="shared" si="18"/>
        <v>2830.0250000000001</v>
      </c>
      <c r="R51" s="60">
        <f t="shared" si="19"/>
        <v>2975</v>
      </c>
      <c r="S51" s="60">
        <f t="shared" si="20"/>
        <v>3125</v>
      </c>
      <c r="T51" s="60">
        <f t="shared" si="21"/>
        <v>3275</v>
      </c>
      <c r="U51" s="60">
        <f t="shared" si="22"/>
        <v>3425</v>
      </c>
      <c r="V51" s="60">
        <f t="shared" si="23"/>
        <v>3600</v>
      </c>
      <c r="W51" s="60">
        <f t="shared" si="24"/>
        <v>3750</v>
      </c>
      <c r="X51" s="60">
        <f t="shared" si="25"/>
        <v>3800</v>
      </c>
      <c r="Y51" s="60"/>
      <c r="Z51" s="60"/>
      <c r="AA51" s="60"/>
      <c r="AN51">
        <v>2216.65</v>
      </c>
      <c r="AO51">
        <v>2318.8000000000002</v>
      </c>
      <c r="AP51">
        <v>2426.35</v>
      </c>
      <c r="AQ51">
        <v>2539.6</v>
      </c>
      <c r="AR51">
        <v>2658.8999999999996</v>
      </c>
      <c r="AS51">
        <v>2760.05</v>
      </c>
      <c r="AT51">
        <v>2900</v>
      </c>
      <c r="AU51">
        <v>3050</v>
      </c>
      <c r="AV51">
        <v>3200</v>
      </c>
      <c r="AW51">
        <v>3350</v>
      </c>
      <c r="AX51">
        <v>3500</v>
      </c>
      <c r="AY51">
        <v>3700</v>
      </c>
      <c r="AZ51">
        <v>3800</v>
      </c>
    </row>
    <row r="52" spans="4:52" x14ac:dyDescent="0.2">
      <c r="D52" s="191" t="s">
        <v>117</v>
      </c>
      <c r="L52" s="60">
        <f t="shared" si="13"/>
        <v>34737</v>
      </c>
      <c r="M52" s="60">
        <f t="shared" si="14"/>
        <v>39155.275000000001</v>
      </c>
      <c r="N52" s="60">
        <f t="shared" si="15"/>
        <v>42151.1</v>
      </c>
      <c r="O52" s="60">
        <f t="shared" si="16"/>
        <v>42426</v>
      </c>
      <c r="P52" s="60">
        <f t="shared" si="17"/>
        <v>38372.400000000001</v>
      </c>
      <c r="Q52" s="60">
        <f t="shared" si="18"/>
        <v>33454.025000000001</v>
      </c>
      <c r="R52" s="60">
        <f t="shared" si="19"/>
        <v>32200</v>
      </c>
      <c r="S52" s="60">
        <f t="shared" si="20"/>
        <v>33250</v>
      </c>
      <c r="T52" s="60">
        <f t="shared" si="21"/>
        <v>34475</v>
      </c>
      <c r="U52" s="60">
        <f t="shared" si="22"/>
        <v>35300</v>
      </c>
      <c r="V52" s="60">
        <f t="shared" si="23"/>
        <v>35600</v>
      </c>
      <c r="W52" s="60">
        <f t="shared" si="24"/>
        <v>35675</v>
      </c>
      <c r="X52" s="60">
        <f t="shared" si="25"/>
        <v>35700</v>
      </c>
      <c r="Y52" s="60"/>
      <c r="Z52" s="60"/>
      <c r="AA52" s="60"/>
      <c r="AN52">
        <v>32250.400000000001</v>
      </c>
      <c r="AO52">
        <v>37223.600000000006</v>
      </c>
      <c r="AP52">
        <v>41086.949999999997</v>
      </c>
      <c r="AQ52">
        <v>43215.25</v>
      </c>
      <c r="AR52">
        <v>41636.75</v>
      </c>
      <c r="AS52">
        <v>35108.050000000003</v>
      </c>
      <c r="AT52">
        <v>31800</v>
      </c>
      <c r="AU52">
        <v>32600</v>
      </c>
      <c r="AV52">
        <v>33900</v>
      </c>
      <c r="AW52">
        <v>35050</v>
      </c>
      <c r="AX52">
        <v>35550</v>
      </c>
      <c r="AY52">
        <v>35650</v>
      </c>
      <c r="AZ52">
        <v>35700</v>
      </c>
    </row>
    <row r="53" spans="4:52" x14ac:dyDescent="0.2">
      <c r="D53" s="191" t="s">
        <v>118</v>
      </c>
      <c r="L53" s="60">
        <f t="shared" si="13"/>
        <v>12696.275000000001</v>
      </c>
      <c r="M53" s="60">
        <f t="shared" si="14"/>
        <v>13673.725</v>
      </c>
      <c r="N53" s="60">
        <f t="shared" si="15"/>
        <v>14446.4</v>
      </c>
      <c r="O53" s="60">
        <f t="shared" si="16"/>
        <v>15072.05</v>
      </c>
      <c r="P53" s="60">
        <f t="shared" si="17"/>
        <v>15603.674999999999</v>
      </c>
      <c r="Q53" s="60">
        <f t="shared" si="18"/>
        <v>16131.275</v>
      </c>
      <c r="R53" s="60">
        <f t="shared" si="19"/>
        <v>16700</v>
      </c>
      <c r="S53" s="60">
        <f t="shared" si="20"/>
        <v>17500</v>
      </c>
      <c r="T53" s="60">
        <f t="shared" si="21"/>
        <v>18475</v>
      </c>
      <c r="U53" s="60">
        <f t="shared" si="22"/>
        <v>19300</v>
      </c>
      <c r="V53" s="60">
        <f t="shared" si="23"/>
        <v>19850</v>
      </c>
      <c r="W53" s="60">
        <f t="shared" si="24"/>
        <v>20125</v>
      </c>
      <c r="X53" s="60">
        <f t="shared" si="25"/>
        <v>20200</v>
      </c>
      <c r="Y53" s="60"/>
      <c r="Z53" s="60"/>
      <c r="AA53" s="60"/>
      <c r="AN53">
        <v>12138.6</v>
      </c>
      <c r="AO53">
        <v>13253.95</v>
      </c>
      <c r="AP53">
        <v>14093.5</v>
      </c>
      <c r="AQ53">
        <v>14799.3</v>
      </c>
      <c r="AR53">
        <v>15344.8</v>
      </c>
      <c r="AS53">
        <v>15862.55</v>
      </c>
      <c r="AT53">
        <v>16400</v>
      </c>
      <c r="AU53">
        <v>17000</v>
      </c>
      <c r="AV53">
        <v>18000</v>
      </c>
      <c r="AW53">
        <v>18950</v>
      </c>
      <c r="AX53">
        <v>19650</v>
      </c>
      <c r="AY53">
        <v>20050</v>
      </c>
      <c r="AZ53">
        <v>20200</v>
      </c>
    </row>
    <row r="54" spans="4:52" x14ac:dyDescent="0.2">
      <c r="D54" s="191" t="s">
        <v>119</v>
      </c>
      <c r="L54" s="60">
        <f t="shared" si="13"/>
        <v>2987.1749999999997</v>
      </c>
      <c r="M54" s="60">
        <f t="shared" si="14"/>
        <v>3331.3999999999996</v>
      </c>
      <c r="N54" s="60">
        <f t="shared" si="15"/>
        <v>3722.4749999999999</v>
      </c>
      <c r="O54" s="60">
        <f t="shared" si="16"/>
        <v>3979.7</v>
      </c>
      <c r="P54" s="60">
        <f t="shared" si="17"/>
        <v>4164.875</v>
      </c>
      <c r="Q54" s="60">
        <f t="shared" si="18"/>
        <v>4401.4750000000004</v>
      </c>
      <c r="R54" s="60">
        <f t="shared" si="19"/>
        <v>4662.5</v>
      </c>
      <c r="S54" s="60">
        <f t="shared" si="20"/>
        <v>4870</v>
      </c>
      <c r="T54" s="60">
        <f t="shared" si="21"/>
        <v>5000</v>
      </c>
      <c r="U54" s="60">
        <f t="shared" si="22"/>
        <v>5025</v>
      </c>
      <c r="V54" s="60">
        <f t="shared" si="23"/>
        <v>5025</v>
      </c>
      <c r="W54" s="60">
        <f t="shared" si="24"/>
        <v>5125</v>
      </c>
      <c r="X54" s="60">
        <f t="shared" si="25"/>
        <v>5200</v>
      </c>
      <c r="Y54" s="60"/>
      <c r="Z54" s="60"/>
      <c r="AA54" s="60"/>
      <c r="AN54">
        <v>2858.8999999999996</v>
      </c>
      <c r="AO54">
        <v>3115.45</v>
      </c>
      <c r="AP54">
        <v>3547.35</v>
      </c>
      <c r="AQ54">
        <v>3897.6</v>
      </c>
      <c r="AR54">
        <v>4061.7999999999997</v>
      </c>
      <c r="AS54">
        <v>4267.95</v>
      </c>
      <c r="AT54">
        <v>4535</v>
      </c>
      <c r="AU54">
        <v>4790</v>
      </c>
      <c r="AV54">
        <v>4950</v>
      </c>
      <c r="AW54">
        <v>5050</v>
      </c>
      <c r="AX54">
        <v>5000</v>
      </c>
      <c r="AY54">
        <v>5050</v>
      </c>
      <c r="AZ54">
        <v>5200</v>
      </c>
    </row>
    <row r="55" spans="4:52" x14ac:dyDescent="0.2">
      <c r="D55" s="191" t="s">
        <v>285</v>
      </c>
      <c r="L55" s="60">
        <f t="shared" si="13"/>
        <v>867.15</v>
      </c>
      <c r="M55" s="60">
        <f t="shared" si="14"/>
        <v>904.42499999999995</v>
      </c>
      <c r="N55" s="60">
        <f t="shared" si="15"/>
        <v>943.32500000000005</v>
      </c>
      <c r="O55" s="60">
        <f t="shared" si="16"/>
        <v>983.90000000000009</v>
      </c>
      <c r="P55" s="60">
        <f t="shared" si="17"/>
        <v>1033.7249999999999</v>
      </c>
      <c r="Q55" s="60">
        <f t="shared" si="18"/>
        <v>1081.425</v>
      </c>
      <c r="R55" s="60">
        <f t="shared" si="19"/>
        <v>1125</v>
      </c>
      <c r="S55" s="60">
        <f t="shared" si="20"/>
        <v>1175</v>
      </c>
      <c r="T55" s="60">
        <f t="shared" si="21"/>
        <v>1225</v>
      </c>
      <c r="U55" s="60">
        <f t="shared" si="22"/>
        <v>1275</v>
      </c>
      <c r="V55" s="60">
        <f t="shared" si="23"/>
        <v>1325</v>
      </c>
      <c r="W55" s="60">
        <f t="shared" si="24"/>
        <v>1375</v>
      </c>
      <c r="X55" s="60">
        <f t="shared" si="25"/>
        <v>1400</v>
      </c>
      <c r="Y55" s="60"/>
      <c r="Z55" s="60"/>
      <c r="AA55" s="60"/>
      <c r="AN55">
        <v>848.9</v>
      </c>
      <c r="AO55">
        <v>885.4</v>
      </c>
      <c r="AP55">
        <v>923.45</v>
      </c>
      <c r="AQ55">
        <v>963.2</v>
      </c>
      <c r="AR55">
        <v>1004.6</v>
      </c>
      <c r="AS55">
        <v>1062.8499999999999</v>
      </c>
      <c r="AT55">
        <v>1100</v>
      </c>
      <c r="AU55">
        <v>1150</v>
      </c>
      <c r="AV55">
        <v>1200</v>
      </c>
      <c r="AW55">
        <v>1250</v>
      </c>
      <c r="AX55">
        <v>1300</v>
      </c>
      <c r="AY55">
        <v>1350</v>
      </c>
      <c r="AZ55">
        <v>1400</v>
      </c>
    </row>
    <row r="56" spans="4:52" x14ac:dyDescent="0.2">
      <c r="D56" t="s">
        <v>395</v>
      </c>
      <c r="L56" s="60" t="e">
        <f t="shared" si="13"/>
        <v>#DIV/0!</v>
      </c>
      <c r="M56" s="60" t="e">
        <f t="shared" si="14"/>
        <v>#DIV/0!</v>
      </c>
      <c r="N56" s="60" t="e">
        <f t="shared" si="15"/>
        <v>#DIV/0!</v>
      </c>
      <c r="O56" s="60" t="e">
        <f t="shared" si="16"/>
        <v>#DIV/0!</v>
      </c>
      <c r="P56" s="60" t="e">
        <f t="shared" si="17"/>
        <v>#DIV/0!</v>
      </c>
      <c r="Q56" s="60" t="e">
        <f t="shared" si="18"/>
        <v>#DIV/0!</v>
      </c>
      <c r="R56" s="60" t="e">
        <f t="shared" si="19"/>
        <v>#DIV/0!</v>
      </c>
      <c r="S56" s="60" t="e">
        <f t="shared" si="20"/>
        <v>#DIV/0!</v>
      </c>
      <c r="T56" s="60" t="e">
        <f t="shared" si="21"/>
        <v>#DIV/0!</v>
      </c>
      <c r="U56" s="60" t="e">
        <f t="shared" si="22"/>
        <v>#DIV/0!</v>
      </c>
      <c r="V56" s="60" t="e">
        <f t="shared" si="23"/>
        <v>#DIV/0!</v>
      </c>
      <c r="W56" s="60" t="e">
        <f t="shared" si="24"/>
        <v>#DIV/0!</v>
      </c>
      <c r="X56" s="60" t="e">
        <f t="shared" si="25"/>
        <v>#DIV/0!</v>
      </c>
      <c r="Y56" s="60"/>
      <c r="Z56" s="60"/>
      <c r="AA56" s="60"/>
      <c r="AN56" t="e">
        <v>#DIV/0!</v>
      </c>
      <c r="AO56" t="e">
        <v>#DIV/0!</v>
      </c>
      <c r="AP56" t="e">
        <v>#DIV/0!</v>
      </c>
      <c r="AQ56" t="e">
        <v>#DIV/0!</v>
      </c>
      <c r="AR56" t="e">
        <v>#DIV/0!</v>
      </c>
      <c r="AS56" t="e">
        <v>#DIV/0!</v>
      </c>
      <c r="AT56" t="e">
        <v>#DIV/0!</v>
      </c>
      <c r="AU56" t="e">
        <v>#DIV/0!</v>
      </c>
      <c r="AV56" t="e">
        <v>#DIV/0!</v>
      </c>
      <c r="AW56" t="e">
        <v>#DIV/0!</v>
      </c>
      <c r="AX56" t="e">
        <v>#DIV/0!</v>
      </c>
      <c r="AY56" t="e">
        <v>#DIV/0!</v>
      </c>
      <c r="AZ56" t="e">
        <v>#DIV/0!</v>
      </c>
    </row>
    <row r="57" spans="4:52" x14ac:dyDescent="0.2">
      <c r="D57" t="s">
        <v>396</v>
      </c>
      <c r="L57" s="60">
        <f t="shared" si="13"/>
        <v>34678.400000000001</v>
      </c>
      <c r="M57" s="60">
        <f t="shared" si="14"/>
        <v>37454.025000000001</v>
      </c>
      <c r="N57" s="60">
        <f t="shared" si="15"/>
        <v>39948.100000000006</v>
      </c>
      <c r="O57" s="60">
        <f t="shared" si="16"/>
        <v>42304.55</v>
      </c>
      <c r="P57" s="60">
        <f t="shared" si="17"/>
        <v>44656.9</v>
      </c>
      <c r="Q57" s="60">
        <f t="shared" si="18"/>
        <v>47250</v>
      </c>
      <c r="R57" s="60">
        <f t="shared" si="19"/>
        <v>50075</v>
      </c>
      <c r="S57" s="60">
        <f t="shared" si="20"/>
        <v>53075</v>
      </c>
      <c r="T57" s="60">
        <f t="shared" si="21"/>
        <v>56425</v>
      </c>
      <c r="U57" s="60">
        <f t="shared" si="22"/>
        <v>60125</v>
      </c>
      <c r="V57" s="60">
        <f t="shared" si="23"/>
        <v>64175</v>
      </c>
      <c r="W57" s="60">
        <f t="shared" si="24"/>
        <v>67400</v>
      </c>
      <c r="X57" s="60">
        <f t="shared" si="25"/>
        <v>68500</v>
      </c>
      <c r="Y57" s="60"/>
      <c r="Z57" s="60"/>
      <c r="AA57" s="60"/>
      <c r="AN57">
        <v>33199.65</v>
      </c>
      <c r="AO57">
        <v>36157.15</v>
      </c>
      <c r="AP57">
        <v>38750.9</v>
      </c>
      <c r="AQ57">
        <v>41145.300000000003</v>
      </c>
      <c r="AR57">
        <v>43463.8</v>
      </c>
      <c r="AS57">
        <v>45850</v>
      </c>
      <c r="AT57">
        <v>48650</v>
      </c>
      <c r="AU57">
        <v>51500</v>
      </c>
      <c r="AV57">
        <v>54650</v>
      </c>
      <c r="AW57">
        <v>58200</v>
      </c>
      <c r="AX57">
        <v>62050</v>
      </c>
      <c r="AY57">
        <v>66300</v>
      </c>
      <c r="AZ57">
        <v>68500</v>
      </c>
    </row>
    <row r="58" spans="4:52" x14ac:dyDescent="0.2">
      <c r="D58" t="s">
        <v>401</v>
      </c>
      <c r="L58" s="60">
        <f t="shared" si="13"/>
        <v>197147.27499999999</v>
      </c>
      <c r="M58" s="60">
        <f t="shared" si="14"/>
        <v>231555.7</v>
      </c>
      <c r="N58" s="60">
        <f t="shared" si="15"/>
        <v>256300</v>
      </c>
      <c r="O58" s="60">
        <f t="shared" si="16"/>
        <v>271525</v>
      </c>
      <c r="P58" s="60">
        <f t="shared" si="17"/>
        <v>286550</v>
      </c>
      <c r="Q58" s="60">
        <f t="shared" si="18"/>
        <v>303070</v>
      </c>
      <c r="R58" s="60">
        <f t="shared" si="19"/>
        <v>321190</v>
      </c>
      <c r="S58" s="60">
        <f t="shared" si="20"/>
        <v>340420</v>
      </c>
      <c r="T58" s="60">
        <f t="shared" si="21"/>
        <v>361925</v>
      </c>
      <c r="U58" s="60">
        <f t="shared" si="22"/>
        <v>385525</v>
      </c>
      <c r="V58" s="60">
        <f t="shared" si="23"/>
        <v>411300</v>
      </c>
      <c r="W58" s="60">
        <f t="shared" si="24"/>
        <v>432100</v>
      </c>
      <c r="X58" s="60">
        <f t="shared" si="25"/>
        <v>439300</v>
      </c>
      <c r="Y58" s="60"/>
      <c r="Z58" s="60"/>
      <c r="AA58" s="60"/>
      <c r="AN58">
        <v>179733.15</v>
      </c>
      <c r="AO58">
        <v>214561.4</v>
      </c>
      <c r="AP58">
        <v>248550</v>
      </c>
      <c r="AQ58">
        <v>264050</v>
      </c>
      <c r="AR58">
        <v>279000</v>
      </c>
      <c r="AS58">
        <v>294100</v>
      </c>
      <c r="AT58">
        <v>312040</v>
      </c>
      <c r="AU58">
        <v>330340</v>
      </c>
      <c r="AV58">
        <v>350500</v>
      </c>
      <c r="AW58">
        <v>373350</v>
      </c>
      <c r="AX58">
        <v>397700</v>
      </c>
      <c r="AY58">
        <v>424900</v>
      </c>
      <c r="AZ58">
        <v>439300</v>
      </c>
    </row>
    <row r="59" spans="4:52" x14ac:dyDescent="0.2">
      <c r="D59" t="s">
        <v>475</v>
      </c>
      <c r="L59" s="60" t="e">
        <f t="shared" si="13"/>
        <v>#DIV/0!</v>
      </c>
      <c r="M59" s="60" t="e">
        <f t="shared" si="14"/>
        <v>#DIV/0!</v>
      </c>
      <c r="N59" s="60" t="e">
        <f t="shared" si="15"/>
        <v>#DIV/0!</v>
      </c>
      <c r="O59" s="60" t="e">
        <f t="shared" si="16"/>
        <v>#DIV/0!</v>
      </c>
      <c r="P59" s="60" t="e">
        <f t="shared" si="17"/>
        <v>#DIV/0!</v>
      </c>
      <c r="Q59" s="60" t="e">
        <f t="shared" si="18"/>
        <v>#DIV/0!</v>
      </c>
      <c r="R59" s="60" t="e">
        <f t="shared" si="19"/>
        <v>#DIV/0!</v>
      </c>
      <c r="S59" s="60" t="e">
        <f t="shared" si="20"/>
        <v>#DIV/0!</v>
      </c>
      <c r="T59" s="60" t="e">
        <f t="shared" si="21"/>
        <v>#DIV/0!</v>
      </c>
      <c r="U59" s="60" t="e">
        <f t="shared" si="22"/>
        <v>#DIV/0!</v>
      </c>
      <c r="V59" s="60" t="e">
        <f t="shared" si="23"/>
        <v>#DIV/0!</v>
      </c>
      <c r="W59" s="60" t="e">
        <f t="shared" si="24"/>
        <v>#DIV/0!</v>
      </c>
      <c r="X59" s="60" t="e">
        <f t="shared" si="25"/>
        <v>#DIV/0!</v>
      </c>
      <c r="Y59" s="60"/>
      <c r="Z59" s="60"/>
      <c r="AA59" s="60"/>
      <c r="AN59" t="e">
        <v>#DIV/0!</v>
      </c>
      <c r="AO59" t="e">
        <v>#DIV/0!</v>
      </c>
      <c r="AP59" t="e">
        <v>#DIV/0!</v>
      </c>
      <c r="AQ59" t="e">
        <v>#DIV/0!</v>
      </c>
      <c r="AR59" t="e">
        <v>#DIV/0!</v>
      </c>
      <c r="AS59" t="e">
        <v>#DIV/0!</v>
      </c>
      <c r="AT59" t="e">
        <v>#DIV/0!</v>
      </c>
      <c r="AU59" t="e">
        <v>#DIV/0!</v>
      </c>
      <c r="AV59" t="e">
        <v>#DIV/0!</v>
      </c>
      <c r="AW59" t="e">
        <v>#DIV/0!</v>
      </c>
      <c r="AX59" t="e">
        <v>#DIV/0!</v>
      </c>
      <c r="AY59" t="e">
        <v>#DIV/0!</v>
      </c>
      <c r="AZ59" t="e">
        <v>#DIV/0!</v>
      </c>
    </row>
    <row r="60" spans="4:52" x14ac:dyDescent="0.2">
      <c r="D60" t="s">
        <v>476</v>
      </c>
      <c r="L60" s="60" t="e">
        <f t="shared" si="13"/>
        <v>#DIV/0!</v>
      </c>
      <c r="M60" s="60" t="e">
        <f t="shared" si="14"/>
        <v>#DIV/0!</v>
      </c>
      <c r="N60" s="60" t="e">
        <f t="shared" si="15"/>
        <v>#DIV/0!</v>
      </c>
      <c r="O60" s="60" t="e">
        <f t="shared" si="16"/>
        <v>#DIV/0!</v>
      </c>
      <c r="P60" s="60" t="e">
        <f t="shared" si="17"/>
        <v>#DIV/0!</v>
      </c>
      <c r="Q60" s="60" t="e">
        <f t="shared" si="18"/>
        <v>#DIV/0!</v>
      </c>
      <c r="R60" s="60" t="e">
        <f t="shared" si="19"/>
        <v>#DIV/0!</v>
      </c>
      <c r="S60" s="60" t="e">
        <f t="shared" si="20"/>
        <v>#DIV/0!</v>
      </c>
      <c r="T60" s="60" t="e">
        <f t="shared" si="21"/>
        <v>#DIV/0!</v>
      </c>
      <c r="U60" s="60" t="e">
        <f t="shared" si="22"/>
        <v>#DIV/0!</v>
      </c>
      <c r="V60" s="60" t="e">
        <f t="shared" si="23"/>
        <v>#DIV/0!</v>
      </c>
      <c r="W60" s="60" t="e">
        <f t="shared" si="24"/>
        <v>#DIV/0!</v>
      </c>
      <c r="X60" s="60" t="e">
        <f t="shared" si="25"/>
        <v>#DIV/0!</v>
      </c>
      <c r="Y60" s="60"/>
      <c r="Z60" s="60"/>
      <c r="AA60" s="60"/>
      <c r="AN60" t="e">
        <v>#DIV/0!</v>
      </c>
      <c r="AO60" t="e">
        <v>#DIV/0!</v>
      </c>
      <c r="AP60" t="e">
        <v>#DIV/0!</v>
      </c>
      <c r="AQ60" t="e">
        <v>#DIV/0!</v>
      </c>
      <c r="AR60" t="e">
        <v>#DIV/0!</v>
      </c>
      <c r="AS60" t="e">
        <v>#DIV/0!</v>
      </c>
      <c r="AT60" t="e">
        <v>#DIV/0!</v>
      </c>
      <c r="AU60" t="e">
        <v>#DIV/0!</v>
      </c>
      <c r="AV60" t="e">
        <v>#DIV/0!</v>
      </c>
      <c r="AW60" t="e">
        <v>#DIV/0!</v>
      </c>
      <c r="AX60" t="e">
        <v>#DIV/0!</v>
      </c>
      <c r="AY60" t="e">
        <v>#DIV/0!</v>
      </c>
      <c r="AZ60" t="e">
        <v>#DIV/0!</v>
      </c>
    </row>
    <row r="61" spans="4:52" x14ac:dyDescent="0.2">
      <c r="D61" t="s">
        <v>119</v>
      </c>
      <c r="L61" s="60">
        <f t="shared" si="13"/>
        <v>2987.1749999999997</v>
      </c>
      <c r="M61" s="60">
        <f t="shared" si="14"/>
        <v>3331.3999999999996</v>
      </c>
      <c r="N61" s="60">
        <f t="shared" si="15"/>
        <v>3722.4749999999999</v>
      </c>
      <c r="O61" s="60">
        <f t="shared" si="16"/>
        <v>3979.7</v>
      </c>
      <c r="P61" s="60">
        <f t="shared" si="17"/>
        <v>4164.875</v>
      </c>
      <c r="Q61" s="60">
        <f t="shared" si="18"/>
        <v>4401.4750000000004</v>
      </c>
      <c r="R61" s="60">
        <f t="shared" si="19"/>
        <v>4662.5</v>
      </c>
      <c r="S61" s="60">
        <f t="shared" si="20"/>
        <v>4870</v>
      </c>
      <c r="T61" s="60">
        <f t="shared" si="21"/>
        <v>5000</v>
      </c>
      <c r="U61" s="60">
        <f t="shared" si="22"/>
        <v>5025</v>
      </c>
      <c r="V61" s="60">
        <f t="shared" si="23"/>
        <v>5025</v>
      </c>
      <c r="W61" s="60">
        <f t="shared" si="24"/>
        <v>5125</v>
      </c>
      <c r="X61" s="60">
        <f t="shared" si="25"/>
        <v>5200</v>
      </c>
      <c r="Y61" s="60"/>
      <c r="Z61" s="60"/>
      <c r="AA61" s="60"/>
      <c r="AN61">
        <v>2858.8999999999996</v>
      </c>
      <c r="AO61">
        <v>3115.45</v>
      </c>
      <c r="AP61">
        <v>3547.35</v>
      </c>
      <c r="AQ61">
        <v>3897.6</v>
      </c>
      <c r="AR61">
        <v>4061.7999999999997</v>
      </c>
      <c r="AS61">
        <v>4267.95</v>
      </c>
      <c r="AT61">
        <v>4535</v>
      </c>
      <c r="AU61">
        <v>4790</v>
      </c>
      <c r="AV61">
        <v>4950</v>
      </c>
      <c r="AW61">
        <v>5050</v>
      </c>
      <c r="AX61">
        <v>5000</v>
      </c>
      <c r="AY61">
        <v>5050</v>
      </c>
      <c r="AZ61">
        <v>5200</v>
      </c>
    </row>
    <row r="62" spans="4:52" x14ac:dyDescent="0.2">
      <c r="D62" t="s">
        <v>285</v>
      </c>
      <c r="L62" s="60">
        <f t="shared" si="13"/>
        <v>867.15</v>
      </c>
      <c r="M62" s="60">
        <f t="shared" si="14"/>
        <v>904.42499999999995</v>
      </c>
      <c r="N62" s="60">
        <f t="shared" si="15"/>
        <v>943.32500000000005</v>
      </c>
      <c r="O62" s="60">
        <f t="shared" si="16"/>
        <v>983.90000000000009</v>
      </c>
      <c r="P62" s="60">
        <f t="shared" si="17"/>
        <v>1033.7249999999999</v>
      </c>
      <c r="Q62" s="60">
        <f t="shared" si="18"/>
        <v>1081.425</v>
      </c>
      <c r="R62" s="60">
        <f t="shared" si="19"/>
        <v>1125</v>
      </c>
      <c r="S62" s="60">
        <f t="shared" si="20"/>
        <v>1175</v>
      </c>
      <c r="T62" s="60">
        <f t="shared" si="21"/>
        <v>1225</v>
      </c>
      <c r="U62" s="60">
        <f t="shared" si="22"/>
        <v>1275</v>
      </c>
      <c r="V62" s="60">
        <f t="shared" si="23"/>
        <v>1325</v>
      </c>
      <c r="W62" s="60">
        <f t="shared" si="24"/>
        <v>1375</v>
      </c>
      <c r="X62" s="60">
        <f t="shared" si="25"/>
        <v>1400</v>
      </c>
      <c r="Y62" s="60"/>
      <c r="Z62" s="60"/>
      <c r="AA62" s="60"/>
      <c r="AN62">
        <v>848.9</v>
      </c>
      <c r="AO62">
        <v>885.4</v>
      </c>
      <c r="AP62">
        <v>923.45</v>
      </c>
      <c r="AQ62">
        <v>963.2</v>
      </c>
      <c r="AR62">
        <v>1004.6</v>
      </c>
      <c r="AS62">
        <v>1062.8499999999999</v>
      </c>
      <c r="AT62">
        <v>1100</v>
      </c>
      <c r="AU62">
        <v>1150</v>
      </c>
      <c r="AV62">
        <v>1200</v>
      </c>
      <c r="AW62">
        <v>1250</v>
      </c>
      <c r="AX62">
        <v>1300</v>
      </c>
      <c r="AY62">
        <v>1350</v>
      </c>
      <c r="AZ62">
        <v>1400</v>
      </c>
    </row>
    <row r="63" spans="4:52" x14ac:dyDescent="0.2">
      <c r="D63" t="s">
        <v>395</v>
      </c>
      <c r="L63" s="60" t="e">
        <f t="shared" si="13"/>
        <v>#DIV/0!</v>
      </c>
      <c r="M63" s="60" t="e">
        <f t="shared" si="14"/>
        <v>#DIV/0!</v>
      </c>
      <c r="N63" s="60" t="e">
        <f t="shared" si="15"/>
        <v>#DIV/0!</v>
      </c>
      <c r="O63" s="60" t="e">
        <f t="shared" si="16"/>
        <v>#DIV/0!</v>
      </c>
      <c r="P63" s="60" t="e">
        <f t="shared" si="17"/>
        <v>#DIV/0!</v>
      </c>
      <c r="Q63" s="60" t="e">
        <f t="shared" si="18"/>
        <v>#DIV/0!</v>
      </c>
      <c r="R63" s="60" t="e">
        <f t="shared" si="19"/>
        <v>#DIV/0!</v>
      </c>
      <c r="S63" s="60" t="e">
        <f t="shared" si="20"/>
        <v>#DIV/0!</v>
      </c>
      <c r="T63" s="60" t="e">
        <f t="shared" si="21"/>
        <v>#DIV/0!</v>
      </c>
      <c r="U63" s="60" t="e">
        <f t="shared" si="22"/>
        <v>#DIV/0!</v>
      </c>
      <c r="V63" s="60" t="e">
        <f t="shared" si="23"/>
        <v>#DIV/0!</v>
      </c>
      <c r="W63" s="60" t="e">
        <f t="shared" si="24"/>
        <v>#DIV/0!</v>
      </c>
      <c r="X63" s="60" t="e">
        <f t="shared" si="25"/>
        <v>#DIV/0!</v>
      </c>
      <c r="Y63" s="60"/>
      <c r="Z63" s="60"/>
      <c r="AA63" s="60"/>
      <c r="AN63" t="e">
        <v>#DIV/0!</v>
      </c>
      <c r="AO63" t="e">
        <v>#DIV/0!</v>
      </c>
      <c r="AP63" t="e">
        <v>#DIV/0!</v>
      </c>
      <c r="AQ63" t="e">
        <v>#DIV/0!</v>
      </c>
      <c r="AR63" t="e">
        <v>#DIV/0!</v>
      </c>
      <c r="AS63" t="e">
        <v>#DIV/0!</v>
      </c>
      <c r="AT63" t="e">
        <v>#DIV/0!</v>
      </c>
      <c r="AU63" t="e">
        <v>#DIV/0!</v>
      </c>
      <c r="AV63" t="e">
        <v>#DIV/0!</v>
      </c>
      <c r="AW63" t="e">
        <v>#DIV/0!</v>
      </c>
      <c r="AX63" t="e">
        <v>#DIV/0!</v>
      </c>
      <c r="AY63" t="e">
        <v>#DIV/0!</v>
      </c>
      <c r="AZ63" t="e">
        <v>#DIV/0!</v>
      </c>
    </row>
    <row r="64" spans="4:52" x14ac:dyDescent="0.2">
      <c r="D64" t="s">
        <v>396</v>
      </c>
      <c r="L64" s="60">
        <f t="shared" si="13"/>
        <v>34678.400000000001</v>
      </c>
      <c r="M64" s="60">
        <f t="shared" si="14"/>
        <v>37454.025000000001</v>
      </c>
      <c r="N64" s="60">
        <f t="shared" si="15"/>
        <v>39948.100000000006</v>
      </c>
      <c r="O64" s="60">
        <f t="shared" si="16"/>
        <v>42304.55</v>
      </c>
      <c r="P64" s="60">
        <f t="shared" si="17"/>
        <v>44656.9</v>
      </c>
      <c r="Q64" s="60">
        <f t="shared" si="18"/>
        <v>47250</v>
      </c>
      <c r="R64" s="60">
        <f t="shared" si="19"/>
        <v>50075</v>
      </c>
      <c r="S64" s="60">
        <f t="shared" si="20"/>
        <v>53075</v>
      </c>
      <c r="T64" s="60">
        <f t="shared" si="21"/>
        <v>56425</v>
      </c>
      <c r="U64" s="60">
        <f t="shared" si="22"/>
        <v>60125</v>
      </c>
      <c r="V64" s="60">
        <f t="shared" si="23"/>
        <v>64175</v>
      </c>
      <c r="W64" s="60">
        <f t="shared" si="24"/>
        <v>67400</v>
      </c>
      <c r="X64" s="60">
        <f t="shared" si="25"/>
        <v>68500</v>
      </c>
      <c r="Y64" s="60"/>
      <c r="Z64" s="60"/>
      <c r="AA64" s="60"/>
      <c r="AN64">
        <v>33199.65</v>
      </c>
      <c r="AO64">
        <v>36157.15</v>
      </c>
      <c r="AP64">
        <v>38750.9</v>
      </c>
      <c r="AQ64">
        <v>41145.300000000003</v>
      </c>
      <c r="AR64">
        <v>43463.8</v>
      </c>
      <c r="AS64">
        <v>45850</v>
      </c>
      <c r="AT64">
        <v>48650</v>
      </c>
      <c r="AU64">
        <v>51500</v>
      </c>
      <c r="AV64">
        <v>54650</v>
      </c>
      <c r="AW64">
        <v>58200</v>
      </c>
      <c r="AX64">
        <v>62050</v>
      </c>
      <c r="AY64">
        <v>66300</v>
      </c>
      <c r="AZ64">
        <v>68500</v>
      </c>
    </row>
    <row r="65" spans="4:64" x14ac:dyDescent="0.2">
      <c r="D65" t="s">
        <v>401</v>
      </c>
      <c r="L65" s="60">
        <f t="shared" si="13"/>
        <v>197147.27499999999</v>
      </c>
      <c r="M65" s="60">
        <f t="shared" si="14"/>
        <v>231555.7</v>
      </c>
      <c r="N65" s="60">
        <f t="shared" si="15"/>
        <v>256300</v>
      </c>
      <c r="O65" s="60">
        <f t="shared" si="16"/>
        <v>271525</v>
      </c>
      <c r="P65" s="60">
        <f t="shared" si="17"/>
        <v>286550</v>
      </c>
      <c r="Q65" s="60">
        <f t="shared" si="18"/>
        <v>249300</v>
      </c>
      <c r="R65" s="60">
        <f t="shared" si="19"/>
        <v>156425</v>
      </c>
      <c r="S65" s="60">
        <f t="shared" si="20"/>
        <v>110825</v>
      </c>
      <c r="T65" s="60">
        <f t="shared" si="21"/>
        <v>116250</v>
      </c>
      <c r="U65" s="60">
        <f t="shared" si="22"/>
        <v>122575</v>
      </c>
      <c r="V65" s="60">
        <f t="shared" si="23"/>
        <v>129075</v>
      </c>
      <c r="W65" s="60">
        <f t="shared" si="24"/>
        <v>133400</v>
      </c>
      <c r="X65" s="60">
        <f t="shared" si="25"/>
        <v>134600</v>
      </c>
      <c r="Y65" s="60"/>
      <c r="Z65" s="60"/>
      <c r="AA65" s="60"/>
      <c r="AN65">
        <v>179733.15</v>
      </c>
      <c r="AO65">
        <v>214561.4</v>
      </c>
      <c r="AP65">
        <v>248550</v>
      </c>
      <c r="AQ65">
        <v>264050</v>
      </c>
      <c r="AR65">
        <v>279000</v>
      </c>
      <c r="AS65">
        <v>294100</v>
      </c>
      <c r="AT65">
        <v>204500</v>
      </c>
      <c r="AU65">
        <v>108350</v>
      </c>
      <c r="AV65">
        <v>113300</v>
      </c>
      <c r="AW65">
        <v>119200</v>
      </c>
      <c r="AX65">
        <v>125950</v>
      </c>
      <c r="AY65">
        <v>132200</v>
      </c>
      <c r="AZ65">
        <v>134600</v>
      </c>
    </row>
    <row r="66" spans="4:64" x14ac:dyDescent="0.2">
      <c r="D66" t="s">
        <v>475</v>
      </c>
      <c r="L66" s="60" t="e">
        <f t="shared" si="13"/>
        <v>#DIV/0!</v>
      </c>
      <c r="AN66" t="e">
        <v>#DIV/0!</v>
      </c>
    </row>
    <row r="67" spans="4:64" x14ac:dyDescent="0.2">
      <c r="D67" t="s">
        <v>476</v>
      </c>
    </row>
    <row r="70" spans="4:64" x14ac:dyDescent="0.2">
      <c r="D70" s="15" t="s">
        <v>388</v>
      </c>
      <c r="M70" s="10">
        <f>M36/L36-1</f>
        <v>3.4251290088999964E-2</v>
      </c>
      <c r="N70" s="10">
        <f t="shared" ref="N70:X70" si="26">N36/M36-1</f>
        <v>2.4091650097906037E-2</v>
      </c>
      <c r="O70" s="10">
        <f t="shared" si="26"/>
        <v>3.1520998855103732E-2</v>
      </c>
      <c r="P70" s="10">
        <f t="shared" si="26"/>
        <v>6.8963810442643103E-2</v>
      </c>
      <c r="Q70" s="10">
        <f t="shared" si="26"/>
        <v>9.5124241528844022E-2</v>
      </c>
      <c r="R70" s="10">
        <f t="shared" si="26"/>
        <v>5.3462882991089478E-2</v>
      </c>
      <c r="S70" s="10">
        <f t="shared" si="26"/>
        <v>3.8435374149659918E-2</v>
      </c>
      <c r="T70" s="10">
        <f t="shared" si="26"/>
        <v>4.3891254503766852E-2</v>
      </c>
      <c r="U70" s="10">
        <f t="shared" si="26"/>
        <v>3.3573893944148114E-2</v>
      </c>
      <c r="V70" s="10">
        <f t="shared" si="26"/>
        <v>2.4590163934426146E-2</v>
      </c>
      <c r="W70" s="10">
        <f t="shared" si="26"/>
        <v>1.2740740740740719E-2</v>
      </c>
      <c r="X70" s="10">
        <f t="shared" si="26"/>
        <v>2.9256875365710755E-3</v>
      </c>
      <c r="Y70" s="10"/>
      <c r="Z70" s="10"/>
      <c r="AN70" s="10"/>
      <c r="AO70" s="10">
        <f t="shared" ref="AO70" si="27">AO36/AN36-1</f>
        <v>5.6567335940305385E-2</v>
      </c>
      <c r="AP70" s="10">
        <f t="shared" ref="AP70:AZ70" si="28">AP36/AO36-1</f>
        <v>1.3130018313694869E-2</v>
      </c>
      <c r="AQ70" s="10">
        <f t="shared" si="28"/>
        <v>3.4911220721680625E-2</v>
      </c>
      <c r="AR70" s="10">
        <f t="shared" si="28"/>
        <v>2.8245141178912858E-2</v>
      </c>
      <c r="AS70" s="10">
        <f t="shared" si="28"/>
        <v>0.10856396767464815</v>
      </c>
      <c r="AT70" s="10">
        <f t="shared" si="28"/>
        <v>8.30006956282896E-2</v>
      </c>
      <c r="AU70" s="10">
        <f t="shared" si="28"/>
        <v>2.6188835286009571E-2</v>
      </c>
      <c r="AV70" s="10">
        <f t="shared" si="28"/>
        <v>5.0369375419744733E-2</v>
      </c>
      <c r="AW70" s="10">
        <f t="shared" si="28"/>
        <v>3.772378516624042E-2</v>
      </c>
      <c r="AX70" s="10">
        <f t="shared" si="28"/>
        <v>2.9574861367837268E-2</v>
      </c>
      <c r="AY70" s="10">
        <f t="shared" si="28"/>
        <v>1.9748653500897717E-2</v>
      </c>
      <c r="AZ70" s="10">
        <f t="shared" si="28"/>
        <v>5.8685446009389963E-3</v>
      </c>
      <c r="BA70" s="10"/>
      <c r="BB70" s="10"/>
      <c r="BC70" s="10"/>
      <c r="BD70" s="10"/>
      <c r="BE70" s="10"/>
      <c r="BF70" s="10"/>
      <c r="BG70" s="10"/>
      <c r="BH70" s="10"/>
      <c r="BI70" s="10"/>
      <c r="BJ70" s="10"/>
      <c r="BK70" s="10"/>
      <c r="BL70" s="10"/>
    </row>
    <row r="71" spans="4:64" x14ac:dyDescent="0.2">
      <c r="D71" s="191" t="s">
        <v>102</v>
      </c>
      <c r="M71" s="10">
        <f t="shared" ref="M71:M92" si="29">M37/L37-1</f>
        <v>3.4537544068028225E-2</v>
      </c>
      <c r="N71" s="10">
        <f t="shared" ref="N71:X71" si="30">N37/M37-1</f>
        <v>2.1664941922675762E-2</v>
      </c>
      <c r="O71" s="10">
        <f t="shared" si="30"/>
        <v>2.6230786021540275E-2</v>
      </c>
      <c r="P71" s="10">
        <f t="shared" si="30"/>
        <v>8.7595790807168949E-2</v>
      </c>
      <c r="Q71" s="10">
        <f t="shared" si="30"/>
        <v>0.13455622966415071</v>
      </c>
      <c r="R71" s="10">
        <f t="shared" si="30"/>
        <v>6.6335183786484953E-2</v>
      </c>
      <c r="S71" s="10">
        <f t="shared" si="30"/>
        <v>3.9775624681285038E-2</v>
      </c>
      <c r="T71" s="10">
        <f t="shared" si="30"/>
        <v>5.002452182442374E-2</v>
      </c>
      <c r="U71" s="10">
        <f t="shared" si="30"/>
        <v>3.1293787949556284E-2</v>
      </c>
      <c r="V71" s="10">
        <f t="shared" si="30"/>
        <v>1.26811594202898E-2</v>
      </c>
      <c r="W71" s="10">
        <f t="shared" si="30"/>
        <v>4.025044722719251E-3</v>
      </c>
      <c r="X71" s="10">
        <f t="shared" si="30"/>
        <v>1.3363028953230494E-3</v>
      </c>
      <c r="Y71" s="10"/>
      <c r="Z71" s="10"/>
      <c r="AO71" s="10">
        <f t="shared" ref="AO71:AZ71" si="31">AO37/AN37-1</f>
        <v>6.2003637738839101E-2</v>
      </c>
      <c r="AP71" s="10">
        <f t="shared" si="31"/>
        <v>8.6750209138799494E-3</v>
      </c>
      <c r="AQ71" s="10">
        <f t="shared" si="31"/>
        <v>3.4543144256888869E-2</v>
      </c>
      <c r="AR71" s="10">
        <f t="shared" si="31"/>
        <v>1.8195975408282328E-2</v>
      </c>
      <c r="AS71" s="10">
        <f t="shared" si="31"/>
        <v>0.15575537606879641</v>
      </c>
      <c r="AT71" s="10">
        <f t="shared" si="31"/>
        <v>0.11621398627632162</v>
      </c>
      <c r="AU71" s="10">
        <f t="shared" si="31"/>
        <v>2.1649484536082397E-2</v>
      </c>
      <c r="AV71" s="10">
        <f t="shared" si="31"/>
        <v>5.7517658930373416E-2</v>
      </c>
      <c r="AW71" s="10">
        <f t="shared" si="31"/>
        <v>4.2938931297709981E-2</v>
      </c>
      <c r="AX71" s="10">
        <f t="shared" si="31"/>
        <v>2.0128087831656094E-2</v>
      </c>
      <c r="AY71" s="10">
        <f t="shared" si="31"/>
        <v>5.3811659192826156E-3</v>
      </c>
      <c r="AZ71" s="10">
        <f t="shared" si="31"/>
        <v>2.67618198037467E-3</v>
      </c>
      <c r="BA71" s="10"/>
      <c r="BB71" s="10"/>
      <c r="BC71" s="10"/>
      <c r="BD71" s="10"/>
      <c r="BE71" s="10"/>
      <c r="BF71" s="10"/>
      <c r="BG71" s="10"/>
      <c r="BH71" s="10"/>
      <c r="BI71" s="10"/>
      <c r="BJ71" s="10"/>
      <c r="BK71" s="10"/>
      <c r="BL71" s="10"/>
    </row>
    <row r="72" spans="4:64" x14ac:dyDescent="0.2">
      <c r="D72" s="191" t="s">
        <v>103</v>
      </c>
      <c r="M72" s="10">
        <f t="shared" si="29"/>
        <v>3.4517521402667173E-2</v>
      </c>
      <c r="N72" s="10">
        <f t="shared" ref="N72:X72" si="32">N38/M38-1</f>
        <v>3.4968585716117495E-2</v>
      </c>
      <c r="O72" s="10">
        <f t="shared" si="32"/>
        <v>3.5219259340016684E-2</v>
      </c>
      <c r="P72" s="10">
        <f t="shared" si="32"/>
        <v>3.5469123982766915E-2</v>
      </c>
      <c r="Q72" s="10">
        <f t="shared" si="32"/>
        <v>3.57866852819686E-2</v>
      </c>
      <c r="R72" s="10">
        <f t="shared" si="32"/>
        <v>3.5480840256995716E-2</v>
      </c>
      <c r="S72" s="10">
        <f t="shared" si="32"/>
        <v>3.4482758620689724E-2</v>
      </c>
      <c r="T72" s="10">
        <f t="shared" si="32"/>
        <v>3.3333333333333437E-2</v>
      </c>
      <c r="U72" s="10">
        <f t="shared" si="32"/>
        <v>3.2258064516129004E-2</v>
      </c>
      <c r="V72" s="10">
        <f t="shared" si="32"/>
        <v>3.125E-2</v>
      </c>
      <c r="W72" s="10">
        <f t="shared" si="32"/>
        <v>2.2727272727272707E-2</v>
      </c>
      <c r="X72" s="10">
        <f t="shared" si="32"/>
        <v>7.4074074074073071E-3</v>
      </c>
      <c r="Y72" s="10"/>
      <c r="Z72" s="10"/>
      <c r="AO72" s="10">
        <f t="shared" ref="AO72:AZ72" si="33">AO38/AN38-1</f>
        <v>3.4286238551914927E-2</v>
      </c>
      <c r="AP72" s="10">
        <f t="shared" si="33"/>
        <v>3.4741137305239977E-2</v>
      </c>
      <c r="AQ72" s="10">
        <f t="shared" si="33"/>
        <v>3.5188397611747524E-2</v>
      </c>
      <c r="AR72" s="10">
        <f t="shared" si="33"/>
        <v>3.5249072008261884E-2</v>
      </c>
      <c r="AS72" s="10">
        <f t="shared" si="33"/>
        <v>3.5681683433873568E-2</v>
      </c>
      <c r="AT72" s="10">
        <f t="shared" si="33"/>
        <v>3.5888069568061898E-2</v>
      </c>
      <c r="AU72" s="10">
        <f t="shared" si="33"/>
        <v>3.5087719298245723E-2</v>
      </c>
      <c r="AV72" s="10">
        <f t="shared" si="33"/>
        <v>3.3898305084745672E-2</v>
      </c>
      <c r="AW72" s="10">
        <f t="shared" si="33"/>
        <v>3.2786885245901676E-2</v>
      </c>
      <c r="AX72" s="10">
        <f t="shared" si="33"/>
        <v>3.1746031746031855E-2</v>
      </c>
      <c r="AY72" s="10">
        <f t="shared" si="33"/>
        <v>3.076923076923066E-2</v>
      </c>
      <c r="AZ72" s="10">
        <f t="shared" si="33"/>
        <v>1.4925373134328401E-2</v>
      </c>
      <c r="BA72" s="10"/>
      <c r="BB72" s="10"/>
      <c r="BC72" s="10"/>
      <c r="BD72" s="10"/>
      <c r="BE72" s="10"/>
      <c r="BF72" s="10"/>
      <c r="BG72" s="10"/>
      <c r="BH72" s="10"/>
      <c r="BI72" s="10"/>
      <c r="BJ72" s="10"/>
      <c r="BK72" s="10"/>
      <c r="BL72" s="10"/>
    </row>
    <row r="73" spans="4:64" x14ac:dyDescent="0.2">
      <c r="D73" s="191" t="s">
        <v>287</v>
      </c>
      <c r="M73" s="10">
        <f t="shared" si="29"/>
        <v>3.1247018414273464E-2</v>
      </c>
      <c r="N73" s="10">
        <f t="shared" ref="N73:X73" si="34">N39/M39-1</f>
        <v>2.1395198223620238E-2</v>
      </c>
      <c r="O73" s="10">
        <f t="shared" si="34"/>
        <v>3.0933671505242399E-2</v>
      </c>
      <c r="P73" s="10">
        <f t="shared" si="34"/>
        <v>3.1521142229544274E-2</v>
      </c>
      <c r="Q73" s="10">
        <f t="shared" si="34"/>
        <v>3.8948040885860236E-2</v>
      </c>
      <c r="R73" s="10">
        <f t="shared" si="34"/>
        <v>4.5317592080182045E-2</v>
      </c>
      <c r="S73" s="10">
        <f t="shared" si="34"/>
        <v>3.9215686274509887E-2</v>
      </c>
      <c r="T73" s="10">
        <f t="shared" si="34"/>
        <v>3.7735849056603765E-2</v>
      </c>
      <c r="U73" s="10">
        <f t="shared" si="34"/>
        <v>3.6363636363636376E-2</v>
      </c>
      <c r="V73" s="10">
        <f t="shared" si="34"/>
        <v>3.5087719298245723E-2</v>
      </c>
      <c r="W73" s="10">
        <f t="shared" si="34"/>
        <v>1.6949152542372836E-2</v>
      </c>
      <c r="X73" s="10">
        <f t="shared" si="34"/>
        <v>0</v>
      </c>
      <c r="Y73" s="10"/>
      <c r="Z73" s="10"/>
      <c r="AO73" s="10">
        <f t="shared" ref="AO73:AZ73" si="35">AO39/AN39-1</f>
        <v>4.5572090753842165E-2</v>
      </c>
      <c r="AP73" s="10">
        <f t="shared" si="35"/>
        <v>1.7546315740351925E-2</v>
      </c>
      <c r="AQ73" s="10">
        <f t="shared" si="35"/>
        <v>2.5177711534051905E-2</v>
      </c>
      <c r="AR73" s="10">
        <f t="shared" si="35"/>
        <v>3.6548268766216419E-2</v>
      </c>
      <c r="AS73" s="10">
        <f t="shared" si="35"/>
        <v>2.6671270122135216E-2</v>
      </c>
      <c r="AT73" s="10">
        <f t="shared" si="35"/>
        <v>5.090588086930925E-2</v>
      </c>
      <c r="AU73" s="10">
        <f t="shared" si="35"/>
        <v>4.0000000000000036E-2</v>
      </c>
      <c r="AV73" s="10">
        <f t="shared" si="35"/>
        <v>3.8461538461538547E-2</v>
      </c>
      <c r="AW73" s="10">
        <f t="shared" si="35"/>
        <v>3.7037037037036979E-2</v>
      </c>
      <c r="AX73" s="10">
        <f t="shared" si="35"/>
        <v>3.5714285714285809E-2</v>
      </c>
      <c r="AY73" s="10">
        <f t="shared" si="35"/>
        <v>3.4482758620689724E-2</v>
      </c>
      <c r="AZ73" s="10">
        <f t="shared" si="35"/>
        <v>0</v>
      </c>
      <c r="BA73" s="10"/>
      <c r="BB73" s="10"/>
      <c r="BC73" s="10"/>
      <c r="BD73" s="10"/>
      <c r="BE73" s="10"/>
      <c r="BF73" s="10"/>
      <c r="BG73" s="10"/>
      <c r="BH73" s="10"/>
      <c r="BI73" s="10"/>
      <c r="BJ73" s="10"/>
      <c r="BK73" s="10"/>
      <c r="BL73" s="10"/>
    </row>
    <row r="74" spans="4:64" x14ac:dyDescent="0.2">
      <c r="D74" s="177" t="s">
        <v>105</v>
      </c>
      <c r="M74" s="10">
        <f t="shared" si="29"/>
        <v>3.3306265514742472E-2</v>
      </c>
      <c r="N74" s="10">
        <f t="shared" ref="N74:X74" si="36">N40/M40-1</f>
        <v>2.2406971278788879E-2</v>
      </c>
      <c r="O74" s="10">
        <f t="shared" si="36"/>
        <v>4.6638791390285483E-2</v>
      </c>
      <c r="P74" s="10">
        <f t="shared" si="36"/>
        <v>4.0916496045699358E-2</v>
      </c>
      <c r="Q74" s="10">
        <f t="shared" si="36"/>
        <v>1.5628593181021611E-2</v>
      </c>
      <c r="R74" s="10">
        <f t="shared" si="36"/>
        <v>2.001112339716471E-2</v>
      </c>
      <c r="S74" s="10">
        <f t="shared" si="36"/>
        <v>3.6637931034482651E-2</v>
      </c>
      <c r="T74" s="10">
        <f t="shared" si="36"/>
        <v>2.9106029106028997E-2</v>
      </c>
      <c r="U74" s="10">
        <f t="shared" si="36"/>
        <v>4.4444444444444509E-2</v>
      </c>
      <c r="V74" s="10">
        <f t="shared" si="36"/>
        <v>6.7698259187620957E-2</v>
      </c>
      <c r="W74" s="10">
        <f t="shared" si="36"/>
        <v>3.8043478260869623E-2</v>
      </c>
      <c r="X74" s="10">
        <f t="shared" si="36"/>
        <v>5.2356020942407877E-3</v>
      </c>
      <c r="Y74" s="10"/>
      <c r="Z74" s="10"/>
      <c r="AO74" s="10">
        <f t="shared" ref="AO74:AZ74" si="37">AO40/AN40-1</f>
        <v>6.0445291610409457E-2</v>
      </c>
      <c r="AP74" s="10">
        <f t="shared" si="37"/>
        <v>7.714161602947911E-3</v>
      </c>
      <c r="AQ74" s="10">
        <f t="shared" si="37"/>
        <v>3.698730589715904E-2</v>
      </c>
      <c r="AR74" s="10">
        <f t="shared" si="37"/>
        <v>5.5946027301699619E-2</v>
      </c>
      <c r="AS74" s="10">
        <f t="shared" si="37"/>
        <v>2.6683257918552084E-2</v>
      </c>
      <c r="AT74" s="10">
        <f t="shared" si="37"/>
        <v>4.8612365963409676E-3</v>
      </c>
      <c r="AU74" s="10">
        <f t="shared" si="37"/>
        <v>3.5087719298245723E-2</v>
      </c>
      <c r="AV74" s="10">
        <f t="shared" si="37"/>
        <v>3.8135593220338881E-2</v>
      </c>
      <c r="AW74" s="10">
        <f t="shared" si="37"/>
        <v>2.0408163265306145E-2</v>
      </c>
      <c r="AX74" s="10">
        <f t="shared" si="37"/>
        <v>6.800000000000006E-2</v>
      </c>
      <c r="AY74" s="10">
        <f t="shared" si="37"/>
        <v>6.7415730337078594E-2</v>
      </c>
      <c r="AZ74" s="10">
        <f t="shared" si="37"/>
        <v>1.0526315789473717E-2</v>
      </c>
      <c r="BA74" s="10"/>
      <c r="BB74" s="10"/>
      <c r="BC74" s="10"/>
      <c r="BD74" s="10"/>
      <c r="BE74" s="10"/>
      <c r="BF74" s="10"/>
      <c r="BG74" s="10"/>
      <c r="BH74" s="10"/>
      <c r="BI74" s="10"/>
      <c r="BJ74" s="10"/>
      <c r="BK74" s="10"/>
      <c r="BL74" s="10"/>
    </row>
    <row r="75" spans="4:64" x14ac:dyDescent="0.2">
      <c r="D75" s="15" t="s">
        <v>389</v>
      </c>
      <c r="M75" s="10">
        <f t="shared" si="29"/>
        <v>0.13104907916689945</v>
      </c>
      <c r="N75" s="10">
        <f t="shared" ref="N75:X75" si="38">N41/M41-1</f>
        <v>0.14736052723286552</v>
      </c>
      <c r="O75" s="10">
        <f t="shared" si="38"/>
        <v>0.1167488021850176</v>
      </c>
      <c r="P75" s="10">
        <f t="shared" si="38"/>
        <v>0.10870301668222782</v>
      </c>
      <c r="Q75" s="10">
        <f t="shared" si="38"/>
        <v>0.11319864165604665</v>
      </c>
      <c r="R75" s="10">
        <f t="shared" si="38"/>
        <v>6.7801489343185084E-2</v>
      </c>
      <c r="S75" s="10">
        <f t="shared" si="38"/>
        <v>3.0825496342737679E-2</v>
      </c>
      <c r="T75" s="10">
        <f t="shared" si="38"/>
        <v>2.6862645717181888E-2</v>
      </c>
      <c r="U75" s="10">
        <f t="shared" si="38"/>
        <v>3.2082922013820347E-2</v>
      </c>
      <c r="V75" s="10">
        <f t="shared" si="38"/>
        <v>5.6432329029172612E-2</v>
      </c>
      <c r="W75" s="10">
        <f t="shared" si="38"/>
        <v>5.8397464916251751E-2</v>
      </c>
      <c r="X75" s="10">
        <f t="shared" si="38"/>
        <v>2.1385799828913532E-2</v>
      </c>
      <c r="Y75" s="10"/>
      <c r="Z75" s="10"/>
      <c r="AO75" s="10">
        <f t="shared" ref="AO75:AZ75" si="39">AO41/AN41-1</f>
        <v>0.10724018436900717</v>
      </c>
      <c r="AP75" s="10">
        <f t="shared" si="39"/>
        <v>0.1525519970829976</v>
      </c>
      <c r="AQ75" s="10">
        <f t="shared" si="39"/>
        <v>0.14285620129939702</v>
      </c>
      <c r="AR75" s="10">
        <f t="shared" si="39"/>
        <v>9.3904809139614409E-2</v>
      </c>
      <c r="AS75" s="10">
        <f t="shared" si="39"/>
        <v>0.12223089170295554</v>
      </c>
      <c r="AT75" s="10">
        <f t="shared" si="39"/>
        <v>0.10515016418702761</v>
      </c>
      <c r="AU75" s="10">
        <f t="shared" si="39"/>
        <v>3.4006376195536703E-2</v>
      </c>
      <c r="AV75" s="10">
        <f t="shared" si="39"/>
        <v>2.7749229188078095E-2</v>
      </c>
      <c r="AW75" s="10">
        <f t="shared" si="39"/>
        <v>2.6000000000000023E-2</v>
      </c>
      <c r="AX75" s="10">
        <f t="shared" si="39"/>
        <v>3.8011695906432719E-2</v>
      </c>
      <c r="AY75" s="10">
        <f t="shared" si="39"/>
        <v>7.4178403755868594E-2</v>
      </c>
      <c r="AZ75" s="10">
        <f t="shared" si="39"/>
        <v>4.3706293706293753E-2</v>
      </c>
      <c r="BA75" s="10"/>
      <c r="BB75" s="10"/>
      <c r="BC75" s="10"/>
      <c r="BD75" s="10"/>
      <c r="BE75" s="10"/>
      <c r="BF75" s="10"/>
      <c r="BG75" s="10"/>
      <c r="BH75" s="10"/>
      <c r="BI75" s="10"/>
      <c r="BJ75" s="10"/>
      <c r="BK75" s="10"/>
      <c r="BL75" s="10"/>
    </row>
    <row r="76" spans="4:64" x14ac:dyDescent="0.2">
      <c r="D76" s="191" t="s">
        <v>390</v>
      </c>
      <c r="M76" s="10">
        <f t="shared" si="29"/>
        <v>0.2617368398691422</v>
      </c>
      <c r="N76" s="10">
        <f t="shared" ref="N76:X76" si="40">N42/M42-1</f>
        <v>0.23784830372927024</v>
      </c>
      <c r="O76" s="10">
        <f t="shared" si="40"/>
        <v>0.13488479638747597</v>
      </c>
      <c r="P76" s="10">
        <f t="shared" si="40"/>
        <v>9.1971380289792348E-2</v>
      </c>
      <c r="Q76" s="10">
        <f t="shared" si="40"/>
        <v>6.9188809500291049E-2</v>
      </c>
      <c r="R76" s="10">
        <f t="shared" si="40"/>
        <v>0.10863606967982986</v>
      </c>
      <c r="S76" s="10">
        <f t="shared" si="40"/>
        <v>0.16666666666666674</v>
      </c>
      <c r="T76" s="10">
        <f t="shared" si="40"/>
        <v>0.12698412698412698</v>
      </c>
      <c r="U76" s="10">
        <f t="shared" si="40"/>
        <v>9.1549295774647987E-2</v>
      </c>
      <c r="V76" s="10">
        <f t="shared" si="40"/>
        <v>0.1225806451612903</v>
      </c>
      <c r="W76" s="10">
        <f t="shared" si="40"/>
        <v>0.10919540229885061</v>
      </c>
      <c r="X76" s="10">
        <f t="shared" si="40"/>
        <v>3.6269430051813378E-2</v>
      </c>
      <c r="Y76" s="10"/>
      <c r="Z76" s="10"/>
      <c r="AO76" s="10">
        <f t="shared" ref="AO76:AZ76" si="41">AO42/AN42-1</f>
        <v>0.1937738838661569</v>
      </c>
      <c r="AP76" s="10">
        <f t="shared" si="41"/>
        <v>0.31866801998750782</v>
      </c>
      <c r="AQ76" s="10">
        <f t="shared" si="41"/>
        <v>0.17655940081115484</v>
      </c>
      <c r="AR76" s="10">
        <f t="shared" si="41"/>
        <v>9.9464056563419945E-2</v>
      </c>
      <c r="AS76" s="10">
        <f t="shared" si="41"/>
        <v>8.51565360673745E-2</v>
      </c>
      <c r="AT76" s="10">
        <f t="shared" si="41"/>
        <v>5.4474133749499165E-2</v>
      </c>
      <c r="AU76" s="10">
        <f t="shared" si="41"/>
        <v>0.15999999999999992</v>
      </c>
      <c r="AV76" s="10">
        <f t="shared" si="41"/>
        <v>0.17241379310344818</v>
      </c>
      <c r="AW76" s="10">
        <f t="shared" si="41"/>
        <v>8.8235294117646967E-2</v>
      </c>
      <c r="AX76" s="10">
        <f t="shared" si="41"/>
        <v>9.4594594594594517E-2</v>
      </c>
      <c r="AY76" s="10">
        <f t="shared" si="41"/>
        <v>0.14814814814814814</v>
      </c>
      <c r="AZ76" s="10">
        <f t="shared" si="41"/>
        <v>7.5268817204301008E-2</v>
      </c>
      <c r="BA76" s="10"/>
      <c r="BB76" s="10"/>
      <c r="BC76" s="10"/>
      <c r="BD76" s="10"/>
      <c r="BE76" s="10"/>
      <c r="BF76" s="10"/>
      <c r="BG76" s="10"/>
      <c r="BH76" s="10"/>
      <c r="BI76" s="10"/>
      <c r="BJ76" s="10"/>
      <c r="BK76" s="10"/>
      <c r="BL76" s="10"/>
    </row>
    <row r="77" spans="4:64" x14ac:dyDescent="0.2">
      <c r="D77" s="191" t="s">
        <v>40</v>
      </c>
      <c r="M77" s="10">
        <f t="shared" si="29"/>
        <v>8.627739545617974E-2</v>
      </c>
      <c r="N77" s="10">
        <f t="shared" ref="N77:X77" si="42">N43/M43-1</f>
        <v>8.2442325012123785E-2</v>
      </c>
      <c r="O77" s="10">
        <f t="shared" si="42"/>
        <v>8.3932470007608284E-3</v>
      </c>
      <c r="P77" s="10">
        <f t="shared" si="42"/>
        <v>6.4862825438074534E-3</v>
      </c>
      <c r="Q77" s="10">
        <f t="shared" si="42"/>
        <v>2.3679397977844685E-2</v>
      </c>
      <c r="R77" s="10">
        <f t="shared" si="42"/>
        <v>1.4726366116010858E-2</v>
      </c>
      <c r="S77" s="10">
        <f t="shared" si="42"/>
        <v>1.3490725126475533E-2</v>
      </c>
      <c r="T77" s="10">
        <f t="shared" si="42"/>
        <v>2.1630615640598982E-2</v>
      </c>
      <c r="U77" s="10">
        <f t="shared" si="42"/>
        <v>2.7687296416938123E-2</v>
      </c>
      <c r="V77" s="10">
        <f t="shared" si="42"/>
        <v>2.0602218700475516E-2</v>
      </c>
      <c r="W77" s="10">
        <f t="shared" si="42"/>
        <v>6.2111801242235032E-3</v>
      </c>
      <c r="X77" s="10">
        <f t="shared" si="42"/>
        <v>0</v>
      </c>
      <c r="Y77" s="10"/>
      <c r="Z77" s="10"/>
      <c r="AO77" s="10">
        <f t="shared" ref="AO77:AZ77" si="43">AO43/AN43-1</f>
        <v>3.1364522334376588E-2</v>
      </c>
      <c r="AP77" s="10">
        <f t="shared" si="43"/>
        <v>0.13952032938754488</v>
      </c>
      <c r="AQ77" s="10">
        <f t="shared" si="43"/>
        <v>3.2352824277987136E-2</v>
      </c>
      <c r="AR77" s="10">
        <f t="shared" si="43"/>
        <v>-1.4815462961342729E-2</v>
      </c>
      <c r="AS77" s="10">
        <f t="shared" si="43"/>
        <v>2.8108369274056688E-2</v>
      </c>
      <c r="AT77" s="10">
        <f t="shared" si="43"/>
        <v>1.9371514267745749E-2</v>
      </c>
      <c r="AU77" s="10">
        <f t="shared" si="43"/>
        <v>1.0169491525423791E-2</v>
      </c>
      <c r="AV77" s="10">
        <f t="shared" si="43"/>
        <v>1.6778523489932917E-2</v>
      </c>
      <c r="AW77" s="10">
        <f t="shared" si="43"/>
        <v>2.64026402640265E-2</v>
      </c>
      <c r="AX77" s="10">
        <f t="shared" si="43"/>
        <v>2.8938906752411508E-2</v>
      </c>
      <c r="AY77" s="10">
        <f t="shared" si="43"/>
        <v>1.2499999999999956E-2</v>
      </c>
      <c r="AZ77" s="10">
        <f t="shared" si="43"/>
        <v>0</v>
      </c>
      <c r="BA77" s="10"/>
      <c r="BB77" s="10"/>
      <c r="BC77" s="10"/>
      <c r="BD77" s="10"/>
      <c r="BE77" s="10"/>
      <c r="BF77" s="10"/>
      <c r="BG77" s="10"/>
      <c r="BH77" s="10"/>
      <c r="BI77" s="10"/>
      <c r="BJ77" s="10"/>
      <c r="BK77" s="10"/>
      <c r="BL77" s="10"/>
    </row>
    <row r="78" spans="4:64" x14ac:dyDescent="0.2">
      <c r="D78" s="191" t="s">
        <v>391</v>
      </c>
      <c r="M78" s="10">
        <f t="shared" si="29"/>
        <v>4.1189822167390311E-2</v>
      </c>
      <c r="N78" s="10">
        <f t="shared" ref="N78:X78" si="44">N44/M44-1</f>
        <v>4.7972557183445286E-2</v>
      </c>
      <c r="O78" s="10">
        <f t="shared" si="44"/>
        <v>6.0219137691932989E-2</v>
      </c>
      <c r="P78" s="10">
        <f t="shared" si="44"/>
        <v>6.6803360789997823E-2</v>
      </c>
      <c r="Q78" s="10">
        <f t="shared" si="44"/>
        <v>6.2719540483817449E-2</v>
      </c>
      <c r="R78" s="10">
        <f t="shared" si="44"/>
        <v>4.9808747713288026E-2</v>
      </c>
      <c r="S78" s="10">
        <f t="shared" si="44"/>
        <v>2.9702970297029729E-2</v>
      </c>
      <c r="T78" s="10">
        <f t="shared" si="44"/>
        <v>1.4423076923076872E-2</v>
      </c>
      <c r="U78" s="10">
        <f t="shared" si="44"/>
        <v>4.2654028436019065E-2</v>
      </c>
      <c r="V78" s="10">
        <f t="shared" si="44"/>
        <v>8.636363636363642E-2</v>
      </c>
      <c r="W78" s="10">
        <f t="shared" si="44"/>
        <v>5.8577405857740628E-2</v>
      </c>
      <c r="X78" s="10">
        <f t="shared" si="44"/>
        <v>1.1857707509881354E-2</v>
      </c>
      <c r="Y78" s="10"/>
      <c r="Z78" s="10"/>
      <c r="AO78" s="10">
        <f t="shared" ref="AO78:AZ78" si="45">AO44/AN44-1</f>
        <v>3.8757104542738396E-2</v>
      </c>
      <c r="AP78" s="10">
        <f t="shared" si="45"/>
        <v>4.3531772575250871E-2</v>
      </c>
      <c r="AQ78" s="10">
        <f t="shared" si="45"/>
        <v>5.2228090867134869E-2</v>
      </c>
      <c r="AR78" s="10">
        <f t="shared" si="45"/>
        <v>6.781354321499089E-2</v>
      </c>
      <c r="AS78" s="10">
        <f t="shared" si="45"/>
        <v>6.5857331933731889E-2</v>
      </c>
      <c r="AT78" s="10">
        <f t="shared" si="45"/>
        <v>5.9775627301532852E-2</v>
      </c>
      <c r="AU78" s="10">
        <f t="shared" si="45"/>
        <v>4.0404040404040442E-2</v>
      </c>
      <c r="AV78" s="10">
        <f t="shared" si="45"/>
        <v>1.9417475728155331E-2</v>
      </c>
      <c r="AW78" s="10">
        <f t="shared" si="45"/>
        <v>9.52380952380949E-3</v>
      </c>
      <c r="AX78" s="10">
        <f t="shared" si="45"/>
        <v>7.547169811320753E-2</v>
      </c>
      <c r="AY78" s="10">
        <f t="shared" si="45"/>
        <v>9.6491228070175517E-2</v>
      </c>
      <c r="AZ78" s="10">
        <f t="shared" si="45"/>
        <v>2.4000000000000021E-2</v>
      </c>
      <c r="BA78" s="10"/>
      <c r="BB78" s="10"/>
      <c r="BC78" s="10"/>
      <c r="BD78" s="10"/>
      <c r="BE78" s="10"/>
      <c r="BF78" s="10"/>
      <c r="BG78" s="10"/>
      <c r="BH78" s="10"/>
      <c r="BI78" s="10"/>
      <c r="BJ78" s="10"/>
      <c r="BK78" s="10"/>
      <c r="BL78" s="10"/>
    </row>
    <row r="79" spans="4:64" x14ac:dyDescent="0.2">
      <c r="D79" s="191" t="s">
        <v>109</v>
      </c>
      <c r="M79" s="10">
        <f t="shared" si="29"/>
        <v>0.21725770184189641</v>
      </c>
      <c r="N79" s="10">
        <f t="shared" ref="N79:X79" si="46">N45/M45-1</f>
        <v>0.25576456763875544</v>
      </c>
      <c r="O79" s="10">
        <f t="shared" si="46"/>
        <v>0.25287809790786508</v>
      </c>
      <c r="P79" s="10">
        <f t="shared" si="46"/>
        <v>0.21390323560686597</v>
      </c>
      <c r="Q79" s="10">
        <f t="shared" si="46"/>
        <v>0.19695417311913754</v>
      </c>
      <c r="R79" s="10">
        <f t="shared" si="46"/>
        <v>0.10101814229597661</v>
      </c>
      <c r="S79" s="10">
        <f t="shared" si="46"/>
        <v>2.6706231454005858E-2</v>
      </c>
      <c r="T79" s="10">
        <f t="shared" si="46"/>
        <v>2.0231213872832443E-2</v>
      </c>
      <c r="U79" s="10">
        <f t="shared" si="46"/>
        <v>2.455146364494798E-2</v>
      </c>
      <c r="V79" s="10">
        <f t="shared" si="46"/>
        <v>6.1751152073732829E-2</v>
      </c>
      <c r="W79" s="10">
        <f t="shared" si="46"/>
        <v>7.986111111111116E-2</v>
      </c>
      <c r="X79" s="10">
        <f t="shared" si="46"/>
        <v>3.2154340836012762E-2</v>
      </c>
      <c r="Y79" s="10"/>
      <c r="Z79" s="10"/>
      <c r="AO79" s="10">
        <f t="shared" ref="AO79:AZ79" si="47">AO45/AN45-1</f>
        <v>0.25000681849174944</v>
      </c>
      <c r="AP79" s="10">
        <f t="shared" si="47"/>
        <v>0.19105855143296657</v>
      </c>
      <c r="AQ79" s="10">
        <f t="shared" si="47"/>
        <v>0.31009104565105883</v>
      </c>
      <c r="AR79" s="10">
        <f t="shared" si="47"/>
        <v>0.20920712715120193</v>
      </c>
      <c r="AS79" s="10">
        <f t="shared" si="47"/>
        <v>0.21778686178654971</v>
      </c>
      <c r="AT79" s="10">
        <f t="shared" si="47"/>
        <v>0.17984716587416716</v>
      </c>
      <c r="AU79" s="10">
        <f t="shared" si="47"/>
        <v>3.4205231388329871E-2</v>
      </c>
      <c r="AV79" s="10">
        <f t="shared" si="47"/>
        <v>1.9455252918287869E-2</v>
      </c>
      <c r="AW79" s="10">
        <f t="shared" si="47"/>
        <v>2.0992366412213803E-2</v>
      </c>
      <c r="AX79" s="10">
        <f t="shared" si="47"/>
        <v>2.8037383177569986E-2</v>
      </c>
      <c r="AY79" s="10">
        <f t="shared" si="47"/>
        <v>9.4545454545454488E-2</v>
      </c>
      <c r="AZ79" s="10">
        <f t="shared" si="47"/>
        <v>6.6445182724252483E-2</v>
      </c>
      <c r="BA79" s="10"/>
      <c r="BB79" s="10"/>
      <c r="BC79" s="10"/>
      <c r="BD79" s="10"/>
      <c r="BE79" s="10"/>
      <c r="BF79" s="10"/>
      <c r="BG79" s="10"/>
      <c r="BH79" s="10"/>
      <c r="BI79" s="10"/>
      <c r="BJ79" s="10"/>
      <c r="BK79" s="10"/>
      <c r="BL79" s="10"/>
    </row>
    <row r="80" spans="4:64" x14ac:dyDescent="0.2">
      <c r="D80" s="524" t="s">
        <v>110</v>
      </c>
      <c r="M80" s="10">
        <f t="shared" si="29"/>
        <v>9.1319374364074779E-2</v>
      </c>
      <c r="N80" s="10">
        <f t="shared" ref="N80:X80" si="48">N46/M46-1</f>
        <v>6.7941732694147827E-2</v>
      </c>
      <c r="O80" s="10">
        <f t="shared" si="48"/>
        <v>5.7379211734595925E-2</v>
      </c>
      <c r="P80" s="10">
        <f t="shared" si="48"/>
        <v>3.4792475087930486E-2</v>
      </c>
      <c r="Q80" s="10">
        <f t="shared" si="48"/>
        <v>2.4195928644310083E-2</v>
      </c>
      <c r="R80" s="10">
        <f t="shared" si="48"/>
        <v>6.0421322140370881E-2</v>
      </c>
      <c r="S80" s="10">
        <f t="shared" si="48"/>
        <v>7.9658131072012806E-2</v>
      </c>
      <c r="T80" s="10">
        <f t="shared" si="48"/>
        <v>8.3366832616964093E-2</v>
      </c>
      <c r="U80" s="10">
        <f t="shared" si="48"/>
        <v>8.9053803339517623E-2</v>
      </c>
      <c r="V80" s="10">
        <f t="shared" si="48"/>
        <v>8.7799764120036761E-2</v>
      </c>
      <c r="W80" s="10">
        <f t="shared" si="48"/>
        <v>6.3968196602818939E-2</v>
      </c>
      <c r="X80" s="10">
        <f t="shared" si="48"/>
        <v>2.0833333333333259E-2</v>
      </c>
      <c r="Y80" s="10"/>
      <c r="Z80" s="10"/>
      <c r="AO80" s="10">
        <f t="shared" ref="AO80:AZ80" si="49">AO46/AN46-1</f>
        <v>0.10164890427745266</v>
      </c>
      <c r="AP80" s="10">
        <f t="shared" si="49"/>
        <v>8.194294792433432E-2</v>
      </c>
      <c r="AQ80" s="10">
        <f t="shared" si="49"/>
        <v>5.5000925365030096E-2</v>
      </c>
      <c r="AR80" s="10">
        <f t="shared" si="49"/>
        <v>5.9633509633664206E-2</v>
      </c>
      <c r="AS80" s="10">
        <f t="shared" si="49"/>
        <v>1.1349431507398977E-2</v>
      </c>
      <c r="AT80" s="10">
        <f t="shared" si="49"/>
        <v>3.6898261524216602E-2</v>
      </c>
      <c r="AU80" s="10">
        <f t="shared" si="49"/>
        <v>8.3107309270463947E-2</v>
      </c>
      <c r="AV80" s="10">
        <f t="shared" si="49"/>
        <v>7.6473609862591552E-2</v>
      </c>
      <c r="AW80" s="10">
        <f t="shared" si="49"/>
        <v>8.9770354906054228E-2</v>
      </c>
      <c r="AX80" s="10">
        <f t="shared" si="49"/>
        <v>8.839627805145045E-2</v>
      </c>
      <c r="AY80" s="10">
        <f t="shared" si="49"/>
        <v>8.7251697259240535E-2</v>
      </c>
      <c r="AZ80" s="10">
        <f t="shared" si="49"/>
        <v>4.2553191489361764E-2</v>
      </c>
      <c r="BA80" s="10"/>
      <c r="BB80" s="10"/>
      <c r="BC80" s="10"/>
      <c r="BD80" s="10"/>
      <c r="BE80" s="10"/>
      <c r="BF80" s="10"/>
      <c r="BG80" s="10"/>
      <c r="BH80" s="10"/>
      <c r="BI80" s="10"/>
      <c r="BJ80" s="10"/>
      <c r="BK80" s="10"/>
      <c r="BL80" s="10"/>
    </row>
    <row r="81" spans="4:64" x14ac:dyDescent="0.2">
      <c r="D81" s="192" t="s">
        <v>392</v>
      </c>
      <c r="M81" s="10">
        <f t="shared" si="29"/>
        <v>4.9418122632782335E-2</v>
      </c>
      <c r="N81" s="10">
        <f t="shared" ref="N81:X81" si="50">N47/M47-1</f>
        <v>1.1576015941970219E-2</v>
      </c>
      <c r="O81" s="10">
        <f t="shared" si="50"/>
        <v>4.9334874759152214E-2</v>
      </c>
      <c r="P81" s="10">
        <f t="shared" si="50"/>
        <v>7.8683111129391525E-2</v>
      </c>
      <c r="Q81" s="10">
        <f t="shared" si="50"/>
        <v>5.7667865054290557E-2</v>
      </c>
      <c r="R81" s="10">
        <f t="shared" si="50"/>
        <v>3.4334763948497882E-2</v>
      </c>
      <c r="S81" s="10">
        <f t="shared" si="50"/>
        <v>1.5767634854771728E-2</v>
      </c>
      <c r="T81" s="10">
        <f t="shared" si="50"/>
        <v>3.1045751633986818E-2</v>
      </c>
      <c r="U81" s="10">
        <f t="shared" si="50"/>
        <v>0.10142630744849446</v>
      </c>
      <c r="V81" s="10">
        <f t="shared" si="50"/>
        <v>0.14748201438848918</v>
      </c>
      <c r="W81" s="10">
        <f t="shared" si="50"/>
        <v>9.404388714733547E-2</v>
      </c>
      <c r="X81" s="10">
        <f t="shared" si="50"/>
        <v>2.2349570200573154E-2</v>
      </c>
      <c r="Y81" s="10"/>
      <c r="Z81" s="10"/>
      <c r="AO81" s="10">
        <f t="shared" ref="AO81:AZ81" si="51">AO47/AN47-1</f>
        <v>9.2082981491202087E-2</v>
      </c>
      <c r="AP81" s="10">
        <f t="shared" si="51"/>
        <v>1.0350707810364623E-2</v>
      </c>
      <c r="AQ81" s="10">
        <f t="shared" si="51"/>
        <v>1.2788771198272375E-2</v>
      </c>
      <c r="AR81" s="10">
        <f t="shared" si="51"/>
        <v>8.5419500300212059E-2</v>
      </c>
      <c r="AS81" s="10">
        <f t="shared" si="51"/>
        <v>7.2476857078347168E-2</v>
      </c>
      <c r="AT81" s="10">
        <f t="shared" si="51"/>
        <v>4.3859649122806932E-2</v>
      </c>
      <c r="AU81" s="10">
        <f t="shared" si="51"/>
        <v>2.5210084033613356E-2</v>
      </c>
      <c r="AV81" s="10">
        <f t="shared" si="51"/>
        <v>6.5573770491802463E-3</v>
      </c>
      <c r="AW81" s="10">
        <f t="shared" si="51"/>
        <v>5.5374592833876246E-2</v>
      </c>
      <c r="AX81" s="10">
        <f t="shared" si="51"/>
        <v>0.14506172839506171</v>
      </c>
      <c r="AY81" s="10">
        <f t="shared" si="51"/>
        <v>0.1495956873315365</v>
      </c>
      <c r="AZ81" s="10">
        <f t="shared" si="51"/>
        <v>4.572098475967179E-2</v>
      </c>
      <c r="BA81" s="10"/>
      <c r="BB81" s="10"/>
      <c r="BC81" s="10"/>
      <c r="BD81" s="10"/>
      <c r="BE81" s="10"/>
      <c r="BF81" s="10"/>
      <c r="BG81" s="10"/>
      <c r="BH81" s="10"/>
      <c r="BI81" s="10"/>
      <c r="BJ81" s="10"/>
      <c r="BK81" s="10"/>
      <c r="BL81" s="10"/>
    </row>
    <row r="82" spans="4:64" x14ac:dyDescent="0.2">
      <c r="D82" s="191" t="s">
        <v>393</v>
      </c>
      <c r="M82" s="10">
        <f t="shared" si="29"/>
        <v>-3.811585499111203E-3</v>
      </c>
      <c r="N82" s="10">
        <f t="shared" ref="N82:X82" si="52">N48/M48-1</f>
        <v>1.9051386403366344E-2</v>
      </c>
      <c r="O82" s="10">
        <f t="shared" si="52"/>
        <v>0.13970813832663498</v>
      </c>
      <c r="P82" s="10">
        <f t="shared" si="52"/>
        <v>0.239634955291542</v>
      </c>
      <c r="Q82" s="10">
        <f t="shared" si="52"/>
        <v>0.13619828285397517</v>
      </c>
      <c r="R82" s="10">
        <f t="shared" si="52"/>
        <v>4.3301224717368969E-2</v>
      </c>
      <c r="S82" s="10">
        <f t="shared" si="52"/>
        <v>2.1255060728744946E-2</v>
      </c>
      <c r="T82" s="10">
        <f t="shared" si="52"/>
        <v>3.0723488602576898E-2</v>
      </c>
      <c r="U82" s="10">
        <f t="shared" si="52"/>
        <v>5.2884615384615419E-2</v>
      </c>
      <c r="V82" s="10">
        <f t="shared" si="52"/>
        <v>5.7534246575342562E-2</v>
      </c>
      <c r="W82" s="10">
        <f t="shared" si="52"/>
        <v>2.5043177892918767E-2</v>
      </c>
      <c r="X82" s="10">
        <f t="shared" si="52"/>
        <v>8.424599831506896E-4</v>
      </c>
      <c r="Y82" s="10"/>
      <c r="Z82" s="10"/>
      <c r="AO82" s="10">
        <f t="shared" ref="AO82:AZ82" si="53">AO48/AN48-1</f>
        <v>-3.1946165985952235E-2</v>
      </c>
      <c r="AP82" s="10">
        <f t="shared" si="53"/>
        <v>2.5251447462785848E-2</v>
      </c>
      <c r="AQ82" s="10">
        <f t="shared" si="53"/>
        <v>1.3004029850236964E-2</v>
      </c>
      <c r="AR82" s="10">
        <f t="shared" si="53"/>
        <v>0.26478573401510386</v>
      </c>
      <c r="AS82" s="10">
        <f t="shared" si="53"/>
        <v>0.219749548580225</v>
      </c>
      <c r="AT82" s="10">
        <f t="shared" si="53"/>
        <v>6.7699576850351662E-2</v>
      </c>
      <c r="AU82" s="10">
        <f t="shared" si="53"/>
        <v>2.0449897750511203E-2</v>
      </c>
      <c r="AV82" s="10">
        <f t="shared" si="53"/>
        <v>2.2044088176352616E-2</v>
      </c>
      <c r="AW82" s="10">
        <f t="shared" si="53"/>
        <v>3.9215686274509887E-2</v>
      </c>
      <c r="AX82" s="10">
        <f t="shared" si="53"/>
        <v>6.60377358490567E-2</v>
      </c>
      <c r="AY82" s="10">
        <f t="shared" si="53"/>
        <v>4.9557522123893749E-2</v>
      </c>
      <c r="AZ82" s="10">
        <f t="shared" si="53"/>
        <v>1.6863406408094139E-3</v>
      </c>
      <c r="BA82" s="10"/>
      <c r="BB82" s="10"/>
      <c r="BC82" s="10"/>
      <c r="BD82" s="10"/>
      <c r="BE82" s="10"/>
      <c r="BF82" s="10"/>
      <c r="BG82" s="10"/>
      <c r="BH82" s="10"/>
      <c r="BI82" s="10"/>
      <c r="BJ82" s="10"/>
      <c r="BK82" s="10"/>
      <c r="BL82" s="10"/>
    </row>
    <row r="83" spans="4:64" x14ac:dyDescent="0.2">
      <c r="D83" s="191" t="s">
        <v>394</v>
      </c>
      <c r="M83" s="10">
        <f t="shared" si="29"/>
        <v>0.17563974388972814</v>
      </c>
      <c r="N83" s="10">
        <f t="shared" ref="N83:X83" si="54">N49/M49-1</f>
        <v>0.16074702660973195</v>
      </c>
      <c r="O83" s="10">
        <f t="shared" si="54"/>
        <v>0.10675529275446638</v>
      </c>
      <c r="P83" s="10">
        <f t="shared" si="54"/>
        <v>6.5982871072958194E-2</v>
      </c>
      <c r="Q83" s="10">
        <f t="shared" si="54"/>
        <v>0.12086515815979926</v>
      </c>
      <c r="R83" s="10">
        <f t="shared" si="54"/>
        <v>0.2485265225933202</v>
      </c>
      <c r="S83" s="10">
        <f t="shared" si="54"/>
        <v>0.26121164437450828</v>
      </c>
      <c r="T83" s="10">
        <f t="shared" si="54"/>
        <v>0.21834061135371186</v>
      </c>
      <c r="U83" s="10">
        <f t="shared" si="54"/>
        <v>0.16999487967229898</v>
      </c>
      <c r="V83" s="10">
        <f t="shared" si="54"/>
        <v>0.14442013129102849</v>
      </c>
      <c r="W83" s="10">
        <f t="shared" si="54"/>
        <v>0.11739961759082207</v>
      </c>
      <c r="X83" s="10">
        <f t="shared" si="54"/>
        <v>4.3121149897330513E-2</v>
      </c>
      <c r="Y83" s="10"/>
      <c r="Z83" s="10"/>
      <c r="AO83" s="10">
        <f t="shared" ref="AO83:AZ83" si="55">AO49/AN49-1</f>
        <v>0.15350435180943633</v>
      </c>
      <c r="AP83" s="10">
        <f t="shared" si="55"/>
        <v>0.1948294348913866</v>
      </c>
      <c r="AQ83" s="10">
        <f t="shared" si="55"/>
        <v>0.13222211143240137</v>
      </c>
      <c r="AR83" s="10">
        <f t="shared" si="55"/>
        <v>8.4262516451311553E-2</v>
      </c>
      <c r="AS83" s="10">
        <f t="shared" si="55"/>
        <v>4.9123812403125244E-2</v>
      </c>
      <c r="AT83" s="10">
        <f t="shared" si="55"/>
        <v>0.18924731182795695</v>
      </c>
      <c r="AU83" s="10">
        <f t="shared" si="55"/>
        <v>0.29837251356238692</v>
      </c>
      <c r="AV83" s="10">
        <f t="shared" si="55"/>
        <v>0.2325905292479109</v>
      </c>
      <c r="AW83" s="10">
        <f t="shared" si="55"/>
        <v>0.20677966101694922</v>
      </c>
      <c r="AX83" s="10">
        <f t="shared" si="55"/>
        <v>0.13951310861423227</v>
      </c>
      <c r="AY83" s="10">
        <f t="shared" si="55"/>
        <v>0.14872637633525065</v>
      </c>
      <c r="AZ83" s="10">
        <f t="shared" si="55"/>
        <v>9.0128755364806912E-2</v>
      </c>
      <c r="BA83" s="10"/>
      <c r="BB83" s="10"/>
      <c r="BC83" s="10"/>
      <c r="BD83" s="10"/>
      <c r="BE83" s="10"/>
      <c r="BF83" s="10"/>
      <c r="BG83" s="10"/>
      <c r="BH83" s="10"/>
      <c r="BI83" s="10"/>
      <c r="BJ83" s="10"/>
      <c r="BK83" s="10"/>
      <c r="BL83" s="10"/>
    </row>
    <row r="84" spans="4:64" x14ac:dyDescent="0.2">
      <c r="D84" s="191" t="s">
        <v>115</v>
      </c>
      <c r="M84" s="10">
        <f t="shared" si="29"/>
        <v>0.14466705708653271</v>
      </c>
      <c r="N84" s="10">
        <f t="shared" ref="N84:X84" si="56">N50/M50-1</f>
        <v>0.14110509021732875</v>
      </c>
      <c r="O84" s="10">
        <f t="shared" si="56"/>
        <v>0.15192159537251038</v>
      </c>
      <c r="P84" s="10">
        <f t="shared" si="56"/>
        <v>8.0804315410928806E-2</v>
      </c>
      <c r="Q84" s="10">
        <f t="shared" si="56"/>
        <v>3.0356671874048891E-2</v>
      </c>
      <c r="R84" s="10">
        <f t="shared" si="56"/>
        <v>8.2991616660349266E-2</v>
      </c>
      <c r="S84" s="10">
        <f t="shared" si="56"/>
        <v>6.8181818181818121E-2</v>
      </c>
      <c r="T84" s="10">
        <f t="shared" si="56"/>
        <v>8.085106382978724E-2</v>
      </c>
      <c r="U84" s="10">
        <f t="shared" si="56"/>
        <v>0.13385826771653542</v>
      </c>
      <c r="V84" s="10">
        <f t="shared" si="56"/>
        <v>0.10069444444444442</v>
      </c>
      <c r="W84" s="10">
        <f t="shared" si="56"/>
        <v>5.9936908517350229E-2</v>
      </c>
      <c r="X84" s="10">
        <f t="shared" si="56"/>
        <v>2.3809523809523725E-2</v>
      </c>
      <c r="Y84" s="10"/>
      <c r="Z84" s="10"/>
      <c r="AO84" s="10">
        <f t="shared" ref="AO84:AZ84" si="57">AO50/AN50-1</f>
        <v>0.14890637739728452</v>
      </c>
      <c r="AP84" s="10">
        <f t="shared" si="57"/>
        <v>0.14097718261620829</v>
      </c>
      <c r="AQ84" s="10">
        <f t="shared" si="57"/>
        <v>0.14121719377476083</v>
      </c>
      <c r="AR84" s="10">
        <f t="shared" si="57"/>
        <v>0.16130140638144108</v>
      </c>
      <c r="AS84" s="10">
        <f t="shared" si="57"/>
        <v>1.1488037545273722E-2</v>
      </c>
      <c r="AT84" s="10">
        <f t="shared" si="57"/>
        <v>4.9011004528903168E-2</v>
      </c>
      <c r="AU84" s="10">
        <f t="shared" si="57"/>
        <v>0.11538461538461542</v>
      </c>
      <c r="AV84" s="10">
        <f t="shared" si="57"/>
        <v>2.5862068965517349E-2</v>
      </c>
      <c r="AW84" s="10">
        <f t="shared" si="57"/>
        <v>0.13445378151260501</v>
      </c>
      <c r="AX84" s="10">
        <f t="shared" si="57"/>
        <v>0.1333333333333333</v>
      </c>
      <c r="AY84" s="10">
        <f t="shared" si="57"/>
        <v>7.1895424836601274E-2</v>
      </c>
      <c r="AZ84" s="10">
        <f t="shared" si="57"/>
        <v>4.8780487804878092E-2</v>
      </c>
      <c r="BA84" s="10"/>
      <c r="BB84" s="10"/>
      <c r="BC84" s="10"/>
      <c r="BD84" s="10"/>
      <c r="BE84" s="10"/>
      <c r="BF84" s="10"/>
      <c r="BG84" s="10"/>
      <c r="BH84" s="10"/>
      <c r="BI84" s="10"/>
      <c r="BJ84" s="10"/>
      <c r="BK84" s="10"/>
      <c r="BL84" s="10"/>
    </row>
    <row r="85" spans="4:64" x14ac:dyDescent="0.2">
      <c r="D85" s="191" t="s">
        <v>288</v>
      </c>
      <c r="M85" s="10">
        <f t="shared" si="29"/>
        <v>4.6235764918585609E-2</v>
      </c>
      <c r="N85" s="10">
        <f t="shared" ref="N85:X85" si="58">N51/M51-1</f>
        <v>4.6531721863376285E-2</v>
      </c>
      <c r="O85" s="10">
        <f t="shared" si="58"/>
        <v>4.6828904841973884E-2</v>
      </c>
      <c r="P85" s="10">
        <f t="shared" si="58"/>
        <v>4.2406463402904659E-2</v>
      </c>
      <c r="Q85" s="10">
        <f t="shared" si="58"/>
        <v>4.4492014135579794E-2</v>
      </c>
      <c r="R85" s="10">
        <f t="shared" si="58"/>
        <v>5.1227462654923617E-2</v>
      </c>
      <c r="S85" s="10">
        <f t="shared" si="58"/>
        <v>5.0420168067226934E-2</v>
      </c>
      <c r="T85" s="10">
        <f t="shared" si="58"/>
        <v>4.8000000000000043E-2</v>
      </c>
      <c r="U85" s="10">
        <f t="shared" si="58"/>
        <v>4.5801526717557328E-2</v>
      </c>
      <c r="V85" s="10">
        <f t="shared" si="58"/>
        <v>5.1094890510948954E-2</v>
      </c>
      <c r="W85" s="10">
        <f t="shared" si="58"/>
        <v>4.1666666666666741E-2</v>
      </c>
      <c r="X85" s="10">
        <f t="shared" si="58"/>
        <v>1.3333333333333419E-2</v>
      </c>
      <c r="Y85" s="10"/>
      <c r="Z85" s="10"/>
      <c r="AO85" s="10">
        <f t="shared" ref="AO85:AZ85" si="59">AO51/AN51-1</f>
        <v>4.6083053256039452E-2</v>
      </c>
      <c r="AP85" s="10">
        <f t="shared" si="59"/>
        <v>4.6381749180610443E-2</v>
      </c>
      <c r="AQ85" s="10">
        <f t="shared" si="59"/>
        <v>4.6675046881117677E-2</v>
      </c>
      <c r="AR85" s="10">
        <f t="shared" si="59"/>
        <v>4.6975901716805657E-2</v>
      </c>
      <c r="AS85" s="10">
        <f t="shared" si="59"/>
        <v>3.8042047463236806E-2</v>
      </c>
      <c r="AT85" s="10">
        <f t="shared" si="59"/>
        <v>5.07056031593629E-2</v>
      </c>
      <c r="AU85" s="10">
        <f t="shared" si="59"/>
        <v>5.1724137931034475E-2</v>
      </c>
      <c r="AV85" s="10">
        <f t="shared" si="59"/>
        <v>4.9180327868852514E-2</v>
      </c>
      <c r="AW85" s="10">
        <f t="shared" si="59"/>
        <v>4.6875E-2</v>
      </c>
      <c r="AX85" s="10">
        <f t="shared" si="59"/>
        <v>4.4776119402984982E-2</v>
      </c>
      <c r="AY85" s="10">
        <f t="shared" si="59"/>
        <v>5.7142857142857162E-2</v>
      </c>
      <c r="AZ85" s="10">
        <f t="shared" si="59"/>
        <v>2.7027027027026973E-2</v>
      </c>
      <c r="BA85" s="10"/>
      <c r="BB85" s="10"/>
      <c r="BC85" s="10"/>
      <c r="BD85" s="10"/>
      <c r="BE85" s="10"/>
      <c r="BF85" s="10"/>
      <c r="BG85" s="10"/>
      <c r="BH85" s="10"/>
      <c r="BI85" s="10"/>
      <c r="BJ85" s="10"/>
      <c r="BK85" s="10"/>
      <c r="BL85" s="10"/>
    </row>
    <row r="86" spans="4:64" x14ac:dyDescent="0.2">
      <c r="D86" s="191" t="s">
        <v>117</v>
      </c>
      <c r="M86" s="10">
        <f t="shared" si="29"/>
        <v>0.12719218700521062</v>
      </c>
      <c r="N86" s="10">
        <f t="shared" ref="N86:X86" si="60">N52/M52-1</f>
        <v>7.6511402358941272E-2</v>
      </c>
      <c r="O86" s="10">
        <f t="shared" si="60"/>
        <v>6.5217752324375766E-3</v>
      </c>
      <c r="P86" s="10">
        <f t="shared" si="60"/>
        <v>-9.554518455663974E-2</v>
      </c>
      <c r="Q86" s="10">
        <f t="shared" si="60"/>
        <v>-0.12817480793486979</v>
      </c>
      <c r="R86" s="10">
        <f t="shared" si="60"/>
        <v>-3.7485026091778284E-2</v>
      </c>
      <c r="S86" s="10">
        <f t="shared" si="60"/>
        <v>3.2608695652173836E-2</v>
      </c>
      <c r="T86" s="10">
        <f t="shared" si="60"/>
        <v>3.6842105263157787E-2</v>
      </c>
      <c r="U86" s="10">
        <f t="shared" si="60"/>
        <v>2.3930384336475763E-2</v>
      </c>
      <c r="V86" s="10">
        <f t="shared" si="60"/>
        <v>8.4985835694051381E-3</v>
      </c>
      <c r="W86" s="10">
        <f t="shared" si="60"/>
        <v>2.1067415730338102E-3</v>
      </c>
      <c r="X86" s="10">
        <f t="shared" si="60"/>
        <v>7.0077084793274125E-4</v>
      </c>
      <c r="Y86" s="10"/>
      <c r="Z86" s="10"/>
      <c r="AO86" s="10">
        <f t="shared" ref="AO86:AZ86" si="61">AO52/AN52-1</f>
        <v>0.15420583930741949</v>
      </c>
      <c r="AP86" s="10">
        <f t="shared" si="61"/>
        <v>0.1037876508451625</v>
      </c>
      <c r="AQ86" s="10">
        <f t="shared" si="61"/>
        <v>5.1799902402100972E-2</v>
      </c>
      <c r="AR86" s="10">
        <f t="shared" si="61"/>
        <v>-3.6526457674084911E-2</v>
      </c>
      <c r="AS86" s="10">
        <f t="shared" si="61"/>
        <v>-0.15680138339327632</v>
      </c>
      <c r="AT86" s="10">
        <f t="shared" si="61"/>
        <v>-9.4224828778585068E-2</v>
      </c>
      <c r="AU86" s="10">
        <f t="shared" si="61"/>
        <v>2.515723270440251E-2</v>
      </c>
      <c r="AV86" s="10">
        <f t="shared" si="61"/>
        <v>3.9877300613496924E-2</v>
      </c>
      <c r="AW86" s="10">
        <f t="shared" si="61"/>
        <v>3.3923303834808349E-2</v>
      </c>
      <c r="AX86" s="10">
        <f t="shared" si="61"/>
        <v>1.4265335235378096E-2</v>
      </c>
      <c r="AY86" s="10">
        <f t="shared" si="61"/>
        <v>2.8129395218001729E-3</v>
      </c>
      <c r="AZ86" s="10">
        <f t="shared" si="61"/>
        <v>1.4025245441795509E-3</v>
      </c>
      <c r="BA86" s="10"/>
      <c r="BB86" s="10"/>
      <c r="BC86" s="10"/>
      <c r="BD86" s="10"/>
      <c r="BE86" s="10"/>
      <c r="BF86" s="10"/>
      <c r="BG86" s="10"/>
      <c r="BH86" s="10"/>
      <c r="BI86" s="10"/>
      <c r="BJ86" s="10"/>
      <c r="BK86" s="10"/>
      <c r="BL86" s="10"/>
    </row>
    <row r="87" spans="4:64" x14ac:dyDescent="0.2">
      <c r="D87" s="191" t="s">
        <v>118</v>
      </c>
      <c r="M87" s="10">
        <f t="shared" si="29"/>
        <v>7.6987147805163136E-2</v>
      </c>
      <c r="N87" s="10">
        <f t="shared" ref="N87:X87" si="62">N53/M53-1</f>
        <v>5.6508010801738395E-2</v>
      </c>
      <c r="O87" s="10">
        <f t="shared" si="62"/>
        <v>4.3308367482556287E-2</v>
      </c>
      <c r="P87" s="10">
        <f t="shared" si="62"/>
        <v>3.5272242329344783E-2</v>
      </c>
      <c r="Q87" s="10">
        <f t="shared" si="62"/>
        <v>3.3812547364643342E-2</v>
      </c>
      <c r="R87" s="10">
        <f t="shared" si="62"/>
        <v>3.5256047646574862E-2</v>
      </c>
      <c r="S87" s="10">
        <f t="shared" si="62"/>
        <v>4.7904191616766401E-2</v>
      </c>
      <c r="T87" s="10">
        <f t="shared" si="62"/>
        <v>5.5714285714285605E-2</v>
      </c>
      <c r="U87" s="10">
        <f t="shared" si="62"/>
        <v>4.4654939106901326E-2</v>
      </c>
      <c r="V87" s="10">
        <f t="shared" si="62"/>
        <v>2.8497409326424972E-2</v>
      </c>
      <c r="W87" s="10">
        <f t="shared" si="62"/>
        <v>1.385390428211597E-2</v>
      </c>
      <c r="X87" s="10">
        <f t="shared" si="62"/>
        <v>3.7267080745342351E-3</v>
      </c>
      <c r="Y87" s="10"/>
      <c r="Z87" s="10"/>
      <c r="AO87" s="10">
        <f t="shared" ref="AO87:AZ87" si="63">AO53/AN53-1</f>
        <v>9.1884566589227834E-2</v>
      </c>
      <c r="AP87" s="10">
        <f t="shared" si="63"/>
        <v>6.3343380652560066E-2</v>
      </c>
      <c r="AQ87" s="10">
        <f t="shared" si="63"/>
        <v>5.0079824032355225E-2</v>
      </c>
      <c r="AR87" s="10">
        <f t="shared" si="63"/>
        <v>3.6859851479461803E-2</v>
      </c>
      <c r="AS87" s="10">
        <f t="shared" si="63"/>
        <v>3.3741071894061836E-2</v>
      </c>
      <c r="AT87" s="10">
        <f t="shared" si="63"/>
        <v>3.3881689892230504E-2</v>
      </c>
      <c r="AU87" s="10">
        <f t="shared" si="63"/>
        <v>3.6585365853658569E-2</v>
      </c>
      <c r="AV87" s="10">
        <f t="shared" si="63"/>
        <v>5.8823529411764719E-2</v>
      </c>
      <c r="AW87" s="10">
        <f t="shared" si="63"/>
        <v>5.2777777777777812E-2</v>
      </c>
      <c r="AX87" s="10">
        <f t="shared" si="63"/>
        <v>3.6939313984168942E-2</v>
      </c>
      <c r="AY87" s="10">
        <f t="shared" si="63"/>
        <v>2.0356234096692072E-2</v>
      </c>
      <c r="AZ87" s="10">
        <f t="shared" si="63"/>
        <v>7.4812967581048273E-3</v>
      </c>
      <c r="BA87" s="10"/>
      <c r="BB87" s="10"/>
      <c r="BC87" s="10"/>
      <c r="BD87" s="10"/>
      <c r="BE87" s="10"/>
      <c r="BF87" s="10"/>
      <c r="BG87" s="10"/>
      <c r="BH87" s="10"/>
      <c r="BI87" s="10"/>
      <c r="BJ87" s="10"/>
      <c r="BK87" s="10"/>
      <c r="BL87" s="10"/>
    </row>
    <row r="88" spans="4:64" x14ac:dyDescent="0.2">
      <c r="D88" s="191" t="s">
        <v>119</v>
      </c>
      <c r="M88" s="10">
        <f t="shared" si="29"/>
        <v>0.11523429327039758</v>
      </c>
      <c r="N88" s="10">
        <f t="shared" ref="N88:X88" si="64">N54/M54-1</f>
        <v>0.11739058654019341</v>
      </c>
      <c r="O88" s="10">
        <f t="shared" si="64"/>
        <v>6.9100531232580531E-2</v>
      </c>
      <c r="P88" s="10">
        <f t="shared" si="64"/>
        <v>4.6529889187627349E-2</v>
      </c>
      <c r="Q88" s="10">
        <f t="shared" si="64"/>
        <v>5.6808427623878277E-2</v>
      </c>
      <c r="R88" s="10">
        <f t="shared" si="64"/>
        <v>5.9303983323772069E-2</v>
      </c>
      <c r="S88" s="10">
        <f t="shared" si="64"/>
        <v>4.4504021447721254E-2</v>
      </c>
      <c r="T88" s="10">
        <f t="shared" si="64"/>
        <v>2.6694045174537884E-2</v>
      </c>
      <c r="U88" s="10">
        <f t="shared" si="64"/>
        <v>4.9999999999998934E-3</v>
      </c>
      <c r="V88" s="10">
        <f t="shared" si="64"/>
        <v>0</v>
      </c>
      <c r="W88" s="10">
        <f t="shared" si="64"/>
        <v>1.990049751243772E-2</v>
      </c>
      <c r="X88" s="10">
        <f t="shared" si="64"/>
        <v>1.4634146341463428E-2</v>
      </c>
      <c r="Y88" s="10"/>
      <c r="Z88" s="10"/>
      <c r="AO88" s="10">
        <f t="shared" ref="AO88:AZ88" si="65">AO54/AN54-1</f>
        <v>8.9737311553394816E-2</v>
      </c>
      <c r="AP88" s="10">
        <f t="shared" si="65"/>
        <v>0.13863165834791125</v>
      </c>
      <c r="AQ88" s="10">
        <f t="shared" si="65"/>
        <v>9.873567592710053E-2</v>
      </c>
      <c r="AR88" s="10">
        <f t="shared" si="65"/>
        <v>4.2128489326765051E-2</v>
      </c>
      <c r="AS88" s="10">
        <f t="shared" si="65"/>
        <v>5.0753360579053552E-2</v>
      </c>
      <c r="AT88" s="10">
        <f t="shared" si="65"/>
        <v>6.2571023559319983E-2</v>
      </c>
      <c r="AU88" s="10">
        <f t="shared" si="65"/>
        <v>5.6229327453142242E-2</v>
      </c>
      <c r="AV88" s="10">
        <f t="shared" si="65"/>
        <v>3.3402922755741082E-2</v>
      </c>
      <c r="AW88" s="10">
        <f t="shared" si="65"/>
        <v>2.020202020202011E-2</v>
      </c>
      <c r="AX88" s="10">
        <f t="shared" si="65"/>
        <v>-9.9009900990099098E-3</v>
      </c>
      <c r="AY88" s="10">
        <f t="shared" si="65"/>
        <v>1.0000000000000009E-2</v>
      </c>
      <c r="AZ88" s="10">
        <f t="shared" si="65"/>
        <v>2.9702970297029729E-2</v>
      </c>
      <c r="BA88" s="10"/>
      <c r="BB88" s="10"/>
      <c r="BC88" s="10"/>
      <c r="BD88" s="10"/>
      <c r="BE88" s="10"/>
      <c r="BF88" s="10"/>
      <c r="BG88" s="10"/>
      <c r="BH88" s="10"/>
      <c r="BI88" s="10"/>
      <c r="BJ88" s="10"/>
      <c r="BK88" s="10"/>
      <c r="BL88" s="10"/>
    </row>
    <row r="89" spans="4:64" x14ac:dyDescent="0.2">
      <c r="D89" s="191" t="s">
        <v>285</v>
      </c>
      <c r="M89" s="10">
        <f t="shared" si="29"/>
        <v>4.298564262238358E-2</v>
      </c>
      <c r="N89" s="10">
        <f t="shared" ref="N89:X89" si="66">N55/M55-1</f>
        <v>4.3010752688172227E-2</v>
      </c>
      <c r="O89" s="10">
        <f t="shared" si="66"/>
        <v>4.3012747462433554E-2</v>
      </c>
      <c r="P89" s="10">
        <f t="shared" si="66"/>
        <v>5.0640308974489123E-2</v>
      </c>
      <c r="Q89" s="10">
        <f t="shared" si="66"/>
        <v>4.6143800333744434E-2</v>
      </c>
      <c r="R89" s="10">
        <f t="shared" si="66"/>
        <v>4.0294056453290761E-2</v>
      </c>
      <c r="S89" s="10">
        <f t="shared" si="66"/>
        <v>4.4444444444444509E-2</v>
      </c>
      <c r="T89" s="10">
        <f t="shared" si="66"/>
        <v>4.2553191489361764E-2</v>
      </c>
      <c r="U89" s="10">
        <f t="shared" si="66"/>
        <v>4.081632653061229E-2</v>
      </c>
      <c r="V89" s="10">
        <f t="shared" si="66"/>
        <v>3.9215686274509887E-2</v>
      </c>
      <c r="W89" s="10">
        <f t="shared" si="66"/>
        <v>3.7735849056603765E-2</v>
      </c>
      <c r="X89" s="10">
        <f t="shared" si="66"/>
        <v>1.8181818181818077E-2</v>
      </c>
      <c r="Y89" s="10"/>
      <c r="Z89" s="10"/>
      <c r="AO89" s="10">
        <f t="shared" ref="AO89:AZ89" si="67">AO55/AN55-1</f>
        <v>4.2996819413358534E-2</v>
      </c>
      <c r="AP89" s="10">
        <f t="shared" si="67"/>
        <v>4.2974926586853535E-2</v>
      </c>
      <c r="AQ89" s="10">
        <f t="shared" si="67"/>
        <v>4.3045102604364116E-2</v>
      </c>
      <c r="AR89" s="10">
        <f t="shared" si="67"/>
        <v>4.2981727574750828E-2</v>
      </c>
      <c r="AS89" s="10">
        <f t="shared" si="67"/>
        <v>5.7983276926139693E-2</v>
      </c>
      <c r="AT89" s="10">
        <f t="shared" si="67"/>
        <v>3.4953191889730562E-2</v>
      </c>
      <c r="AU89" s="10">
        <f t="shared" si="67"/>
        <v>4.5454545454545414E-2</v>
      </c>
      <c r="AV89" s="10">
        <f t="shared" si="67"/>
        <v>4.3478260869565188E-2</v>
      </c>
      <c r="AW89" s="10">
        <f t="shared" si="67"/>
        <v>4.1666666666666741E-2</v>
      </c>
      <c r="AX89" s="10">
        <f t="shared" si="67"/>
        <v>4.0000000000000036E-2</v>
      </c>
      <c r="AY89" s="10">
        <f t="shared" si="67"/>
        <v>3.8461538461538547E-2</v>
      </c>
      <c r="AZ89" s="10">
        <f t="shared" si="67"/>
        <v>3.7037037037036979E-2</v>
      </c>
      <c r="BA89" s="10"/>
      <c r="BB89" s="10"/>
      <c r="BC89" s="10"/>
      <c r="BD89" s="10"/>
      <c r="BE89" s="10"/>
      <c r="BF89" s="10"/>
      <c r="BG89" s="10"/>
      <c r="BH89" s="10"/>
      <c r="BI89" s="10"/>
      <c r="BJ89" s="10"/>
      <c r="BK89" s="10"/>
      <c r="BL89" s="10"/>
    </row>
    <row r="90" spans="4:64" x14ac:dyDescent="0.2">
      <c r="D90" t="s">
        <v>395</v>
      </c>
      <c r="M90" s="10" t="e">
        <f t="shared" si="29"/>
        <v>#DIV/0!</v>
      </c>
      <c r="N90" s="10" t="e">
        <f t="shared" ref="N90:X90" si="68">N56/M56-1</f>
        <v>#DIV/0!</v>
      </c>
      <c r="O90" s="10" t="e">
        <f t="shared" si="68"/>
        <v>#DIV/0!</v>
      </c>
      <c r="P90" s="10" t="e">
        <f t="shared" si="68"/>
        <v>#DIV/0!</v>
      </c>
      <c r="Q90" s="10" t="e">
        <f t="shared" si="68"/>
        <v>#DIV/0!</v>
      </c>
      <c r="R90" s="10" t="e">
        <f t="shared" si="68"/>
        <v>#DIV/0!</v>
      </c>
      <c r="S90" s="10" t="e">
        <f t="shared" si="68"/>
        <v>#DIV/0!</v>
      </c>
      <c r="T90" s="10" t="e">
        <f t="shared" si="68"/>
        <v>#DIV/0!</v>
      </c>
      <c r="U90" s="10" t="e">
        <f t="shared" si="68"/>
        <v>#DIV/0!</v>
      </c>
      <c r="V90" s="10" t="e">
        <f t="shared" si="68"/>
        <v>#DIV/0!</v>
      </c>
      <c r="W90" s="10" t="e">
        <f t="shared" si="68"/>
        <v>#DIV/0!</v>
      </c>
      <c r="X90" s="10" t="e">
        <f t="shared" si="68"/>
        <v>#DIV/0!</v>
      </c>
      <c r="Y90" s="10"/>
      <c r="Z90" s="10"/>
      <c r="AO90" s="10" t="e">
        <f t="shared" ref="AO90:AZ90" si="69">AO56/AN56-1</f>
        <v>#DIV/0!</v>
      </c>
      <c r="AP90" s="10" t="e">
        <f t="shared" si="69"/>
        <v>#DIV/0!</v>
      </c>
      <c r="AQ90" s="10" t="e">
        <f t="shared" si="69"/>
        <v>#DIV/0!</v>
      </c>
      <c r="AR90" s="10" t="e">
        <f t="shared" si="69"/>
        <v>#DIV/0!</v>
      </c>
      <c r="AS90" s="10" t="e">
        <f t="shared" si="69"/>
        <v>#DIV/0!</v>
      </c>
      <c r="AT90" s="10" t="e">
        <f t="shared" si="69"/>
        <v>#DIV/0!</v>
      </c>
      <c r="AU90" s="10" t="e">
        <f t="shared" si="69"/>
        <v>#DIV/0!</v>
      </c>
      <c r="AV90" s="10" t="e">
        <f t="shared" si="69"/>
        <v>#DIV/0!</v>
      </c>
      <c r="AW90" s="10" t="e">
        <f t="shared" si="69"/>
        <v>#DIV/0!</v>
      </c>
      <c r="AX90" s="10" t="e">
        <f t="shared" si="69"/>
        <v>#DIV/0!</v>
      </c>
      <c r="AY90" s="10" t="e">
        <f t="shared" si="69"/>
        <v>#DIV/0!</v>
      </c>
      <c r="AZ90" s="10" t="e">
        <f t="shared" si="69"/>
        <v>#DIV/0!</v>
      </c>
      <c r="BA90" s="10"/>
      <c r="BB90" s="10"/>
      <c r="BC90" s="10"/>
      <c r="BD90" s="10"/>
      <c r="BE90" s="10"/>
      <c r="BF90" s="10"/>
      <c r="BG90" s="10"/>
      <c r="BH90" s="10"/>
      <c r="BI90" s="10"/>
      <c r="BJ90" s="10"/>
      <c r="BK90" s="10"/>
      <c r="BL90" s="10"/>
    </row>
    <row r="91" spans="4:64" x14ac:dyDescent="0.2">
      <c r="D91" t="s">
        <v>396</v>
      </c>
      <c r="M91" s="10">
        <f t="shared" si="29"/>
        <v>8.0039015640859912E-2</v>
      </c>
      <c r="N91" s="10">
        <f t="shared" ref="N91:X91" si="70">N57/M57-1</f>
        <v>6.6590306382291464E-2</v>
      </c>
      <c r="O91" s="10">
        <f t="shared" si="70"/>
        <v>5.8987786653182495E-2</v>
      </c>
      <c r="P91" s="10">
        <f t="shared" si="70"/>
        <v>5.5605129944651388E-2</v>
      </c>
      <c r="Q91" s="10">
        <f t="shared" si="70"/>
        <v>5.8067174389623943E-2</v>
      </c>
      <c r="R91" s="10">
        <f t="shared" si="70"/>
        <v>5.9788359788359724E-2</v>
      </c>
      <c r="S91" s="10">
        <f t="shared" si="70"/>
        <v>5.9910134797803272E-2</v>
      </c>
      <c r="T91" s="10">
        <f t="shared" si="70"/>
        <v>6.3118228921337671E-2</v>
      </c>
      <c r="U91" s="10">
        <f t="shared" si="70"/>
        <v>6.5573770491803351E-2</v>
      </c>
      <c r="V91" s="10">
        <f t="shared" si="70"/>
        <v>6.7359667359667252E-2</v>
      </c>
      <c r="W91" s="10">
        <f t="shared" si="70"/>
        <v>5.0253213868328706E-2</v>
      </c>
      <c r="X91" s="10">
        <f t="shared" si="70"/>
        <v>1.6320474777448135E-2</v>
      </c>
      <c r="Y91" s="10"/>
      <c r="Z91" s="10"/>
      <c r="AO91" s="10">
        <f t="shared" ref="AO91:AZ91" si="71">AO57/AN57-1</f>
        <v>8.9082264421462165E-2</v>
      </c>
      <c r="AP91" s="10">
        <f t="shared" si="71"/>
        <v>7.1735465876043847E-2</v>
      </c>
      <c r="AQ91" s="10">
        <f t="shared" si="71"/>
        <v>6.1789532630209809E-2</v>
      </c>
      <c r="AR91" s="10">
        <f t="shared" si="71"/>
        <v>5.6349084828643869E-2</v>
      </c>
      <c r="AS91" s="10">
        <f t="shared" si="71"/>
        <v>5.4900860026044551E-2</v>
      </c>
      <c r="AT91" s="10">
        <f t="shared" si="71"/>
        <v>6.1068702290076438E-2</v>
      </c>
      <c r="AU91" s="10">
        <f t="shared" si="71"/>
        <v>5.8581706063720373E-2</v>
      </c>
      <c r="AV91" s="10">
        <f t="shared" si="71"/>
        <v>6.1165048543689426E-2</v>
      </c>
      <c r="AW91" s="10">
        <f t="shared" si="71"/>
        <v>6.4958828911253486E-2</v>
      </c>
      <c r="AX91" s="10">
        <f t="shared" si="71"/>
        <v>6.615120274914088E-2</v>
      </c>
      <c r="AY91" s="10">
        <f t="shared" si="71"/>
        <v>6.8493150684931559E-2</v>
      </c>
      <c r="AZ91" s="10">
        <f t="shared" si="71"/>
        <v>3.3182503770739169E-2</v>
      </c>
      <c r="BA91" s="10"/>
      <c r="BB91" s="10"/>
      <c r="BC91" s="10"/>
      <c r="BD91" s="10"/>
      <c r="BE91" s="10"/>
      <c r="BF91" s="10"/>
      <c r="BG91" s="10"/>
      <c r="BH91" s="10"/>
      <c r="BI91" s="10"/>
      <c r="BJ91" s="10"/>
      <c r="BK91" s="10"/>
      <c r="BL91" s="10"/>
    </row>
    <row r="92" spans="4:64" x14ac:dyDescent="0.2">
      <c r="D92" t="s">
        <v>401</v>
      </c>
      <c r="M92" s="10">
        <f t="shared" si="29"/>
        <v>0.17453157797895003</v>
      </c>
      <c r="N92" s="10">
        <f t="shared" ref="N92:X92" si="72">N58/M58-1</f>
        <v>0.10686111376226104</v>
      </c>
      <c r="O92" s="10">
        <f t="shared" si="72"/>
        <v>5.9403043308622783E-2</v>
      </c>
      <c r="P92" s="10">
        <f t="shared" si="72"/>
        <v>5.5335604456311582E-2</v>
      </c>
      <c r="Q92" s="10">
        <f t="shared" si="72"/>
        <v>5.7651369743500158E-2</v>
      </c>
      <c r="R92" s="10">
        <f t="shared" si="72"/>
        <v>5.9788167750024712E-2</v>
      </c>
      <c r="S92" s="10">
        <f t="shared" si="72"/>
        <v>5.9871104330770031E-2</v>
      </c>
      <c r="T92" s="10">
        <f t="shared" si="72"/>
        <v>6.3171964044415718E-2</v>
      </c>
      <c r="U92" s="10">
        <f t="shared" si="72"/>
        <v>6.520687987842777E-2</v>
      </c>
      <c r="V92" s="10">
        <f t="shared" si="72"/>
        <v>6.6856883470592043E-2</v>
      </c>
      <c r="W92" s="10">
        <f t="shared" si="72"/>
        <v>5.0571359105275882E-2</v>
      </c>
      <c r="X92" s="10">
        <f t="shared" si="72"/>
        <v>1.6662809534829792E-2</v>
      </c>
      <c r="Y92" s="10"/>
      <c r="Z92" s="10"/>
      <c r="AO92" s="10">
        <f t="shared" ref="AO92:AZ92" si="73">AO58/AN58-1</f>
        <v>0.19377755300010047</v>
      </c>
      <c r="AP92" s="10">
        <f t="shared" si="73"/>
        <v>0.15840966734929962</v>
      </c>
      <c r="AQ92" s="10">
        <f t="shared" si="73"/>
        <v>6.2361697847515662E-2</v>
      </c>
      <c r="AR92" s="10">
        <f t="shared" si="73"/>
        <v>5.6618064760461939E-2</v>
      </c>
      <c r="AS92" s="10">
        <f t="shared" si="73"/>
        <v>5.4121863799283076E-2</v>
      </c>
      <c r="AT92" s="10">
        <f t="shared" si="73"/>
        <v>6.0999659979598775E-2</v>
      </c>
      <c r="AU92" s="10">
        <f t="shared" si="73"/>
        <v>5.8646327393923947E-2</v>
      </c>
      <c r="AV92" s="10">
        <f t="shared" si="73"/>
        <v>6.1028031724889464E-2</v>
      </c>
      <c r="AW92" s="10">
        <f t="shared" si="73"/>
        <v>6.519258202567757E-2</v>
      </c>
      <c r="AX92" s="10">
        <f t="shared" si="73"/>
        <v>6.5220302665059515E-2</v>
      </c>
      <c r="AY92" s="10">
        <f t="shared" si="73"/>
        <v>6.8393261252200244E-2</v>
      </c>
      <c r="AZ92" s="10">
        <f t="shared" si="73"/>
        <v>3.389032713579665E-2</v>
      </c>
      <c r="BA92" s="10"/>
      <c r="BB92" s="10"/>
      <c r="BC92" s="10"/>
      <c r="BD92" s="10"/>
      <c r="BE92" s="10"/>
      <c r="BF92" s="10"/>
      <c r="BG92" s="10"/>
      <c r="BH92" s="10"/>
      <c r="BI92" s="10"/>
      <c r="BJ92" s="10"/>
      <c r="BK92" s="10"/>
      <c r="BL92" s="10"/>
    </row>
    <row r="93" spans="4:64" x14ac:dyDescent="0.2">
      <c r="D93" t="s">
        <v>475</v>
      </c>
      <c r="M93" s="10"/>
      <c r="N93" s="10"/>
      <c r="O93" s="10"/>
      <c r="P93" s="10"/>
      <c r="Q93" s="10"/>
      <c r="R93" s="10"/>
      <c r="S93" s="10"/>
      <c r="T93" s="10"/>
      <c r="U93" s="10"/>
      <c r="V93" s="10"/>
      <c r="W93" s="10"/>
      <c r="X93" s="10"/>
      <c r="Y93" s="10"/>
      <c r="Z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row>
    <row r="94" spans="4:64" x14ac:dyDescent="0.2">
      <c r="D94" t="s">
        <v>476</v>
      </c>
      <c r="M94" s="10"/>
      <c r="N94" s="10"/>
      <c r="O94" s="10"/>
      <c r="P94" s="10"/>
      <c r="Q94" s="10"/>
      <c r="R94" s="10"/>
      <c r="S94" s="10"/>
      <c r="T94" s="10"/>
      <c r="U94" s="10"/>
      <c r="V94" s="10"/>
      <c r="W94" s="10"/>
      <c r="X94" s="10"/>
      <c r="Y94" s="10"/>
      <c r="Z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row>
    <row r="95" spans="4:64" x14ac:dyDescent="0.2">
      <c r="D95" t="s">
        <v>119</v>
      </c>
      <c r="M95" s="10"/>
      <c r="N95" s="10"/>
      <c r="O95" s="10"/>
      <c r="P95" s="10"/>
      <c r="Q95" s="10"/>
      <c r="R95" s="10"/>
      <c r="S95" s="10"/>
      <c r="T95" s="10"/>
      <c r="U95" s="10"/>
      <c r="V95" s="10"/>
      <c r="W95" s="10"/>
      <c r="X95" s="10"/>
      <c r="Y95" s="10"/>
      <c r="Z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row>
    <row r="96" spans="4:64" x14ac:dyDescent="0.2">
      <c r="D96" t="s">
        <v>285</v>
      </c>
      <c r="M96" s="10"/>
      <c r="N96" s="10"/>
      <c r="O96" s="10"/>
      <c r="P96" s="10"/>
      <c r="Q96" s="10"/>
      <c r="R96" s="10"/>
      <c r="S96" s="10"/>
      <c r="T96" s="10"/>
      <c r="U96" s="10"/>
      <c r="V96" s="10"/>
      <c r="W96" s="10"/>
      <c r="X96" s="10"/>
      <c r="Y96" s="10"/>
      <c r="Z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row>
    <row r="97" spans="4:64" x14ac:dyDescent="0.2">
      <c r="D97" t="s">
        <v>395</v>
      </c>
      <c r="M97" s="10"/>
      <c r="N97" s="10"/>
      <c r="O97" s="10"/>
      <c r="P97" s="10"/>
      <c r="Q97" s="10"/>
      <c r="R97" s="10"/>
      <c r="S97" s="10"/>
      <c r="T97" s="10"/>
      <c r="U97" s="10"/>
      <c r="V97" s="10"/>
      <c r="W97" s="10"/>
      <c r="X97" s="10"/>
      <c r="Y97" s="10"/>
      <c r="Z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row>
    <row r="98" spans="4:64" x14ac:dyDescent="0.2">
      <c r="D98" t="s">
        <v>396</v>
      </c>
      <c r="M98" s="10"/>
      <c r="N98" s="10"/>
      <c r="O98" s="10"/>
      <c r="P98" s="10"/>
      <c r="Q98" s="10"/>
      <c r="R98" s="10"/>
      <c r="S98" s="10"/>
      <c r="T98" s="10"/>
      <c r="U98" s="10"/>
      <c r="V98" s="10"/>
      <c r="W98" s="10"/>
      <c r="X98" s="10"/>
      <c r="Y98" s="10"/>
      <c r="Z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row>
    <row r="99" spans="4:64" x14ac:dyDescent="0.2">
      <c r="D99" t="s">
        <v>401</v>
      </c>
      <c r="M99" s="10"/>
      <c r="N99" s="10"/>
      <c r="O99" s="10"/>
      <c r="P99" s="10"/>
      <c r="Q99" s="10"/>
      <c r="R99" s="10"/>
      <c r="S99" s="10"/>
      <c r="T99" s="10"/>
      <c r="U99" s="10"/>
      <c r="V99" s="10"/>
      <c r="W99" s="10"/>
      <c r="X99" s="10"/>
      <c r="Y99" s="10"/>
      <c r="Z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row>
    <row r="100" spans="4:64" x14ac:dyDescent="0.2">
      <c r="M100" s="10"/>
    </row>
    <row r="102" spans="4:64" x14ac:dyDescent="0.2">
      <c r="D102" s="15" t="s">
        <v>388</v>
      </c>
      <c r="M102" s="10">
        <f>L7/L$29</f>
        <v>0.24762385405817153</v>
      </c>
      <c r="N102" s="10">
        <f>M7/M$29</f>
        <v>0.24004873580844821</v>
      </c>
      <c r="O102" s="10">
        <f t="shared" ref="O102:Y116" si="74">N7/N$29</f>
        <v>0.22725771054148583</v>
      </c>
      <c r="P102" s="10">
        <f t="shared" si="74"/>
        <v>0.22968951025287368</v>
      </c>
      <c r="Q102" s="10">
        <f t="shared" si="74"/>
        <v>0.25302537133888053</v>
      </c>
      <c r="R102" s="10">
        <f t="shared" si="74"/>
        <v>0.27692181054048948</v>
      </c>
      <c r="S102" s="10">
        <f t="shared" si="74"/>
        <v>0.28859750082209801</v>
      </c>
      <c r="T102" s="10">
        <f t="shared" si="74"/>
        <v>0.30084731458663877</v>
      </c>
      <c r="U102" s="10">
        <f t="shared" si="74"/>
        <v>0.3122810065734225</v>
      </c>
      <c r="V102" s="10">
        <f t="shared" si="74"/>
        <v>0.32000302198494046</v>
      </c>
      <c r="W102" s="10">
        <f t="shared" si="74"/>
        <v>0.31667695714194466</v>
      </c>
      <c r="X102" s="10">
        <f t="shared" si="74"/>
        <v>0.30629585978785689</v>
      </c>
      <c r="Y102" s="10">
        <f t="shared" si="74"/>
        <v>0.30158026879338357</v>
      </c>
      <c r="Z102" s="10"/>
      <c r="AA102" s="10"/>
      <c r="AB102" s="10"/>
      <c r="AC102" s="10"/>
      <c r="AD102" s="10"/>
      <c r="AE102" s="10"/>
      <c r="AF102" s="10"/>
    </row>
    <row r="103" spans="4:64" x14ac:dyDescent="0.2">
      <c r="D103" s="191" t="s">
        <v>102</v>
      </c>
      <c r="M103" s="10">
        <f>L8/L$29</f>
        <v>0.15278558659397151</v>
      </c>
      <c r="N103" s="10">
        <f t="shared" ref="N103:Y124" si="75">M8/M$29</f>
        <v>0.14855694266353009</v>
      </c>
      <c r="O103" s="10">
        <f t="shared" si="75"/>
        <v>0.13503763614262665</v>
      </c>
      <c r="P103" s="10">
        <f t="shared" si="75"/>
        <v>0.13269696746517018</v>
      </c>
      <c r="Q103" s="10">
        <f t="shared" si="75"/>
        <v>0.15503026681682572</v>
      </c>
      <c r="R103" s="10">
        <f t="shared" si="75"/>
        <v>0.17997721403812894</v>
      </c>
      <c r="S103" s="10">
        <f t="shared" si="75"/>
        <v>0.1908911542255837</v>
      </c>
      <c r="T103" s="10">
        <f t="shared" si="75"/>
        <v>0.2033555007933025</v>
      </c>
      <c r="U103" s="10">
        <f t="shared" si="75"/>
        <v>0.21037847855674283</v>
      </c>
      <c r="V103" s="10">
        <f t="shared" si="75"/>
        <v>0.21055680072527638</v>
      </c>
      <c r="W103" s="10">
        <f t="shared" si="75"/>
        <v>0.20426238582895101</v>
      </c>
      <c r="X103" s="10">
        <f t="shared" si="75"/>
        <v>0.19387522335855226</v>
      </c>
      <c r="Y103" s="10">
        <f t="shared" si="75"/>
        <v>0.18926303352532861</v>
      </c>
      <c r="Z103" s="10"/>
      <c r="AA103" s="10"/>
      <c r="AB103" s="10"/>
      <c r="AC103" s="10"/>
      <c r="AD103" s="10"/>
      <c r="AE103" s="10"/>
      <c r="AF103" s="10"/>
    </row>
    <row r="104" spans="4:64" x14ac:dyDescent="0.2">
      <c r="D104" s="191" t="s">
        <v>103</v>
      </c>
      <c r="M104" s="10">
        <f t="shared" ref="M104:M124" si="76">L9/$L$29</f>
        <v>4.3576953064560955E-2</v>
      </c>
      <c r="N104" s="10">
        <f t="shared" si="75"/>
        <v>4.2051629044057841E-2</v>
      </c>
      <c r="O104" s="10">
        <f t="shared" si="74"/>
        <v>4.2498867741563029E-2</v>
      </c>
      <c r="P104" s="10">
        <f t="shared" si="74"/>
        <v>4.2385333435008249E-2</v>
      </c>
      <c r="Q104" s="10">
        <f t="shared" si="74"/>
        <v>4.1511254596287919E-2</v>
      </c>
      <c r="R104" s="10">
        <f t="shared" si="74"/>
        <v>4.1888547989149524E-2</v>
      </c>
      <c r="S104" s="10">
        <f t="shared" si="74"/>
        <v>4.394113778362381E-2</v>
      </c>
      <c r="T104" s="10">
        <f t="shared" si="74"/>
        <v>4.5201363805151405E-2</v>
      </c>
      <c r="U104" s="10">
        <f t="shared" si="74"/>
        <v>4.5492717111169027E-2</v>
      </c>
      <c r="V104" s="10">
        <f t="shared" si="74"/>
        <v>4.4675010702863331E-2</v>
      </c>
      <c r="W104" s="10">
        <f t="shared" si="74"/>
        <v>4.1601907641210162E-2</v>
      </c>
      <c r="X104" s="10">
        <f t="shared" si="74"/>
        <v>3.885488347336806E-2</v>
      </c>
      <c r="Y104" s="10">
        <f t="shared" si="74"/>
        <v>3.8029833111800325E-2</v>
      </c>
      <c r="Z104" s="10"/>
      <c r="AA104" s="10"/>
      <c r="AB104" s="10"/>
      <c r="AC104" s="10"/>
      <c r="AD104" s="10"/>
      <c r="AE104" s="10"/>
      <c r="AF104" s="10"/>
    </row>
    <row r="105" spans="4:64" x14ac:dyDescent="0.2">
      <c r="D105" s="191" t="s">
        <v>287</v>
      </c>
      <c r="M105" s="10">
        <f t="shared" si="76"/>
        <v>4.6232056537188109E-3</v>
      </c>
      <c r="N105" s="10">
        <f t="shared" si="75"/>
        <v>4.2347534818882844E-3</v>
      </c>
      <c r="O105" s="10">
        <f t="shared" si="74"/>
        <v>3.7998720963376181E-3</v>
      </c>
      <c r="P105" s="10">
        <f t="shared" si="74"/>
        <v>3.4516459418434996E-3</v>
      </c>
      <c r="Q105" s="10">
        <f t="shared" si="74"/>
        <v>3.3571419786857502E-3</v>
      </c>
      <c r="R105" s="10">
        <f t="shared" si="74"/>
        <v>3.530080267242313E-3</v>
      </c>
      <c r="S105" s="10">
        <f t="shared" si="74"/>
        <v>3.6172311739559354E-3</v>
      </c>
      <c r="T105" s="10">
        <f t="shared" si="74"/>
        <v>3.4432704317591059E-3</v>
      </c>
      <c r="U105" s="10">
        <f t="shared" si="74"/>
        <v>3.3301479744012974E-3</v>
      </c>
      <c r="V105" s="10">
        <f t="shared" si="74"/>
        <v>3.4752826815079704E-3</v>
      </c>
      <c r="W105" s="10">
        <f t="shared" si="74"/>
        <v>3.5342459920373014E-3</v>
      </c>
      <c r="X105" s="10">
        <f t="shared" si="74"/>
        <v>3.4026536896931909E-3</v>
      </c>
      <c r="Y105" s="10">
        <f t="shared" si="74"/>
        <v>3.3229951262738148E-3</v>
      </c>
      <c r="Z105" s="10"/>
      <c r="AA105" s="10"/>
      <c r="AB105" s="10"/>
      <c r="AC105" s="10"/>
      <c r="AD105" s="10"/>
      <c r="AE105" s="10"/>
      <c r="AF105" s="10"/>
    </row>
    <row r="106" spans="4:64" x14ac:dyDescent="0.2">
      <c r="D106" s="177" t="s">
        <v>105</v>
      </c>
      <c r="M106" s="10">
        <f t="shared" si="76"/>
        <v>4.6638333146146148E-2</v>
      </c>
      <c r="N106" s="10">
        <f t="shared" si="75"/>
        <v>4.5205508568582999E-2</v>
      </c>
      <c r="O106" s="10">
        <f t="shared" si="74"/>
        <v>4.5921419773258587E-2</v>
      </c>
      <c r="P106" s="10">
        <f t="shared" si="74"/>
        <v>5.1155709379428128E-2</v>
      </c>
      <c r="Q106" s="10">
        <f t="shared" si="74"/>
        <v>5.30659443706651E-2</v>
      </c>
      <c r="R106" s="10">
        <f t="shared" si="74"/>
        <v>5.1426091878577967E-2</v>
      </c>
      <c r="S106" s="10">
        <f t="shared" si="74"/>
        <v>5.0106872739230514E-2</v>
      </c>
      <c r="T106" s="10">
        <f t="shared" si="74"/>
        <v>4.884717955642575E-2</v>
      </c>
      <c r="U106" s="10">
        <f t="shared" si="74"/>
        <v>5.3079662931109377E-2</v>
      </c>
      <c r="V106" s="10">
        <f t="shared" si="74"/>
        <v>6.1295927875292755E-2</v>
      </c>
      <c r="W106" s="10">
        <f t="shared" si="74"/>
        <v>6.7278417679746211E-2</v>
      </c>
      <c r="X106" s="10">
        <f t="shared" si="74"/>
        <v>7.0163099266243395E-2</v>
      </c>
      <c r="Y106" s="10">
        <f t="shared" si="74"/>
        <v>7.0964407029980803E-2</v>
      </c>
      <c r="Z106" s="10"/>
      <c r="AA106" s="10"/>
      <c r="AB106" s="10"/>
      <c r="AC106" s="10"/>
      <c r="AD106" s="10"/>
      <c r="AE106" s="10"/>
      <c r="AF106" s="10"/>
    </row>
    <row r="107" spans="4:64" x14ac:dyDescent="0.2">
      <c r="D107" s="15" t="s">
        <v>389</v>
      </c>
      <c r="M107" s="10">
        <f t="shared" si="76"/>
        <v>0.11232319646452957</v>
      </c>
      <c r="N107" s="10">
        <f t="shared" si="75"/>
        <v>0.11931036421485405</v>
      </c>
      <c r="O107" s="10">
        <f t="shared" si="74"/>
        <v>0.12864245302352414</v>
      </c>
      <c r="P107" s="10">
        <f t="shared" si="74"/>
        <v>0.13358032477730988</v>
      </c>
      <c r="Q107" s="10">
        <f t="shared" si="74"/>
        <v>0.13896160241689712</v>
      </c>
      <c r="R107" s="10">
        <f t="shared" si="74"/>
        <v>0.14620928339572567</v>
      </c>
      <c r="S107" s="10">
        <f t="shared" si="74"/>
        <v>0.14740217033870437</v>
      </c>
      <c r="T107" s="10">
        <f t="shared" si="74"/>
        <v>0.14046517908382</v>
      </c>
      <c r="U107" s="10">
        <f t="shared" si="74"/>
        <v>0.13190281759476444</v>
      </c>
      <c r="V107" s="10">
        <f t="shared" si="74"/>
        <v>0.125210909365635</v>
      </c>
      <c r="W107" s="10">
        <f t="shared" si="74"/>
        <v>0.12020694500628074</v>
      </c>
      <c r="X107" s="10">
        <f t="shared" si="74"/>
        <v>0.11736303843668022</v>
      </c>
      <c r="Y107" s="10">
        <f t="shared" si="74"/>
        <v>0.11660020676414119</v>
      </c>
      <c r="Z107" s="10"/>
      <c r="AA107" s="10"/>
      <c r="AB107" s="10"/>
      <c r="AC107" s="10"/>
      <c r="AD107" s="10"/>
      <c r="AE107" s="10"/>
      <c r="AF107" s="10"/>
    </row>
    <row r="108" spans="4:64" x14ac:dyDescent="0.2">
      <c r="D108" s="191" t="s">
        <v>390</v>
      </c>
      <c r="M108" s="10">
        <f t="shared" si="76"/>
        <v>5.3321981673906749E-3</v>
      </c>
      <c r="N108" s="10">
        <f t="shared" si="75"/>
        <v>6.2512421235044694E-3</v>
      </c>
      <c r="O108" s="10">
        <f t="shared" si="74"/>
        <v>7.2364841575422037E-3</v>
      </c>
      <c r="P108" s="10">
        <f t="shared" si="74"/>
        <v>7.627215022551489E-3</v>
      </c>
      <c r="Q108" s="10">
        <f t="shared" si="74"/>
        <v>7.720184537514308E-3</v>
      </c>
      <c r="R108" s="10">
        <f t="shared" si="74"/>
        <v>7.7355689843037123E-3</v>
      </c>
      <c r="S108" s="10">
        <f t="shared" si="74"/>
        <v>8.3031897402170343E-3</v>
      </c>
      <c r="T108" s="10">
        <f t="shared" si="74"/>
        <v>9.1820544846909491E-3</v>
      </c>
      <c r="U108" s="10">
        <f t="shared" si="74"/>
        <v>9.7008658384733441E-3</v>
      </c>
      <c r="V108" s="10">
        <f t="shared" si="74"/>
        <v>1.0022916719131683E-2</v>
      </c>
      <c r="W108" s="10">
        <f t="shared" si="74"/>
        <v>1.0304669037024421E-2</v>
      </c>
      <c r="X108" s="10">
        <f t="shared" si="74"/>
        <v>1.0493099646428163E-2</v>
      </c>
      <c r="Y108" s="10">
        <f t="shared" si="74"/>
        <v>1.055974006793679E-2</v>
      </c>
      <c r="Z108" s="10"/>
      <c r="AA108" s="10"/>
      <c r="AB108" s="10"/>
      <c r="AC108" s="10"/>
      <c r="AD108" s="10"/>
      <c r="AE108" s="10"/>
      <c r="AF108" s="10"/>
    </row>
    <row r="109" spans="4:64" x14ac:dyDescent="0.2">
      <c r="D109" s="191" t="s">
        <v>40</v>
      </c>
      <c r="M109" s="10">
        <f t="shared" si="76"/>
        <v>5.2725077073062586E-2</v>
      </c>
      <c r="N109" s="10">
        <f t="shared" si="75"/>
        <v>5.4397002115025954E-2</v>
      </c>
      <c r="O109" s="10">
        <f t="shared" si="74"/>
        <v>5.5071772190028546E-2</v>
      </c>
      <c r="P109" s="10">
        <f t="shared" si="74"/>
        <v>5.1602939664792159E-2</v>
      </c>
      <c r="Q109" s="10">
        <f t="shared" si="74"/>
        <v>4.8311636848685668E-2</v>
      </c>
      <c r="R109" s="10">
        <f t="shared" si="74"/>
        <v>4.6342223035809448E-2</v>
      </c>
      <c r="S109" s="10">
        <f t="shared" si="74"/>
        <v>4.4639921078592569E-2</v>
      </c>
      <c r="T109" s="10">
        <f t="shared" si="74"/>
        <v>4.2770819970968502E-2</v>
      </c>
      <c r="U109" s="10">
        <f t="shared" si="74"/>
        <v>4.1612370775779686E-2</v>
      </c>
      <c r="V109" s="10">
        <f t="shared" si="74"/>
        <v>4.0670880656778062E-2</v>
      </c>
      <c r="W109" s="10">
        <f t="shared" si="74"/>
        <v>3.8067661649172857E-2</v>
      </c>
      <c r="X109" s="10">
        <f t="shared" si="74"/>
        <v>3.5338174352735431E-2</v>
      </c>
      <c r="Y109" s="10">
        <f t="shared" si="74"/>
        <v>3.433761630482942E-2</v>
      </c>
      <c r="Z109" s="10"/>
      <c r="AA109" s="10"/>
      <c r="AB109" s="10"/>
      <c r="AC109" s="10"/>
      <c r="AD109" s="10"/>
      <c r="AE109" s="10"/>
      <c r="AF109" s="10"/>
    </row>
    <row r="110" spans="4:64" x14ac:dyDescent="0.2">
      <c r="D110" s="191" t="s">
        <v>391</v>
      </c>
      <c r="M110" s="10">
        <f t="shared" si="76"/>
        <v>1.6867267378591344E-2</v>
      </c>
      <c r="N110" s="10">
        <f t="shared" si="75"/>
        <v>1.6538106169738255E-2</v>
      </c>
      <c r="O110" s="10">
        <f t="shared" si="74"/>
        <v>1.6481166590472669E-2</v>
      </c>
      <c r="P110" s="10">
        <f t="shared" si="74"/>
        <v>1.637760450087215E-2</v>
      </c>
      <c r="Q110" s="10">
        <f t="shared" si="74"/>
        <v>1.7280339276364593E-2</v>
      </c>
      <c r="R110" s="10">
        <f t="shared" si="74"/>
        <v>1.8644822586626947E-2</v>
      </c>
      <c r="S110" s="10">
        <f t="shared" si="74"/>
        <v>1.8456099967116082E-2</v>
      </c>
      <c r="T110" s="10">
        <f t="shared" si="74"/>
        <v>1.6541201093744726E-2</v>
      </c>
      <c r="U110" s="10">
        <f t="shared" si="74"/>
        <v>1.4623693278892654E-2</v>
      </c>
      <c r="V110" s="10">
        <f t="shared" si="74"/>
        <v>1.4178146012239039E-2</v>
      </c>
      <c r="W110" s="10">
        <f t="shared" si="74"/>
        <v>1.4711831207817922E-2</v>
      </c>
      <c r="X110" s="10">
        <f t="shared" si="74"/>
        <v>1.5017298407025814E-2</v>
      </c>
      <c r="Y110" s="10">
        <f t="shared" si="74"/>
        <v>1.5064244572441293E-2</v>
      </c>
      <c r="Z110" s="10"/>
      <c r="AA110" s="10"/>
      <c r="AB110" s="10"/>
      <c r="AC110" s="10"/>
      <c r="AD110" s="10"/>
      <c r="AE110" s="10"/>
      <c r="AF110" s="10"/>
    </row>
    <row r="111" spans="4:64" x14ac:dyDescent="0.2">
      <c r="D111" s="191" t="s">
        <v>109</v>
      </c>
      <c r="M111" s="10">
        <f t="shared" si="76"/>
        <v>3.7398653845484971E-2</v>
      </c>
      <c r="N111" s="10">
        <f t="shared" si="75"/>
        <v>4.2124013806585377E-2</v>
      </c>
      <c r="O111" s="10">
        <f t="shared" si="74"/>
        <v>4.9852944873180663E-2</v>
      </c>
      <c r="P111" s="10">
        <f t="shared" si="74"/>
        <v>5.7972419620517676E-2</v>
      </c>
      <c r="Q111" s="10">
        <f t="shared" si="74"/>
        <v>6.5649380929931708E-2</v>
      </c>
      <c r="R111" s="10">
        <f t="shared" si="74"/>
        <v>7.3486668788985576E-2</v>
      </c>
      <c r="S111" s="10">
        <f t="shared" si="74"/>
        <v>7.6002959552778693E-2</v>
      </c>
      <c r="T111" s="10">
        <f t="shared" si="74"/>
        <v>7.1971103534415826E-2</v>
      </c>
      <c r="U111" s="10">
        <f t="shared" si="74"/>
        <v>6.5965887701618736E-2</v>
      </c>
      <c r="V111" s="10">
        <f t="shared" si="74"/>
        <v>6.0338965977486211E-2</v>
      </c>
      <c r="W111" s="10">
        <f t="shared" si="74"/>
        <v>5.7122783112265534E-2</v>
      </c>
      <c r="X111" s="10">
        <f t="shared" si="74"/>
        <v>5.6514466030490818E-2</v>
      </c>
      <c r="Y111" s="10">
        <f t="shared" si="74"/>
        <v>5.6638605818933686E-2</v>
      </c>
      <c r="Z111" s="10"/>
      <c r="AA111" s="10"/>
      <c r="AB111" s="10"/>
      <c r="AC111" s="10"/>
      <c r="AD111" s="10"/>
      <c r="AE111" s="10"/>
      <c r="AF111" s="10"/>
    </row>
    <row r="112" spans="4:64" x14ac:dyDescent="0.2">
      <c r="D112" s="524" t="s">
        <v>110</v>
      </c>
      <c r="M112" s="10">
        <f t="shared" si="76"/>
        <v>0.48614098594951655</v>
      </c>
      <c r="N112" s="10">
        <f t="shared" si="75"/>
        <v>0.49711033955114203</v>
      </c>
      <c r="O112" s="10">
        <f t="shared" si="74"/>
        <v>0.50874844860356205</v>
      </c>
      <c r="P112" s="10">
        <f t="shared" si="74"/>
        <v>0.50737003916115109</v>
      </c>
      <c r="Q112" s="10">
        <f t="shared" si="74"/>
        <v>0.48305604627447507</v>
      </c>
      <c r="R112" s="10">
        <f t="shared" si="74"/>
        <v>0.45089034943730116</v>
      </c>
      <c r="S112" s="10">
        <f t="shared" si="74"/>
        <v>0.43587635646169021</v>
      </c>
      <c r="T112" s="10">
        <f t="shared" si="74"/>
        <v>0.4340546197211626</v>
      </c>
      <c r="U112" s="10">
        <f t="shared" si="74"/>
        <v>0.43436712709582137</v>
      </c>
      <c r="V112" s="10">
        <f t="shared" si="74"/>
        <v>0.43441033518849631</v>
      </c>
      <c r="W112" s="10">
        <f t="shared" si="74"/>
        <v>0.44129106431901893</v>
      </c>
      <c r="X112" s="10">
        <f t="shared" si="74"/>
        <v>0.45027183211040567</v>
      </c>
      <c r="Y112" s="10">
        <f t="shared" si="74"/>
        <v>0.45340422389602719</v>
      </c>
      <c r="Z112" s="10"/>
      <c r="AA112" s="10"/>
      <c r="AB112" s="10"/>
      <c r="AC112" s="10"/>
      <c r="AD112" s="10"/>
      <c r="AE112" s="10"/>
      <c r="AF112" s="10"/>
    </row>
    <row r="113" spans="4:32" x14ac:dyDescent="0.2">
      <c r="D113" s="192" t="s">
        <v>392</v>
      </c>
      <c r="M113" s="10">
        <f t="shared" si="76"/>
        <v>0.10359582287955531</v>
      </c>
      <c r="N113" s="10">
        <f t="shared" si="75"/>
        <v>0.10025152480608182</v>
      </c>
      <c r="O113" s="10">
        <f t="shared" si="74"/>
        <v>9.5147969028737414E-2</v>
      </c>
      <c r="P113" s="10">
        <f t="shared" si="74"/>
        <v>9.3177727027776686E-2</v>
      </c>
      <c r="Q113" s="10">
        <f t="shared" si="74"/>
        <v>9.313931013164245E-2</v>
      </c>
      <c r="R113" s="10">
        <f t="shared" si="74"/>
        <v>9.2635330754919309E-2</v>
      </c>
      <c r="S113" s="10">
        <f t="shared" si="74"/>
        <v>9.162282144031568E-2</v>
      </c>
      <c r="T113" s="10">
        <f t="shared" si="74"/>
        <v>8.7702123350099581E-2</v>
      </c>
      <c r="U113" s="10">
        <f t="shared" si="74"/>
        <v>8.5541366229403754E-2</v>
      </c>
      <c r="V113" s="10">
        <f t="shared" si="74"/>
        <v>8.9752952731118885E-2</v>
      </c>
      <c r="W113" s="10">
        <f t="shared" si="74"/>
        <v>9.4274947305669696E-2</v>
      </c>
      <c r="X113" s="10">
        <f t="shared" si="74"/>
        <v>9.4608979964262638E-2</v>
      </c>
      <c r="Y113" s="10">
        <f t="shared" si="74"/>
        <v>9.3929995569339828E-2</v>
      </c>
      <c r="Z113" s="10"/>
      <c r="AA113" s="10"/>
      <c r="AB113" s="10"/>
      <c r="AC113" s="10"/>
      <c r="AD113" s="10"/>
      <c r="AE113" s="10"/>
      <c r="AF113" s="10"/>
    </row>
    <row r="114" spans="4:32" x14ac:dyDescent="0.2">
      <c r="D114" s="191" t="s">
        <v>393</v>
      </c>
      <c r="M114" s="10">
        <f t="shared" si="76"/>
        <v>6.5554374587033462E-2</v>
      </c>
      <c r="N114" s="10">
        <f t="shared" si="75"/>
        <v>6.0347343033544526E-2</v>
      </c>
      <c r="O114" s="10">
        <f t="shared" si="74"/>
        <v>5.812305423038594E-2</v>
      </c>
      <c r="P114" s="10">
        <f t="shared" si="74"/>
        <v>6.3094405702362494E-2</v>
      </c>
      <c r="Q114" s="10">
        <f t="shared" si="74"/>
        <v>7.2947736986849282E-2</v>
      </c>
      <c r="R114" s="10">
        <f t="shared" si="74"/>
        <v>7.7095017051771991E-2</v>
      </c>
      <c r="S114" s="10">
        <f t="shared" si="74"/>
        <v>7.6496218349227221E-2</v>
      </c>
      <c r="T114" s="10">
        <f t="shared" si="74"/>
        <v>7.4097829389325867E-2</v>
      </c>
      <c r="U114" s="10">
        <f t="shared" si="74"/>
        <v>7.2481394608056068E-2</v>
      </c>
      <c r="V114" s="10">
        <f t="shared" si="74"/>
        <v>7.260318819411217E-2</v>
      </c>
      <c r="W114" s="10">
        <f t="shared" si="74"/>
        <v>7.0514594732696029E-2</v>
      </c>
      <c r="X114" s="10">
        <f t="shared" si="74"/>
        <v>6.6513325476181426E-2</v>
      </c>
      <c r="Y114" s="10">
        <f t="shared" si="74"/>
        <v>6.461379412199085E-2</v>
      </c>
      <c r="Z114" s="10"/>
      <c r="AA114" s="10"/>
      <c r="AB114" s="10"/>
      <c r="AC114" s="10"/>
      <c r="AD114" s="10"/>
      <c r="AE114" s="10"/>
      <c r="AF114" s="10"/>
    </row>
    <row r="115" spans="4:32" x14ac:dyDescent="0.2">
      <c r="D115" s="191" t="s">
        <v>394</v>
      </c>
      <c r="M115" s="10">
        <f t="shared" si="76"/>
        <v>6.1130211933671331E-2</v>
      </c>
      <c r="N115" s="10">
        <f t="shared" si="75"/>
        <v>6.7429393757534165E-2</v>
      </c>
      <c r="O115" s="10">
        <f t="shared" si="74"/>
        <v>7.6498831100274001E-2</v>
      </c>
      <c r="P115" s="10">
        <f t="shared" si="74"/>
        <v>7.9576375078821135E-2</v>
      </c>
      <c r="Q115" s="10">
        <f t="shared" si="74"/>
        <v>7.5729481061431902E-2</v>
      </c>
      <c r="R115" s="10">
        <f t="shared" si="74"/>
        <v>7.0412839010477749E-2</v>
      </c>
      <c r="S115" s="10">
        <f t="shared" si="74"/>
        <v>7.1974679381782314E-2</v>
      </c>
      <c r="T115" s="10">
        <f t="shared" si="74"/>
        <v>8.6993214731796234E-2</v>
      </c>
      <c r="U115" s="10">
        <f t="shared" si="74"/>
        <v>9.8861958127008945E-2</v>
      </c>
      <c r="V115" s="10">
        <f t="shared" si="74"/>
        <v>9.5771739404165307E-2</v>
      </c>
      <c r="W115" s="10">
        <f t="shared" si="74"/>
        <v>9.321041538035725E-2</v>
      </c>
      <c r="X115" s="10">
        <f t="shared" si="74"/>
        <v>9.552142341177812E-2</v>
      </c>
      <c r="Y115" s="10">
        <f t="shared" si="74"/>
        <v>9.6440702998080052E-2</v>
      </c>
      <c r="Z115" s="10"/>
      <c r="AA115" s="10"/>
      <c r="AB115" s="10"/>
      <c r="AC115" s="10"/>
      <c r="AD115" s="10"/>
      <c r="AE115" s="10"/>
      <c r="AF115" s="10"/>
    </row>
    <row r="116" spans="4:32" x14ac:dyDescent="0.2">
      <c r="D116" s="191" t="s">
        <v>115</v>
      </c>
      <c r="M116" s="10">
        <f t="shared" si="76"/>
        <v>1.3830122521401332E-2</v>
      </c>
      <c r="N116" s="10">
        <f t="shared" si="75"/>
        <v>1.4753072458910386E-2</v>
      </c>
      <c r="O116" s="10">
        <f t="shared" si="74"/>
        <v>1.576657624221426E-2</v>
      </c>
      <c r="P116" s="10">
        <f t="shared" si="74"/>
        <v>1.7165612647491672E-2</v>
      </c>
      <c r="Q116" s="10">
        <f t="shared" si="74"/>
        <v>1.7741930298670602E-2</v>
      </c>
      <c r="R116" s="10">
        <f t="shared" si="74"/>
        <v>1.7278611558599506E-2</v>
      </c>
      <c r="S116" s="10">
        <f t="shared" si="74"/>
        <v>1.7798421571851363E-2</v>
      </c>
      <c r="T116" s="10">
        <f t="shared" si="74"/>
        <v>1.8094048543361576E-2</v>
      </c>
      <c r="U116" s="10">
        <f t="shared" si="74"/>
        <v>1.8619870848174212E-2</v>
      </c>
      <c r="V116" s="10">
        <f t="shared" si="74"/>
        <v>1.9768818152056208E-2</v>
      </c>
      <c r="W116" s="10">
        <f t="shared" si="74"/>
        <v>1.9821584449317635E-2</v>
      </c>
      <c r="X116" s="10">
        <f t="shared" si="74"/>
        <v>1.946546021366384E-2</v>
      </c>
      <c r="Y116" s="10">
        <f t="shared" si="74"/>
        <v>1.9421060404666964E-2</v>
      </c>
      <c r="Z116" s="10"/>
      <c r="AA116" s="10"/>
      <c r="AB116" s="10"/>
      <c r="AC116" s="10"/>
      <c r="AD116" s="10"/>
      <c r="AE116" s="10"/>
      <c r="AF116" s="10"/>
    </row>
    <row r="117" spans="4:32" x14ac:dyDescent="0.2">
      <c r="D117" s="191" t="s">
        <v>288</v>
      </c>
      <c r="M117" s="10">
        <f t="shared" si="76"/>
        <v>1.0242860510463392E-2</v>
      </c>
      <c r="N117" s="10">
        <f t="shared" si="75"/>
        <v>9.923960737486132E-3</v>
      </c>
      <c r="O117" s="10">
        <f t="shared" ref="O117:Y124" si="77">N22/N$29</f>
        <v>9.7713796595683411E-3</v>
      </c>
      <c r="P117" s="10">
        <f t="shared" si="77"/>
        <v>9.5405106204791146E-3</v>
      </c>
      <c r="Q117" s="10">
        <f t="shared" si="77"/>
        <v>9.244039057209193E-3</v>
      </c>
      <c r="R117" s="10">
        <f t="shared" si="77"/>
        <v>9.0532464403962169E-3</v>
      </c>
      <c r="S117" s="10">
        <f t="shared" si="77"/>
        <v>9.0841828345938833E-3</v>
      </c>
      <c r="T117" s="10">
        <f t="shared" si="77"/>
        <v>9.0132667184282481E-3</v>
      </c>
      <c r="U117" s="10">
        <f t="shared" si="77"/>
        <v>8.9190050097008658E-3</v>
      </c>
      <c r="V117" s="10">
        <f t="shared" si="77"/>
        <v>8.8644891586290263E-3</v>
      </c>
      <c r="W117" s="10">
        <f t="shared" si="77"/>
        <v>8.5801273180182679E-3</v>
      </c>
      <c r="X117" s="10">
        <f t="shared" si="77"/>
        <v>8.2880279815990571E-3</v>
      </c>
      <c r="Y117" s="10">
        <f t="shared" si="77"/>
        <v>8.1967213114754103E-3</v>
      </c>
      <c r="Z117" s="10"/>
      <c r="AA117" s="10"/>
      <c r="AB117" s="10"/>
      <c r="AC117" s="10"/>
      <c r="AD117" s="10"/>
      <c r="AE117" s="10"/>
      <c r="AF117" s="10"/>
    </row>
    <row r="118" spans="4:32" x14ac:dyDescent="0.2">
      <c r="D118" s="191" t="s">
        <v>117</v>
      </c>
      <c r="M118" s="10">
        <f t="shared" si="76"/>
        <v>0.15708890972569653</v>
      </c>
      <c r="N118" s="10">
        <f t="shared" si="75"/>
        <v>0.16774468376037571</v>
      </c>
      <c r="O118" s="10">
        <f t="shared" si="77"/>
        <v>0.17435390968944806</v>
      </c>
      <c r="P118" s="10">
        <f t="shared" si="77"/>
        <v>0.16610072739577247</v>
      </c>
      <c r="Q118" s="10">
        <f t="shared" si="77"/>
        <v>0.13825182664603167</v>
      </c>
      <c r="R118" s="10">
        <f t="shared" si="77"/>
        <v>0.11152660905951844</v>
      </c>
      <c r="S118" s="10">
        <f t="shared" si="77"/>
        <v>0.1004603748766853</v>
      </c>
      <c r="T118" s="10">
        <f t="shared" si="77"/>
        <v>9.5803936130709241E-2</v>
      </c>
      <c r="U118" s="10">
        <f t="shared" si="77"/>
        <v>9.2172704369733294E-2</v>
      </c>
      <c r="V118" s="10">
        <f t="shared" si="77"/>
        <v>8.9929235185977993E-2</v>
      </c>
      <c r="W118" s="10">
        <f t="shared" si="77"/>
        <v>9.1209095360769876E-2</v>
      </c>
      <c r="X118" s="10">
        <f t="shared" si="77"/>
        <v>9.5369349503858877E-2</v>
      </c>
      <c r="Y118" s="10">
        <f t="shared" si="77"/>
        <v>9.7622212376310732E-2</v>
      </c>
      <c r="Z118" s="10"/>
      <c r="AA118" s="10"/>
      <c r="AB118" s="10"/>
      <c r="AC118" s="10"/>
      <c r="AD118" s="10"/>
      <c r="AE118" s="10"/>
      <c r="AF118" s="10"/>
    </row>
    <row r="119" spans="4:32" x14ac:dyDescent="0.2">
      <c r="D119" s="191" t="s">
        <v>118</v>
      </c>
      <c r="M119" s="10">
        <f t="shared" si="76"/>
        <v>5.730789068612277E-2</v>
      </c>
      <c r="N119" s="10">
        <f t="shared" si="75"/>
        <v>5.8490708157077104E-2</v>
      </c>
      <c r="O119" s="10">
        <f t="shared" si="77"/>
        <v>5.9750523949129969E-2</v>
      </c>
      <c r="P119" s="10">
        <f t="shared" si="77"/>
        <v>5.9210728494487198E-2</v>
      </c>
      <c r="Q119" s="10">
        <f t="shared" si="77"/>
        <v>5.6917464864758245E-2</v>
      </c>
      <c r="R119" s="10">
        <f t="shared" si="77"/>
        <v>5.4213066094292321E-2</v>
      </c>
      <c r="S119" s="10">
        <f t="shared" si="77"/>
        <v>5.0271292338046697E-2</v>
      </c>
      <c r="T119" s="10">
        <f t="shared" si="77"/>
        <v>4.4998818485636159E-2</v>
      </c>
      <c r="U119" s="10">
        <f t="shared" si="77"/>
        <v>4.1149045840210813E-2</v>
      </c>
      <c r="V119" s="10">
        <f t="shared" si="77"/>
        <v>4.1627842554584606E-2</v>
      </c>
      <c r="W119" s="10">
        <f t="shared" si="77"/>
        <v>4.7307798760884839E-2</v>
      </c>
      <c r="X119" s="10">
        <f t="shared" si="77"/>
        <v>5.3073793863817817E-2</v>
      </c>
      <c r="Y119" s="10">
        <f t="shared" si="77"/>
        <v>5.5161719096145326E-2</v>
      </c>
      <c r="Z119" s="10"/>
      <c r="AA119" s="10"/>
      <c r="AB119" s="10"/>
      <c r="AC119" s="10"/>
      <c r="AD119" s="10"/>
      <c r="AE119" s="10"/>
      <c r="AF119" s="10"/>
    </row>
    <row r="120" spans="4:32" x14ac:dyDescent="0.2">
      <c r="D120" s="191" t="s">
        <v>119</v>
      </c>
      <c r="M120" s="10">
        <f t="shared" si="76"/>
        <v>1.3482863171850068E-2</v>
      </c>
      <c r="N120" s="10">
        <f t="shared" si="75"/>
        <v>1.4303679643651479E-2</v>
      </c>
      <c r="O120" s="10">
        <f t="shared" si="77"/>
        <v>1.5435867305702108E-2</v>
      </c>
      <c r="P120" s="10">
        <f t="shared" si="77"/>
        <v>1.5637621781098242E-2</v>
      </c>
      <c r="Q120" s="10">
        <f t="shared" si="77"/>
        <v>1.52291054809279E-2</v>
      </c>
      <c r="R120" s="10">
        <f t="shared" si="77"/>
        <v>1.4876890156746094E-2</v>
      </c>
      <c r="S120" s="10">
        <f t="shared" si="77"/>
        <v>1.4592239394935876E-2</v>
      </c>
      <c r="T120" s="10">
        <f t="shared" si="77"/>
        <v>1.4009384599804206E-2</v>
      </c>
      <c r="U120" s="10">
        <f t="shared" si="77"/>
        <v>1.3378507514551299E-2</v>
      </c>
      <c r="V120" s="10">
        <f t="shared" si="77"/>
        <v>1.2843435996877282E-2</v>
      </c>
      <c r="W120" s="10">
        <f t="shared" si="77"/>
        <v>1.296599885030552E-2</v>
      </c>
      <c r="X120" s="10">
        <f t="shared" si="77"/>
        <v>1.3781697905181918E-2</v>
      </c>
      <c r="Y120" s="10">
        <f t="shared" si="77"/>
        <v>1.4251956874907695E-2</v>
      </c>
      <c r="Z120" s="10"/>
      <c r="AA120" s="10"/>
      <c r="AB120" s="10"/>
      <c r="AC120" s="10"/>
      <c r="AD120" s="10"/>
      <c r="AE120" s="10"/>
      <c r="AF120" s="10"/>
    </row>
    <row r="121" spans="4:32" x14ac:dyDescent="0.2">
      <c r="D121" s="191" t="s">
        <v>285</v>
      </c>
      <c r="M121" s="10">
        <f t="shared" si="76"/>
        <v>3.9082665340610927E-3</v>
      </c>
      <c r="N121" s="10">
        <f t="shared" si="75"/>
        <v>3.8661690957027452E-3</v>
      </c>
      <c r="O121" s="10">
        <f t="shared" si="77"/>
        <v>3.9002521858020121E-3</v>
      </c>
      <c r="P121" s="10">
        <f t="shared" si="77"/>
        <v>3.8662574285739078E-3</v>
      </c>
      <c r="Q121" s="10">
        <f t="shared" si="77"/>
        <v>3.7335029453201113E-3</v>
      </c>
      <c r="R121" s="10">
        <f t="shared" si="77"/>
        <v>3.5989865757979906E-3</v>
      </c>
      <c r="S121" s="10">
        <f t="shared" si="77"/>
        <v>3.4939164748438016E-3</v>
      </c>
      <c r="T121" s="10">
        <f t="shared" si="77"/>
        <v>3.3419977720014855E-3</v>
      </c>
      <c r="U121" s="10">
        <f t="shared" si="77"/>
        <v>3.2432745489821332E-3</v>
      </c>
      <c r="V121" s="10">
        <f t="shared" si="77"/>
        <v>3.2486338109748419E-3</v>
      </c>
      <c r="W121" s="10">
        <f t="shared" si="77"/>
        <v>3.4065021609998086E-3</v>
      </c>
      <c r="X121" s="10">
        <f t="shared" si="77"/>
        <v>3.6497737900619701E-3</v>
      </c>
      <c r="Y121" s="10">
        <f t="shared" si="77"/>
        <v>3.7660611431103233E-3</v>
      </c>
      <c r="Z121" s="10"/>
      <c r="AA121" s="10"/>
      <c r="AB121" s="10"/>
      <c r="AC121" s="10"/>
      <c r="AD121" s="10"/>
      <c r="AE121" s="10"/>
      <c r="AF121" s="10"/>
    </row>
    <row r="122" spans="4:32" x14ac:dyDescent="0.2">
      <c r="D122" t="s">
        <v>395</v>
      </c>
      <c r="M122" s="10" t="e">
        <f t="shared" si="76"/>
        <v>#DIV/0!</v>
      </c>
      <c r="N122" s="10" t="e">
        <f t="shared" si="75"/>
        <v>#DIV/0!</v>
      </c>
      <c r="O122" s="10" t="e">
        <f t="shared" si="77"/>
        <v>#DIV/0!</v>
      </c>
      <c r="P122" s="10" t="e">
        <f t="shared" si="77"/>
        <v>#DIV/0!</v>
      </c>
      <c r="Q122" s="10" t="e">
        <f t="shared" si="77"/>
        <v>#DIV/0!</v>
      </c>
      <c r="R122" s="10" t="e">
        <f t="shared" si="77"/>
        <v>#DIV/0!</v>
      </c>
      <c r="S122" s="10" t="e">
        <f t="shared" si="77"/>
        <v>#DIV/0!</v>
      </c>
      <c r="T122" s="10" t="e">
        <f t="shared" si="77"/>
        <v>#DIV/0!</v>
      </c>
      <c r="U122" s="10" t="e">
        <f t="shared" si="77"/>
        <v>#DIV/0!</v>
      </c>
      <c r="V122" s="10">
        <f t="shared" si="77"/>
        <v>0.89418016066886596</v>
      </c>
      <c r="W122" s="10">
        <f t="shared" si="77"/>
        <v>0.87817496646724436</v>
      </c>
      <c r="X122" s="10">
        <f t="shared" si="77"/>
        <v>0.87393073033494273</v>
      </c>
      <c r="Y122" s="10">
        <f t="shared" si="77"/>
        <v>0.87158469945355188</v>
      </c>
      <c r="Z122" s="10"/>
      <c r="AA122" s="10"/>
      <c r="AB122" s="10"/>
      <c r="AC122" s="10"/>
      <c r="AD122" s="10"/>
      <c r="AE122" s="10"/>
      <c r="AF122" s="10"/>
    </row>
    <row r="123" spans="4:32" x14ac:dyDescent="0.2">
      <c r="D123" t="s">
        <v>396</v>
      </c>
      <c r="M123" s="10">
        <f t="shared" si="76"/>
        <v>0.15391196352778247</v>
      </c>
      <c r="N123" s="10">
        <f t="shared" si="75"/>
        <v>0.14353056042555581</v>
      </c>
      <c r="O123" s="10">
        <f t="shared" si="77"/>
        <v>0.13535138783142792</v>
      </c>
      <c r="P123" s="10">
        <f t="shared" si="77"/>
        <v>0.12936012580866529</v>
      </c>
      <c r="Q123" s="10">
        <f t="shared" si="77"/>
        <v>0.12495697996974743</v>
      </c>
      <c r="R123" s="10">
        <f t="shared" si="77"/>
        <v>0.12597855662648377</v>
      </c>
      <c r="S123" s="10">
        <f t="shared" si="77"/>
        <v>0.12812397237750739</v>
      </c>
      <c r="T123" s="10">
        <f t="shared" si="77"/>
        <v>0.12463288660837862</v>
      </c>
      <c r="U123" s="10">
        <f t="shared" si="77"/>
        <v>0.12144904873599166</v>
      </c>
      <c r="V123" s="10">
        <f t="shared" si="77"/>
        <v>0.12037573346092825</v>
      </c>
      <c r="W123" s="10">
        <f t="shared" si="77"/>
        <v>0.12182503353275564</v>
      </c>
      <c r="X123" s="10">
        <f t="shared" si="77"/>
        <v>0.12606926966505722</v>
      </c>
      <c r="Y123" s="10">
        <f t="shared" si="77"/>
        <v>0.12841530054644809</v>
      </c>
      <c r="Z123" s="10"/>
      <c r="AA123" s="10"/>
      <c r="AB123" s="10"/>
      <c r="AC123" s="10"/>
      <c r="AD123" s="10"/>
      <c r="AE123" s="10"/>
      <c r="AF123" s="10"/>
    </row>
    <row r="124" spans="4:32" x14ac:dyDescent="0.2">
      <c r="D124" t="s">
        <v>401</v>
      </c>
      <c r="M124" s="10">
        <f t="shared" si="76"/>
        <v>1</v>
      </c>
      <c r="N124" s="10">
        <f t="shared" si="75"/>
        <v>1</v>
      </c>
      <c r="O124" s="10">
        <f t="shared" si="77"/>
        <v>1</v>
      </c>
      <c r="P124" s="10">
        <f t="shared" si="77"/>
        <v>1</v>
      </c>
      <c r="Q124" s="10">
        <f t="shared" si="77"/>
        <v>1</v>
      </c>
      <c r="R124" s="10">
        <f t="shared" si="77"/>
        <v>1</v>
      </c>
      <c r="S124" s="10">
        <f t="shared" si="77"/>
        <v>1</v>
      </c>
      <c r="T124" s="10">
        <f t="shared" si="77"/>
        <v>1</v>
      </c>
      <c r="U124" s="10">
        <f t="shared" si="77"/>
        <v>1</v>
      </c>
      <c r="V124" s="10">
        <f t="shared" si="77"/>
        <v>1</v>
      </c>
      <c r="W124" s="10">
        <f t="shared" si="77"/>
        <v>1</v>
      </c>
      <c r="X124" s="10">
        <f t="shared" si="77"/>
        <v>1</v>
      </c>
      <c r="Y124" s="10">
        <f t="shared" si="77"/>
        <v>1</v>
      </c>
      <c r="Z124" s="10"/>
      <c r="AA124" s="10"/>
      <c r="AB124" s="10"/>
      <c r="AC124" s="10"/>
      <c r="AD124" s="10"/>
      <c r="AE124" s="10"/>
      <c r="AF124" s="10"/>
    </row>
    <row r="125" spans="4:32" x14ac:dyDescent="0.2">
      <c r="D125" t="s">
        <v>475</v>
      </c>
      <c r="M125" s="10"/>
    </row>
    <row r="126" spans="4:32" x14ac:dyDescent="0.2">
      <c r="D126" t="s">
        <v>476</v>
      </c>
      <c r="M126" s="10"/>
    </row>
    <row r="127" spans="4:32" x14ac:dyDescent="0.2">
      <c r="D127" t="s">
        <v>119</v>
      </c>
      <c r="M127" s="10"/>
    </row>
    <row r="128" spans="4:32" x14ac:dyDescent="0.2">
      <c r="D128" t="s">
        <v>285</v>
      </c>
      <c r="M128" s="10"/>
    </row>
    <row r="129" spans="4:13" x14ac:dyDescent="0.2">
      <c r="D129" t="s">
        <v>395</v>
      </c>
      <c r="M129" s="10"/>
    </row>
    <row r="130" spans="4:13" x14ac:dyDescent="0.2">
      <c r="D130" t="s">
        <v>396</v>
      </c>
      <c r="M130" s="10"/>
    </row>
    <row r="131" spans="4:13" x14ac:dyDescent="0.2">
      <c r="D131" t="s">
        <v>401</v>
      </c>
      <c r="M131" s="10"/>
    </row>
    <row r="132" spans="4:13" x14ac:dyDescent="0.2">
      <c r="M132"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N36"/>
  <sheetViews>
    <sheetView workbookViewId="0">
      <selection activeCell="H7" sqref="H7:CX7"/>
    </sheetView>
  </sheetViews>
  <sheetFormatPr defaultRowHeight="12.75" x14ac:dyDescent="0.2"/>
  <cols>
    <col min="1" max="1" width="1.140625" style="523" customWidth="1"/>
    <col min="2" max="2" width="0.140625" style="523" hidden="1" customWidth="1"/>
    <col min="3" max="3" width="1.7109375" style="523" customWidth="1"/>
    <col min="4" max="4" width="4.5703125" style="523" hidden="1" customWidth="1"/>
    <col min="5" max="5" width="56" style="523" customWidth="1"/>
    <col min="6" max="7" width="6.85546875" style="523" customWidth="1"/>
    <col min="8" max="8" width="13.42578125" style="523" customWidth="1"/>
    <col min="9" max="9" width="9.28515625" style="523" customWidth="1"/>
    <col min="10" max="10" width="14" style="523" customWidth="1"/>
    <col min="11" max="11" width="15.5703125" style="523" customWidth="1"/>
    <col min="12" max="12" width="8" style="523" customWidth="1"/>
    <col min="13" max="14" width="9" style="523" customWidth="1"/>
    <col min="15" max="15" width="10.5703125" style="523" customWidth="1"/>
    <col min="16" max="16" width="8.5703125" style="523" customWidth="1"/>
    <col min="17" max="17" width="11.28515625" style="523" customWidth="1"/>
    <col min="18" max="18" width="13" style="523" customWidth="1"/>
    <col min="260" max="260" width="12.7109375" customWidth="1"/>
    <col min="261" max="261" width="7.5703125" customWidth="1"/>
    <col min="262" max="263" width="6.85546875" customWidth="1"/>
    <col min="264" max="264" width="13.42578125" customWidth="1"/>
    <col min="265" max="265" width="9.28515625" customWidth="1"/>
    <col min="266" max="266" width="14" customWidth="1"/>
    <col min="267" max="267" width="15.5703125" customWidth="1"/>
    <col min="268" max="268" width="8" customWidth="1"/>
    <col min="269" max="270" width="9" customWidth="1"/>
    <col min="271" max="271" width="10.5703125" customWidth="1"/>
    <col min="272" max="272" width="8.5703125" customWidth="1"/>
    <col min="273" max="273" width="11.28515625" customWidth="1"/>
    <col min="274" max="274" width="13" customWidth="1"/>
    <col min="516" max="516" width="12.7109375" customWidth="1"/>
    <col min="517" max="517" width="7.5703125" customWidth="1"/>
    <col min="518" max="519" width="6.85546875" customWidth="1"/>
    <col min="520" max="520" width="13.42578125" customWidth="1"/>
    <col min="521" max="521" width="9.28515625" customWidth="1"/>
    <col min="522" max="522" width="14" customWidth="1"/>
    <col min="523" max="523" width="15.5703125" customWidth="1"/>
    <col min="524" max="524" width="8" customWidth="1"/>
    <col min="525" max="526" width="9" customWidth="1"/>
    <col min="527" max="527" width="10.5703125" customWidth="1"/>
    <col min="528" max="528" width="8.5703125" customWidth="1"/>
    <col min="529" max="529" width="11.28515625" customWidth="1"/>
    <col min="530" max="530" width="13" customWidth="1"/>
    <col min="772" max="772" width="12.7109375" customWidth="1"/>
    <col min="773" max="773" width="7.5703125" customWidth="1"/>
    <col min="774" max="775" width="6.85546875" customWidth="1"/>
    <col min="776" max="776" width="13.42578125" customWidth="1"/>
    <col min="777" max="777" width="9.28515625" customWidth="1"/>
    <col min="778" max="778" width="14" customWidth="1"/>
    <col min="779" max="779" width="15.5703125" customWidth="1"/>
    <col min="780" max="780" width="8" customWidth="1"/>
    <col min="781" max="782" width="9" customWidth="1"/>
    <col min="783" max="783" width="10.5703125" customWidth="1"/>
    <col min="784" max="784" width="8.5703125" customWidth="1"/>
    <col min="785" max="785" width="11.28515625" customWidth="1"/>
    <col min="786" max="786" width="13" customWidth="1"/>
    <col min="1028" max="1028" width="12.7109375" customWidth="1"/>
    <col min="1029" max="1029" width="7.5703125" customWidth="1"/>
    <col min="1030" max="1031" width="6.85546875" customWidth="1"/>
    <col min="1032" max="1032" width="13.42578125" customWidth="1"/>
    <col min="1033" max="1033" width="9.28515625" customWidth="1"/>
    <col min="1034" max="1034" width="14" customWidth="1"/>
    <col min="1035" max="1035" width="15.5703125" customWidth="1"/>
    <col min="1036" max="1036" width="8" customWidth="1"/>
    <col min="1037" max="1038" width="9" customWidth="1"/>
    <col min="1039" max="1039" width="10.5703125" customWidth="1"/>
    <col min="1040" max="1040" width="8.5703125" customWidth="1"/>
    <col min="1041" max="1041" width="11.28515625" customWidth="1"/>
    <col min="1042" max="1042" width="13" customWidth="1"/>
    <col min="1284" max="1284" width="12.7109375" customWidth="1"/>
    <col min="1285" max="1285" width="7.5703125" customWidth="1"/>
    <col min="1286" max="1287" width="6.85546875" customWidth="1"/>
    <col min="1288" max="1288" width="13.42578125" customWidth="1"/>
    <col min="1289" max="1289" width="9.28515625" customWidth="1"/>
    <col min="1290" max="1290" width="14" customWidth="1"/>
    <col min="1291" max="1291" width="15.5703125" customWidth="1"/>
    <col min="1292" max="1292" width="8" customWidth="1"/>
    <col min="1293" max="1294" width="9" customWidth="1"/>
    <col min="1295" max="1295" width="10.5703125" customWidth="1"/>
    <col min="1296" max="1296" width="8.5703125" customWidth="1"/>
    <col min="1297" max="1297" width="11.28515625" customWidth="1"/>
    <col min="1298" max="1298" width="13" customWidth="1"/>
    <col min="1540" max="1540" width="12.7109375" customWidth="1"/>
    <col min="1541" max="1541" width="7.5703125" customWidth="1"/>
    <col min="1542" max="1543" width="6.85546875" customWidth="1"/>
    <col min="1544" max="1544" width="13.42578125" customWidth="1"/>
    <col min="1545" max="1545" width="9.28515625" customWidth="1"/>
    <col min="1546" max="1546" width="14" customWidth="1"/>
    <col min="1547" max="1547" width="15.5703125" customWidth="1"/>
    <col min="1548" max="1548" width="8" customWidth="1"/>
    <col min="1549" max="1550" width="9" customWidth="1"/>
    <col min="1551" max="1551" width="10.5703125" customWidth="1"/>
    <col min="1552" max="1552" width="8.5703125" customWidth="1"/>
    <col min="1553" max="1553" width="11.28515625" customWidth="1"/>
    <col min="1554" max="1554" width="13" customWidth="1"/>
    <col min="1796" max="1796" width="12.7109375" customWidth="1"/>
    <col min="1797" max="1797" width="7.5703125" customWidth="1"/>
    <col min="1798" max="1799" width="6.85546875" customWidth="1"/>
    <col min="1800" max="1800" width="13.42578125" customWidth="1"/>
    <col min="1801" max="1801" width="9.28515625" customWidth="1"/>
    <col min="1802" max="1802" width="14" customWidth="1"/>
    <col min="1803" max="1803" width="15.5703125" customWidth="1"/>
    <col min="1804" max="1804" width="8" customWidth="1"/>
    <col min="1805" max="1806" width="9" customWidth="1"/>
    <col min="1807" max="1807" width="10.5703125" customWidth="1"/>
    <col min="1808" max="1808" width="8.5703125" customWidth="1"/>
    <col min="1809" max="1809" width="11.28515625" customWidth="1"/>
    <col min="1810" max="1810" width="13" customWidth="1"/>
    <col min="2052" max="2052" width="12.7109375" customWidth="1"/>
    <col min="2053" max="2053" width="7.5703125" customWidth="1"/>
    <col min="2054" max="2055" width="6.85546875" customWidth="1"/>
    <col min="2056" max="2056" width="13.42578125" customWidth="1"/>
    <col min="2057" max="2057" width="9.28515625" customWidth="1"/>
    <col min="2058" max="2058" width="14" customWidth="1"/>
    <col min="2059" max="2059" width="15.5703125" customWidth="1"/>
    <col min="2060" max="2060" width="8" customWidth="1"/>
    <col min="2061" max="2062" width="9" customWidth="1"/>
    <col min="2063" max="2063" width="10.5703125" customWidth="1"/>
    <col min="2064" max="2064" width="8.5703125" customWidth="1"/>
    <col min="2065" max="2065" width="11.28515625" customWidth="1"/>
    <col min="2066" max="2066" width="13" customWidth="1"/>
    <col min="2308" max="2308" width="12.7109375" customWidth="1"/>
    <col min="2309" max="2309" width="7.5703125" customWidth="1"/>
    <col min="2310" max="2311" width="6.85546875" customWidth="1"/>
    <col min="2312" max="2312" width="13.42578125" customWidth="1"/>
    <col min="2313" max="2313" width="9.28515625" customWidth="1"/>
    <col min="2314" max="2314" width="14" customWidth="1"/>
    <col min="2315" max="2315" width="15.5703125" customWidth="1"/>
    <col min="2316" max="2316" width="8" customWidth="1"/>
    <col min="2317" max="2318" width="9" customWidth="1"/>
    <col min="2319" max="2319" width="10.5703125" customWidth="1"/>
    <col min="2320" max="2320" width="8.5703125" customWidth="1"/>
    <col min="2321" max="2321" width="11.28515625" customWidth="1"/>
    <col min="2322" max="2322" width="13" customWidth="1"/>
    <col min="2564" max="2564" width="12.7109375" customWidth="1"/>
    <col min="2565" max="2565" width="7.5703125" customWidth="1"/>
    <col min="2566" max="2567" width="6.85546875" customWidth="1"/>
    <col min="2568" max="2568" width="13.42578125" customWidth="1"/>
    <col min="2569" max="2569" width="9.28515625" customWidth="1"/>
    <col min="2570" max="2570" width="14" customWidth="1"/>
    <col min="2571" max="2571" width="15.5703125" customWidth="1"/>
    <col min="2572" max="2572" width="8" customWidth="1"/>
    <col min="2573" max="2574" width="9" customWidth="1"/>
    <col min="2575" max="2575" width="10.5703125" customWidth="1"/>
    <col min="2576" max="2576" width="8.5703125" customWidth="1"/>
    <col min="2577" max="2577" width="11.28515625" customWidth="1"/>
    <col min="2578" max="2578" width="13" customWidth="1"/>
    <col min="2820" max="2820" width="12.7109375" customWidth="1"/>
    <col min="2821" max="2821" width="7.5703125" customWidth="1"/>
    <col min="2822" max="2823" width="6.85546875" customWidth="1"/>
    <col min="2824" max="2824" width="13.42578125" customWidth="1"/>
    <col min="2825" max="2825" width="9.28515625" customWidth="1"/>
    <col min="2826" max="2826" width="14" customWidth="1"/>
    <col min="2827" max="2827" width="15.5703125" customWidth="1"/>
    <col min="2828" max="2828" width="8" customWidth="1"/>
    <col min="2829" max="2830" width="9" customWidth="1"/>
    <col min="2831" max="2831" width="10.5703125" customWidth="1"/>
    <col min="2832" max="2832" width="8.5703125" customWidth="1"/>
    <col min="2833" max="2833" width="11.28515625" customWidth="1"/>
    <col min="2834" max="2834" width="13" customWidth="1"/>
    <col min="3076" max="3076" width="12.7109375" customWidth="1"/>
    <col min="3077" max="3077" width="7.5703125" customWidth="1"/>
    <col min="3078" max="3079" width="6.85546875" customWidth="1"/>
    <col min="3080" max="3080" width="13.42578125" customWidth="1"/>
    <col min="3081" max="3081" width="9.28515625" customWidth="1"/>
    <col min="3082" max="3082" width="14" customWidth="1"/>
    <col min="3083" max="3083" width="15.5703125" customWidth="1"/>
    <col min="3084" max="3084" width="8" customWidth="1"/>
    <col min="3085" max="3086" width="9" customWidth="1"/>
    <col min="3087" max="3087" width="10.5703125" customWidth="1"/>
    <col min="3088" max="3088" width="8.5703125" customWidth="1"/>
    <col min="3089" max="3089" width="11.28515625" customWidth="1"/>
    <col min="3090" max="3090" width="13" customWidth="1"/>
    <col min="3332" max="3332" width="12.7109375" customWidth="1"/>
    <col min="3333" max="3333" width="7.5703125" customWidth="1"/>
    <col min="3334" max="3335" width="6.85546875" customWidth="1"/>
    <col min="3336" max="3336" width="13.42578125" customWidth="1"/>
    <col min="3337" max="3337" width="9.28515625" customWidth="1"/>
    <col min="3338" max="3338" width="14" customWidth="1"/>
    <col min="3339" max="3339" width="15.5703125" customWidth="1"/>
    <col min="3340" max="3340" width="8" customWidth="1"/>
    <col min="3341" max="3342" width="9" customWidth="1"/>
    <col min="3343" max="3343" width="10.5703125" customWidth="1"/>
    <col min="3344" max="3344" width="8.5703125" customWidth="1"/>
    <col min="3345" max="3345" width="11.28515625" customWidth="1"/>
    <col min="3346" max="3346" width="13" customWidth="1"/>
    <col min="3588" max="3588" width="12.7109375" customWidth="1"/>
    <col min="3589" max="3589" width="7.5703125" customWidth="1"/>
    <col min="3590" max="3591" width="6.85546875" customWidth="1"/>
    <col min="3592" max="3592" width="13.42578125" customWidth="1"/>
    <col min="3593" max="3593" width="9.28515625" customWidth="1"/>
    <col min="3594" max="3594" width="14" customWidth="1"/>
    <col min="3595" max="3595" width="15.5703125" customWidth="1"/>
    <col min="3596" max="3596" width="8" customWidth="1"/>
    <col min="3597" max="3598" width="9" customWidth="1"/>
    <col min="3599" max="3599" width="10.5703125" customWidth="1"/>
    <col min="3600" max="3600" width="8.5703125" customWidth="1"/>
    <col min="3601" max="3601" width="11.28515625" customWidth="1"/>
    <col min="3602" max="3602" width="13" customWidth="1"/>
    <col min="3844" max="3844" width="12.7109375" customWidth="1"/>
    <col min="3845" max="3845" width="7.5703125" customWidth="1"/>
    <col min="3846" max="3847" width="6.85546875" customWidth="1"/>
    <col min="3848" max="3848" width="13.42578125" customWidth="1"/>
    <col min="3849" max="3849" width="9.28515625" customWidth="1"/>
    <col min="3850" max="3850" width="14" customWidth="1"/>
    <col min="3851" max="3851" width="15.5703125" customWidth="1"/>
    <col min="3852" max="3852" width="8" customWidth="1"/>
    <col min="3853" max="3854" width="9" customWidth="1"/>
    <col min="3855" max="3855" width="10.5703125" customWidth="1"/>
    <col min="3856" max="3856" width="8.5703125" customWidth="1"/>
    <col min="3857" max="3857" width="11.28515625" customWidth="1"/>
    <col min="3858" max="3858" width="13" customWidth="1"/>
    <col min="4100" max="4100" width="12.7109375" customWidth="1"/>
    <col min="4101" max="4101" width="7.5703125" customWidth="1"/>
    <col min="4102" max="4103" width="6.85546875" customWidth="1"/>
    <col min="4104" max="4104" width="13.42578125" customWidth="1"/>
    <col min="4105" max="4105" width="9.28515625" customWidth="1"/>
    <col min="4106" max="4106" width="14" customWidth="1"/>
    <col min="4107" max="4107" width="15.5703125" customWidth="1"/>
    <col min="4108" max="4108" width="8" customWidth="1"/>
    <col min="4109" max="4110" width="9" customWidth="1"/>
    <col min="4111" max="4111" width="10.5703125" customWidth="1"/>
    <col min="4112" max="4112" width="8.5703125" customWidth="1"/>
    <col min="4113" max="4113" width="11.28515625" customWidth="1"/>
    <col min="4114" max="4114" width="13" customWidth="1"/>
    <col min="4356" max="4356" width="12.7109375" customWidth="1"/>
    <col min="4357" max="4357" width="7.5703125" customWidth="1"/>
    <col min="4358" max="4359" width="6.85546875" customWidth="1"/>
    <col min="4360" max="4360" width="13.42578125" customWidth="1"/>
    <col min="4361" max="4361" width="9.28515625" customWidth="1"/>
    <col min="4362" max="4362" width="14" customWidth="1"/>
    <col min="4363" max="4363" width="15.5703125" customWidth="1"/>
    <col min="4364" max="4364" width="8" customWidth="1"/>
    <col min="4365" max="4366" width="9" customWidth="1"/>
    <col min="4367" max="4367" width="10.5703125" customWidth="1"/>
    <col min="4368" max="4368" width="8.5703125" customWidth="1"/>
    <col min="4369" max="4369" width="11.28515625" customWidth="1"/>
    <col min="4370" max="4370" width="13" customWidth="1"/>
    <col min="4612" max="4612" width="12.7109375" customWidth="1"/>
    <col min="4613" max="4613" width="7.5703125" customWidth="1"/>
    <col min="4614" max="4615" width="6.85546875" customWidth="1"/>
    <col min="4616" max="4616" width="13.42578125" customWidth="1"/>
    <col min="4617" max="4617" width="9.28515625" customWidth="1"/>
    <col min="4618" max="4618" width="14" customWidth="1"/>
    <col min="4619" max="4619" width="15.5703125" customWidth="1"/>
    <col min="4620" max="4620" width="8" customWidth="1"/>
    <col min="4621" max="4622" width="9" customWidth="1"/>
    <col min="4623" max="4623" width="10.5703125" customWidth="1"/>
    <col min="4624" max="4624" width="8.5703125" customWidth="1"/>
    <col min="4625" max="4625" width="11.28515625" customWidth="1"/>
    <col min="4626" max="4626" width="13" customWidth="1"/>
    <col min="4868" max="4868" width="12.7109375" customWidth="1"/>
    <col min="4869" max="4869" width="7.5703125" customWidth="1"/>
    <col min="4870" max="4871" width="6.85546875" customWidth="1"/>
    <col min="4872" max="4872" width="13.42578125" customWidth="1"/>
    <col min="4873" max="4873" width="9.28515625" customWidth="1"/>
    <col min="4874" max="4874" width="14" customWidth="1"/>
    <col min="4875" max="4875" width="15.5703125" customWidth="1"/>
    <col min="4876" max="4876" width="8" customWidth="1"/>
    <col min="4877" max="4878" width="9" customWidth="1"/>
    <col min="4879" max="4879" width="10.5703125" customWidth="1"/>
    <col min="4880" max="4880" width="8.5703125" customWidth="1"/>
    <col min="4881" max="4881" width="11.28515625" customWidth="1"/>
    <col min="4882" max="4882" width="13" customWidth="1"/>
    <col min="5124" max="5124" width="12.7109375" customWidth="1"/>
    <col min="5125" max="5125" width="7.5703125" customWidth="1"/>
    <col min="5126" max="5127" width="6.85546875" customWidth="1"/>
    <col min="5128" max="5128" width="13.42578125" customWidth="1"/>
    <col min="5129" max="5129" width="9.28515625" customWidth="1"/>
    <col min="5130" max="5130" width="14" customWidth="1"/>
    <col min="5131" max="5131" width="15.5703125" customWidth="1"/>
    <col min="5132" max="5132" width="8" customWidth="1"/>
    <col min="5133" max="5134" width="9" customWidth="1"/>
    <col min="5135" max="5135" width="10.5703125" customWidth="1"/>
    <col min="5136" max="5136" width="8.5703125" customWidth="1"/>
    <col min="5137" max="5137" width="11.28515625" customWidth="1"/>
    <col min="5138" max="5138" width="13" customWidth="1"/>
    <col min="5380" max="5380" width="12.7109375" customWidth="1"/>
    <col min="5381" max="5381" width="7.5703125" customWidth="1"/>
    <col min="5382" max="5383" width="6.85546875" customWidth="1"/>
    <col min="5384" max="5384" width="13.42578125" customWidth="1"/>
    <col min="5385" max="5385" width="9.28515625" customWidth="1"/>
    <col min="5386" max="5386" width="14" customWidth="1"/>
    <col min="5387" max="5387" width="15.5703125" customWidth="1"/>
    <col min="5388" max="5388" width="8" customWidth="1"/>
    <col min="5389" max="5390" width="9" customWidth="1"/>
    <col min="5391" max="5391" width="10.5703125" customWidth="1"/>
    <col min="5392" max="5392" width="8.5703125" customWidth="1"/>
    <col min="5393" max="5393" width="11.28515625" customWidth="1"/>
    <col min="5394" max="5394" width="13" customWidth="1"/>
    <col min="5636" max="5636" width="12.7109375" customWidth="1"/>
    <col min="5637" max="5637" width="7.5703125" customWidth="1"/>
    <col min="5638" max="5639" width="6.85546875" customWidth="1"/>
    <col min="5640" max="5640" width="13.42578125" customWidth="1"/>
    <col min="5641" max="5641" width="9.28515625" customWidth="1"/>
    <col min="5642" max="5642" width="14" customWidth="1"/>
    <col min="5643" max="5643" width="15.5703125" customWidth="1"/>
    <col min="5644" max="5644" width="8" customWidth="1"/>
    <col min="5645" max="5646" width="9" customWidth="1"/>
    <col min="5647" max="5647" width="10.5703125" customWidth="1"/>
    <col min="5648" max="5648" width="8.5703125" customWidth="1"/>
    <col min="5649" max="5649" width="11.28515625" customWidth="1"/>
    <col min="5650" max="5650" width="13" customWidth="1"/>
    <col min="5892" max="5892" width="12.7109375" customWidth="1"/>
    <col min="5893" max="5893" width="7.5703125" customWidth="1"/>
    <col min="5894" max="5895" width="6.85546875" customWidth="1"/>
    <col min="5896" max="5896" width="13.42578125" customWidth="1"/>
    <col min="5897" max="5897" width="9.28515625" customWidth="1"/>
    <col min="5898" max="5898" width="14" customWidth="1"/>
    <col min="5899" max="5899" width="15.5703125" customWidth="1"/>
    <col min="5900" max="5900" width="8" customWidth="1"/>
    <col min="5901" max="5902" width="9" customWidth="1"/>
    <col min="5903" max="5903" width="10.5703125" customWidth="1"/>
    <col min="5904" max="5904" width="8.5703125" customWidth="1"/>
    <col min="5905" max="5905" width="11.28515625" customWidth="1"/>
    <col min="5906" max="5906" width="13" customWidth="1"/>
    <col min="6148" max="6148" width="12.7109375" customWidth="1"/>
    <col min="6149" max="6149" width="7.5703125" customWidth="1"/>
    <col min="6150" max="6151" width="6.85546875" customWidth="1"/>
    <col min="6152" max="6152" width="13.42578125" customWidth="1"/>
    <col min="6153" max="6153" width="9.28515625" customWidth="1"/>
    <col min="6154" max="6154" width="14" customWidth="1"/>
    <col min="6155" max="6155" width="15.5703125" customWidth="1"/>
    <col min="6156" max="6156" width="8" customWidth="1"/>
    <col min="6157" max="6158" width="9" customWidth="1"/>
    <col min="6159" max="6159" width="10.5703125" customWidth="1"/>
    <col min="6160" max="6160" width="8.5703125" customWidth="1"/>
    <col min="6161" max="6161" width="11.28515625" customWidth="1"/>
    <col min="6162" max="6162" width="13" customWidth="1"/>
    <col min="6404" max="6404" width="12.7109375" customWidth="1"/>
    <col min="6405" max="6405" width="7.5703125" customWidth="1"/>
    <col min="6406" max="6407" width="6.85546875" customWidth="1"/>
    <col min="6408" max="6408" width="13.42578125" customWidth="1"/>
    <col min="6409" max="6409" width="9.28515625" customWidth="1"/>
    <col min="6410" max="6410" width="14" customWidth="1"/>
    <col min="6411" max="6411" width="15.5703125" customWidth="1"/>
    <col min="6412" max="6412" width="8" customWidth="1"/>
    <col min="6413" max="6414" width="9" customWidth="1"/>
    <col min="6415" max="6415" width="10.5703125" customWidth="1"/>
    <col min="6416" max="6416" width="8.5703125" customWidth="1"/>
    <col min="6417" max="6417" width="11.28515625" customWidth="1"/>
    <col min="6418" max="6418" width="13" customWidth="1"/>
    <col min="6660" max="6660" width="12.7109375" customWidth="1"/>
    <col min="6661" max="6661" width="7.5703125" customWidth="1"/>
    <col min="6662" max="6663" width="6.85546875" customWidth="1"/>
    <col min="6664" max="6664" width="13.42578125" customWidth="1"/>
    <col min="6665" max="6665" width="9.28515625" customWidth="1"/>
    <col min="6666" max="6666" width="14" customWidth="1"/>
    <col min="6667" max="6667" width="15.5703125" customWidth="1"/>
    <col min="6668" max="6668" width="8" customWidth="1"/>
    <col min="6669" max="6670" width="9" customWidth="1"/>
    <col min="6671" max="6671" width="10.5703125" customWidth="1"/>
    <col min="6672" max="6672" width="8.5703125" customWidth="1"/>
    <col min="6673" max="6673" width="11.28515625" customWidth="1"/>
    <col min="6674" max="6674" width="13" customWidth="1"/>
    <col min="6916" max="6916" width="12.7109375" customWidth="1"/>
    <col min="6917" max="6917" width="7.5703125" customWidth="1"/>
    <col min="6918" max="6919" width="6.85546875" customWidth="1"/>
    <col min="6920" max="6920" width="13.42578125" customWidth="1"/>
    <col min="6921" max="6921" width="9.28515625" customWidth="1"/>
    <col min="6922" max="6922" width="14" customWidth="1"/>
    <col min="6923" max="6923" width="15.5703125" customWidth="1"/>
    <col min="6924" max="6924" width="8" customWidth="1"/>
    <col min="6925" max="6926" width="9" customWidth="1"/>
    <col min="6927" max="6927" width="10.5703125" customWidth="1"/>
    <col min="6928" max="6928" width="8.5703125" customWidth="1"/>
    <col min="6929" max="6929" width="11.28515625" customWidth="1"/>
    <col min="6930" max="6930" width="13" customWidth="1"/>
    <col min="7172" max="7172" width="12.7109375" customWidth="1"/>
    <col min="7173" max="7173" width="7.5703125" customWidth="1"/>
    <col min="7174" max="7175" width="6.85546875" customWidth="1"/>
    <col min="7176" max="7176" width="13.42578125" customWidth="1"/>
    <col min="7177" max="7177" width="9.28515625" customWidth="1"/>
    <col min="7178" max="7178" width="14" customWidth="1"/>
    <col min="7179" max="7179" width="15.5703125" customWidth="1"/>
    <col min="7180" max="7180" width="8" customWidth="1"/>
    <col min="7181" max="7182" width="9" customWidth="1"/>
    <col min="7183" max="7183" width="10.5703125" customWidth="1"/>
    <col min="7184" max="7184" width="8.5703125" customWidth="1"/>
    <col min="7185" max="7185" width="11.28515625" customWidth="1"/>
    <col min="7186" max="7186" width="13" customWidth="1"/>
    <col min="7428" max="7428" width="12.7109375" customWidth="1"/>
    <col min="7429" max="7429" width="7.5703125" customWidth="1"/>
    <col min="7430" max="7431" width="6.85546875" customWidth="1"/>
    <col min="7432" max="7432" width="13.42578125" customWidth="1"/>
    <col min="7433" max="7433" width="9.28515625" customWidth="1"/>
    <col min="7434" max="7434" width="14" customWidth="1"/>
    <col min="7435" max="7435" width="15.5703125" customWidth="1"/>
    <col min="7436" max="7436" width="8" customWidth="1"/>
    <col min="7437" max="7438" width="9" customWidth="1"/>
    <col min="7439" max="7439" width="10.5703125" customWidth="1"/>
    <col min="7440" max="7440" width="8.5703125" customWidth="1"/>
    <col min="7441" max="7441" width="11.28515625" customWidth="1"/>
    <col min="7442" max="7442" width="13" customWidth="1"/>
    <col min="7684" max="7684" width="12.7109375" customWidth="1"/>
    <col min="7685" max="7685" width="7.5703125" customWidth="1"/>
    <col min="7686" max="7687" width="6.85546875" customWidth="1"/>
    <col min="7688" max="7688" width="13.42578125" customWidth="1"/>
    <col min="7689" max="7689" width="9.28515625" customWidth="1"/>
    <col min="7690" max="7690" width="14" customWidth="1"/>
    <col min="7691" max="7691" width="15.5703125" customWidth="1"/>
    <col min="7692" max="7692" width="8" customWidth="1"/>
    <col min="7693" max="7694" width="9" customWidth="1"/>
    <col min="7695" max="7695" width="10.5703125" customWidth="1"/>
    <col min="7696" max="7696" width="8.5703125" customWidth="1"/>
    <col min="7697" max="7697" width="11.28515625" customWidth="1"/>
    <col min="7698" max="7698" width="13" customWidth="1"/>
    <col min="7940" max="7940" width="12.7109375" customWidth="1"/>
    <col min="7941" max="7941" width="7.5703125" customWidth="1"/>
    <col min="7942" max="7943" width="6.85546875" customWidth="1"/>
    <col min="7944" max="7944" width="13.42578125" customWidth="1"/>
    <col min="7945" max="7945" width="9.28515625" customWidth="1"/>
    <col min="7946" max="7946" width="14" customWidth="1"/>
    <col min="7947" max="7947" width="15.5703125" customWidth="1"/>
    <col min="7948" max="7948" width="8" customWidth="1"/>
    <col min="7949" max="7950" width="9" customWidth="1"/>
    <col min="7951" max="7951" width="10.5703125" customWidth="1"/>
    <col min="7952" max="7952" width="8.5703125" customWidth="1"/>
    <col min="7953" max="7953" width="11.28515625" customWidth="1"/>
    <col min="7954" max="7954" width="13" customWidth="1"/>
    <col min="8196" max="8196" width="12.7109375" customWidth="1"/>
    <col min="8197" max="8197" width="7.5703125" customWidth="1"/>
    <col min="8198" max="8199" width="6.85546875" customWidth="1"/>
    <col min="8200" max="8200" width="13.42578125" customWidth="1"/>
    <col min="8201" max="8201" width="9.28515625" customWidth="1"/>
    <col min="8202" max="8202" width="14" customWidth="1"/>
    <col min="8203" max="8203" width="15.5703125" customWidth="1"/>
    <col min="8204" max="8204" width="8" customWidth="1"/>
    <col min="8205" max="8206" width="9" customWidth="1"/>
    <col min="8207" max="8207" width="10.5703125" customWidth="1"/>
    <col min="8208" max="8208" width="8.5703125" customWidth="1"/>
    <col min="8209" max="8209" width="11.28515625" customWidth="1"/>
    <col min="8210" max="8210" width="13" customWidth="1"/>
    <col min="8452" max="8452" width="12.7109375" customWidth="1"/>
    <col min="8453" max="8453" width="7.5703125" customWidth="1"/>
    <col min="8454" max="8455" width="6.85546875" customWidth="1"/>
    <col min="8456" max="8456" width="13.42578125" customWidth="1"/>
    <col min="8457" max="8457" width="9.28515625" customWidth="1"/>
    <col min="8458" max="8458" width="14" customWidth="1"/>
    <col min="8459" max="8459" width="15.5703125" customWidth="1"/>
    <col min="8460" max="8460" width="8" customWidth="1"/>
    <col min="8461" max="8462" width="9" customWidth="1"/>
    <col min="8463" max="8463" width="10.5703125" customWidth="1"/>
    <col min="8464" max="8464" width="8.5703125" customWidth="1"/>
    <col min="8465" max="8465" width="11.28515625" customWidth="1"/>
    <col min="8466" max="8466" width="13" customWidth="1"/>
    <col min="8708" max="8708" width="12.7109375" customWidth="1"/>
    <col min="8709" max="8709" width="7.5703125" customWidth="1"/>
    <col min="8710" max="8711" width="6.85546875" customWidth="1"/>
    <col min="8712" max="8712" width="13.42578125" customWidth="1"/>
    <col min="8713" max="8713" width="9.28515625" customWidth="1"/>
    <col min="8714" max="8714" width="14" customWidth="1"/>
    <col min="8715" max="8715" width="15.5703125" customWidth="1"/>
    <col min="8716" max="8716" width="8" customWidth="1"/>
    <col min="8717" max="8718" width="9" customWidth="1"/>
    <col min="8719" max="8719" width="10.5703125" customWidth="1"/>
    <col min="8720" max="8720" width="8.5703125" customWidth="1"/>
    <col min="8721" max="8721" width="11.28515625" customWidth="1"/>
    <col min="8722" max="8722" width="13" customWidth="1"/>
    <col min="8964" max="8964" width="12.7109375" customWidth="1"/>
    <col min="8965" max="8965" width="7.5703125" customWidth="1"/>
    <col min="8966" max="8967" width="6.85546875" customWidth="1"/>
    <col min="8968" max="8968" width="13.42578125" customWidth="1"/>
    <col min="8969" max="8969" width="9.28515625" customWidth="1"/>
    <col min="8970" max="8970" width="14" customWidth="1"/>
    <col min="8971" max="8971" width="15.5703125" customWidth="1"/>
    <col min="8972" max="8972" width="8" customWidth="1"/>
    <col min="8973" max="8974" width="9" customWidth="1"/>
    <col min="8975" max="8975" width="10.5703125" customWidth="1"/>
    <col min="8976" max="8976" width="8.5703125" customWidth="1"/>
    <col min="8977" max="8977" width="11.28515625" customWidth="1"/>
    <col min="8978" max="8978" width="13" customWidth="1"/>
    <col min="9220" max="9220" width="12.7109375" customWidth="1"/>
    <col min="9221" max="9221" width="7.5703125" customWidth="1"/>
    <col min="9222" max="9223" width="6.85546875" customWidth="1"/>
    <col min="9224" max="9224" width="13.42578125" customWidth="1"/>
    <col min="9225" max="9225" width="9.28515625" customWidth="1"/>
    <col min="9226" max="9226" width="14" customWidth="1"/>
    <col min="9227" max="9227" width="15.5703125" customWidth="1"/>
    <col min="9228" max="9228" width="8" customWidth="1"/>
    <col min="9229" max="9230" width="9" customWidth="1"/>
    <col min="9231" max="9231" width="10.5703125" customWidth="1"/>
    <col min="9232" max="9232" width="8.5703125" customWidth="1"/>
    <col min="9233" max="9233" width="11.28515625" customWidth="1"/>
    <col min="9234" max="9234" width="13" customWidth="1"/>
    <col min="9476" max="9476" width="12.7109375" customWidth="1"/>
    <col min="9477" max="9477" width="7.5703125" customWidth="1"/>
    <col min="9478" max="9479" width="6.85546875" customWidth="1"/>
    <col min="9480" max="9480" width="13.42578125" customWidth="1"/>
    <col min="9481" max="9481" width="9.28515625" customWidth="1"/>
    <col min="9482" max="9482" width="14" customWidth="1"/>
    <col min="9483" max="9483" width="15.5703125" customWidth="1"/>
    <col min="9484" max="9484" width="8" customWidth="1"/>
    <col min="9485" max="9486" width="9" customWidth="1"/>
    <col min="9487" max="9487" width="10.5703125" customWidth="1"/>
    <col min="9488" max="9488" width="8.5703125" customWidth="1"/>
    <col min="9489" max="9489" width="11.28515625" customWidth="1"/>
    <col min="9490" max="9490" width="13" customWidth="1"/>
    <col min="9732" max="9732" width="12.7109375" customWidth="1"/>
    <col min="9733" max="9733" width="7.5703125" customWidth="1"/>
    <col min="9734" max="9735" width="6.85546875" customWidth="1"/>
    <col min="9736" max="9736" width="13.42578125" customWidth="1"/>
    <col min="9737" max="9737" width="9.28515625" customWidth="1"/>
    <col min="9738" max="9738" width="14" customWidth="1"/>
    <col min="9739" max="9739" width="15.5703125" customWidth="1"/>
    <col min="9740" max="9740" width="8" customWidth="1"/>
    <col min="9741" max="9742" width="9" customWidth="1"/>
    <col min="9743" max="9743" width="10.5703125" customWidth="1"/>
    <col min="9744" max="9744" width="8.5703125" customWidth="1"/>
    <col min="9745" max="9745" width="11.28515625" customWidth="1"/>
    <col min="9746" max="9746" width="13" customWidth="1"/>
    <col min="9988" max="9988" width="12.7109375" customWidth="1"/>
    <col min="9989" max="9989" width="7.5703125" customWidth="1"/>
    <col min="9990" max="9991" width="6.85546875" customWidth="1"/>
    <col min="9992" max="9992" width="13.42578125" customWidth="1"/>
    <col min="9993" max="9993" width="9.28515625" customWidth="1"/>
    <col min="9994" max="9994" width="14" customWidth="1"/>
    <col min="9995" max="9995" width="15.5703125" customWidth="1"/>
    <col min="9996" max="9996" width="8" customWidth="1"/>
    <col min="9997" max="9998" width="9" customWidth="1"/>
    <col min="9999" max="9999" width="10.5703125" customWidth="1"/>
    <col min="10000" max="10000" width="8.5703125" customWidth="1"/>
    <col min="10001" max="10001" width="11.28515625" customWidth="1"/>
    <col min="10002" max="10002" width="13" customWidth="1"/>
    <col min="10244" max="10244" width="12.7109375" customWidth="1"/>
    <col min="10245" max="10245" width="7.5703125" customWidth="1"/>
    <col min="10246" max="10247" width="6.85546875" customWidth="1"/>
    <col min="10248" max="10248" width="13.42578125" customWidth="1"/>
    <col min="10249" max="10249" width="9.28515625" customWidth="1"/>
    <col min="10250" max="10250" width="14" customWidth="1"/>
    <col min="10251" max="10251" width="15.5703125" customWidth="1"/>
    <col min="10252" max="10252" width="8" customWidth="1"/>
    <col min="10253" max="10254" width="9" customWidth="1"/>
    <col min="10255" max="10255" width="10.5703125" customWidth="1"/>
    <col min="10256" max="10256" width="8.5703125" customWidth="1"/>
    <col min="10257" max="10257" width="11.28515625" customWidth="1"/>
    <col min="10258" max="10258" width="13" customWidth="1"/>
    <col min="10500" max="10500" width="12.7109375" customWidth="1"/>
    <col min="10501" max="10501" width="7.5703125" customWidth="1"/>
    <col min="10502" max="10503" width="6.85546875" customWidth="1"/>
    <col min="10504" max="10504" width="13.42578125" customWidth="1"/>
    <col min="10505" max="10505" width="9.28515625" customWidth="1"/>
    <col min="10506" max="10506" width="14" customWidth="1"/>
    <col min="10507" max="10507" width="15.5703125" customWidth="1"/>
    <col min="10508" max="10508" width="8" customWidth="1"/>
    <col min="10509" max="10510" width="9" customWidth="1"/>
    <col min="10511" max="10511" width="10.5703125" customWidth="1"/>
    <col min="10512" max="10512" width="8.5703125" customWidth="1"/>
    <col min="10513" max="10513" width="11.28515625" customWidth="1"/>
    <col min="10514" max="10514" width="13" customWidth="1"/>
    <col min="10756" max="10756" width="12.7109375" customWidth="1"/>
    <col min="10757" max="10757" width="7.5703125" customWidth="1"/>
    <col min="10758" max="10759" width="6.85546875" customWidth="1"/>
    <col min="10760" max="10760" width="13.42578125" customWidth="1"/>
    <col min="10761" max="10761" width="9.28515625" customWidth="1"/>
    <col min="10762" max="10762" width="14" customWidth="1"/>
    <col min="10763" max="10763" width="15.5703125" customWidth="1"/>
    <col min="10764" max="10764" width="8" customWidth="1"/>
    <col min="10765" max="10766" width="9" customWidth="1"/>
    <col min="10767" max="10767" width="10.5703125" customWidth="1"/>
    <col min="10768" max="10768" width="8.5703125" customWidth="1"/>
    <col min="10769" max="10769" width="11.28515625" customWidth="1"/>
    <col min="10770" max="10770" width="13" customWidth="1"/>
    <col min="11012" max="11012" width="12.7109375" customWidth="1"/>
    <col min="11013" max="11013" width="7.5703125" customWidth="1"/>
    <col min="11014" max="11015" width="6.85546875" customWidth="1"/>
    <col min="11016" max="11016" width="13.42578125" customWidth="1"/>
    <col min="11017" max="11017" width="9.28515625" customWidth="1"/>
    <col min="11018" max="11018" width="14" customWidth="1"/>
    <col min="11019" max="11019" width="15.5703125" customWidth="1"/>
    <col min="11020" max="11020" width="8" customWidth="1"/>
    <col min="11021" max="11022" width="9" customWidth="1"/>
    <col min="11023" max="11023" width="10.5703125" customWidth="1"/>
    <col min="11024" max="11024" width="8.5703125" customWidth="1"/>
    <col min="11025" max="11025" width="11.28515625" customWidth="1"/>
    <col min="11026" max="11026" width="13" customWidth="1"/>
    <col min="11268" max="11268" width="12.7109375" customWidth="1"/>
    <col min="11269" max="11269" width="7.5703125" customWidth="1"/>
    <col min="11270" max="11271" width="6.85546875" customWidth="1"/>
    <col min="11272" max="11272" width="13.42578125" customWidth="1"/>
    <col min="11273" max="11273" width="9.28515625" customWidth="1"/>
    <col min="11274" max="11274" width="14" customWidth="1"/>
    <col min="11275" max="11275" width="15.5703125" customWidth="1"/>
    <col min="11276" max="11276" width="8" customWidth="1"/>
    <col min="11277" max="11278" width="9" customWidth="1"/>
    <col min="11279" max="11279" width="10.5703125" customWidth="1"/>
    <col min="11280" max="11280" width="8.5703125" customWidth="1"/>
    <col min="11281" max="11281" width="11.28515625" customWidth="1"/>
    <col min="11282" max="11282" width="13" customWidth="1"/>
    <col min="11524" max="11524" width="12.7109375" customWidth="1"/>
    <col min="11525" max="11525" width="7.5703125" customWidth="1"/>
    <col min="11526" max="11527" width="6.85546875" customWidth="1"/>
    <col min="11528" max="11528" width="13.42578125" customWidth="1"/>
    <col min="11529" max="11529" width="9.28515625" customWidth="1"/>
    <col min="11530" max="11530" width="14" customWidth="1"/>
    <col min="11531" max="11531" width="15.5703125" customWidth="1"/>
    <col min="11532" max="11532" width="8" customWidth="1"/>
    <col min="11533" max="11534" width="9" customWidth="1"/>
    <col min="11535" max="11535" width="10.5703125" customWidth="1"/>
    <col min="11536" max="11536" width="8.5703125" customWidth="1"/>
    <col min="11537" max="11537" width="11.28515625" customWidth="1"/>
    <col min="11538" max="11538" width="13" customWidth="1"/>
    <col min="11780" max="11780" width="12.7109375" customWidth="1"/>
    <col min="11781" max="11781" width="7.5703125" customWidth="1"/>
    <col min="11782" max="11783" width="6.85546875" customWidth="1"/>
    <col min="11784" max="11784" width="13.42578125" customWidth="1"/>
    <col min="11785" max="11785" width="9.28515625" customWidth="1"/>
    <col min="11786" max="11786" width="14" customWidth="1"/>
    <col min="11787" max="11787" width="15.5703125" customWidth="1"/>
    <col min="11788" max="11788" width="8" customWidth="1"/>
    <col min="11789" max="11790" width="9" customWidth="1"/>
    <col min="11791" max="11791" width="10.5703125" customWidth="1"/>
    <col min="11792" max="11792" width="8.5703125" customWidth="1"/>
    <col min="11793" max="11793" width="11.28515625" customWidth="1"/>
    <col min="11794" max="11794" width="13" customWidth="1"/>
    <col min="12036" max="12036" width="12.7109375" customWidth="1"/>
    <col min="12037" max="12037" width="7.5703125" customWidth="1"/>
    <col min="12038" max="12039" width="6.85546875" customWidth="1"/>
    <col min="12040" max="12040" width="13.42578125" customWidth="1"/>
    <col min="12041" max="12041" width="9.28515625" customWidth="1"/>
    <col min="12042" max="12042" width="14" customWidth="1"/>
    <col min="12043" max="12043" width="15.5703125" customWidth="1"/>
    <col min="12044" max="12044" width="8" customWidth="1"/>
    <col min="12045" max="12046" width="9" customWidth="1"/>
    <col min="12047" max="12047" width="10.5703125" customWidth="1"/>
    <col min="12048" max="12048" width="8.5703125" customWidth="1"/>
    <col min="12049" max="12049" width="11.28515625" customWidth="1"/>
    <col min="12050" max="12050" width="13" customWidth="1"/>
    <col min="12292" max="12292" width="12.7109375" customWidth="1"/>
    <col min="12293" max="12293" width="7.5703125" customWidth="1"/>
    <col min="12294" max="12295" width="6.85546875" customWidth="1"/>
    <col min="12296" max="12296" width="13.42578125" customWidth="1"/>
    <col min="12297" max="12297" width="9.28515625" customWidth="1"/>
    <col min="12298" max="12298" width="14" customWidth="1"/>
    <col min="12299" max="12299" width="15.5703125" customWidth="1"/>
    <col min="12300" max="12300" width="8" customWidth="1"/>
    <col min="12301" max="12302" width="9" customWidth="1"/>
    <col min="12303" max="12303" width="10.5703125" customWidth="1"/>
    <col min="12304" max="12304" width="8.5703125" customWidth="1"/>
    <col min="12305" max="12305" width="11.28515625" customWidth="1"/>
    <col min="12306" max="12306" width="13" customWidth="1"/>
    <col min="12548" max="12548" width="12.7109375" customWidth="1"/>
    <col min="12549" max="12549" width="7.5703125" customWidth="1"/>
    <col min="12550" max="12551" width="6.85546875" customWidth="1"/>
    <col min="12552" max="12552" width="13.42578125" customWidth="1"/>
    <col min="12553" max="12553" width="9.28515625" customWidth="1"/>
    <col min="12554" max="12554" width="14" customWidth="1"/>
    <col min="12555" max="12555" width="15.5703125" customWidth="1"/>
    <col min="12556" max="12556" width="8" customWidth="1"/>
    <col min="12557" max="12558" width="9" customWidth="1"/>
    <col min="12559" max="12559" width="10.5703125" customWidth="1"/>
    <col min="12560" max="12560" width="8.5703125" customWidth="1"/>
    <col min="12561" max="12561" width="11.28515625" customWidth="1"/>
    <col min="12562" max="12562" width="13" customWidth="1"/>
    <col min="12804" max="12804" width="12.7109375" customWidth="1"/>
    <col min="12805" max="12805" width="7.5703125" customWidth="1"/>
    <col min="12806" max="12807" width="6.85546875" customWidth="1"/>
    <col min="12808" max="12808" width="13.42578125" customWidth="1"/>
    <col min="12809" max="12809" width="9.28515625" customWidth="1"/>
    <col min="12810" max="12810" width="14" customWidth="1"/>
    <col min="12811" max="12811" width="15.5703125" customWidth="1"/>
    <col min="12812" max="12812" width="8" customWidth="1"/>
    <col min="12813" max="12814" width="9" customWidth="1"/>
    <col min="12815" max="12815" width="10.5703125" customWidth="1"/>
    <col min="12816" max="12816" width="8.5703125" customWidth="1"/>
    <col min="12817" max="12817" width="11.28515625" customWidth="1"/>
    <col min="12818" max="12818" width="13" customWidth="1"/>
    <col min="13060" max="13060" width="12.7109375" customWidth="1"/>
    <col min="13061" max="13061" width="7.5703125" customWidth="1"/>
    <col min="13062" max="13063" width="6.85546875" customWidth="1"/>
    <col min="13064" max="13064" width="13.42578125" customWidth="1"/>
    <col min="13065" max="13065" width="9.28515625" customWidth="1"/>
    <col min="13066" max="13066" width="14" customWidth="1"/>
    <col min="13067" max="13067" width="15.5703125" customWidth="1"/>
    <col min="13068" max="13068" width="8" customWidth="1"/>
    <col min="13069" max="13070" width="9" customWidth="1"/>
    <col min="13071" max="13071" width="10.5703125" customWidth="1"/>
    <col min="13072" max="13072" width="8.5703125" customWidth="1"/>
    <col min="13073" max="13073" width="11.28515625" customWidth="1"/>
    <col min="13074" max="13074" width="13" customWidth="1"/>
    <col min="13316" max="13316" width="12.7109375" customWidth="1"/>
    <col min="13317" max="13317" width="7.5703125" customWidth="1"/>
    <col min="13318" max="13319" width="6.85546875" customWidth="1"/>
    <col min="13320" max="13320" width="13.42578125" customWidth="1"/>
    <col min="13321" max="13321" width="9.28515625" customWidth="1"/>
    <col min="13322" max="13322" width="14" customWidth="1"/>
    <col min="13323" max="13323" width="15.5703125" customWidth="1"/>
    <col min="13324" max="13324" width="8" customWidth="1"/>
    <col min="13325" max="13326" width="9" customWidth="1"/>
    <col min="13327" max="13327" width="10.5703125" customWidth="1"/>
    <col min="13328" max="13328" width="8.5703125" customWidth="1"/>
    <col min="13329" max="13329" width="11.28515625" customWidth="1"/>
    <col min="13330" max="13330" width="13" customWidth="1"/>
    <col min="13572" max="13572" width="12.7109375" customWidth="1"/>
    <col min="13573" max="13573" width="7.5703125" customWidth="1"/>
    <col min="13574" max="13575" width="6.85546875" customWidth="1"/>
    <col min="13576" max="13576" width="13.42578125" customWidth="1"/>
    <col min="13577" max="13577" width="9.28515625" customWidth="1"/>
    <col min="13578" max="13578" width="14" customWidth="1"/>
    <col min="13579" max="13579" width="15.5703125" customWidth="1"/>
    <col min="13580" max="13580" width="8" customWidth="1"/>
    <col min="13581" max="13582" width="9" customWidth="1"/>
    <col min="13583" max="13583" width="10.5703125" customWidth="1"/>
    <col min="13584" max="13584" width="8.5703125" customWidth="1"/>
    <col min="13585" max="13585" width="11.28515625" customWidth="1"/>
    <col min="13586" max="13586" width="13" customWidth="1"/>
    <col min="13828" max="13828" width="12.7109375" customWidth="1"/>
    <col min="13829" max="13829" width="7.5703125" customWidth="1"/>
    <col min="13830" max="13831" width="6.85546875" customWidth="1"/>
    <col min="13832" max="13832" width="13.42578125" customWidth="1"/>
    <col min="13833" max="13833" width="9.28515625" customWidth="1"/>
    <col min="13834" max="13834" width="14" customWidth="1"/>
    <col min="13835" max="13835" width="15.5703125" customWidth="1"/>
    <col min="13836" max="13836" width="8" customWidth="1"/>
    <col min="13837" max="13838" width="9" customWidth="1"/>
    <col min="13839" max="13839" width="10.5703125" customWidth="1"/>
    <col min="13840" max="13840" width="8.5703125" customWidth="1"/>
    <col min="13841" max="13841" width="11.28515625" customWidth="1"/>
    <col min="13842" max="13842" width="13" customWidth="1"/>
    <col min="14084" max="14084" width="12.7109375" customWidth="1"/>
    <col min="14085" max="14085" width="7.5703125" customWidth="1"/>
    <col min="14086" max="14087" width="6.85546875" customWidth="1"/>
    <col min="14088" max="14088" width="13.42578125" customWidth="1"/>
    <col min="14089" max="14089" width="9.28515625" customWidth="1"/>
    <col min="14090" max="14090" width="14" customWidth="1"/>
    <col min="14091" max="14091" width="15.5703125" customWidth="1"/>
    <col min="14092" max="14092" width="8" customWidth="1"/>
    <col min="14093" max="14094" width="9" customWidth="1"/>
    <col min="14095" max="14095" width="10.5703125" customWidth="1"/>
    <col min="14096" max="14096" width="8.5703125" customWidth="1"/>
    <col min="14097" max="14097" width="11.28515625" customWidth="1"/>
    <col min="14098" max="14098" width="13" customWidth="1"/>
    <col min="14340" max="14340" width="12.7109375" customWidth="1"/>
    <col min="14341" max="14341" width="7.5703125" customWidth="1"/>
    <col min="14342" max="14343" width="6.85546875" customWidth="1"/>
    <col min="14344" max="14344" width="13.42578125" customWidth="1"/>
    <col min="14345" max="14345" width="9.28515625" customWidth="1"/>
    <col min="14346" max="14346" width="14" customWidth="1"/>
    <col min="14347" max="14347" width="15.5703125" customWidth="1"/>
    <col min="14348" max="14348" width="8" customWidth="1"/>
    <col min="14349" max="14350" width="9" customWidth="1"/>
    <col min="14351" max="14351" width="10.5703125" customWidth="1"/>
    <col min="14352" max="14352" width="8.5703125" customWidth="1"/>
    <col min="14353" max="14353" width="11.28515625" customWidth="1"/>
    <col min="14354" max="14354" width="13" customWidth="1"/>
    <col min="14596" max="14596" width="12.7109375" customWidth="1"/>
    <col min="14597" max="14597" width="7.5703125" customWidth="1"/>
    <col min="14598" max="14599" width="6.85546875" customWidth="1"/>
    <col min="14600" max="14600" width="13.42578125" customWidth="1"/>
    <col min="14601" max="14601" width="9.28515625" customWidth="1"/>
    <col min="14602" max="14602" width="14" customWidth="1"/>
    <col min="14603" max="14603" width="15.5703125" customWidth="1"/>
    <col min="14604" max="14604" width="8" customWidth="1"/>
    <col min="14605" max="14606" width="9" customWidth="1"/>
    <col min="14607" max="14607" width="10.5703125" customWidth="1"/>
    <col min="14608" max="14608" width="8.5703125" customWidth="1"/>
    <col min="14609" max="14609" width="11.28515625" customWidth="1"/>
    <col min="14610" max="14610" width="13" customWidth="1"/>
    <col min="14852" max="14852" width="12.7109375" customWidth="1"/>
    <col min="14853" max="14853" width="7.5703125" customWidth="1"/>
    <col min="14854" max="14855" width="6.85546875" customWidth="1"/>
    <col min="14856" max="14856" width="13.42578125" customWidth="1"/>
    <col min="14857" max="14857" width="9.28515625" customWidth="1"/>
    <col min="14858" max="14858" width="14" customWidth="1"/>
    <col min="14859" max="14859" width="15.5703125" customWidth="1"/>
    <col min="14860" max="14860" width="8" customWidth="1"/>
    <col min="14861" max="14862" width="9" customWidth="1"/>
    <col min="14863" max="14863" width="10.5703125" customWidth="1"/>
    <col min="14864" max="14864" width="8.5703125" customWidth="1"/>
    <col min="14865" max="14865" width="11.28515625" customWidth="1"/>
    <col min="14866" max="14866" width="13" customWidth="1"/>
    <col min="15108" max="15108" width="12.7109375" customWidth="1"/>
    <col min="15109" max="15109" width="7.5703125" customWidth="1"/>
    <col min="15110" max="15111" width="6.85546875" customWidth="1"/>
    <col min="15112" max="15112" width="13.42578125" customWidth="1"/>
    <col min="15113" max="15113" width="9.28515625" customWidth="1"/>
    <col min="15114" max="15114" width="14" customWidth="1"/>
    <col min="15115" max="15115" width="15.5703125" customWidth="1"/>
    <col min="15116" max="15116" width="8" customWidth="1"/>
    <col min="15117" max="15118" width="9" customWidth="1"/>
    <col min="15119" max="15119" width="10.5703125" customWidth="1"/>
    <col min="15120" max="15120" width="8.5703125" customWidth="1"/>
    <col min="15121" max="15121" width="11.28515625" customWidth="1"/>
    <col min="15122" max="15122" width="13" customWidth="1"/>
    <col min="15364" max="15364" width="12.7109375" customWidth="1"/>
    <col min="15365" max="15365" width="7.5703125" customWidth="1"/>
    <col min="15366" max="15367" width="6.85546875" customWidth="1"/>
    <col min="15368" max="15368" width="13.42578125" customWidth="1"/>
    <col min="15369" max="15369" width="9.28515625" customWidth="1"/>
    <col min="15370" max="15370" width="14" customWidth="1"/>
    <col min="15371" max="15371" width="15.5703125" customWidth="1"/>
    <col min="15372" max="15372" width="8" customWidth="1"/>
    <col min="15373" max="15374" width="9" customWidth="1"/>
    <col min="15375" max="15375" width="10.5703125" customWidth="1"/>
    <col min="15376" max="15376" width="8.5703125" customWidth="1"/>
    <col min="15377" max="15377" width="11.28515625" customWidth="1"/>
    <col min="15378" max="15378" width="13" customWidth="1"/>
    <col min="15620" max="15620" width="12.7109375" customWidth="1"/>
    <col min="15621" max="15621" width="7.5703125" customWidth="1"/>
    <col min="15622" max="15623" width="6.85546875" customWidth="1"/>
    <col min="15624" max="15624" width="13.42578125" customWidth="1"/>
    <col min="15625" max="15625" width="9.28515625" customWidth="1"/>
    <col min="15626" max="15626" width="14" customWidth="1"/>
    <col min="15627" max="15627" width="15.5703125" customWidth="1"/>
    <col min="15628" max="15628" width="8" customWidth="1"/>
    <col min="15629" max="15630" width="9" customWidth="1"/>
    <col min="15631" max="15631" width="10.5703125" customWidth="1"/>
    <col min="15632" max="15632" width="8.5703125" customWidth="1"/>
    <col min="15633" max="15633" width="11.28515625" customWidth="1"/>
    <col min="15634" max="15634" width="13" customWidth="1"/>
    <col min="15876" max="15876" width="12.7109375" customWidth="1"/>
    <col min="15877" max="15877" width="7.5703125" customWidth="1"/>
    <col min="15878" max="15879" width="6.85546875" customWidth="1"/>
    <col min="15880" max="15880" width="13.42578125" customWidth="1"/>
    <col min="15881" max="15881" width="9.28515625" customWidth="1"/>
    <col min="15882" max="15882" width="14" customWidth="1"/>
    <col min="15883" max="15883" width="15.5703125" customWidth="1"/>
    <col min="15884" max="15884" width="8" customWidth="1"/>
    <col min="15885" max="15886" width="9" customWidth="1"/>
    <col min="15887" max="15887" width="10.5703125" customWidth="1"/>
    <col min="15888" max="15888" width="8.5703125" customWidth="1"/>
    <col min="15889" max="15889" width="11.28515625" customWidth="1"/>
    <col min="15890" max="15890" width="13" customWidth="1"/>
    <col min="16132" max="16132" width="12.7109375" customWidth="1"/>
    <col min="16133" max="16133" width="7.5703125" customWidth="1"/>
    <col min="16134" max="16135" width="6.85546875" customWidth="1"/>
    <col min="16136" max="16136" width="13.42578125" customWidth="1"/>
    <col min="16137" max="16137" width="9.28515625" customWidth="1"/>
    <col min="16138" max="16138" width="14" customWidth="1"/>
    <col min="16139" max="16139" width="15.5703125" customWidth="1"/>
    <col min="16140" max="16140" width="8" customWidth="1"/>
    <col min="16141" max="16142" width="9" customWidth="1"/>
    <col min="16143" max="16143" width="10.5703125" customWidth="1"/>
    <col min="16144" max="16144" width="8.5703125" customWidth="1"/>
    <col min="16145" max="16145" width="11.28515625" customWidth="1"/>
    <col min="16146" max="16146" width="13" customWidth="1"/>
  </cols>
  <sheetData>
    <row r="1" spans="1:144" s="465" customFormat="1" ht="15.75" x14ac:dyDescent="0.25">
      <c r="A1" s="525"/>
      <c r="B1" s="525"/>
      <c r="C1" s="525"/>
      <c r="D1" s="525"/>
      <c r="E1" s="526"/>
      <c r="F1" s="526"/>
      <c r="G1" s="526"/>
      <c r="H1" s="526"/>
      <c r="I1" s="526"/>
      <c r="J1" s="526"/>
      <c r="K1" s="526"/>
      <c r="L1" s="526"/>
    </row>
    <row r="2" spans="1:144" s="527" customFormat="1" x14ac:dyDescent="0.2">
      <c r="E2" s="547" t="s">
        <v>478</v>
      </c>
      <c r="H2"/>
      <c r="I2"/>
      <c r="J2"/>
      <c r="K2"/>
      <c r="L2"/>
      <c r="M2"/>
      <c r="N2"/>
      <c r="O2"/>
      <c r="P2"/>
      <c r="Q2"/>
      <c r="R2"/>
      <c r="S2"/>
      <c r="T2"/>
    </row>
    <row r="3" spans="1:144" s="530" customFormat="1" ht="13.5" hidden="1" customHeight="1" x14ac:dyDescent="0.2">
      <c r="A3" s="528"/>
      <c r="B3" s="528"/>
      <c r="C3" s="528"/>
      <c r="D3" s="528"/>
      <c r="E3" s="528"/>
      <c r="F3" s="528"/>
      <c r="G3" s="528"/>
      <c r="H3" s="528"/>
      <c r="I3" s="528"/>
      <c r="J3" s="528"/>
      <c r="K3" s="528"/>
      <c r="L3" s="528"/>
      <c r="M3" s="529"/>
      <c r="N3" s="529"/>
      <c r="O3" s="529"/>
      <c r="P3" s="529"/>
      <c r="Q3" s="529"/>
      <c r="R3" s="529"/>
    </row>
    <row r="4" spans="1:144" ht="12.75" hidden="1" customHeight="1" x14ac:dyDescent="0.2">
      <c r="F4"/>
      <c r="G4"/>
      <c r="H4"/>
      <c r="I4"/>
      <c r="J4"/>
      <c r="K4"/>
      <c r="L4"/>
      <c r="M4"/>
      <c r="N4"/>
      <c r="O4"/>
      <c r="P4"/>
      <c r="Q4"/>
      <c r="R4"/>
    </row>
    <row r="5" spans="1:144" s="506" customFormat="1" ht="13.5" x14ac:dyDescent="0.2">
      <c r="A5" s="505"/>
      <c r="B5" s="505"/>
      <c r="C5" s="505"/>
      <c r="D5" s="505"/>
      <c r="E5" s="546" t="s">
        <v>477</v>
      </c>
      <c r="F5" s="505"/>
      <c r="G5" s="505"/>
      <c r="H5" s="505"/>
      <c r="I5" s="505"/>
      <c r="J5" s="505"/>
      <c r="K5" s="505"/>
      <c r="L5" s="505"/>
      <c r="M5" s="505"/>
      <c r="N5" s="505"/>
      <c r="O5" s="505"/>
      <c r="P5" s="544"/>
      <c r="Q5" s="545"/>
      <c r="R5" s="545"/>
    </row>
    <row r="7" spans="1:144" x14ac:dyDescent="0.2">
      <c r="H7" s="548">
        <v>38718</v>
      </c>
      <c r="I7" s="548">
        <v>38749</v>
      </c>
      <c r="J7" s="548">
        <v>38777</v>
      </c>
      <c r="K7" s="548">
        <v>38808</v>
      </c>
      <c r="L7" s="548">
        <v>38838</v>
      </c>
      <c r="M7" s="548">
        <v>38869</v>
      </c>
      <c r="N7" s="548">
        <v>38899</v>
      </c>
      <c r="O7" s="548">
        <v>38930</v>
      </c>
      <c r="P7" s="548">
        <v>38961</v>
      </c>
      <c r="Q7" s="548">
        <v>38991</v>
      </c>
      <c r="R7" s="548">
        <v>39022</v>
      </c>
      <c r="S7" s="548">
        <v>39052</v>
      </c>
      <c r="T7" s="548">
        <v>39083</v>
      </c>
      <c r="U7" s="548">
        <v>39114</v>
      </c>
      <c r="V7" s="548">
        <v>39142</v>
      </c>
      <c r="W7" s="548">
        <v>39173</v>
      </c>
      <c r="X7" s="548">
        <v>39203</v>
      </c>
      <c r="Y7" s="548">
        <v>39234</v>
      </c>
      <c r="Z7" s="548">
        <v>39264</v>
      </c>
      <c r="AA7" s="548">
        <v>39295</v>
      </c>
      <c r="AB7" s="548">
        <v>39326</v>
      </c>
      <c r="AC7" s="548">
        <v>39356</v>
      </c>
      <c r="AD7" s="548">
        <v>39387</v>
      </c>
      <c r="AE7" s="548">
        <v>39417</v>
      </c>
      <c r="AF7" s="548">
        <v>39448</v>
      </c>
      <c r="AG7" s="548">
        <v>39479</v>
      </c>
      <c r="AH7" s="548">
        <v>39508</v>
      </c>
      <c r="AI7" s="548">
        <v>39539</v>
      </c>
      <c r="AJ7" s="548">
        <v>39569</v>
      </c>
      <c r="AK7" s="548">
        <v>39600</v>
      </c>
      <c r="AL7" s="548">
        <v>39630</v>
      </c>
      <c r="AM7" s="548">
        <v>39661</v>
      </c>
      <c r="AN7" s="548">
        <v>39692</v>
      </c>
      <c r="AO7" s="548">
        <v>39722</v>
      </c>
      <c r="AP7" s="548">
        <v>39753</v>
      </c>
      <c r="AQ7" s="548">
        <v>39783</v>
      </c>
      <c r="AR7" s="548">
        <v>39814</v>
      </c>
      <c r="AS7" s="548">
        <v>39845</v>
      </c>
      <c r="AT7" s="548">
        <v>39873</v>
      </c>
      <c r="AU7" s="548">
        <v>39904</v>
      </c>
      <c r="AV7" s="548">
        <v>39934</v>
      </c>
      <c r="AW7" s="548">
        <v>39965</v>
      </c>
      <c r="AX7" s="548">
        <v>39995</v>
      </c>
      <c r="AY7" s="548">
        <v>40026</v>
      </c>
      <c r="AZ7" s="548">
        <v>40057</v>
      </c>
      <c r="BA7" s="548">
        <v>40087</v>
      </c>
      <c r="BB7" s="548">
        <v>40118</v>
      </c>
      <c r="BC7" s="548">
        <v>40148</v>
      </c>
      <c r="BD7" s="548">
        <v>40179</v>
      </c>
      <c r="BE7" s="548">
        <v>40210</v>
      </c>
      <c r="BF7" s="548">
        <v>40238</v>
      </c>
      <c r="BG7" s="548">
        <v>40269</v>
      </c>
      <c r="BH7" s="548">
        <v>40299</v>
      </c>
      <c r="BI7" s="548">
        <v>40330</v>
      </c>
      <c r="BJ7" s="548">
        <v>40360</v>
      </c>
      <c r="BK7" s="548">
        <v>40391</v>
      </c>
      <c r="BL7" s="548">
        <v>40422</v>
      </c>
      <c r="BM7" s="548">
        <v>40452</v>
      </c>
      <c r="BN7" s="548">
        <v>40483</v>
      </c>
      <c r="BO7" s="548">
        <v>40513</v>
      </c>
      <c r="BP7" s="548">
        <v>40544</v>
      </c>
      <c r="BQ7" s="548">
        <v>40575</v>
      </c>
      <c r="BR7" s="548">
        <v>40603</v>
      </c>
      <c r="BS7" s="548">
        <v>40634</v>
      </c>
      <c r="BT7" s="548">
        <v>40664</v>
      </c>
      <c r="BU7" s="548">
        <v>40695</v>
      </c>
      <c r="BV7" s="548">
        <v>40725</v>
      </c>
      <c r="BW7" s="548">
        <v>40756</v>
      </c>
      <c r="BX7" s="548">
        <v>40787</v>
      </c>
      <c r="BY7" s="548">
        <v>40817</v>
      </c>
      <c r="BZ7" s="548">
        <v>40848</v>
      </c>
      <c r="CA7" s="548">
        <v>40878</v>
      </c>
      <c r="CB7" s="548">
        <v>40909</v>
      </c>
      <c r="CC7" s="548">
        <v>40940</v>
      </c>
      <c r="CD7" s="548">
        <v>40969</v>
      </c>
      <c r="CE7" s="548">
        <v>41000</v>
      </c>
      <c r="CF7" s="548">
        <v>41030</v>
      </c>
      <c r="CG7" s="548">
        <v>41061</v>
      </c>
      <c r="CH7" s="548">
        <v>41091</v>
      </c>
      <c r="CI7" s="548">
        <v>41122</v>
      </c>
      <c r="CJ7" s="548">
        <v>41153</v>
      </c>
      <c r="CK7" s="548">
        <v>41183</v>
      </c>
      <c r="CL7" s="548">
        <v>41214</v>
      </c>
      <c r="CM7" s="548">
        <v>41244</v>
      </c>
      <c r="CN7" s="548">
        <v>41275</v>
      </c>
      <c r="CO7" s="548">
        <v>41306</v>
      </c>
      <c r="CP7" s="548">
        <v>41334</v>
      </c>
      <c r="CQ7" s="548">
        <v>41365</v>
      </c>
      <c r="CR7" s="548">
        <v>41395</v>
      </c>
      <c r="CS7" s="548">
        <v>41426</v>
      </c>
      <c r="CT7" s="535"/>
      <c r="CU7" s="535"/>
      <c r="CV7" s="535"/>
      <c r="CW7" s="535"/>
      <c r="CX7" s="535"/>
      <c r="CY7" s="523"/>
      <c r="CZ7" s="523"/>
      <c r="DA7" s="523"/>
      <c r="DB7" s="523"/>
      <c r="DC7" s="523"/>
      <c r="DD7" s="523"/>
      <c r="DE7" s="523"/>
      <c r="DF7" s="523"/>
      <c r="DG7" s="523"/>
      <c r="DH7" s="523"/>
      <c r="DI7" s="523"/>
      <c r="DJ7" s="523"/>
      <c r="DK7" s="535"/>
      <c r="DL7" s="536"/>
      <c r="DM7" s="536"/>
      <c r="DN7" s="536"/>
      <c r="DO7" s="536"/>
      <c r="DP7" s="536"/>
      <c r="DQ7" s="536"/>
      <c r="DR7" s="536"/>
      <c r="DS7" s="536"/>
      <c r="DT7" s="536"/>
      <c r="DU7" s="536"/>
      <c r="DV7" s="536"/>
      <c r="DW7" s="535"/>
      <c r="DX7" s="536"/>
      <c r="DY7" s="536"/>
      <c r="DZ7" s="536"/>
      <c r="EA7" s="536"/>
      <c r="EB7" s="536"/>
      <c r="EC7" s="536"/>
      <c r="ED7" s="536"/>
      <c r="EE7" s="536"/>
      <c r="EF7" s="536"/>
      <c r="EG7" s="536"/>
      <c r="EH7" s="536"/>
      <c r="EI7" s="535"/>
      <c r="EJ7" s="536"/>
      <c r="EK7" s="536"/>
      <c r="EL7" s="536"/>
      <c r="EM7" s="536"/>
      <c r="EN7" s="536"/>
    </row>
    <row r="8" spans="1:144" x14ac:dyDescent="0.2">
      <c r="E8" t="s">
        <v>354</v>
      </c>
      <c r="H8" s="531">
        <v>101.76666666666667</v>
      </c>
      <c r="I8" s="531">
        <v>106</v>
      </c>
      <c r="J8" s="531">
        <v>108.36666666666667</v>
      </c>
      <c r="K8" s="531">
        <v>111.76666666666665</v>
      </c>
      <c r="L8" s="533">
        <v>43.618659928352031</v>
      </c>
      <c r="M8" s="533">
        <v>45.416175137080558</v>
      </c>
      <c r="N8" s="533">
        <v>46.43422832992146</v>
      </c>
      <c r="O8" s="533">
        <v>47.916423238796739</v>
      </c>
      <c r="P8" s="533">
        <v>50.542849342532257</v>
      </c>
      <c r="Q8" s="533">
        <v>51.415045769121484</v>
      </c>
      <c r="R8" s="533">
        <v>54.712098707063426</v>
      </c>
      <c r="S8" s="533">
        <v>56.231608785580569</v>
      </c>
      <c r="T8" s="533">
        <v>60.202738292116351</v>
      </c>
      <c r="U8" s="533">
        <v>65.670792465898728</v>
      </c>
      <c r="V8" s="533">
        <v>67.595045937955376</v>
      </c>
      <c r="W8" s="533">
        <v>70.793195375369876</v>
      </c>
      <c r="X8" s="533">
        <v>70.940337917851977</v>
      </c>
      <c r="Y8" s="533">
        <v>71.007609756382848</v>
      </c>
      <c r="Z8" s="533">
        <v>72.687581613711757</v>
      </c>
      <c r="AA8" s="533">
        <v>75.637030313492218</v>
      </c>
      <c r="AB8" s="533">
        <v>76.628799943706156</v>
      </c>
      <c r="AC8" s="534">
        <v>74.822675657770176</v>
      </c>
      <c r="AD8" s="533">
        <v>77.651560478953527</v>
      </c>
      <c r="AE8" s="533">
        <v>79.160351721529537</v>
      </c>
      <c r="AF8" s="533">
        <v>85.227652078992833</v>
      </c>
      <c r="AG8" s="533">
        <v>89.366042114977702</v>
      </c>
      <c r="AH8" s="533">
        <v>93.771495044107454</v>
      </c>
      <c r="AI8" s="533">
        <v>98.036141264414937</v>
      </c>
      <c r="AJ8" s="533">
        <v>100.37737227057414</v>
      </c>
      <c r="AK8" s="533">
        <v>95.713553672822343</v>
      </c>
      <c r="AL8" s="533">
        <v>97.887435963079398</v>
      </c>
      <c r="AM8" s="533">
        <v>110.7</v>
      </c>
      <c r="AN8" s="533">
        <v>113</v>
      </c>
      <c r="AO8" s="533">
        <v>111.6</v>
      </c>
      <c r="AP8" s="533">
        <v>77.651560478953527</v>
      </c>
      <c r="AQ8" s="533">
        <v>79.160351721529537</v>
      </c>
      <c r="AR8" s="533">
        <v>85.227652078992833</v>
      </c>
      <c r="AS8" s="533">
        <v>89.366042114977702</v>
      </c>
      <c r="AT8" s="533">
        <v>93.771495044107454</v>
      </c>
      <c r="AU8" s="533">
        <v>98.036141264414937</v>
      </c>
      <c r="AV8" s="533">
        <v>100.37737227057414</v>
      </c>
      <c r="AW8" s="533">
        <v>95.713553672822343</v>
      </c>
      <c r="AX8" s="533">
        <v>97.887435963079398</v>
      </c>
      <c r="AY8" s="531">
        <v>96.866666666666674</v>
      </c>
      <c r="AZ8" s="531">
        <v>98.600000000000009</v>
      </c>
      <c r="BA8" s="531">
        <v>99.533333333333346</v>
      </c>
      <c r="BB8" s="531"/>
      <c r="BC8" s="531">
        <v>43.315301333397514</v>
      </c>
      <c r="BD8" s="531">
        <v>43.376096582248849</v>
      </c>
      <c r="BE8" s="531">
        <v>44.164581869409716</v>
      </c>
      <c r="BF8" s="531">
        <v>45.156330117142289</v>
      </c>
      <c r="BG8" s="531">
        <v>46.104560394804388</v>
      </c>
      <c r="BH8" s="531">
        <v>44.987634899294996</v>
      </c>
      <c r="BI8" s="531">
        <v>45.458513722902353</v>
      </c>
      <c r="BJ8" s="531">
        <v>46.44320503566442</v>
      </c>
      <c r="BK8" s="531">
        <v>47.4009662311976</v>
      </c>
      <c r="BL8" s="531">
        <v>47.462656058200331</v>
      </c>
      <c r="BM8" s="531">
        <v>48.442816518879845</v>
      </c>
      <c r="BN8" s="531">
        <v>47.843797139310048</v>
      </c>
      <c r="BO8" s="531">
        <v>49.468327451077506</v>
      </c>
      <c r="BP8" s="531">
        <v>50.690680725522434</v>
      </c>
      <c r="BQ8" s="531">
        <v>51.469539850996824</v>
      </c>
      <c r="BR8" s="531">
        <v>51.327029551739685</v>
      </c>
      <c r="BS8" s="531">
        <v>51.722996612985952</v>
      </c>
      <c r="BT8" s="531">
        <v>51.195111142638815</v>
      </c>
      <c r="BU8" s="531">
        <v>54.18022955398316</v>
      </c>
      <c r="BV8" s="531">
        <v>54.172878935539543</v>
      </c>
      <c r="BW8" s="531">
        <v>55.783187631667566</v>
      </c>
      <c r="BX8" s="531">
        <v>55.871938255577497</v>
      </c>
      <c r="BY8" s="531">
        <v>56.640775913753821</v>
      </c>
      <c r="BZ8" s="531">
        <v>56.182112187410404</v>
      </c>
      <c r="CA8" s="531">
        <v>57.860432541319845</v>
      </c>
      <c r="CB8" s="531">
        <v>60.782356977479203</v>
      </c>
      <c r="CC8" s="531">
        <v>61.965425357550018</v>
      </c>
      <c r="CD8" s="531">
        <v>64.49925690667105</v>
      </c>
      <c r="CE8" s="531">
        <v>66.583221328515123</v>
      </c>
      <c r="CF8" s="531">
        <v>65.929899162510011</v>
      </c>
      <c r="CG8" s="531">
        <v>65.9835645185332</v>
      </c>
      <c r="CH8" s="531">
        <v>66.058617250875287</v>
      </c>
      <c r="CI8" s="531">
        <v>70.742956044457614</v>
      </c>
      <c r="CJ8" s="531">
        <v>71.695956522678102</v>
      </c>
      <c r="CK8" s="531">
        <v>71.069163357585055</v>
      </c>
      <c r="CL8" s="531">
        <v>69.614466245846444</v>
      </c>
      <c r="CM8" s="531">
        <v>70.906849465872511</v>
      </c>
      <c r="CN8" s="531">
        <v>70.796899958305985</v>
      </c>
      <c r="CO8" s="531">
        <v>71.11726432937742</v>
      </c>
      <c r="CP8" s="531">
        <v>71.262446511866216</v>
      </c>
      <c r="CQ8" s="531">
        <v>70.921899290034375</v>
      </c>
      <c r="CR8" s="531">
        <v>70.838483467247954</v>
      </c>
      <c r="CS8" s="531">
        <v>71.306158790323238</v>
      </c>
      <c r="CT8" s="531"/>
      <c r="CU8" s="531"/>
      <c r="CV8" s="531"/>
      <c r="CW8" s="531"/>
      <c r="CX8" s="531"/>
      <c r="CY8" s="531"/>
      <c r="CZ8" s="531"/>
      <c r="DA8" s="531"/>
      <c r="DB8" s="531"/>
      <c r="DC8" s="531"/>
      <c r="DD8" s="531"/>
      <c r="DE8" s="531"/>
      <c r="DF8" s="531"/>
      <c r="DG8" s="531"/>
      <c r="DH8" s="531"/>
      <c r="DI8" s="531"/>
      <c r="DJ8" s="531"/>
      <c r="DK8" s="531"/>
      <c r="DL8" s="531"/>
      <c r="DM8" s="531"/>
      <c r="DN8" s="531"/>
      <c r="DO8" s="531"/>
      <c r="DP8" s="531"/>
      <c r="DQ8" s="531"/>
      <c r="DR8" s="531"/>
      <c r="DS8" s="531"/>
      <c r="DT8" s="531"/>
      <c r="DU8" s="531"/>
      <c r="DV8" s="531"/>
      <c r="DW8" s="531"/>
      <c r="DX8" s="531"/>
      <c r="DY8" s="531"/>
      <c r="DZ8" s="531"/>
      <c r="EA8" s="531"/>
      <c r="EB8" s="531"/>
      <c r="EC8" s="531"/>
      <c r="ED8" s="531"/>
      <c r="EE8" s="531"/>
      <c r="EF8" s="535"/>
      <c r="EG8" s="535"/>
      <c r="EH8" s="535"/>
      <c r="EI8" s="531"/>
      <c r="EJ8" s="531"/>
      <c r="EK8" s="531"/>
      <c r="EL8" s="535"/>
      <c r="EM8" s="535"/>
      <c r="EN8" s="535"/>
    </row>
    <row r="9" spans="1:144" x14ac:dyDescent="0.2">
      <c r="E9" t="s">
        <v>355</v>
      </c>
      <c r="H9" s="532">
        <v>32.91274785224239</v>
      </c>
      <c r="I9" s="532">
        <v>32.91274785224239</v>
      </c>
      <c r="J9" s="532">
        <v>33.913346145423994</v>
      </c>
      <c r="K9" s="532">
        <v>33.913346145423994</v>
      </c>
      <c r="L9" s="532">
        <v>33.913346145423994</v>
      </c>
      <c r="M9" s="532">
        <v>33.913346145423994</v>
      </c>
      <c r="N9" s="532">
        <v>40.526066007201848</v>
      </c>
      <c r="O9" s="532">
        <v>40.526066007201848</v>
      </c>
      <c r="P9" s="532">
        <v>40.526066007201848</v>
      </c>
      <c r="Q9" s="532">
        <v>40.689597658639435</v>
      </c>
      <c r="R9" s="532">
        <v>40.689597658639435</v>
      </c>
      <c r="S9" s="532">
        <v>40.689597658639435</v>
      </c>
      <c r="T9" s="532">
        <v>40.689597658639435</v>
      </c>
      <c r="U9" s="532">
        <v>40.607749513122585</v>
      </c>
      <c r="V9" s="532">
        <v>40.955527317993109</v>
      </c>
      <c r="W9" s="532">
        <v>41.708757617285912</v>
      </c>
      <c r="X9" s="532">
        <v>41.708757617285912</v>
      </c>
      <c r="Y9" s="532">
        <v>41.708757617285912</v>
      </c>
      <c r="Z9" s="532">
        <v>41.708757617285912</v>
      </c>
      <c r="AA9" s="532">
        <v>41.708757617285912</v>
      </c>
      <c r="AB9" s="532">
        <v>41.708757617285912</v>
      </c>
      <c r="AC9" s="532">
        <v>41.953068299611814</v>
      </c>
      <c r="AD9" s="532">
        <v>41.953068299611814</v>
      </c>
      <c r="AE9" s="532">
        <v>40.953500566093226</v>
      </c>
      <c r="AF9" s="532">
        <v>40.953500566093226</v>
      </c>
      <c r="AG9" s="532">
        <v>40.953500566093226</v>
      </c>
      <c r="AH9" s="532">
        <v>41.180426683557386</v>
      </c>
      <c r="AI9" s="532">
        <v>41.328154054236037</v>
      </c>
      <c r="AJ9" s="532">
        <v>41.402216350427224</v>
      </c>
      <c r="AK9" s="532">
        <v>41.683191233130565</v>
      </c>
      <c r="AL9" s="532">
        <v>47.964191198686009</v>
      </c>
      <c r="AM9" s="532">
        <v>47.560678096136115</v>
      </c>
      <c r="AN9" s="532">
        <v>47.866136220459275</v>
      </c>
      <c r="AO9" s="532">
        <v>48.662658278183933</v>
      </c>
      <c r="AP9" s="532">
        <v>48.813090545102689</v>
      </c>
      <c r="AQ9" s="532">
        <v>48.813090545102689</v>
      </c>
      <c r="AR9" s="532">
        <v>48.954231473988855</v>
      </c>
      <c r="AS9" s="532">
        <v>49.247551695778817</v>
      </c>
      <c r="AT9" s="532">
        <v>49.105565089464591</v>
      </c>
      <c r="AU9" s="532">
        <v>49.105565089464591</v>
      </c>
      <c r="AV9" s="532">
        <v>48.711594281364626</v>
      </c>
      <c r="AW9" s="532">
        <v>48.711594281364626</v>
      </c>
      <c r="AX9" s="532">
        <v>52.880656558032996</v>
      </c>
      <c r="AY9" s="532">
        <v>52.880656558032996</v>
      </c>
      <c r="AZ9" s="532">
        <v>52.299862318043139</v>
      </c>
      <c r="BA9" s="532">
        <v>57.055685592364135</v>
      </c>
      <c r="BB9" s="532">
        <v>59.315422246383889</v>
      </c>
      <c r="BC9" s="532">
        <v>61.79450696286041</v>
      </c>
      <c r="BD9" s="532">
        <v>61.79450696286041</v>
      </c>
      <c r="BE9" s="532">
        <v>61.973183092878088</v>
      </c>
      <c r="BF9" s="532">
        <v>61.973183092878088</v>
      </c>
      <c r="BG9" s="532">
        <v>61.973183092878088</v>
      </c>
      <c r="BH9" s="532">
        <v>61.973183092878088</v>
      </c>
      <c r="BI9" s="532">
        <v>61.973183092878088</v>
      </c>
      <c r="BJ9" s="532">
        <v>69.589978276245191</v>
      </c>
      <c r="BK9" s="532">
        <v>71.016590119334722</v>
      </c>
      <c r="BL9" s="532">
        <v>69.298112899375226</v>
      </c>
      <c r="BM9" s="532">
        <v>69.298112899375226</v>
      </c>
      <c r="BN9" s="532">
        <v>69.298112899375226</v>
      </c>
      <c r="BO9" s="532">
        <v>69.298112899375226</v>
      </c>
      <c r="BP9" s="532">
        <v>69.298112899375226</v>
      </c>
      <c r="BQ9" s="532">
        <v>69.853428341347922</v>
      </c>
      <c r="BR9" s="532">
        <v>70.032280350537491</v>
      </c>
      <c r="BS9" s="532">
        <v>73.250895385097223</v>
      </c>
      <c r="BT9" s="532">
        <v>73.250895385097223</v>
      </c>
      <c r="BU9" s="532">
        <v>73.250895385097223</v>
      </c>
      <c r="BV9" s="532">
        <v>73.250895385097223</v>
      </c>
      <c r="BW9" s="532">
        <v>73.250895385097223</v>
      </c>
      <c r="BX9" s="532">
        <v>73.944704560393589</v>
      </c>
      <c r="BY9" s="532">
        <v>75.249826560702061</v>
      </c>
      <c r="BZ9" s="532">
        <v>77.035376509862445</v>
      </c>
      <c r="CA9" s="532">
        <v>81.44395111908544</v>
      </c>
      <c r="CB9" s="532">
        <v>80.965359716516275</v>
      </c>
      <c r="CC9" s="532">
        <v>80.974523004129267</v>
      </c>
      <c r="CD9" s="532">
        <v>91.826247236763962</v>
      </c>
      <c r="CE9" s="532">
        <v>95.664315266745092</v>
      </c>
      <c r="CF9" s="532">
        <v>97.129841634408436</v>
      </c>
      <c r="CG9" s="532">
        <v>94.607809466552169</v>
      </c>
      <c r="CH9" s="532">
        <v>99.999999999999929</v>
      </c>
      <c r="CI9" s="532">
        <v>100</v>
      </c>
      <c r="CJ9" s="532">
        <v>100</v>
      </c>
      <c r="CK9" s="523">
        <v>103.6</v>
      </c>
      <c r="CL9" s="523">
        <v>103.8</v>
      </c>
      <c r="CM9" s="523">
        <v>103.8</v>
      </c>
      <c r="CN9" s="532">
        <v>103.8</v>
      </c>
      <c r="CO9" s="532">
        <v>103.7</v>
      </c>
      <c r="CP9" s="532">
        <v>106.3</v>
      </c>
      <c r="CQ9" s="523">
        <v>106.3</v>
      </c>
      <c r="CR9" s="523">
        <v>106.3</v>
      </c>
      <c r="CS9" s="523">
        <v>106.3</v>
      </c>
    </row>
    <row r="10" spans="1:144" x14ac:dyDescent="0.2">
      <c r="E10" t="s">
        <v>356</v>
      </c>
      <c r="H10" s="532">
        <v>53.398388192931769</v>
      </c>
      <c r="I10" s="532">
        <v>53.365669862550739</v>
      </c>
      <c r="J10" s="532">
        <v>53.404292123936536</v>
      </c>
      <c r="K10" s="532">
        <v>54.035328918300387</v>
      </c>
      <c r="L10" s="532">
        <v>54.056292004808228</v>
      </c>
      <c r="M10" s="532">
        <v>54.627620483676651</v>
      </c>
      <c r="N10" s="532">
        <v>54.927511065427069</v>
      </c>
      <c r="O10" s="532">
        <v>55.294296720903546</v>
      </c>
      <c r="P10" s="532">
        <v>55.378624564091396</v>
      </c>
      <c r="Q10" s="532">
        <v>56.442851434492184</v>
      </c>
      <c r="R10" s="532">
        <v>56.630309101512438</v>
      </c>
      <c r="S10" s="532">
        <v>56.223183685865919</v>
      </c>
      <c r="T10" s="532">
        <v>57.444485123748592</v>
      </c>
      <c r="U10" s="532">
        <v>57.196418788584026</v>
      </c>
      <c r="V10" s="532">
        <v>57.560950386340508</v>
      </c>
      <c r="W10" s="532">
        <v>58.044617772951085</v>
      </c>
      <c r="X10" s="532">
        <v>58.151385655500192</v>
      </c>
      <c r="Y10" s="532">
        <v>58.31167470619198</v>
      </c>
      <c r="Z10" s="532">
        <v>58.234155011496171</v>
      </c>
      <c r="AA10" s="532">
        <v>57.961107121034495</v>
      </c>
      <c r="AB10" s="532">
        <v>58.881946869693003</v>
      </c>
      <c r="AC10" s="532">
        <v>60.442624036344093</v>
      </c>
      <c r="AD10" s="532">
        <v>59.764867200200051</v>
      </c>
      <c r="AE10" s="532">
        <v>59.805237924539909</v>
      </c>
      <c r="AF10" s="532">
        <v>61.383187352882601</v>
      </c>
      <c r="AG10" s="532">
        <v>61.563264865735128</v>
      </c>
      <c r="AH10" s="532">
        <v>61.563269260169164</v>
      </c>
      <c r="AI10" s="532">
        <v>60.769297929948607</v>
      </c>
      <c r="AJ10" s="532">
        <v>60.879808118488519</v>
      </c>
      <c r="AK10" s="532">
        <v>63.753235157731758</v>
      </c>
      <c r="AL10" s="532">
        <v>63.788579370817359</v>
      </c>
      <c r="AM10" s="532">
        <v>63.566734930840212</v>
      </c>
      <c r="AN10" s="532">
        <v>65.032174115663295</v>
      </c>
      <c r="AO10" s="532">
        <v>65.673192958257744</v>
      </c>
      <c r="AP10" s="532">
        <v>65.866531508081877</v>
      </c>
      <c r="AQ10" s="532">
        <v>65.982854329145709</v>
      </c>
      <c r="AR10" s="532">
        <v>66.109245781130326</v>
      </c>
      <c r="AS10" s="532">
        <v>66.302645920164167</v>
      </c>
      <c r="AT10" s="532">
        <v>66.60140307678941</v>
      </c>
      <c r="AU10" s="532">
        <v>66.636843604926483</v>
      </c>
      <c r="AV10" s="532">
        <v>66.923849746403633</v>
      </c>
      <c r="AW10" s="532">
        <v>67.086656335927671</v>
      </c>
      <c r="AX10" s="532">
        <v>67.467817799896252</v>
      </c>
      <c r="AY10" s="532">
        <v>67.541658108474749</v>
      </c>
      <c r="AZ10" s="532">
        <v>68.716395935719149</v>
      </c>
      <c r="BA10" s="532">
        <v>68.870019264010438</v>
      </c>
      <c r="BB10" s="532">
        <v>68.948036377415235</v>
      </c>
      <c r="BC10" s="532">
        <v>68.97716172688952</v>
      </c>
      <c r="BD10" s="532">
        <v>69.262339191729964</v>
      </c>
      <c r="BE10" s="532">
        <v>69.866028719839349</v>
      </c>
      <c r="BF10" s="532">
        <v>69.887693701378382</v>
      </c>
      <c r="BG10" s="532">
        <v>70.20471898539499</v>
      </c>
      <c r="BH10" s="532">
        <v>70.20471898539499</v>
      </c>
      <c r="BI10" s="532">
        <v>70.20471898539499</v>
      </c>
      <c r="BJ10" s="532">
        <v>70.446344799516467</v>
      </c>
      <c r="BK10" s="532">
        <v>71.80480084662797</v>
      </c>
      <c r="BL10" s="532">
        <v>72.432682310245383</v>
      </c>
      <c r="BM10" s="532">
        <v>73.393389215257073</v>
      </c>
      <c r="BN10" s="532">
        <v>73.54650851974877</v>
      </c>
      <c r="BO10" s="532">
        <v>73.640227524385693</v>
      </c>
      <c r="BP10" s="532">
        <v>74.705003670373912</v>
      </c>
      <c r="BQ10" s="532">
        <v>75.129283591123169</v>
      </c>
      <c r="BR10" s="532">
        <v>75.246355499107722</v>
      </c>
      <c r="BS10" s="532">
        <v>76.243713835964257</v>
      </c>
      <c r="BT10" s="532">
        <v>77.574040558104514</v>
      </c>
      <c r="BU10" s="532">
        <v>78.145441843699729</v>
      </c>
      <c r="BV10" s="532">
        <v>78.363948766393591</v>
      </c>
      <c r="BW10" s="532">
        <v>84.483765511488301</v>
      </c>
      <c r="BX10" s="532">
        <v>85.333548876556463</v>
      </c>
      <c r="BY10" s="532">
        <v>85.708701386625748</v>
      </c>
      <c r="BZ10" s="532">
        <v>86.940629634149431</v>
      </c>
      <c r="CA10" s="532">
        <v>87.504634244174724</v>
      </c>
      <c r="CB10" s="532">
        <v>87.737235284755485</v>
      </c>
      <c r="CC10" s="532">
        <v>92.485701496943634</v>
      </c>
      <c r="CD10" s="532">
        <v>93.781497568374888</v>
      </c>
      <c r="CE10" s="532">
        <v>94.807220865882741</v>
      </c>
      <c r="CF10" s="532">
        <v>94.973361842867703</v>
      </c>
      <c r="CG10" s="532">
        <v>98.243110021465654</v>
      </c>
      <c r="CH10" s="532">
        <v>99.266479707642659</v>
      </c>
      <c r="CI10" s="532">
        <v>100</v>
      </c>
      <c r="CJ10" s="532">
        <v>101.1775007963207</v>
      </c>
      <c r="CK10" s="523">
        <v>101.9</v>
      </c>
      <c r="CL10" s="523">
        <v>102.6</v>
      </c>
      <c r="CM10" s="523">
        <v>103.5</v>
      </c>
      <c r="CN10" s="532">
        <v>103.7</v>
      </c>
      <c r="CO10" s="532">
        <v>106.3</v>
      </c>
      <c r="CP10" s="532">
        <v>107.5</v>
      </c>
      <c r="CQ10" s="523">
        <v>107.7</v>
      </c>
      <c r="CR10" s="523">
        <v>108.1</v>
      </c>
      <c r="CS10" s="523">
        <v>108.5</v>
      </c>
    </row>
    <row r="11" spans="1:144" x14ac:dyDescent="0.2">
      <c r="E11" t="s">
        <v>357</v>
      </c>
      <c r="H11" s="532">
        <v>52.465893266098341</v>
      </c>
      <c r="I11" s="532">
        <v>52.48355194237211</v>
      </c>
      <c r="J11" s="532">
        <v>52.57711595543946</v>
      </c>
      <c r="K11" s="532">
        <v>55.004041403393259</v>
      </c>
      <c r="L11" s="532">
        <v>55.985727002808503</v>
      </c>
      <c r="M11" s="532">
        <v>56.006451724128695</v>
      </c>
      <c r="N11" s="532">
        <v>56.420457149130293</v>
      </c>
      <c r="O11" s="532">
        <v>56.996364356397464</v>
      </c>
      <c r="P11" s="532">
        <v>58.688073249485562</v>
      </c>
      <c r="Q11" s="532">
        <v>59.101752766504227</v>
      </c>
      <c r="R11" s="532">
        <v>59.198794630732216</v>
      </c>
      <c r="S11" s="532">
        <v>59.198794630732216</v>
      </c>
      <c r="T11" s="532">
        <v>59.955707844836866</v>
      </c>
      <c r="U11" s="532">
        <v>61.328853146858833</v>
      </c>
      <c r="V11" s="532">
        <v>60.542738000251283</v>
      </c>
      <c r="W11" s="532">
        <v>60.654743377296661</v>
      </c>
      <c r="X11" s="532">
        <v>60.654743377296661</v>
      </c>
      <c r="Y11" s="532">
        <v>60.735345598456995</v>
      </c>
      <c r="Z11" s="532">
        <v>61.058194221155375</v>
      </c>
      <c r="AA11" s="532">
        <v>61.204084025853355</v>
      </c>
      <c r="AB11" s="532">
        <v>61.566381524712618</v>
      </c>
      <c r="AC11" s="532">
        <v>61.590486686209758</v>
      </c>
      <c r="AD11" s="532">
        <v>61.610759026702397</v>
      </c>
      <c r="AE11" s="532">
        <v>62.058577422047776</v>
      </c>
      <c r="AF11" s="532">
        <v>62.17509487968421</v>
      </c>
      <c r="AG11" s="532">
        <v>63.395878148762236</v>
      </c>
      <c r="AH11" s="532">
        <v>64.363713134093516</v>
      </c>
      <c r="AI11" s="532">
        <v>64.7511579672301</v>
      </c>
      <c r="AJ11" s="532">
        <v>67.578766803130975</v>
      </c>
      <c r="AK11" s="532">
        <v>68.480723910254241</v>
      </c>
      <c r="AL11" s="532">
        <v>83.253788127778037</v>
      </c>
      <c r="AM11" s="532">
        <v>83.427602754629618</v>
      </c>
      <c r="AN11" s="532">
        <v>84.587317683726454</v>
      </c>
      <c r="AO11" s="532">
        <v>83.947688970320172</v>
      </c>
      <c r="AP11" s="532">
        <v>84.165394991820435</v>
      </c>
      <c r="AQ11" s="532">
        <v>83.195356197530344</v>
      </c>
      <c r="AR11" s="532">
        <v>81.836794576500438</v>
      </c>
      <c r="AS11" s="532">
        <v>80.977328023006422</v>
      </c>
      <c r="AT11" s="532">
        <v>81.003240756173184</v>
      </c>
      <c r="AU11" s="532">
        <v>81.280266961941493</v>
      </c>
      <c r="AV11" s="532">
        <v>81.280266961941493</v>
      </c>
      <c r="AW11" s="532">
        <v>81.243987013221258</v>
      </c>
      <c r="AX11" s="532">
        <v>81.549854593956837</v>
      </c>
      <c r="AY11" s="532">
        <v>81.549854593956837</v>
      </c>
      <c r="AZ11" s="532">
        <v>81.901765599892286</v>
      </c>
      <c r="BA11" s="532">
        <v>82.410460973368927</v>
      </c>
      <c r="BB11" s="532">
        <v>83.13196567559298</v>
      </c>
      <c r="BC11" s="532">
        <v>83.311315323934522</v>
      </c>
      <c r="BD11" s="532">
        <v>83.243348063769687</v>
      </c>
      <c r="BE11" s="532">
        <v>83.588831991468538</v>
      </c>
      <c r="BF11" s="532">
        <v>83.602134646269334</v>
      </c>
      <c r="BG11" s="532">
        <v>84.156607056320127</v>
      </c>
      <c r="BH11" s="532">
        <v>85.150379048768698</v>
      </c>
      <c r="BI11" s="532">
        <v>86.055284664855762</v>
      </c>
      <c r="BJ11" s="532">
        <v>86.854367440186891</v>
      </c>
      <c r="BK11" s="532">
        <v>86.830164754667493</v>
      </c>
      <c r="BL11" s="532">
        <v>86.457765215219439</v>
      </c>
      <c r="BM11" s="532">
        <v>86.457765215219439</v>
      </c>
      <c r="BN11" s="532">
        <v>86.468928329847543</v>
      </c>
      <c r="BO11" s="532">
        <v>86.468928329847543</v>
      </c>
      <c r="BP11" s="532">
        <v>86.860595749391805</v>
      </c>
      <c r="BQ11" s="532">
        <v>87.778446655538076</v>
      </c>
      <c r="BR11" s="532">
        <v>89.913028124773632</v>
      </c>
      <c r="BS11" s="532">
        <v>91.676570375636047</v>
      </c>
      <c r="BT11" s="532">
        <v>92.193044387363159</v>
      </c>
      <c r="BU11" s="532">
        <v>93.034044289923457</v>
      </c>
      <c r="BV11" s="532">
        <v>94.561108015893652</v>
      </c>
      <c r="BW11" s="532">
        <v>95.229482577598318</v>
      </c>
      <c r="BX11" s="532">
        <v>95.159835963258814</v>
      </c>
      <c r="BY11" s="532">
        <v>96.481137374477456</v>
      </c>
      <c r="BZ11" s="532">
        <v>97.344133278751457</v>
      </c>
      <c r="CA11" s="532">
        <v>99.315360735578196</v>
      </c>
      <c r="CB11" s="532">
        <v>100.55149975595275</v>
      </c>
      <c r="CC11" s="532">
        <v>100.18476036482586</v>
      </c>
      <c r="CD11" s="532">
        <v>99.922807205959231</v>
      </c>
      <c r="CE11" s="532">
        <v>101.2</v>
      </c>
      <c r="CF11" s="532">
        <v>100.24424363686656</v>
      </c>
      <c r="CG11" s="532">
        <v>101.29190778570288</v>
      </c>
      <c r="CH11" s="532">
        <v>100.24366397381688</v>
      </c>
      <c r="CI11" s="532">
        <v>100</v>
      </c>
      <c r="CJ11" s="532">
        <v>100.57746409146145</v>
      </c>
      <c r="CK11" s="523">
        <v>101.4</v>
      </c>
      <c r="CL11" s="523">
        <v>101.5</v>
      </c>
      <c r="CM11" s="523">
        <v>100.7</v>
      </c>
      <c r="CN11" s="532">
        <v>101.7</v>
      </c>
      <c r="CO11" s="532">
        <v>104.8</v>
      </c>
      <c r="CP11" s="532">
        <v>104.9</v>
      </c>
      <c r="CQ11" s="523">
        <v>106.3</v>
      </c>
      <c r="CR11" s="523">
        <v>106.4</v>
      </c>
      <c r="CS11" s="523">
        <v>105.6</v>
      </c>
    </row>
    <row r="12" spans="1:144" x14ac:dyDescent="0.2">
      <c r="E12" t="s">
        <v>358</v>
      </c>
      <c r="H12" s="532">
        <v>48.557163036803885</v>
      </c>
      <c r="I12" s="532">
        <v>48.493295215913484</v>
      </c>
      <c r="J12" s="532">
        <v>49.421484735043798</v>
      </c>
      <c r="K12" s="532">
        <v>49.467816611958519</v>
      </c>
      <c r="L12" s="532">
        <v>50.157910161532584</v>
      </c>
      <c r="M12" s="532">
        <v>50.093338380141269</v>
      </c>
      <c r="N12" s="532">
        <v>50.494894214876183</v>
      </c>
      <c r="O12" s="532">
        <v>50.805364314633366</v>
      </c>
      <c r="P12" s="532">
        <v>51.469210270781659</v>
      </c>
      <c r="Q12" s="532">
        <v>52.460412985188178</v>
      </c>
      <c r="R12" s="532">
        <v>52.810948062638644</v>
      </c>
      <c r="S12" s="532">
        <v>52.792547671852212</v>
      </c>
      <c r="T12" s="532">
        <v>53.371503505446597</v>
      </c>
      <c r="U12" s="532">
        <v>53.607673196584038</v>
      </c>
      <c r="V12" s="532">
        <v>54.312354857168074</v>
      </c>
      <c r="W12" s="532">
        <v>55.019773828961384</v>
      </c>
      <c r="X12" s="532">
        <v>55.490859536156172</v>
      </c>
      <c r="Y12" s="532">
        <v>55.535118606241227</v>
      </c>
      <c r="Z12" s="532">
        <v>56.008607955169488</v>
      </c>
      <c r="AA12" s="532">
        <v>56.251438867044214</v>
      </c>
      <c r="AB12" s="532">
        <v>57.06920194460691</v>
      </c>
      <c r="AC12" s="532">
        <v>58.038827385239564</v>
      </c>
      <c r="AD12" s="532">
        <v>58.624923626590935</v>
      </c>
      <c r="AE12" s="532">
        <v>59.399048663515423</v>
      </c>
      <c r="AF12" s="532">
        <v>59.62099608406259</v>
      </c>
      <c r="AG12" s="532">
        <v>59.721426481650667</v>
      </c>
      <c r="AH12" s="532">
        <v>60.839260136485912</v>
      </c>
      <c r="AI12" s="532">
        <v>62.306992626021419</v>
      </c>
      <c r="AJ12" s="532">
        <v>62.411348862234277</v>
      </c>
      <c r="AK12" s="532">
        <v>64.09153884323149</v>
      </c>
      <c r="AL12" s="532">
        <v>63.943151416327481</v>
      </c>
      <c r="AM12" s="532">
        <v>64.266994312694351</v>
      </c>
      <c r="AN12" s="532">
        <v>65.675637840686377</v>
      </c>
      <c r="AO12" s="532">
        <v>65.822377932877373</v>
      </c>
      <c r="AP12" s="532">
        <v>66.139426178986852</v>
      </c>
      <c r="AQ12" s="532">
        <v>66.308152252805328</v>
      </c>
      <c r="AR12" s="532">
        <v>67.258897927495596</v>
      </c>
      <c r="AS12" s="532">
        <v>67.672796145980271</v>
      </c>
      <c r="AT12" s="532">
        <v>67.704936283469664</v>
      </c>
      <c r="AU12" s="532">
        <v>67.93127283197876</v>
      </c>
      <c r="AV12" s="532">
        <v>68.231260792334368</v>
      </c>
      <c r="AW12" s="532">
        <v>68.588457430498622</v>
      </c>
      <c r="AX12" s="532">
        <v>68.739062240330227</v>
      </c>
      <c r="AY12" s="532">
        <v>68.795369811639731</v>
      </c>
      <c r="AZ12" s="532">
        <v>69.027151048021281</v>
      </c>
      <c r="BA12" s="532">
        <v>69.335634989753956</v>
      </c>
      <c r="BB12" s="532">
        <v>69.41826077344794</v>
      </c>
      <c r="BC12" s="532">
        <v>69.680579628285045</v>
      </c>
      <c r="BD12" s="532">
        <v>70.004807677979102</v>
      </c>
      <c r="BE12" s="532">
        <v>70.02298827941047</v>
      </c>
      <c r="BF12" s="532">
        <v>70.038410412749016</v>
      </c>
      <c r="BG12" s="532">
        <v>70.10410683500352</v>
      </c>
      <c r="BH12" s="532">
        <v>70.246670756137391</v>
      </c>
      <c r="BI12" s="532">
        <v>70.584904373893195</v>
      </c>
      <c r="BJ12" s="532">
        <v>71.142814733761796</v>
      </c>
      <c r="BK12" s="532">
        <v>71.181082927772351</v>
      </c>
      <c r="BL12" s="532">
        <v>71.70960361674868</v>
      </c>
      <c r="BM12" s="532">
        <v>72.018488637990302</v>
      </c>
      <c r="BN12" s="532">
        <v>72.203559895559152</v>
      </c>
      <c r="BO12" s="532">
        <v>73.200507713342006</v>
      </c>
      <c r="BP12" s="532">
        <v>73.676976091168399</v>
      </c>
      <c r="BQ12" s="532">
        <v>74.42798338829094</v>
      </c>
      <c r="BR12" s="532">
        <v>75.227999864522289</v>
      </c>
      <c r="BS12" s="532">
        <v>75.684338483510189</v>
      </c>
      <c r="BT12" s="532">
        <v>76.291200706931093</v>
      </c>
      <c r="BU12" s="532">
        <v>76.410170161926217</v>
      </c>
      <c r="BV12" s="532">
        <v>78.25754440401758</v>
      </c>
      <c r="BW12" s="532">
        <v>80.854239845994556</v>
      </c>
      <c r="BX12" s="532">
        <v>83.084456661852613</v>
      </c>
      <c r="BY12" s="532">
        <v>84.623647762096496</v>
      </c>
      <c r="BZ12" s="532">
        <v>85.159239973344512</v>
      </c>
      <c r="CA12" s="532">
        <v>88.31302504659854</v>
      </c>
      <c r="CB12" s="532">
        <v>91.261852924992809</v>
      </c>
      <c r="CC12" s="532">
        <v>93.240416416335975</v>
      </c>
      <c r="CD12" s="532">
        <v>94.732601202358993</v>
      </c>
      <c r="CE12" s="532">
        <v>96</v>
      </c>
      <c r="CF12" s="532">
        <v>96.799832001628161</v>
      </c>
      <c r="CG12" s="532">
        <v>98.890452657846623</v>
      </c>
      <c r="CH12" s="532">
        <v>99.560540636708467</v>
      </c>
      <c r="CI12" s="532">
        <v>100</v>
      </c>
      <c r="CJ12" s="532">
        <v>100.3342390108136</v>
      </c>
      <c r="CK12" s="523">
        <v>100.5</v>
      </c>
      <c r="CL12" s="523">
        <v>102.5</v>
      </c>
      <c r="CM12" s="523">
        <v>102.9</v>
      </c>
      <c r="CN12" s="532">
        <v>102.9</v>
      </c>
      <c r="CO12" s="532">
        <v>103.3</v>
      </c>
      <c r="CP12" s="532">
        <v>103.6</v>
      </c>
      <c r="CQ12" s="523">
        <v>103.7</v>
      </c>
      <c r="CR12" s="523">
        <v>103.7</v>
      </c>
      <c r="CS12" s="523">
        <v>104.3</v>
      </c>
    </row>
    <row r="13" spans="1:144" x14ac:dyDescent="0.2">
      <c r="E13" t="s">
        <v>119</v>
      </c>
      <c r="H13" s="532">
        <v>40.3849843304979</v>
      </c>
      <c r="I13" s="532">
        <v>40.3849843304979</v>
      </c>
      <c r="J13" s="532">
        <v>40.3849843304979</v>
      </c>
      <c r="K13" s="532">
        <v>41.022538865774031</v>
      </c>
      <c r="L13" s="532">
        <v>41.800890771010501</v>
      </c>
      <c r="M13" s="532">
        <v>41.800890771010501</v>
      </c>
      <c r="N13" s="532">
        <v>41.800890771010501</v>
      </c>
      <c r="O13" s="532">
        <v>41.800890771010501</v>
      </c>
      <c r="P13" s="532">
        <v>41.800890771010501</v>
      </c>
      <c r="Q13" s="532">
        <v>42.511905881961844</v>
      </c>
      <c r="R13" s="532">
        <v>44.511551780812667</v>
      </c>
      <c r="S13" s="532">
        <v>44.511551780812667</v>
      </c>
      <c r="T13" s="532">
        <v>45.009183808921797</v>
      </c>
      <c r="U13" s="532">
        <v>45.009183808921797</v>
      </c>
      <c r="V13" s="532">
        <v>46.048636232608821</v>
      </c>
      <c r="W13" s="532">
        <v>46.048636232608821</v>
      </c>
      <c r="X13" s="532">
        <v>46.048636232608821</v>
      </c>
      <c r="Y13" s="532">
        <v>46.048636232608821</v>
      </c>
      <c r="Z13" s="532">
        <v>46.048636232608821</v>
      </c>
      <c r="AA13" s="532">
        <v>50.436107760920834</v>
      </c>
      <c r="AB13" s="532">
        <v>50.275040249452367</v>
      </c>
      <c r="AC13" s="532">
        <v>50.422961179029556</v>
      </c>
      <c r="AD13" s="532">
        <v>50.528077909295469</v>
      </c>
      <c r="AE13" s="532">
        <v>50.627580802748625</v>
      </c>
      <c r="AF13" s="532">
        <v>53.293395702281053</v>
      </c>
      <c r="AG13" s="532">
        <v>53.281327923516891</v>
      </c>
      <c r="AH13" s="532">
        <v>53.079559566905552</v>
      </c>
      <c r="AI13" s="532">
        <v>54.603183369486672</v>
      </c>
      <c r="AJ13" s="532">
        <v>54.603183369486672</v>
      </c>
      <c r="AK13" s="532">
        <v>57.603645657305655</v>
      </c>
      <c r="AL13" s="532">
        <v>57.331182668698126</v>
      </c>
      <c r="AM13" s="532">
        <v>57.739681058183706</v>
      </c>
      <c r="AN13" s="532">
        <v>57.739681058183706</v>
      </c>
      <c r="AO13" s="532">
        <v>58.212282164802488</v>
      </c>
      <c r="AP13" s="532">
        <v>58.839587713003837</v>
      </c>
      <c r="AQ13" s="532">
        <v>58.839587713003837</v>
      </c>
      <c r="AR13" s="532">
        <v>59.894434153241285</v>
      </c>
      <c r="AS13" s="532">
        <v>59.894434153241285</v>
      </c>
      <c r="AT13" s="532">
        <v>59.894434153241285</v>
      </c>
      <c r="AU13" s="532">
        <v>60.453304580272956</v>
      </c>
      <c r="AV13" s="532">
        <v>61.131764555017355</v>
      </c>
      <c r="AW13" s="532">
        <v>61.131764555017355</v>
      </c>
      <c r="AX13" s="532">
        <v>61.131764555017355</v>
      </c>
      <c r="AY13" s="532">
        <v>61.283455881522549</v>
      </c>
      <c r="AZ13" s="532">
        <v>61.971232541844195</v>
      </c>
      <c r="BA13" s="532">
        <v>61.971232541844195</v>
      </c>
      <c r="BB13" s="532">
        <v>62.450148762485462</v>
      </c>
      <c r="BC13" s="532">
        <v>62.450148762485462</v>
      </c>
      <c r="BD13" s="532">
        <v>63.758341709528111</v>
      </c>
      <c r="BE13" s="532">
        <v>66.748222018681219</v>
      </c>
      <c r="BF13" s="532">
        <v>67.497329074771017</v>
      </c>
      <c r="BG13" s="532">
        <v>67.497329074771017</v>
      </c>
      <c r="BH13" s="532">
        <v>67.497329074771017</v>
      </c>
      <c r="BI13" s="532">
        <v>67.664815805400153</v>
      </c>
      <c r="BJ13" s="532">
        <v>67.696389968416653</v>
      </c>
      <c r="BK13" s="532">
        <v>67.696389968416653</v>
      </c>
      <c r="BL13" s="532">
        <v>67.696389968416653</v>
      </c>
      <c r="BM13" s="532">
        <v>73.007090012371194</v>
      </c>
      <c r="BN13" s="532">
        <v>73.007090012371194</v>
      </c>
      <c r="BO13" s="532">
        <v>73.007090012371194</v>
      </c>
      <c r="BP13" s="532">
        <v>79.851618681292621</v>
      </c>
      <c r="BQ13" s="532">
        <v>79.869182765259268</v>
      </c>
      <c r="BR13" s="532">
        <v>80.721348848062149</v>
      </c>
      <c r="BS13" s="532">
        <v>80.895390217250451</v>
      </c>
      <c r="BT13" s="532">
        <v>80.895390217250451</v>
      </c>
      <c r="BU13" s="532">
        <v>80.895390217250451</v>
      </c>
      <c r="BV13" s="532">
        <v>83.867439440961931</v>
      </c>
      <c r="BW13" s="532">
        <v>83.867439440961931</v>
      </c>
      <c r="BX13" s="532">
        <v>83.867439440961931</v>
      </c>
      <c r="BY13" s="532">
        <v>83.867439440961931</v>
      </c>
      <c r="BZ13" s="532">
        <v>83.758220729520517</v>
      </c>
      <c r="CA13" s="532">
        <v>85.40758719570033</v>
      </c>
      <c r="CB13" s="532">
        <v>85.40758719570033</v>
      </c>
      <c r="CC13" s="532">
        <v>89.952942013207135</v>
      </c>
      <c r="CD13" s="532">
        <v>92.373460202416155</v>
      </c>
      <c r="CE13" s="532">
        <v>94</v>
      </c>
      <c r="CF13" s="532">
        <v>100.18901775280521</v>
      </c>
      <c r="CG13" s="532">
        <v>100.18901775280521</v>
      </c>
      <c r="CH13" s="532">
        <v>100.18066214755947</v>
      </c>
      <c r="CI13" s="532">
        <v>100</v>
      </c>
      <c r="CJ13" s="532">
        <v>100.32162677109055</v>
      </c>
      <c r="CK13" s="523">
        <v>101.2</v>
      </c>
      <c r="CL13" s="523">
        <v>102.1</v>
      </c>
      <c r="CM13" s="523">
        <v>102.4</v>
      </c>
      <c r="CN13" s="532">
        <v>103.1</v>
      </c>
      <c r="CO13" s="532">
        <v>102.4</v>
      </c>
      <c r="CP13" s="532">
        <v>102.4</v>
      </c>
      <c r="CQ13" s="523">
        <v>102.4</v>
      </c>
      <c r="CR13" s="523">
        <v>102.4</v>
      </c>
      <c r="CS13" s="523">
        <v>102.4</v>
      </c>
    </row>
    <row r="14" spans="1:144" x14ac:dyDescent="0.2">
      <c r="E14" t="s">
        <v>113</v>
      </c>
      <c r="H14" s="532">
        <v>54.703413748267572</v>
      </c>
      <c r="I14" s="532">
        <v>54.703413748267572</v>
      </c>
      <c r="J14" s="532">
        <v>55.518293033459024</v>
      </c>
      <c r="K14" s="532">
        <v>56.539747186107235</v>
      </c>
      <c r="L14" s="532">
        <v>59.097124735435536</v>
      </c>
      <c r="M14" s="532">
        <v>59.707242234060651</v>
      </c>
      <c r="N14" s="532">
        <v>63.737587601983876</v>
      </c>
      <c r="O14" s="532">
        <v>67.002520748294472</v>
      </c>
      <c r="P14" s="532">
        <v>68.920141010851395</v>
      </c>
      <c r="Q14" s="532">
        <v>70.559387133698607</v>
      </c>
      <c r="R14" s="532">
        <v>70.601087482075272</v>
      </c>
      <c r="S14" s="532">
        <v>70.601087482075272</v>
      </c>
      <c r="T14" s="532">
        <v>70.950072230044427</v>
      </c>
      <c r="U14" s="532">
        <v>71.145005354253442</v>
      </c>
      <c r="V14" s="532">
        <v>72.238716769137852</v>
      </c>
      <c r="W14" s="532">
        <v>67.795931581750978</v>
      </c>
      <c r="X14" s="532">
        <v>66.677819708582234</v>
      </c>
      <c r="Y14" s="532">
        <v>72.530091533024645</v>
      </c>
      <c r="Z14" s="532">
        <v>72.530091533024645</v>
      </c>
      <c r="AA14" s="532">
        <v>72.543702871298549</v>
      </c>
      <c r="AB14" s="532">
        <v>74.193895647550363</v>
      </c>
      <c r="AC14" s="532">
        <v>73.711901032117893</v>
      </c>
      <c r="AD14" s="532">
        <v>74.865142949735386</v>
      </c>
      <c r="AE14" s="532">
        <v>74.616807670460886</v>
      </c>
      <c r="AF14" s="532">
        <v>74.808368150796809</v>
      </c>
      <c r="AG14" s="532">
        <v>75.181829848861241</v>
      </c>
      <c r="AH14" s="532">
        <v>75.321273328302766</v>
      </c>
      <c r="AI14" s="532">
        <v>75.759677871015001</v>
      </c>
      <c r="AJ14" s="532">
        <v>85.189099308611489</v>
      </c>
      <c r="AK14" s="532">
        <v>86.956057132418735</v>
      </c>
      <c r="AL14" s="532">
        <v>94.527291459261207</v>
      </c>
      <c r="AM14" s="532">
        <v>93.177663235742585</v>
      </c>
      <c r="AN14" s="532">
        <v>93.349540336146561</v>
      </c>
      <c r="AO14" s="532">
        <v>92.019953829470296</v>
      </c>
      <c r="AP14" s="532">
        <v>92.252352013419838</v>
      </c>
      <c r="AQ14" s="532">
        <v>90.80137155473534</v>
      </c>
      <c r="AR14" s="532">
        <v>88.962213603358563</v>
      </c>
      <c r="AS14" s="532">
        <v>85.341404081332584</v>
      </c>
      <c r="AT14" s="532">
        <v>83.595545596404492</v>
      </c>
      <c r="AU14" s="532">
        <v>81.513078798050884</v>
      </c>
      <c r="AV14" s="532">
        <v>78.252269630846641</v>
      </c>
      <c r="AW14" s="532">
        <v>78.252269630846641</v>
      </c>
      <c r="AX14" s="532">
        <v>80.077956341502684</v>
      </c>
      <c r="AY14" s="532">
        <v>80.153796913057803</v>
      </c>
      <c r="AZ14" s="532">
        <v>80.915525173960631</v>
      </c>
      <c r="BA14" s="532">
        <v>81.10273719401458</v>
      </c>
      <c r="BB14" s="532">
        <v>81.749269652292128</v>
      </c>
      <c r="BC14" s="532">
        <v>81.749269652292128</v>
      </c>
      <c r="BD14" s="532">
        <v>81.792226031648639</v>
      </c>
      <c r="BE14" s="532">
        <v>81.792226031648639</v>
      </c>
      <c r="BF14" s="532">
        <v>82.591593087140396</v>
      </c>
      <c r="BG14" s="532">
        <v>83.384549616488457</v>
      </c>
      <c r="BH14" s="532">
        <v>83.076086105676765</v>
      </c>
      <c r="BI14" s="532">
        <v>86.375300349704247</v>
      </c>
      <c r="BJ14" s="532">
        <v>87.094663150225628</v>
      </c>
      <c r="BK14" s="532">
        <v>87.227904639810177</v>
      </c>
      <c r="BL14" s="532">
        <v>87.227904639810177</v>
      </c>
      <c r="BM14" s="532">
        <v>87.424776340620014</v>
      </c>
      <c r="BN14" s="532">
        <v>87.463992416852705</v>
      </c>
      <c r="BO14" s="532">
        <v>87.737853313118748</v>
      </c>
      <c r="BP14" s="532">
        <v>87.775683967163317</v>
      </c>
      <c r="BQ14" s="532">
        <v>88.833459800755364</v>
      </c>
      <c r="BR14" s="532">
        <v>91.850704310553539</v>
      </c>
      <c r="BS14" s="532">
        <v>93.733642918848659</v>
      </c>
      <c r="BT14" s="532">
        <v>93.820495383546998</v>
      </c>
      <c r="BU14" s="532">
        <v>98.040620561629993</v>
      </c>
      <c r="BV14" s="532">
        <v>98.540709513760291</v>
      </c>
      <c r="BW14" s="532">
        <v>99.114771580291759</v>
      </c>
      <c r="BX14" s="532">
        <v>100.56331767155173</v>
      </c>
      <c r="BY14" s="532">
        <v>100.65022759486548</v>
      </c>
      <c r="BZ14" s="532">
        <v>102.21414677358067</v>
      </c>
      <c r="CA14" s="532">
        <v>102.47895200925296</v>
      </c>
      <c r="CB14" s="532">
        <v>99.947216388567284</v>
      </c>
      <c r="CC14" s="532">
        <v>98.856017016079875</v>
      </c>
      <c r="CD14" s="532">
        <v>99.727663173284895</v>
      </c>
      <c r="CE14" s="532">
        <v>100.1</v>
      </c>
      <c r="CF14" s="532">
        <v>100.87635016557472</v>
      </c>
      <c r="CG14" s="532">
        <v>100.34660897108458</v>
      </c>
      <c r="CH14" s="532">
        <v>99.78682447114592</v>
      </c>
      <c r="CI14" s="532">
        <v>100</v>
      </c>
      <c r="CJ14" s="532">
        <v>103.68126542766629</v>
      </c>
      <c r="CK14" s="523">
        <v>103.9</v>
      </c>
      <c r="CL14" s="523">
        <v>104.1</v>
      </c>
      <c r="CM14" s="523">
        <v>104.4</v>
      </c>
      <c r="CN14" s="532">
        <v>104.8</v>
      </c>
      <c r="CO14" s="532">
        <v>102.7</v>
      </c>
      <c r="CP14" s="532">
        <v>102.6</v>
      </c>
      <c r="CQ14" s="523">
        <v>105.6</v>
      </c>
      <c r="CR14" s="523">
        <v>105.7</v>
      </c>
      <c r="CS14" s="523">
        <v>103</v>
      </c>
    </row>
    <row r="15" spans="1:144" x14ac:dyDescent="0.2">
      <c r="E15" t="s">
        <v>359</v>
      </c>
      <c r="H15" s="532">
        <v>104.5230214631605</v>
      </c>
      <c r="I15" s="532">
        <v>104.5230214631605</v>
      </c>
      <c r="J15" s="532">
        <v>104.5230214631605</v>
      </c>
      <c r="K15" s="532">
        <v>104.5230214631605</v>
      </c>
      <c r="L15" s="532">
        <v>104.5230214631605</v>
      </c>
      <c r="M15" s="532">
        <v>104.5230214631605</v>
      </c>
      <c r="N15" s="532">
        <v>104.5230214631605</v>
      </c>
      <c r="O15" s="532">
        <v>103.64451198282534</v>
      </c>
      <c r="P15" s="532">
        <v>103.64451198282534</v>
      </c>
      <c r="Q15" s="532">
        <v>103.64451198282534</v>
      </c>
      <c r="R15" s="532">
        <v>103.64451198282534</v>
      </c>
      <c r="S15" s="532">
        <v>100.43020996791284</v>
      </c>
      <c r="T15" s="532">
        <v>100.43020996791284</v>
      </c>
      <c r="U15" s="532">
        <v>100.43020996791284</v>
      </c>
      <c r="V15" s="532">
        <v>100.43020996791284</v>
      </c>
      <c r="W15" s="532">
        <v>100.43020996791284</v>
      </c>
      <c r="X15" s="532">
        <v>100.43020996791284</v>
      </c>
      <c r="Y15" s="532">
        <v>98.972312860967207</v>
      </c>
      <c r="Z15" s="532">
        <v>98.972312860967207</v>
      </c>
      <c r="AA15" s="532">
        <v>98.972312860967207</v>
      </c>
      <c r="AB15" s="532">
        <v>98.972312860967207</v>
      </c>
      <c r="AC15" s="532">
        <v>98.972312860967207</v>
      </c>
      <c r="AD15" s="532">
        <v>98.972312860967207</v>
      </c>
      <c r="AE15" s="532">
        <v>99.69859658810087</v>
      </c>
      <c r="AF15" s="532">
        <v>98.231815832233238</v>
      </c>
      <c r="AG15" s="532">
        <v>98.231815832233238</v>
      </c>
      <c r="AH15" s="532">
        <v>98.231815832233238</v>
      </c>
      <c r="AI15" s="532">
        <v>98.120974619343698</v>
      </c>
      <c r="AJ15" s="532">
        <v>98.120974619343698</v>
      </c>
      <c r="AK15" s="532">
        <v>98.120974619343698</v>
      </c>
      <c r="AL15" s="532">
        <v>98.120974619343698</v>
      </c>
      <c r="AM15" s="532">
        <v>98.120974619343698</v>
      </c>
      <c r="AN15" s="532">
        <v>98.120974619343698</v>
      </c>
      <c r="AO15" s="532">
        <v>98.120974619343698</v>
      </c>
      <c r="AP15" s="532">
        <v>98.120974619343698</v>
      </c>
      <c r="AQ15" s="532">
        <v>98.120974619343698</v>
      </c>
      <c r="AR15" s="532">
        <v>98.120974619343698</v>
      </c>
      <c r="AS15" s="532">
        <v>98.120974619343698</v>
      </c>
      <c r="AT15" s="532">
        <v>98.120974619343698</v>
      </c>
      <c r="AU15" s="532">
        <v>98.120974619343698</v>
      </c>
      <c r="AV15" s="532">
        <v>98.120974619343698</v>
      </c>
      <c r="AW15" s="532">
        <v>98.120974619343698</v>
      </c>
      <c r="AX15" s="532">
        <v>98.120974619343698</v>
      </c>
      <c r="AY15" s="532">
        <v>98.120974619343698</v>
      </c>
      <c r="AZ15" s="532">
        <v>98.120974619343698</v>
      </c>
      <c r="BA15" s="532">
        <v>98.120974619343698</v>
      </c>
      <c r="BB15" s="532">
        <v>98.120974619343698</v>
      </c>
      <c r="BC15" s="532">
        <v>98.120974619343698</v>
      </c>
      <c r="BD15" s="532">
        <v>98.120974619343698</v>
      </c>
      <c r="BE15" s="532">
        <v>98.120974619343698</v>
      </c>
      <c r="BF15" s="532">
        <v>98.120974619343698</v>
      </c>
      <c r="BG15" s="532">
        <v>98.120974619343698</v>
      </c>
      <c r="BH15" s="532">
        <v>98.120974619343698</v>
      </c>
      <c r="BI15" s="532">
        <v>98.120974619343698</v>
      </c>
      <c r="BJ15" s="532">
        <v>98.120974619343698</v>
      </c>
      <c r="BK15" s="532">
        <v>98.120974619343698</v>
      </c>
      <c r="BL15" s="532">
        <v>98.120974619343698</v>
      </c>
      <c r="BM15" s="532">
        <v>98.120974619343698</v>
      </c>
      <c r="BN15" s="532">
        <v>98.120974619343698</v>
      </c>
      <c r="BO15" s="532">
        <v>99.678805156540633</v>
      </c>
      <c r="BP15" s="532">
        <v>99.678805156540633</v>
      </c>
      <c r="BQ15" s="532">
        <v>99.678805156540633</v>
      </c>
      <c r="BR15" s="532">
        <v>99.678805156540633</v>
      </c>
      <c r="BS15" s="532">
        <v>99.678805156540633</v>
      </c>
      <c r="BT15" s="532">
        <v>99.678805156540633</v>
      </c>
      <c r="BU15" s="532">
        <v>99.678805156540633</v>
      </c>
      <c r="BV15" s="532">
        <v>99.678805156540633</v>
      </c>
      <c r="BW15" s="532">
        <v>99.678805156540633</v>
      </c>
      <c r="BX15" s="532">
        <v>99.678805156540633</v>
      </c>
      <c r="BY15" s="532">
        <v>99.678805156540633</v>
      </c>
      <c r="BZ15" s="532">
        <v>99.678805156540633</v>
      </c>
      <c r="CA15" s="532">
        <v>99.678805156540633</v>
      </c>
      <c r="CB15" s="532">
        <v>99.678805156540648</v>
      </c>
      <c r="CC15" s="532">
        <v>99.999999999999986</v>
      </c>
      <c r="CD15" s="532">
        <v>99.999999999999986</v>
      </c>
      <c r="CE15" s="532">
        <v>99.999999999999986</v>
      </c>
      <c r="CF15" s="532">
        <v>99.999999999999986</v>
      </c>
      <c r="CG15" s="532">
        <v>99.999999999999986</v>
      </c>
      <c r="CH15" s="532">
        <v>99.999999999999986</v>
      </c>
      <c r="CI15" s="532">
        <v>100</v>
      </c>
      <c r="CJ15" s="532">
        <v>99.999999999999986</v>
      </c>
      <c r="CK15" s="523">
        <v>99.5</v>
      </c>
      <c r="CL15" s="523">
        <v>99.5</v>
      </c>
      <c r="CM15" s="523">
        <v>99.5</v>
      </c>
      <c r="CN15" s="532">
        <v>99.4</v>
      </c>
      <c r="CO15" s="532">
        <v>99.4</v>
      </c>
      <c r="CP15" s="532">
        <v>99.4</v>
      </c>
      <c r="CQ15" s="523">
        <v>99.4</v>
      </c>
      <c r="CR15" s="523">
        <v>99.4</v>
      </c>
      <c r="CS15" s="523">
        <v>99.4</v>
      </c>
    </row>
    <row r="16" spans="1:144" x14ac:dyDescent="0.2">
      <c r="E16" t="s">
        <v>360</v>
      </c>
      <c r="H16" s="532">
        <v>55.858072989559652</v>
      </c>
      <c r="I16" s="532">
        <v>55.858072989559652</v>
      </c>
      <c r="J16" s="532">
        <v>55.858072989559652</v>
      </c>
      <c r="K16" s="532">
        <v>56.433159392498524</v>
      </c>
      <c r="L16" s="532">
        <v>59.241117265556959</v>
      </c>
      <c r="M16" s="532">
        <v>59.8269965613514</v>
      </c>
      <c r="N16" s="532">
        <v>60.231468371442382</v>
      </c>
      <c r="O16" s="532">
        <v>59.900582987812129</v>
      </c>
      <c r="P16" s="532">
        <v>61.490550641493073</v>
      </c>
      <c r="Q16" s="532">
        <v>61.563172588793158</v>
      </c>
      <c r="R16" s="532">
        <v>62.434988449764965</v>
      </c>
      <c r="S16" s="532">
        <v>62.398405570718126</v>
      </c>
      <c r="T16" s="532">
        <v>62.398405570718126</v>
      </c>
      <c r="U16" s="532">
        <v>63.491951710248046</v>
      </c>
      <c r="V16" s="532">
        <v>65.704923180245089</v>
      </c>
      <c r="W16" s="532">
        <v>65.819338311819706</v>
      </c>
      <c r="X16" s="532">
        <v>65.652505926373138</v>
      </c>
      <c r="Y16" s="532">
        <v>67.494334603215592</v>
      </c>
      <c r="Z16" s="532">
        <v>68.60422239591675</v>
      </c>
      <c r="AA16" s="532">
        <v>68.452280884015011</v>
      </c>
      <c r="AB16" s="532">
        <v>69.304934410511109</v>
      </c>
      <c r="AC16" s="532">
        <v>69.562626170137293</v>
      </c>
      <c r="AD16" s="532">
        <v>70.255617882214366</v>
      </c>
      <c r="AE16" s="532">
        <v>70.582315462693813</v>
      </c>
      <c r="AF16" s="532">
        <v>72.406283934666618</v>
      </c>
      <c r="AG16" s="532">
        <v>72.406283934666618</v>
      </c>
      <c r="AH16" s="532">
        <v>72.406283934666618</v>
      </c>
      <c r="AI16" s="532">
        <v>72.219338158557647</v>
      </c>
      <c r="AJ16" s="532">
        <v>72.219338158557647</v>
      </c>
      <c r="AK16" s="532">
        <v>72.428062649818827</v>
      </c>
      <c r="AL16" s="532">
        <v>72.266061945252147</v>
      </c>
      <c r="AM16" s="532">
        <v>72.266061945252147</v>
      </c>
      <c r="AN16" s="532">
        <v>73.531074751849559</v>
      </c>
      <c r="AO16" s="532">
        <v>73.531074751849559</v>
      </c>
      <c r="AP16" s="532">
        <v>73.9370015409594</v>
      </c>
      <c r="AQ16" s="532">
        <v>74.281955543346484</v>
      </c>
      <c r="AR16" s="532">
        <v>74.281955543346484</v>
      </c>
      <c r="AS16" s="532">
        <v>74.637847971219145</v>
      </c>
      <c r="AT16" s="532">
        <v>74.540504414381161</v>
      </c>
      <c r="AU16" s="532">
        <v>74.540504414381161</v>
      </c>
      <c r="AV16" s="532">
        <v>74.705890947589793</v>
      </c>
      <c r="AW16" s="532">
        <v>75.56185200344099</v>
      </c>
      <c r="AX16" s="532">
        <v>75.637417395977067</v>
      </c>
      <c r="AY16" s="532">
        <v>75.637417395977067</v>
      </c>
      <c r="AZ16" s="532">
        <v>76.115562147229653</v>
      </c>
      <c r="BA16" s="532">
        <v>77.053191111731365</v>
      </c>
      <c r="BB16" s="532">
        <v>77.053191111731365</v>
      </c>
      <c r="BC16" s="532">
        <v>77.053191111731365</v>
      </c>
      <c r="BD16" s="532">
        <v>77.202701842738193</v>
      </c>
      <c r="BE16" s="532">
        <v>78.153722729183514</v>
      </c>
      <c r="BF16" s="532">
        <v>78.153722729183514</v>
      </c>
      <c r="BG16" s="532">
        <v>78.153722729183514</v>
      </c>
      <c r="BH16" s="532">
        <v>79.603522365698495</v>
      </c>
      <c r="BI16" s="532">
        <v>78.329619346129803</v>
      </c>
      <c r="BJ16" s="532">
        <v>77.96586861418875</v>
      </c>
      <c r="BK16" s="532">
        <v>81.361253152541707</v>
      </c>
      <c r="BL16" s="532">
        <v>81.288054114592015</v>
      </c>
      <c r="BM16" s="532">
        <v>82.447031355629989</v>
      </c>
      <c r="BN16" s="532">
        <v>82.447031355629989</v>
      </c>
      <c r="BO16" s="532">
        <v>82.447031355629989</v>
      </c>
      <c r="BP16" s="532">
        <v>82.453401873031012</v>
      </c>
      <c r="BQ16" s="532">
        <v>82.948610578460404</v>
      </c>
      <c r="BR16" s="532">
        <v>82.948610578460404</v>
      </c>
      <c r="BS16" s="532">
        <v>83.150138199547484</v>
      </c>
      <c r="BT16" s="532">
        <v>83.150138199547484</v>
      </c>
      <c r="BU16" s="532">
        <v>83.150138199547484</v>
      </c>
      <c r="BV16" s="532">
        <v>87.688294265659422</v>
      </c>
      <c r="BW16" s="532">
        <v>89.370582559905586</v>
      </c>
      <c r="BX16" s="532">
        <v>89.370582559905586</v>
      </c>
      <c r="BY16" s="532">
        <v>89.370582559905586</v>
      </c>
      <c r="BZ16" s="532">
        <v>91.308817565512655</v>
      </c>
      <c r="CA16" s="532">
        <v>91.308817565512655</v>
      </c>
      <c r="CB16" s="532">
        <v>93.631214073571485</v>
      </c>
      <c r="CC16" s="532">
        <v>93.631214073571428</v>
      </c>
      <c r="CD16" s="532">
        <v>93.631214073571428</v>
      </c>
      <c r="CE16" s="532">
        <v>96.5</v>
      </c>
      <c r="CF16" s="532">
        <v>95.993396913774731</v>
      </c>
      <c r="CG16" s="532">
        <v>99.049631138811463</v>
      </c>
      <c r="CH16" s="532">
        <v>99.049631138811463</v>
      </c>
      <c r="CI16" s="532">
        <v>100</v>
      </c>
      <c r="CJ16" s="532">
        <v>100.00000000000007</v>
      </c>
      <c r="CK16" s="523">
        <v>102.6</v>
      </c>
      <c r="CL16" s="523">
        <v>104.3</v>
      </c>
      <c r="CM16" s="523">
        <v>107</v>
      </c>
      <c r="CN16" s="532">
        <v>108.3</v>
      </c>
      <c r="CO16" s="532">
        <v>109.5</v>
      </c>
      <c r="CP16" s="532">
        <v>109.9</v>
      </c>
      <c r="CQ16" s="523">
        <v>109.9</v>
      </c>
      <c r="CR16" s="523">
        <v>110.5</v>
      </c>
      <c r="CS16" s="523">
        <v>110.5</v>
      </c>
    </row>
    <row r="17" spans="5:97" x14ac:dyDescent="0.2">
      <c r="E17" t="s">
        <v>118</v>
      </c>
      <c r="H17" s="532">
        <v>55.908195930699186</v>
      </c>
      <c r="I17" s="532">
        <v>55.908195930699186</v>
      </c>
      <c r="J17" s="532">
        <v>55.908195930699186</v>
      </c>
      <c r="K17" s="532">
        <v>56.605596085954836</v>
      </c>
      <c r="L17" s="532">
        <v>56.605596085954836</v>
      </c>
      <c r="M17" s="532">
        <v>56.605596085954836</v>
      </c>
      <c r="N17" s="532">
        <v>56.605596085954836</v>
      </c>
      <c r="O17" s="532">
        <v>56.605596085954836</v>
      </c>
      <c r="P17" s="532">
        <v>56.605596085954836</v>
      </c>
      <c r="Q17" s="532">
        <v>56.605596085954836</v>
      </c>
      <c r="R17" s="532">
        <v>56.605596085954836</v>
      </c>
      <c r="S17" s="532">
        <v>56.605596085954836</v>
      </c>
      <c r="T17" s="532">
        <v>63.377008552747483</v>
      </c>
      <c r="U17" s="532">
        <v>63.377008552747483</v>
      </c>
      <c r="V17" s="532">
        <v>63.377008552747483</v>
      </c>
      <c r="W17" s="532">
        <v>63.377008552747483</v>
      </c>
      <c r="X17" s="532">
        <v>63.377008552747483</v>
      </c>
      <c r="Y17" s="532">
        <v>63.377008552747483</v>
      </c>
      <c r="Z17" s="532">
        <v>63.377008552747483</v>
      </c>
      <c r="AA17" s="532">
        <v>63.377008552747483</v>
      </c>
      <c r="AB17" s="532">
        <v>63.377008552747483</v>
      </c>
      <c r="AC17" s="532">
        <v>63.377008552747483</v>
      </c>
      <c r="AD17" s="532">
        <v>63.377008552747483</v>
      </c>
      <c r="AE17" s="532">
        <v>63.377008552747483</v>
      </c>
      <c r="AF17" s="532">
        <v>66.571188704430369</v>
      </c>
      <c r="AG17" s="532">
        <v>67.248913168553031</v>
      </c>
      <c r="AH17" s="532">
        <v>67.248913168553031</v>
      </c>
      <c r="AI17" s="532">
        <v>67.248913168553031</v>
      </c>
      <c r="AJ17" s="532">
        <v>68.332342792613389</v>
      </c>
      <c r="AK17" s="532">
        <v>68.332342792613389</v>
      </c>
      <c r="AL17" s="532">
        <v>68.332342792613389</v>
      </c>
      <c r="AM17" s="532">
        <v>68.332342792613389</v>
      </c>
      <c r="AN17" s="532">
        <v>68.332342792613389</v>
      </c>
      <c r="AO17" s="532">
        <v>68.332342792613389</v>
      </c>
      <c r="AP17" s="532">
        <v>68.920048908731644</v>
      </c>
      <c r="AQ17" s="532">
        <v>68.920048908731644</v>
      </c>
      <c r="AR17" s="532">
        <v>68.920048908731644</v>
      </c>
      <c r="AS17" s="532">
        <v>71.369444145678031</v>
      </c>
      <c r="AT17" s="532">
        <v>71.369444145678031</v>
      </c>
      <c r="AU17" s="532">
        <v>71.369444145678031</v>
      </c>
      <c r="AV17" s="532">
        <v>71.369444145678031</v>
      </c>
      <c r="AW17" s="532">
        <v>71.369444145678031</v>
      </c>
      <c r="AX17" s="532">
        <v>71.369444145678031</v>
      </c>
      <c r="AY17" s="532">
        <v>71.369444145678031</v>
      </c>
      <c r="AZ17" s="532">
        <v>71.369444145678031</v>
      </c>
      <c r="BA17" s="532">
        <v>71.369444145678031</v>
      </c>
      <c r="BB17" s="532">
        <v>71.369444145678031</v>
      </c>
      <c r="BC17" s="532">
        <v>71.369444145678031</v>
      </c>
      <c r="BD17" s="532">
        <v>80.390657619203679</v>
      </c>
      <c r="BE17" s="532">
        <v>80.390657619203679</v>
      </c>
      <c r="BF17" s="532">
        <v>80.390657619203679</v>
      </c>
      <c r="BG17" s="532">
        <v>80.390657619203679</v>
      </c>
      <c r="BH17" s="532">
        <v>80.390657619203679</v>
      </c>
      <c r="BI17" s="532">
        <v>80.390657619203679</v>
      </c>
      <c r="BJ17" s="532">
        <v>80.390657619203679</v>
      </c>
      <c r="BK17" s="532">
        <v>80.390657619203679</v>
      </c>
      <c r="BL17" s="532">
        <v>80.390657619203679</v>
      </c>
      <c r="BM17" s="532">
        <v>80.390657619203679</v>
      </c>
      <c r="BN17" s="532">
        <v>80.390657619203679</v>
      </c>
      <c r="BO17" s="532">
        <v>80.390657619203679</v>
      </c>
      <c r="BP17" s="532">
        <v>84.839483344194235</v>
      </c>
      <c r="BQ17" s="532">
        <v>84.839483344194235</v>
      </c>
      <c r="BR17" s="532">
        <v>84.839483344194235</v>
      </c>
      <c r="BS17" s="532">
        <v>84.839483344194235</v>
      </c>
      <c r="BT17" s="532">
        <v>84.839483344194235</v>
      </c>
      <c r="BU17" s="532">
        <v>84.839483344194235</v>
      </c>
      <c r="BV17" s="532">
        <v>84.839483344194235</v>
      </c>
      <c r="BW17" s="532">
        <v>84.839483344194235</v>
      </c>
      <c r="BX17" s="532">
        <v>84.839483344194235</v>
      </c>
      <c r="BY17" s="532">
        <v>84.839483344194235</v>
      </c>
      <c r="BZ17" s="532">
        <v>84.839483344194235</v>
      </c>
      <c r="CA17" s="532">
        <v>84.839483344194235</v>
      </c>
      <c r="CB17" s="532">
        <v>100</v>
      </c>
      <c r="CC17" s="532">
        <v>100.00000000000006</v>
      </c>
      <c r="CD17" s="532">
        <v>100.00000000000006</v>
      </c>
      <c r="CE17" s="532">
        <v>100.6</v>
      </c>
      <c r="CF17" s="532">
        <v>100.00000000000006</v>
      </c>
      <c r="CG17" s="532">
        <v>100.00000000000006</v>
      </c>
      <c r="CH17" s="532">
        <v>100.00000000000006</v>
      </c>
      <c r="CI17" s="532">
        <v>100</v>
      </c>
      <c r="CJ17" s="532">
        <v>100.88333897465631</v>
      </c>
      <c r="CK17" s="523">
        <v>100.9</v>
      </c>
      <c r="CL17" s="523">
        <v>100.9</v>
      </c>
      <c r="CM17" s="523">
        <v>100.9</v>
      </c>
      <c r="CN17" s="532">
        <v>112.4</v>
      </c>
      <c r="CO17" s="532">
        <v>112.4</v>
      </c>
      <c r="CP17" s="532">
        <v>112.4</v>
      </c>
      <c r="CQ17" s="523">
        <v>113.6</v>
      </c>
      <c r="CR17" s="523">
        <v>116.5</v>
      </c>
      <c r="CS17" s="523">
        <v>116.5</v>
      </c>
    </row>
    <row r="18" spans="5:97" x14ac:dyDescent="0.2">
      <c r="E18" t="s">
        <v>361</v>
      </c>
      <c r="H18" s="532">
        <v>35.5995175614649</v>
      </c>
      <c r="I18" s="532">
        <v>35.5995175614649</v>
      </c>
      <c r="J18" s="532">
        <v>35.824349479900484</v>
      </c>
      <c r="K18" s="532">
        <v>37.503863216151679</v>
      </c>
      <c r="L18" s="532">
        <v>37.775311751293295</v>
      </c>
      <c r="M18" s="532">
        <v>37.878236049537357</v>
      </c>
      <c r="N18" s="532">
        <v>37.417624752743897</v>
      </c>
      <c r="O18" s="532">
        <v>37.417624752743897</v>
      </c>
      <c r="P18" s="532">
        <v>40.365234931348596</v>
      </c>
      <c r="Q18" s="532">
        <v>40.60692229783298</v>
      </c>
      <c r="R18" s="532">
        <v>41.227584848537624</v>
      </c>
      <c r="S18" s="532">
        <v>41.227584848537624</v>
      </c>
      <c r="T18" s="532">
        <v>43.248631814738168</v>
      </c>
      <c r="U18" s="532">
        <v>43.248631814738168</v>
      </c>
      <c r="V18" s="532">
        <v>45.077623863872105</v>
      </c>
      <c r="W18" s="532">
        <v>46.939262287734195</v>
      </c>
      <c r="X18" s="532">
        <v>47.337963946619517</v>
      </c>
      <c r="Y18" s="532">
        <v>47.402721595946325</v>
      </c>
      <c r="Z18" s="532">
        <v>47.402721595946325</v>
      </c>
      <c r="AA18" s="532">
        <v>48.136876737725331</v>
      </c>
      <c r="AB18" s="532">
        <v>47.257068208666468</v>
      </c>
      <c r="AC18" s="532">
        <v>50.750379375696674</v>
      </c>
      <c r="AD18" s="532">
        <v>54.417377935092404</v>
      </c>
      <c r="AE18" s="532">
        <v>58.862106139900419</v>
      </c>
      <c r="AF18" s="532">
        <v>57.27105794343386</v>
      </c>
      <c r="AG18" s="532">
        <v>57.562615675204768</v>
      </c>
      <c r="AH18" s="532">
        <v>57.562615675204768</v>
      </c>
      <c r="AI18" s="532">
        <v>58.859486427853255</v>
      </c>
      <c r="AJ18" s="532">
        <v>58.859486427853255</v>
      </c>
      <c r="AK18" s="532">
        <v>60.765559868247252</v>
      </c>
      <c r="AL18" s="532">
        <v>59.426691961915189</v>
      </c>
      <c r="AM18" s="532">
        <v>59.968236799467455</v>
      </c>
      <c r="AN18" s="532">
        <v>60.81781494004229</v>
      </c>
      <c r="AO18" s="532">
        <v>61.08222298155264</v>
      </c>
      <c r="AP18" s="532">
        <v>62.816328139037168</v>
      </c>
      <c r="AQ18" s="532">
        <v>63.721125548831957</v>
      </c>
      <c r="AR18" s="532">
        <v>67.55685192411741</v>
      </c>
      <c r="AS18" s="532">
        <v>65.360826480420954</v>
      </c>
      <c r="AT18" s="532">
        <v>65.360826480420954</v>
      </c>
      <c r="AU18" s="532">
        <v>65.693567920855401</v>
      </c>
      <c r="AV18" s="532">
        <v>65.693567920855401</v>
      </c>
      <c r="AW18" s="532">
        <v>65.693567920855401</v>
      </c>
      <c r="AX18" s="532">
        <v>65.693567920855401</v>
      </c>
      <c r="AY18" s="532">
        <v>65.693567920855401</v>
      </c>
      <c r="AZ18" s="532">
        <v>65.693567920855401</v>
      </c>
      <c r="BA18" s="532">
        <v>71.212160674723293</v>
      </c>
      <c r="BB18" s="532">
        <v>71.212160674723293</v>
      </c>
      <c r="BC18" s="532">
        <v>71.212160674723293</v>
      </c>
      <c r="BD18" s="532">
        <v>72.941261258061644</v>
      </c>
      <c r="BE18" s="532">
        <v>72.941261258061644</v>
      </c>
      <c r="BF18" s="532">
        <v>75.605228704153618</v>
      </c>
      <c r="BG18" s="532">
        <v>76.289858938295936</v>
      </c>
      <c r="BH18" s="532">
        <v>76.289858938295936</v>
      </c>
      <c r="BI18" s="532">
        <v>77.236142300694496</v>
      </c>
      <c r="BJ18" s="532">
        <v>80.361526726346455</v>
      </c>
      <c r="BK18" s="532">
        <v>80.361526726346455</v>
      </c>
      <c r="BL18" s="532">
        <v>80.361526726346455</v>
      </c>
      <c r="BM18" s="532">
        <v>80.605560443544675</v>
      </c>
      <c r="BN18" s="532">
        <v>80.605560443544675</v>
      </c>
      <c r="BO18" s="532">
        <v>81.114059207714902</v>
      </c>
      <c r="BP18" s="532">
        <v>81.473296859606819</v>
      </c>
      <c r="BQ18" s="532">
        <v>81.47208718836221</v>
      </c>
      <c r="BR18" s="532">
        <v>84.374442252206748</v>
      </c>
      <c r="BS18" s="532">
        <v>84.374442252206748</v>
      </c>
      <c r="BT18" s="532">
        <v>84.374442252206748</v>
      </c>
      <c r="BU18" s="532">
        <v>84.374442252206748</v>
      </c>
      <c r="BV18" s="532">
        <v>86.296615386982211</v>
      </c>
      <c r="BW18" s="532">
        <v>86.296615386982211</v>
      </c>
      <c r="BX18" s="532">
        <v>89.452040567319017</v>
      </c>
      <c r="BY18" s="532">
        <v>93.740168241307742</v>
      </c>
      <c r="BZ18" s="532">
        <v>93.922599001188786</v>
      </c>
      <c r="CA18" s="532">
        <v>93.922599001188786</v>
      </c>
      <c r="CB18" s="532">
        <v>94.720376686723128</v>
      </c>
      <c r="CC18" s="532">
        <v>94.720376686723085</v>
      </c>
      <c r="CD18" s="532">
        <v>95.74599069354592</v>
      </c>
      <c r="CE18" s="532">
        <v>97.406882096905946</v>
      </c>
      <c r="CF18" s="532">
        <v>97.406882096905946</v>
      </c>
      <c r="CG18" s="532">
        <v>99.999999999999943</v>
      </c>
      <c r="CH18" s="532">
        <v>99.999999999999943</v>
      </c>
      <c r="CI18" s="532">
        <v>100</v>
      </c>
      <c r="CJ18" s="532">
        <v>99.821840189971027</v>
      </c>
      <c r="CK18" s="523">
        <v>100.6</v>
      </c>
      <c r="CL18" s="523">
        <v>100.7</v>
      </c>
      <c r="CM18" s="523">
        <v>101.9</v>
      </c>
      <c r="CN18" s="532">
        <v>102.5</v>
      </c>
      <c r="CO18" s="532">
        <v>101.9</v>
      </c>
      <c r="CP18" s="532">
        <v>99.4</v>
      </c>
      <c r="CQ18" s="523">
        <v>99.2</v>
      </c>
      <c r="CR18" s="523">
        <v>99.5</v>
      </c>
      <c r="CS18" s="523">
        <v>99.2</v>
      </c>
    </row>
    <row r="19" spans="5:97" x14ac:dyDescent="0.2">
      <c r="E19" t="s">
        <v>362</v>
      </c>
      <c r="H19" s="532">
        <v>68.072028405126275</v>
      </c>
      <c r="I19" s="532">
        <v>68.781245080232921</v>
      </c>
      <c r="J19" s="532">
        <v>69.442936069989926</v>
      </c>
      <c r="K19" s="532">
        <v>70.493416784678942</v>
      </c>
      <c r="L19" s="532">
        <v>70.380619887170994</v>
      </c>
      <c r="M19" s="532">
        <v>71.138412789860183</v>
      </c>
      <c r="N19" s="532">
        <v>72.279812691588745</v>
      </c>
      <c r="O19" s="532">
        <v>72.710427133072827</v>
      </c>
      <c r="P19" s="532">
        <v>73.508467799323611</v>
      </c>
      <c r="Q19" s="532">
        <v>74.157145463194681</v>
      </c>
      <c r="R19" s="532">
        <v>73.717410227322219</v>
      </c>
      <c r="S19" s="532">
        <v>75.660844725122345</v>
      </c>
      <c r="T19" s="532">
        <v>68.072028405126275</v>
      </c>
      <c r="U19" s="532">
        <v>68.072028405126275</v>
      </c>
      <c r="V19" s="532">
        <v>68.072028405126275</v>
      </c>
      <c r="W19" s="532">
        <v>68.072028405126275</v>
      </c>
      <c r="X19" s="532">
        <v>68.072028405126275</v>
      </c>
      <c r="Y19" s="532">
        <v>68.072028405126275</v>
      </c>
      <c r="Z19" s="532">
        <v>68.072028405126275</v>
      </c>
      <c r="AA19" s="532">
        <v>68.072028405126275</v>
      </c>
      <c r="AB19" s="532">
        <v>68.072028405126275</v>
      </c>
      <c r="AC19" s="532">
        <v>68.072028405126275</v>
      </c>
      <c r="AD19" s="532">
        <v>68.072028405126275</v>
      </c>
      <c r="AE19" s="532">
        <v>68.072028405126275</v>
      </c>
      <c r="AF19" s="532">
        <v>77.026444022767905</v>
      </c>
      <c r="AG19" s="532">
        <v>76.773401189330286</v>
      </c>
      <c r="AH19" s="532">
        <v>78.013031896890865</v>
      </c>
      <c r="AI19" s="532">
        <v>82.465472147643169</v>
      </c>
      <c r="AJ19" s="532">
        <v>82.66479718195643</v>
      </c>
      <c r="AK19" s="532">
        <v>85.958169054032879</v>
      </c>
      <c r="AL19" s="532">
        <v>81.126272429606857</v>
      </c>
      <c r="AM19" s="532">
        <v>80.262543165690886</v>
      </c>
      <c r="AN19" s="532">
        <v>81.522194898869529</v>
      </c>
      <c r="AO19" s="532">
        <v>81.068045818668125</v>
      </c>
      <c r="AP19" s="532">
        <v>82.593321023247711</v>
      </c>
      <c r="AQ19" s="532">
        <v>82.975127380221792</v>
      </c>
      <c r="AR19" s="532">
        <v>84.226471915003131</v>
      </c>
      <c r="AS19" s="532">
        <v>89.03587583771025</v>
      </c>
      <c r="AT19" s="532">
        <v>89.43324212879655</v>
      </c>
      <c r="AU19" s="532">
        <v>90.921933915472422</v>
      </c>
      <c r="AV19" s="532">
        <v>90.356663134812393</v>
      </c>
      <c r="AW19" s="532">
        <v>90.380532216755284</v>
      </c>
      <c r="AX19" s="532">
        <v>91.201002052914532</v>
      </c>
      <c r="AY19" s="532">
        <v>91.443372290285765</v>
      </c>
      <c r="AZ19" s="532">
        <v>91.786290110919893</v>
      </c>
      <c r="BA19" s="532">
        <v>91.786290110919893</v>
      </c>
      <c r="BB19" s="532">
        <v>92.568893018765039</v>
      </c>
      <c r="BC19" s="532">
        <v>93.939436417255308</v>
      </c>
      <c r="BD19" s="532">
        <v>94.181366890578417</v>
      </c>
      <c r="BE19" s="532">
        <v>94.666313611592244</v>
      </c>
      <c r="BF19" s="532">
        <v>94.636977166167625</v>
      </c>
      <c r="BG19" s="532">
        <v>93.640204189076101</v>
      </c>
      <c r="BH19" s="532">
        <v>93.640204189076101</v>
      </c>
      <c r="BI19" s="532">
        <v>93.691150322460103</v>
      </c>
      <c r="BJ19" s="532">
        <v>94.269749516601152</v>
      </c>
      <c r="BK19" s="532">
        <v>95.385602038129591</v>
      </c>
      <c r="BL19" s="532">
        <v>95.386164446299716</v>
      </c>
      <c r="BM19" s="532">
        <v>95.479415308144823</v>
      </c>
      <c r="BN19" s="532">
        <v>95.479415308144823</v>
      </c>
      <c r="BO19" s="532">
        <v>88.54523818279344</v>
      </c>
      <c r="BP19" s="532">
        <v>83.482324587641145</v>
      </c>
      <c r="BQ19" s="532">
        <v>82.484799103377497</v>
      </c>
      <c r="BR19" s="532">
        <v>83.745223579214553</v>
      </c>
      <c r="BS19" s="532">
        <v>84.490120749111384</v>
      </c>
      <c r="BT19" s="532">
        <v>84.528606318781399</v>
      </c>
      <c r="BU19" s="532">
        <v>84.528606318781399</v>
      </c>
      <c r="BV19" s="532">
        <v>86.296803955179612</v>
      </c>
      <c r="BW19" s="532">
        <v>87.317744087565828</v>
      </c>
      <c r="BX19" s="532">
        <v>87.437168734553296</v>
      </c>
      <c r="BY19" s="532">
        <v>87.437168734553296</v>
      </c>
      <c r="BZ19" s="532">
        <v>87.803424683926778</v>
      </c>
      <c r="CA19" s="532">
        <v>91.256756329940032</v>
      </c>
      <c r="CB19" s="532">
        <v>92.618530708987137</v>
      </c>
      <c r="CC19" s="532">
        <v>93.120743958598354</v>
      </c>
      <c r="CD19" s="532">
        <v>94.803548494611562</v>
      </c>
      <c r="CE19" s="532">
        <v>96.33125507474216</v>
      </c>
      <c r="CF19" s="532">
        <v>97.819079963386827</v>
      </c>
      <c r="CG19" s="532">
        <v>98.976251180369317</v>
      </c>
      <c r="CH19" s="532">
        <v>99.934288639868555</v>
      </c>
      <c r="CI19" s="532">
        <v>100</v>
      </c>
      <c r="CJ19" s="532">
        <v>99.824821667007754</v>
      </c>
      <c r="CK19" s="523">
        <v>102.7</v>
      </c>
      <c r="CL19" s="523">
        <v>106.4</v>
      </c>
      <c r="CM19" s="523">
        <v>109.3</v>
      </c>
      <c r="CN19" s="532">
        <v>109.7</v>
      </c>
      <c r="CO19" s="532">
        <v>109.8</v>
      </c>
      <c r="CP19" s="532">
        <v>110.2</v>
      </c>
      <c r="CQ19" s="523">
        <v>110.6</v>
      </c>
      <c r="CR19" s="523">
        <v>112.7</v>
      </c>
      <c r="CS19" s="523">
        <v>112.9</v>
      </c>
    </row>
    <row r="20" spans="5:97" x14ac:dyDescent="0.2">
      <c r="E20" s="9" t="s">
        <v>363</v>
      </c>
      <c r="H20" s="531">
        <v>47.092809284280342</v>
      </c>
      <c r="I20" s="531">
        <v>47.139861781151097</v>
      </c>
      <c r="J20" s="531">
        <v>47.746079743533045</v>
      </c>
      <c r="K20" s="531">
        <v>48.880717892602689</v>
      </c>
      <c r="L20" s="531">
        <v>49.756139045027993</v>
      </c>
      <c r="M20" s="531">
        <v>49.128215291367042</v>
      </c>
      <c r="N20" s="531">
        <v>49.684357146507885</v>
      </c>
      <c r="O20" s="531">
        <v>50.499721604031507</v>
      </c>
      <c r="P20" s="531">
        <v>51.558314945069931</v>
      </c>
      <c r="Q20" s="531">
        <v>51.848626010125429</v>
      </c>
      <c r="R20" s="531">
        <v>52.573932522541348</v>
      </c>
      <c r="S20" s="531">
        <v>52.16860153814752</v>
      </c>
      <c r="T20" s="531">
        <v>53.416939643846653</v>
      </c>
      <c r="U20" s="531">
        <v>54.369446852095464</v>
      </c>
      <c r="V20" s="531">
        <v>54.931024754817074</v>
      </c>
      <c r="W20" s="531">
        <v>54.879315282426475</v>
      </c>
      <c r="X20" s="531">
        <v>55.134989207103111</v>
      </c>
      <c r="Y20" s="531">
        <v>54.983685110049244</v>
      </c>
      <c r="Z20" s="531">
        <v>56.873707917666472</v>
      </c>
      <c r="AA20" s="531">
        <v>57.019821523375093</v>
      </c>
      <c r="AB20" s="531">
        <v>58.15296450538824</v>
      </c>
      <c r="AC20" s="531">
        <v>58.477151720342377</v>
      </c>
      <c r="AD20" s="531">
        <v>59.093612261095217</v>
      </c>
      <c r="AE20" s="531">
        <v>59.068765521291937</v>
      </c>
      <c r="AF20" s="531">
        <v>60.416392869241953</v>
      </c>
      <c r="AG20" s="531">
        <v>62.378105518993856</v>
      </c>
      <c r="AH20" s="531">
        <v>63.30922190774529</v>
      </c>
      <c r="AI20" s="531">
        <v>65.053084519510037</v>
      </c>
      <c r="AJ20" s="531">
        <v>66.997554347431915</v>
      </c>
      <c r="AK20" s="531">
        <v>67.296424141599488</v>
      </c>
      <c r="AL20" s="531">
        <v>69.519931512804177</v>
      </c>
      <c r="AM20" s="531">
        <v>69.564929124181504</v>
      </c>
      <c r="AN20" s="531">
        <v>72.768918496154654</v>
      </c>
      <c r="AO20" s="531">
        <v>73.279411498091918</v>
      </c>
      <c r="AP20" s="531">
        <v>73.099866625049273</v>
      </c>
      <c r="AQ20" s="531">
        <v>72.125091427498404</v>
      </c>
      <c r="AR20" s="531">
        <v>72.899285905239694</v>
      </c>
      <c r="AS20" s="531">
        <v>72.701032829802386</v>
      </c>
      <c r="AT20" s="531">
        <v>72.869507215182807</v>
      </c>
      <c r="AU20" s="531">
        <v>72.999431383083305</v>
      </c>
      <c r="AV20" s="531">
        <v>72.735292426369</v>
      </c>
      <c r="AW20" s="531">
        <v>72.715880484651606</v>
      </c>
      <c r="AX20" s="531">
        <v>73.178805576748445</v>
      </c>
      <c r="AY20" s="531">
        <v>73.114893928586255</v>
      </c>
      <c r="AZ20" s="531">
        <v>75.883068815782508</v>
      </c>
      <c r="BA20" s="531">
        <v>76.603130889335631</v>
      </c>
      <c r="BB20" s="531">
        <v>76.714482266622184</v>
      </c>
      <c r="BC20" s="531">
        <v>75.877048906294277</v>
      </c>
      <c r="BD20" s="531">
        <v>77.613471459554418</v>
      </c>
      <c r="BE20" s="531">
        <v>76.981924926636054</v>
      </c>
      <c r="BF20" s="531">
        <v>77.855434530183587</v>
      </c>
      <c r="BG20" s="531">
        <v>77.320530540551644</v>
      </c>
      <c r="BH20" s="531">
        <v>76.39832414943389</v>
      </c>
      <c r="BI20" s="531">
        <v>76.97362853047467</v>
      </c>
      <c r="BJ20" s="531">
        <v>77.553647679139459</v>
      </c>
      <c r="BK20" s="531">
        <v>79.83775531935045</v>
      </c>
      <c r="BL20" s="531">
        <v>80.317584374014316</v>
      </c>
      <c r="BM20" s="531">
        <v>80.458447870886317</v>
      </c>
      <c r="BN20" s="531">
        <v>80.303015684322986</v>
      </c>
      <c r="BO20" s="531">
        <v>80.472585027837866</v>
      </c>
      <c r="BP20" s="531">
        <v>82.740826813625475</v>
      </c>
      <c r="BQ20" s="531">
        <v>84.429446987283896</v>
      </c>
      <c r="BR20" s="531">
        <v>86.337608907960401</v>
      </c>
      <c r="BS20" s="531">
        <v>88.021966974562901</v>
      </c>
      <c r="BT20" s="531">
        <v>87.27181963930957</v>
      </c>
      <c r="BU20" s="531">
        <v>88.863024851979389</v>
      </c>
      <c r="BV20" s="531">
        <v>89.870830925608843</v>
      </c>
      <c r="BW20" s="531">
        <v>92.614444469437615</v>
      </c>
      <c r="BX20" s="531">
        <v>93.458973858928204</v>
      </c>
      <c r="BY20" s="531">
        <v>94.790709345058332</v>
      </c>
      <c r="BZ20" s="531">
        <v>95.323171842671542</v>
      </c>
      <c r="CA20" s="531">
        <v>97.193074695580279</v>
      </c>
      <c r="CB20" s="531">
        <v>99.191931317072815</v>
      </c>
      <c r="CC20" s="531">
        <v>99.123348224541559</v>
      </c>
      <c r="CD20" s="531">
        <v>99.2</v>
      </c>
      <c r="CE20" s="531">
        <v>99.7</v>
      </c>
      <c r="CF20" s="531">
        <v>97.402567724356615</v>
      </c>
      <c r="CG20" s="531">
        <v>96.869688482435151</v>
      </c>
      <c r="CH20" s="531">
        <v>98.321490284565698</v>
      </c>
      <c r="CI20" s="531">
        <v>100</v>
      </c>
      <c r="CJ20" s="531">
        <v>98.708242135181678</v>
      </c>
      <c r="CK20" s="535">
        <v>99.2</v>
      </c>
      <c r="CL20" s="535">
        <v>99.3</v>
      </c>
      <c r="CM20" s="535">
        <v>100.1</v>
      </c>
      <c r="CN20" s="531">
        <v>101</v>
      </c>
      <c r="CO20" s="531">
        <v>101.5</v>
      </c>
      <c r="CP20" s="531">
        <v>101.9</v>
      </c>
      <c r="CQ20" s="535">
        <v>103.6</v>
      </c>
      <c r="CR20" s="535">
        <v>102.7</v>
      </c>
      <c r="CS20" s="535">
        <v>101.8</v>
      </c>
    </row>
    <row r="23" spans="5:97" x14ac:dyDescent="0.2">
      <c r="T23" s="10">
        <f>T8/H8-1</f>
        <v>-0.4084237966709825</v>
      </c>
      <c r="U23" s="10">
        <f t="shared" ref="U23:CF26" si="0">U8/I8-1</f>
        <v>-0.38046422201982333</v>
      </c>
      <c r="V23" s="10">
        <f t="shared" si="0"/>
        <v>-0.37623765667835707</v>
      </c>
      <c r="W23" s="10">
        <f t="shared" si="0"/>
        <v>-0.36659831158332934</v>
      </c>
      <c r="X23" s="10">
        <f t="shared" si="0"/>
        <v>0.62637591421603744</v>
      </c>
      <c r="Y23" s="10">
        <f t="shared" si="0"/>
        <v>0.56348722766853765</v>
      </c>
      <c r="Z23" s="10">
        <f t="shared" si="0"/>
        <v>0.56538795255208463</v>
      </c>
      <c r="AA23" s="10">
        <f t="shared" si="0"/>
        <v>0.57851995622767594</v>
      </c>
      <c r="AB23" s="10">
        <f t="shared" si="0"/>
        <v>0.51611555225918648</v>
      </c>
      <c r="AC23" s="10">
        <f t="shared" si="0"/>
        <v>0.45526809396923063</v>
      </c>
      <c r="AD23" s="10">
        <f t="shared" si="0"/>
        <v>0.41927585148417235</v>
      </c>
      <c r="AE23" s="10">
        <f t="shared" si="0"/>
        <v>0.40775541427917616</v>
      </c>
      <c r="AF23" s="10">
        <f t="shared" si="0"/>
        <v>0.41567733456658296</v>
      </c>
      <c r="AG23" s="10">
        <f t="shared" si="0"/>
        <v>0.36081869518147425</v>
      </c>
      <c r="AH23" s="10">
        <f t="shared" si="0"/>
        <v>0.38725395837705467</v>
      </c>
      <c r="AI23" s="10">
        <f t="shared" si="0"/>
        <v>0.3848243569822436</v>
      </c>
      <c r="AJ23" s="10">
        <f t="shared" si="0"/>
        <v>0.41495480874097157</v>
      </c>
      <c r="AK23" s="10">
        <f t="shared" si="0"/>
        <v>0.34793374965306012</v>
      </c>
      <c r="AL23" s="10">
        <f t="shared" si="0"/>
        <v>0.3466872028194421</v>
      </c>
      <c r="AM23" s="10">
        <f t="shared" si="0"/>
        <v>0.46356883052101017</v>
      </c>
      <c r="AN23" s="10">
        <f t="shared" si="0"/>
        <v>0.47464138917760978</v>
      </c>
      <c r="AO23" s="10">
        <f t="shared" si="0"/>
        <v>0.49152645262840955</v>
      </c>
      <c r="AP23" s="10">
        <f t="shared" si="0"/>
        <v>0</v>
      </c>
      <c r="AQ23" s="10">
        <f t="shared" si="0"/>
        <v>0</v>
      </c>
      <c r="AR23" s="10">
        <f t="shared" si="0"/>
        <v>0</v>
      </c>
      <c r="AS23" s="10">
        <f t="shared" si="0"/>
        <v>0</v>
      </c>
      <c r="AT23" s="10">
        <f t="shared" si="0"/>
        <v>0</v>
      </c>
      <c r="AU23" s="10">
        <f t="shared" si="0"/>
        <v>0</v>
      </c>
      <c r="AV23" s="10">
        <f t="shared" si="0"/>
        <v>0</v>
      </c>
      <c r="AW23" s="10">
        <f t="shared" si="0"/>
        <v>0</v>
      </c>
      <c r="AX23" s="10">
        <f t="shared" si="0"/>
        <v>0</v>
      </c>
      <c r="AY23" s="10">
        <f t="shared" si="0"/>
        <v>-0.12496236073471845</v>
      </c>
      <c r="AZ23" s="10">
        <f t="shared" si="0"/>
        <v>-0.12743362831858396</v>
      </c>
      <c r="BA23" s="10">
        <f t="shared" si="0"/>
        <v>-0.10812425328554343</v>
      </c>
      <c r="BB23" s="10">
        <f t="shared" si="0"/>
        <v>-1</v>
      </c>
      <c r="BC23" s="10">
        <f t="shared" si="0"/>
        <v>-0.45281570393001569</v>
      </c>
      <c r="BD23" s="10">
        <f t="shared" si="0"/>
        <v>-0.49105606544169578</v>
      </c>
      <c r="BE23" s="10">
        <f t="shared" si="0"/>
        <v>-0.50580129964144671</v>
      </c>
      <c r="BF23" s="10">
        <f t="shared" si="0"/>
        <v>-0.51844289039113611</v>
      </c>
      <c r="BG23" s="10">
        <f t="shared" si="0"/>
        <v>-0.52971873637442546</v>
      </c>
      <c r="BH23" s="10">
        <f t="shared" si="0"/>
        <v>-0.55181497700470072</v>
      </c>
      <c r="BI23" s="10">
        <f t="shared" si="0"/>
        <v>-0.52505667192868843</v>
      </c>
      <c r="BJ23" s="10">
        <f t="shared" si="0"/>
        <v>-0.52554477927911414</v>
      </c>
      <c r="BK23" s="10">
        <f t="shared" si="0"/>
        <v>-0.51065760945081629</v>
      </c>
      <c r="BL23" s="10">
        <f t="shared" si="0"/>
        <v>-0.5186343198965484</v>
      </c>
      <c r="BM23" s="10">
        <f t="shared" si="0"/>
        <v>-0.51330057080830704</v>
      </c>
      <c r="BN23" s="10" t="e">
        <f t="shared" si="0"/>
        <v>#DIV/0!</v>
      </c>
      <c r="BO23" s="10">
        <f t="shared" si="0"/>
        <v>0.14205202153207241</v>
      </c>
      <c r="BP23" s="10">
        <f t="shared" si="0"/>
        <v>0.16863168241530957</v>
      </c>
      <c r="BQ23" s="10">
        <f t="shared" si="0"/>
        <v>0.1654030825693571</v>
      </c>
      <c r="BR23" s="10">
        <f t="shared" si="0"/>
        <v>0.13665192495912915</v>
      </c>
      <c r="BS23" s="10">
        <f t="shared" si="0"/>
        <v>0.12186291703184127</v>
      </c>
      <c r="BT23" s="10">
        <f t="shared" si="0"/>
        <v>0.13798183116848173</v>
      </c>
      <c r="BU23" s="10">
        <f t="shared" si="0"/>
        <v>0.19186099845333793</v>
      </c>
      <c r="BV23" s="10">
        <f t="shared" si="0"/>
        <v>0.16643282680296068</v>
      </c>
      <c r="BW23" s="10">
        <f t="shared" si="0"/>
        <v>0.17683650918814164</v>
      </c>
      <c r="BX23" s="10">
        <f t="shared" si="0"/>
        <v>0.17717681427405618</v>
      </c>
      <c r="BY23" s="10">
        <f t="shared" si="0"/>
        <v>0.1692296192497178</v>
      </c>
      <c r="BZ23" s="10">
        <f t="shared" si="0"/>
        <v>0.17428205006013875</v>
      </c>
      <c r="CA23" s="10">
        <f t="shared" si="0"/>
        <v>0.16964602448994959</v>
      </c>
      <c r="CB23" s="10">
        <f t="shared" si="0"/>
        <v>0.1990834628282212</v>
      </c>
      <c r="CC23" s="10">
        <f t="shared" si="0"/>
        <v>0.20392421492281754</v>
      </c>
      <c r="CD23" s="10">
        <f t="shared" si="0"/>
        <v>0.25663334640578084</v>
      </c>
      <c r="CE23" s="10">
        <f t="shared" si="0"/>
        <v>0.28730401733526501</v>
      </c>
      <c r="CF23" s="10">
        <f t="shared" si="0"/>
        <v>0.28781631079611136</v>
      </c>
      <c r="CG23" s="10">
        <f t="shared" ref="CG23:CS35" si="1">CG8/BU8-1</f>
        <v>0.21785317378158453</v>
      </c>
      <c r="CH23" s="10">
        <f t="shared" si="1"/>
        <v>0.21940385205443147</v>
      </c>
      <c r="CI23" s="10">
        <f t="shared" si="1"/>
        <v>0.26817700902229435</v>
      </c>
      <c r="CJ23" s="10">
        <f t="shared" si="1"/>
        <v>0.28321942572881742</v>
      </c>
      <c r="CK23" s="10">
        <f t="shared" si="1"/>
        <v>0.25473498925581728</v>
      </c>
      <c r="CL23" s="10">
        <f t="shared" si="1"/>
        <v>0.23908595699693258</v>
      </c>
      <c r="CM23" s="10">
        <f t="shared" si="1"/>
        <v>0.2254808053022388</v>
      </c>
      <c r="CN23" s="10">
        <f t="shared" si="1"/>
        <v>0.16476068844347913</v>
      </c>
      <c r="CO23" s="10">
        <f t="shared" si="1"/>
        <v>0.14769266762908329</v>
      </c>
      <c r="CP23" s="10">
        <f t="shared" si="1"/>
        <v>0.1048568608314564</v>
      </c>
      <c r="CQ23" s="10">
        <f t="shared" si="1"/>
        <v>6.5161731063035244E-2</v>
      </c>
      <c r="CR23" s="10">
        <f t="shared" si="1"/>
        <v>7.445156699904576E-2</v>
      </c>
      <c r="CS23" s="10">
        <f t="shared" si="1"/>
        <v>8.0665455263409624E-2</v>
      </c>
    </row>
    <row r="24" spans="5:97" x14ac:dyDescent="0.2">
      <c r="E24" t="s">
        <v>354</v>
      </c>
      <c r="T24" s="10">
        <f t="shared" ref="T24:T35" si="2">T9/H9-1</f>
        <v>0.23628685885816125</v>
      </c>
      <c r="U24" s="10">
        <f t="shared" si="0"/>
        <v>0.23380003685580819</v>
      </c>
      <c r="V24" s="10">
        <f t="shared" si="0"/>
        <v>0.20765220696216469</v>
      </c>
      <c r="W24" s="10">
        <f t="shared" si="0"/>
        <v>0.22986264576884796</v>
      </c>
      <c r="X24" s="10">
        <f t="shared" si="0"/>
        <v>0.22986264576884796</v>
      </c>
      <c r="Y24" s="10">
        <f t="shared" si="0"/>
        <v>0.22986264576884796</v>
      </c>
      <c r="Z24" s="10">
        <f t="shared" si="0"/>
        <v>2.9183479340775031E-2</v>
      </c>
      <c r="AA24" s="10">
        <f t="shared" si="0"/>
        <v>2.9183479340775031E-2</v>
      </c>
      <c r="AB24" s="10">
        <f t="shared" si="0"/>
        <v>2.9183479340775031E-2</v>
      </c>
      <c r="AC24" s="10">
        <f t="shared" si="0"/>
        <v>3.1051440999051216E-2</v>
      </c>
      <c r="AD24" s="10">
        <f t="shared" si="0"/>
        <v>3.1051440999051216E-2</v>
      </c>
      <c r="AE24" s="10">
        <f t="shared" si="0"/>
        <v>6.4857585879263269E-3</v>
      </c>
      <c r="AF24" s="10">
        <f t="shared" si="0"/>
        <v>6.4857585879263269E-3</v>
      </c>
      <c r="AG24" s="10">
        <f t="shared" si="0"/>
        <v>8.5144106018215648E-3</v>
      </c>
      <c r="AH24" s="10">
        <f t="shared" si="0"/>
        <v>5.4913067976900543E-3</v>
      </c>
      <c r="AI24" s="10">
        <f t="shared" si="0"/>
        <v>-9.1252673249643257E-3</v>
      </c>
      <c r="AJ24" s="10">
        <f t="shared" si="0"/>
        <v>-7.3495659993392248E-3</v>
      </c>
      <c r="AK24" s="10">
        <f t="shared" si="0"/>
        <v>-6.1297400392357204E-4</v>
      </c>
      <c r="AL24" s="10">
        <f t="shared" si="0"/>
        <v>0.14997889984638557</v>
      </c>
      <c r="AM24" s="10">
        <f t="shared" si="0"/>
        <v>0.14030435844065781</v>
      </c>
      <c r="AN24" s="10">
        <f t="shared" si="0"/>
        <v>0.14762795525277128</v>
      </c>
      <c r="AO24" s="10">
        <f t="shared" si="0"/>
        <v>0.15993085251011796</v>
      </c>
      <c r="AP24" s="10">
        <f t="shared" si="0"/>
        <v>0.16351657991971824</v>
      </c>
      <c r="AQ24" s="10">
        <f t="shared" si="0"/>
        <v>0.19191497357656107</v>
      </c>
      <c r="AR24" s="10">
        <f t="shared" si="0"/>
        <v>0.19536134389741777</v>
      </c>
      <c r="AS24" s="10">
        <f t="shared" si="0"/>
        <v>0.20252361861717172</v>
      </c>
      <c r="AT24" s="10">
        <f t="shared" si="0"/>
        <v>0.19244915713978195</v>
      </c>
      <c r="AU24" s="10">
        <f t="shared" si="0"/>
        <v>0.18818675097421611</v>
      </c>
      <c r="AV24" s="10">
        <f t="shared" si="0"/>
        <v>0.17654557111317493</v>
      </c>
      <c r="AW24" s="10">
        <f t="shared" si="0"/>
        <v>0.1686148022814471</v>
      </c>
      <c r="AX24" s="10">
        <f t="shared" si="0"/>
        <v>0.10250283047578357</v>
      </c>
      <c r="AY24" s="10">
        <f t="shared" si="0"/>
        <v>0.1118566571137487</v>
      </c>
      <c r="AZ24" s="10">
        <f t="shared" si="0"/>
        <v>9.2627616258041945E-2</v>
      </c>
      <c r="BA24" s="10">
        <f t="shared" si="0"/>
        <v>0.17247367100664324</v>
      </c>
      <c r="BB24" s="10">
        <f t="shared" si="0"/>
        <v>0.21515400037162524</v>
      </c>
      <c r="BC24" s="10">
        <f t="shared" si="0"/>
        <v>0.26594129305873504</v>
      </c>
      <c r="BD24" s="10">
        <f t="shared" si="0"/>
        <v>0.26229143226758755</v>
      </c>
      <c r="BE24" s="10">
        <f t="shared" si="0"/>
        <v>0.25840130034707953</v>
      </c>
      <c r="BF24" s="10">
        <f t="shared" si="0"/>
        <v>0.26203991299092477</v>
      </c>
      <c r="BG24" s="10">
        <f t="shared" si="0"/>
        <v>0.26203991299092477</v>
      </c>
      <c r="BH24" s="10">
        <f t="shared" si="0"/>
        <v>0.27224706986416347</v>
      </c>
      <c r="BI24" s="10">
        <f t="shared" si="0"/>
        <v>0.27224706986416347</v>
      </c>
      <c r="BJ24" s="10">
        <f t="shared" si="0"/>
        <v>0.31598173710031063</v>
      </c>
      <c r="BK24" s="10">
        <f t="shared" si="0"/>
        <v>0.34295968964376877</v>
      </c>
      <c r="BL24" s="10">
        <f t="shared" si="0"/>
        <v>0.32501520707575149</v>
      </c>
      <c r="BM24" s="10">
        <f t="shared" si="0"/>
        <v>0.21456980456737362</v>
      </c>
      <c r="BN24" s="10">
        <f t="shared" si="0"/>
        <v>0.16829839989211104</v>
      </c>
      <c r="BO24" s="10">
        <f t="shared" si="0"/>
        <v>0.12142836483871644</v>
      </c>
      <c r="BP24" s="10">
        <f t="shared" si="0"/>
        <v>0.12142836483871644</v>
      </c>
      <c r="BQ24" s="10">
        <f t="shared" si="0"/>
        <v>0.12715572857795365</v>
      </c>
      <c r="BR24" s="10">
        <f t="shared" si="0"/>
        <v>0.13004168666923843</v>
      </c>
      <c r="BS24" s="10">
        <f t="shared" si="0"/>
        <v>0.18197729613657954</v>
      </c>
      <c r="BT24" s="10">
        <f t="shared" si="0"/>
        <v>0.18197729613657954</v>
      </c>
      <c r="BU24" s="10">
        <f t="shared" si="0"/>
        <v>0.18197729613657954</v>
      </c>
      <c r="BV24" s="10">
        <f t="shared" si="0"/>
        <v>5.2606958638780066E-2</v>
      </c>
      <c r="BW24" s="10">
        <f t="shared" si="0"/>
        <v>3.146173678584141E-2</v>
      </c>
      <c r="BX24" s="10">
        <f t="shared" si="0"/>
        <v>6.7052210610200502E-2</v>
      </c>
      <c r="BY24" s="10">
        <f t="shared" si="0"/>
        <v>8.5885652758958431E-2</v>
      </c>
      <c r="BZ24" s="10">
        <f t="shared" si="0"/>
        <v>0.11165186592775145</v>
      </c>
      <c r="CA24" s="10">
        <f t="shared" si="0"/>
        <v>0.17526939351648219</v>
      </c>
      <c r="CB24" s="10">
        <f t="shared" si="0"/>
        <v>0.16836312460748459</v>
      </c>
      <c r="CC24" s="10">
        <f t="shared" si="0"/>
        <v>0.15920613958182073</v>
      </c>
      <c r="CD24" s="10">
        <f t="shared" si="0"/>
        <v>0.31119887539202784</v>
      </c>
      <c r="CE24" s="10">
        <f t="shared" si="0"/>
        <v>0.30598151413460872</v>
      </c>
      <c r="CF24" s="10">
        <f t="shared" si="0"/>
        <v>0.32598845548267996</v>
      </c>
      <c r="CG24" s="10">
        <f t="shared" si="1"/>
        <v>0.2915584030635614</v>
      </c>
      <c r="CH24" s="10">
        <f t="shared" si="1"/>
        <v>0.36517102588680128</v>
      </c>
      <c r="CI24" s="10">
        <f t="shared" si="1"/>
        <v>0.36517102588680217</v>
      </c>
      <c r="CJ24" s="10">
        <f t="shared" si="1"/>
        <v>0.35236188439059912</v>
      </c>
      <c r="CK24" s="10">
        <f t="shared" si="1"/>
        <v>0.37674735923050395</v>
      </c>
      <c r="CL24" s="10">
        <f t="shared" si="1"/>
        <v>0.34743288996206845</v>
      </c>
      <c r="CM24" s="10">
        <f t="shared" si="1"/>
        <v>0.27449612369893583</v>
      </c>
      <c r="CN24" s="10">
        <f t="shared" si="1"/>
        <v>0.28202975153120513</v>
      </c>
      <c r="CO24" s="10">
        <f t="shared" si="1"/>
        <v>0.28064971737730215</v>
      </c>
      <c r="CP24" s="10">
        <f t="shared" si="1"/>
        <v>0.15762108546064213</v>
      </c>
      <c r="CQ24" s="10">
        <f t="shared" si="1"/>
        <v>0.11117713751045977</v>
      </c>
      <c r="CR24" s="10">
        <f t="shared" si="1"/>
        <v>9.4411338588479943E-2</v>
      </c>
      <c r="CS24" s="10">
        <f t="shared" si="1"/>
        <v>0.12358589210948279</v>
      </c>
    </row>
    <row r="25" spans="5:97" x14ac:dyDescent="0.2">
      <c r="E25" t="s">
        <v>355</v>
      </c>
      <c r="T25" s="10">
        <f t="shared" si="2"/>
        <v>7.5771892518516015E-2</v>
      </c>
      <c r="U25" s="10">
        <f t="shared" si="0"/>
        <v>7.1783019606046494E-2</v>
      </c>
      <c r="V25" s="10">
        <f t="shared" si="0"/>
        <v>7.7833786332333066E-2</v>
      </c>
      <c r="W25" s="10">
        <f t="shared" si="0"/>
        <v>7.419754695511549E-2</v>
      </c>
      <c r="X25" s="10">
        <f t="shared" si="0"/>
        <v>7.5756096077172819E-2</v>
      </c>
      <c r="Y25" s="10">
        <f t="shared" si="0"/>
        <v>6.7439405009708686E-2</v>
      </c>
      <c r="Z25" s="10">
        <f t="shared" si="0"/>
        <v>6.0200141639958682E-2</v>
      </c>
      <c r="AA25" s="10">
        <f t="shared" si="0"/>
        <v>4.8229393595357717E-2</v>
      </c>
      <c r="AB25" s="10">
        <f t="shared" si="0"/>
        <v>6.3261273337460899E-2</v>
      </c>
      <c r="AC25" s="10">
        <f t="shared" si="0"/>
        <v>7.0864112995674189E-2</v>
      </c>
      <c r="AD25" s="10">
        <f t="shared" si="0"/>
        <v>5.5351244738374605E-2</v>
      </c>
      <c r="AE25" s="10">
        <f t="shared" si="0"/>
        <v>6.3711337634095866E-2</v>
      </c>
      <c r="AF25" s="10">
        <f t="shared" si="0"/>
        <v>6.856536742646635E-2</v>
      </c>
      <c r="AG25" s="10">
        <f t="shared" si="0"/>
        <v>7.6348242943187428E-2</v>
      </c>
      <c r="AH25" s="10">
        <f t="shared" si="0"/>
        <v>6.9531841412723283E-2</v>
      </c>
      <c r="AI25" s="10">
        <f t="shared" si="0"/>
        <v>4.6941133588913608E-2</v>
      </c>
      <c r="AJ25" s="10">
        <f t="shared" si="0"/>
        <v>4.6919302648298356E-2</v>
      </c>
      <c r="AK25" s="10">
        <f t="shared" si="0"/>
        <v>9.3318541766421736E-2</v>
      </c>
      <c r="AL25" s="10">
        <f t="shared" si="0"/>
        <v>9.5380869838751492E-2</v>
      </c>
      <c r="AM25" s="10">
        <f t="shared" si="0"/>
        <v>9.6713608283914176E-2</v>
      </c>
      <c r="AN25" s="10">
        <f t="shared" si="0"/>
        <v>0.10445013408916104</v>
      </c>
      <c r="AO25" s="10">
        <f t="shared" si="0"/>
        <v>8.6537753866683831E-2</v>
      </c>
      <c r="AP25" s="10">
        <f t="shared" si="0"/>
        <v>0.10209450123000363</v>
      </c>
      <c r="AQ25" s="10">
        <f t="shared" si="0"/>
        <v>0.10329557441775417</v>
      </c>
      <c r="AR25" s="10">
        <f t="shared" si="0"/>
        <v>7.6992717909520225E-2</v>
      </c>
      <c r="AS25" s="10">
        <f t="shared" si="0"/>
        <v>7.6983913454968134E-2</v>
      </c>
      <c r="AT25" s="10">
        <f t="shared" si="0"/>
        <v>8.1836684067716714E-2</v>
      </c>
      <c r="AU25" s="10">
        <f t="shared" si="0"/>
        <v>9.6554442372226434E-2</v>
      </c>
      <c r="AV25" s="10">
        <f t="shared" si="0"/>
        <v>9.9278263429342317E-2</v>
      </c>
      <c r="AW25" s="10">
        <f t="shared" si="0"/>
        <v>5.2286306254869963E-2</v>
      </c>
      <c r="AX25" s="10">
        <f t="shared" si="0"/>
        <v>5.7678638799755211E-2</v>
      </c>
      <c r="AY25" s="10">
        <f t="shared" si="0"/>
        <v>6.2531498305822941E-2</v>
      </c>
      <c r="AZ25" s="10">
        <f t="shared" si="0"/>
        <v>5.6652293578610236E-2</v>
      </c>
      <c r="BA25" s="10">
        <f t="shared" si="0"/>
        <v>4.867779624761992E-2</v>
      </c>
      <c r="BB25" s="10">
        <f t="shared" si="0"/>
        <v>4.67840768107739E-2</v>
      </c>
      <c r="BC25" s="10">
        <f t="shared" si="0"/>
        <v>4.5380082874365346E-2</v>
      </c>
      <c r="BD25" s="10">
        <f t="shared" si="0"/>
        <v>4.7695195631767939E-2</v>
      </c>
      <c r="BE25" s="10">
        <f t="shared" si="0"/>
        <v>5.3744202063457536E-2</v>
      </c>
      <c r="BF25" s="10">
        <f t="shared" si="0"/>
        <v>4.9342663559204247E-2</v>
      </c>
      <c r="BG25" s="10">
        <f t="shared" si="0"/>
        <v>5.3542082539526747E-2</v>
      </c>
      <c r="BH25" s="10">
        <f t="shared" si="0"/>
        <v>4.9023916756487429E-2</v>
      </c>
      <c r="BI25" s="10">
        <f t="shared" si="0"/>
        <v>4.6478134695728812E-2</v>
      </c>
      <c r="BJ25" s="10">
        <f t="shared" si="0"/>
        <v>4.4147374211127799E-2</v>
      </c>
      <c r="BK25" s="10">
        <f t="shared" si="0"/>
        <v>6.3118716027172894E-2</v>
      </c>
      <c r="BL25" s="10">
        <f t="shared" si="0"/>
        <v>5.4081508844012083E-2</v>
      </c>
      <c r="BM25" s="10">
        <f t="shared" si="0"/>
        <v>6.5679812487150269E-2</v>
      </c>
      <c r="BN25" s="10">
        <f t="shared" si="0"/>
        <v>6.6694751351030757E-2</v>
      </c>
      <c r="BO25" s="10">
        <f t="shared" si="0"/>
        <v>6.7603039625771633E-2</v>
      </c>
      <c r="BP25" s="10">
        <f t="shared" si="0"/>
        <v>7.8580431186098476E-2</v>
      </c>
      <c r="BQ25" s="10">
        <f t="shared" si="0"/>
        <v>7.533353430448031E-2</v>
      </c>
      <c r="BR25" s="10">
        <f t="shared" si="0"/>
        <v>7.6675327427833784E-2</v>
      </c>
      <c r="BS25" s="10">
        <f t="shared" si="0"/>
        <v>8.6019785248703684E-2</v>
      </c>
      <c r="BT25" s="10">
        <f t="shared" si="0"/>
        <v>0.10496903454940965</v>
      </c>
      <c r="BU25" s="10">
        <f t="shared" si="0"/>
        <v>0.11310810687749751</v>
      </c>
      <c r="BV25" s="10">
        <f t="shared" si="0"/>
        <v>0.11239197703457671</v>
      </c>
      <c r="BW25" s="10">
        <f t="shared" si="0"/>
        <v>0.17657544503106504</v>
      </c>
      <c r="BX25" s="10">
        <f t="shared" si="0"/>
        <v>0.17810836427475896</v>
      </c>
      <c r="BY25" s="10">
        <f t="shared" si="0"/>
        <v>0.16779865738655042</v>
      </c>
      <c r="BZ25" s="10">
        <f t="shared" si="0"/>
        <v>0.18211770190020737</v>
      </c>
      <c r="CA25" s="10">
        <f t="shared" si="0"/>
        <v>0.18827218744262963</v>
      </c>
      <c r="CB25" s="10">
        <f t="shared" si="0"/>
        <v>0.17444924669148798</v>
      </c>
      <c r="CC25" s="10">
        <f t="shared" si="0"/>
        <v>0.23102067630884737</v>
      </c>
      <c r="CD25" s="10">
        <f t="shared" si="0"/>
        <v>0.24632611036539775</v>
      </c>
      <c r="CE25" s="10">
        <f t="shared" si="0"/>
        <v>0.24347590241809614</v>
      </c>
      <c r="CF25" s="10">
        <f t="shared" si="0"/>
        <v>0.22429309031196776</v>
      </c>
      <c r="CG25" s="10">
        <f t="shared" si="1"/>
        <v>0.25718285934019902</v>
      </c>
      <c r="CH25" s="10">
        <f t="shared" si="1"/>
        <v>0.2667365704548712</v>
      </c>
      <c r="CI25" s="10">
        <f t="shared" si="1"/>
        <v>0.18365936218126744</v>
      </c>
      <c r="CJ25" s="10">
        <f t="shared" si="1"/>
        <v>0.18567084257428568</v>
      </c>
      <c r="CK25" s="10">
        <f t="shared" si="1"/>
        <v>0.18891079145320933</v>
      </c>
      <c r="CL25" s="10">
        <f t="shared" si="1"/>
        <v>0.18011567700563003</v>
      </c>
      <c r="CM25" s="10">
        <f t="shared" si="1"/>
        <v>0.18279449875981979</v>
      </c>
      <c r="CN25" s="10">
        <f t="shared" si="1"/>
        <v>0.18193831459854626</v>
      </c>
      <c r="CO25" s="10">
        <f t="shared" si="1"/>
        <v>0.14936685649200476</v>
      </c>
      <c r="CP25" s="10">
        <f t="shared" si="1"/>
        <v>0.14628154579876629</v>
      </c>
      <c r="CQ25" s="10">
        <f t="shared" si="1"/>
        <v>0.135989421653397</v>
      </c>
      <c r="CR25" s="10">
        <f t="shared" si="1"/>
        <v>0.13821389390058814</v>
      </c>
      <c r="CS25" s="10">
        <f t="shared" si="1"/>
        <v>0.10440314823393981</v>
      </c>
    </row>
    <row r="26" spans="5:97" x14ac:dyDescent="0.2">
      <c r="E26" t="s">
        <v>356</v>
      </c>
      <c r="T26" s="10">
        <f t="shared" si="2"/>
        <v>0.14275587648439392</v>
      </c>
      <c r="U26" s="10">
        <f t="shared" si="0"/>
        <v>0.16853472901756006</v>
      </c>
      <c r="V26" s="10">
        <f t="shared" si="0"/>
        <v>0.15150359429305538</v>
      </c>
      <c r="W26" s="10">
        <f t="shared" si="0"/>
        <v>0.10273248709966243</v>
      </c>
      <c r="X26" s="10">
        <f t="shared" si="0"/>
        <v>8.3396548092586897E-2</v>
      </c>
      <c r="Y26" s="10">
        <f t="shared" si="0"/>
        <v>8.4434805790258638E-2</v>
      </c>
      <c r="Z26" s="10">
        <f t="shared" si="0"/>
        <v>8.2199565660495022E-2</v>
      </c>
      <c r="AA26" s="10">
        <f t="shared" si="0"/>
        <v>7.3824352078758482E-2</v>
      </c>
      <c r="AB26" s="10">
        <f t="shared" si="0"/>
        <v>4.9044177391737609E-2</v>
      </c>
      <c r="AC26" s="10">
        <f t="shared" si="0"/>
        <v>4.210930815432623E-2</v>
      </c>
      <c r="AD26" s="10">
        <f t="shared" si="0"/>
        <v>4.074347140031187E-2</v>
      </c>
      <c r="AE26" s="10">
        <f t="shared" si="0"/>
        <v>4.8308125345358777E-2</v>
      </c>
      <c r="AF26" s="10">
        <f t="shared" si="0"/>
        <v>3.7017110040482359E-2</v>
      </c>
      <c r="AG26" s="10">
        <f t="shared" si="0"/>
        <v>3.3703956552940673E-2</v>
      </c>
      <c r="AH26" s="10">
        <f t="shared" si="0"/>
        <v>6.3112030609292491E-2</v>
      </c>
      <c r="AI26" s="10">
        <f t="shared" si="0"/>
        <v>6.7536590905217464E-2</v>
      </c>
      <c r="AJ26" s="10">
        <f t="shared" si="0"/>
        <v>0.11415468997641498</v>
      </c>
      <c r="AK26" s="10">
        <f t="shared" si="0"/>
        <v>0.12752670188138393</v>
      </c>
      <c r="AL26" s="10">
        <f t="shared" si="0"/>
        <v>0.3635154001808385</v>
      </c>
      <c r="AM26" s="10">
        <f t="shared" si="0"/>
        <v>0.36310516009664928</v>
      </c>
      <c r="AN26" s="10">
        <f t="shared" si="0"/>
        <v>0.3739205649072177</v>
      </c>
      <c r="AO26" s="10">
        <f t="shared" si="0"/>
        <v>0.36299765575835652</v>
      </c>
      <c r="AP26" s="10">
        <f t="shared" si="0"/>
        <v>0.36608274790678608</v>
      </c>
      <c r="AQ26" s="10">
        <f t="shared" si="0"/>
        <v>0.34059399447292571</v>
      </c>
      <c r="AR26" s="10">
        <f t="shared" si="0"/>
        <v>0.31623111689437433</v>
      </c>
      <c r="AS26" s="10">
        <f t="shared" si="0"/>
        <v>0.27732796496624368</v>
      </c>
      <c r="AT26" s="10">
        <f t="shared" si="0"/>
        <v>0.25852342588460298</v>
      </c>
      <c r="AU26" s="10">
        <f t="shared" si="0"/>
        <v>0.25527124940493895</v>
      </c>
      <c r="AV26" s="10">
        <f t="shared" si="0"/>
        <v>0.20274859703677994</v>
      </c>
      <c r="AW26" s="10">
        <f t="shared" si="0"/>
        <v>0.18637745593480592</v>
      </c>
      <c r="AX26" s="10">
        <f t="shared" si="0"/>
        <v>-2.0466738777171312E-2</v>
      </c>
      <c r="AY26" s="10">
        <f t="shared" si="0"/>
        <v>-2.2507516681205098E-2</v>
      </c>
      <c r="AZ26" s="10">
        <f t="shared" si="0"/>
        <v>-3.1748873913646225E-2</v>
      </c>
      <c r="BA26" s="10">
        <f t="shared" si="0"/>
        <v>-1.8311736937686729E-2</v>
      </c>
      <c r="BB26" s="10">
        <f t="shared" si="0"/>
        <v>-1.2278553630359457E-2</v>
      </c>
      <c r="BC26" s="10">
        <f t="shared" si="0"/>
        <v>1.393817295869848E-3</v>
      </c>
      <c r="BD26" s="10">
        <f t="shared" si="0"/>
        <v>1.718729936268959E-2</v>
      </c>
      <c r="BE26" s="10">
        <f t="shared" si="0"/>
        <v>3.2249816488389982E-2</v>
      </c>
      <c r="BF26" s="10">
        <f t="shared" si="0"/>
        <v>3.2083826101711788E-2</v>
      </c>
      <c r="BG26" s="10">
        <f t="shared" si="0"/>
        <v>3.5387926269059289E-2</v>
      </c>
      <c r="BH26" s="10">
        <f t="shared" si="0"/>
        <v>4.761441160914659E-2</v>
      </c>
      <c r="BI26" s="10">
        <f t="shared" si="0"/>
        <v>5.9220353758014488E-2</v>
      </c>
      <c r="BJ26" s="10">
        <f t="shared" si="0"/>
        <v>6.5046257564058685E-2</v>
      </c>
      <c r="BK26" s="10">
        <f t="shared" si="0"/>
        <v>6.4749473644088562E-2</v>
      </c>
      <c r="BL26" s="10">
        <f t="shared" si="0"/>
        <v>5.562761171211128E-2</v>
      </c>
      <c r="BM26" s="10">
        <f t="shared" si="0"/>
        <v>4.9111535041144849E-2</v>
      </c>
      <c r="BN26" s="10">
        <f t="shared" si="0"/>
        <v>4.0140547948504413E-2</v>
      </c>
      <c r="BO26" s="10">
        <f t="shared" si="0"/>
        <v>3.7901370223665909E-2</v>
      </c>
      <c r="BP26" s="10">
        <f t="shared" si="0"/>
        <v>4.3453894752660371E-2</v>
      </c>
      <c r="BQ26" s="10">
        <f t="shared" si="0"/>
        <v>5.012170363257562E-2</v>
      </c>
      <c r="BR26" s="10">
        <f t="shared" si="0"/>
        <v>7.5487228947041185E-2</v>
      </c>
      <c r="BS26" s="10">
        <f t="shared" si="0"/>
        <v>8.9356778776541468E-2</v>
      </c>
      <c r="BT26" s="10">
        <f t="shared" si="0"/>
        <v>8.2708561221563892E-2</v>
      </c>
      <c r="BU26" s="10">
        <f t="shared" si="0"/>
        <v>8.1096235428732122E-2</v>
      </c>
      <c r="BV26" s="10">
        <f t="shared" si="0"/>
        <v>8.8731756419895502E-2</v>
      </c>
      <c r="BW26" s="10">
        <f t="shared" si="0"/>
        <v>9.6732717790672273E-2</v>
      </c>
      <c r="BX26" s="10">
        <f t="shared" si="0"/>
        <v>0.10065111822376283</v>
      </c>
      <c r="BY26" s="10">
        <f t="shared" si="0"/>
        <v>0.11593374099257381</v>
      </c>
      <c r="BZ26" s="10">
        <f t="shared" si="0"/>
        <v>0.12577009058582234</v>
      </c>
      <c r="CA26" s="10">
        <f t="shared" si="0"/>
        <v>0.14856703620433676</v>
      </c>
      <c r="CB26" s="10">
        <f t="shared" si="0"/>
        <v>0.15761927360090433</v>
      </c>
      <c r="CC26" s="10">
        <f t="shared" si="0"/>
        <v>0.14133667411514916</v>
      </c>
      <c r="CD26" s="10">
        <f t="shared" si="0"/>
        <v>0.11132734921678855</v>
      </c>
      <c r="CE26" s="10">
        <f t="shared" si="0"/>
        <v>0.10388073621583582</v>
      </c>
      <c r="CF26" s="10">
        <f t="shared" ref="CF26:CF36" si="3">CF11/BT11-1</f>
        <v>8.7329790473943403E-2</v>
      </c>
      <c r="CG26" s="10">
        <f t="shared" si="1"/>
        <v>8.8761738337906904E-2</v>
      </c>
      <c r="CH26" s="10">
        <f t="shared" si="1"/>
        <v>6.0094007749656564E-2</v>
      </c>
      <c r="CI26" s="10">
        <f t="shared" si="1"/>
        <v>5.0094963169776685E-2</v>
      </c>
      <c r="CJ26" s="10">
        <f t="shared" si="1"/>
        <v>5.6931877544370568E-2</v>
      </c>
      <c r="CK26" s="10">
        <f t="shared" si="1"/>
        <v>5.098263514898993E-2</v>
      </c>
      <c r="CL26" s="10">
        <f t="shared" si="1"/>
        <v>4.2692523743038002E-2</v>
      </c>
      <c r="CM26" s="10">
        <f t="shared" si="1"/>
        <v>1.3941843982305357E-2</v>
      </c>
      <c r="CN26" s="10">
        <f t="shared" si="1"/>
        <v>1.1422010082741352E-2</v>
      </c>
      <c r="CO26" s="10">
        <f t="shared" si="1"/>
        <v>4.6067282272948429E-2</v>
      </c>
      <c r="CP26" s="10">
        <f t="shared" si="1"/>
        <v>4.9810377962879571E-2</v>
      </c>
      <c r="CQ26" s="10">
        <f t="shared" si="1"/>
        <v>5.039525691699609E-2</v>
      </c>
      <c r="CR26" s="10">
        <f t="shared" si="1"/>
        <v>6.1407579525788902E-2</v>
      </c>
      <c r="CS26" s="10">
        <f t="shared" si="1"/>
        <v>4.2531454964906956E-2</v>
      </c>
    </row>
    <row r="27" spans="5:97" x14ac:dyDescent="0.2">
      <c r="E27" t="s">
        <v>357</v>
      </c>
      <c r="T27" s="10">
        <f t="shared" si="2"/>
        <v>9.9147894307451301E-2</v>
      </c>
      <c r="U27" s="10">
        <f t="shared" ref="U27:U36" si="4">U12/I12-1</f>
        <v>0.10546567227281822</v>
      </c>
      <c r="V27" s="10">
        <f t="shared" ref="V27:V36" si="5">V12/J12-1</f>
        <v>9.8962427946974518E-2</v>
      </c>
      <c r="W27" s="10">
        <f t="shared" ref="W27:W36" si="6">W12/K12-1</f>
        <v>0.11223372279707045</v>
      </c>
      <c r="X27" s="10">
        <f t="shared" ref="X27:X36" si="7">X12/L12-1</f>
        <v>0.10632319722749473</v>
      </c>
      <c r="Y27" s="10">
        <f t="shared" ref="Y27:Y36" si="8">Y12/M12-1</f>
        <v>0.10863281230737987</v>
      </c>
      <c r="Z27" s="10">
        <f t="shared" ref="Z27:Z36" si="9">Z12/N12-1</f>
        <v>0.10919349027310021</v>
      </c>
      <c r="AA27" s="10">
        <f t="shared" ref="AA27:AA36" si="10">AA12/O12-1</f>
        <v>0.10719487254699644</v>
      </c>
      <c r="AB27" s="10">
        <f t="shared" ref="AB27:AB36" si="11">AB12/P12-1</f>
        <v>0.10880275108872772</v>
      </c>
      <c r="AC27" s="10">
        <f t="shared" ref="AC27:AC36" si="12">AC12/Q12-1</f>
        <v>0.10633569357577133</v>
      </c>
      <c r="AD27" s="10">
        <f t="shared" ref="AD27:AD36" si="13">AD12/R12-1</f>
        <v>0.1100903463625833</v>
      </c>
      <c r="AE27" s="10">
        <f t="shared" ref="AE27:AE36" si="14">AE12/S12-1</f>
        <v>0.1251407875355417</v>
      </c>
      <c r="AF27" s="10">
        <f t="shared" ref="AF27:AF36" si="15">AF12/T12-1</f>
        <v>0.1170941826283427</v>
      </c>
      <c r="AG27" s="10">
        <f t="shared" ref="AG27:AG36" si="16">AG12/U12-1</f>
        <v>0.11404623481132936</v>
      </c>
      <c r="AH27" s="10">
        <f t="shared" ref="AH27:AH36" si="17">AH12/V12-1</f>
        <v>0.12017349084720141</v>
      </c>
      <c r="AI27" s="10">
        <f t="shared" ref="AI27:AI36" si="18">AI12/W12-1</f>
        <v>0.13244726922567218</v>
      </c>
      <c r="AJ27" s="10">
        <f t="shared" ref="AJ27:AJ36" si="19">AJ12/X12-1</f>
        <v>0.12471404090558225</v>
      </c>
      <c r="AK27" s="10">
        <f t="shared" ref="AK27:AK36" si="20">AK12/Y12-1</f>
        <v>0.15407224206465742</v>
      </c>
      <c r="AL27" s="10">
        <f t="shared" ref="AL27:AL36" si="21">AL12/Z12-1</f>
        <v>0.14166650004065406</v>
      </c>
      <c r="AM27" s="10">
        <f t="shared" ref="AM27:AM36" si="22">AM12/AA12-1</f>
        <v>0.14249511847324814</v>
      </c>
      <c r="AN27" s="10">
        <f t="shared" ref="AN27:AN36" si="23">AN12/AB12-1</f>
        <v>0.15080701328946455</v>
      </c>
      <c r="AO27" s="10">
        <f t="shared" ref="AO27:AO36" si="24">AO12/AC12-1</f>
        <v>0.13410936950833929</v>
      </c>
      <c r="AP27" s="10">
        <f t="shared" ref="AP27:AP36" si="25">AP12/AD12-1</f>
        <v>0.12817931500020774</v>
      </c>
      <c r="AQ27" s="10">
        <f t="shared" ref="AQ27:AQ36" si="26">AQ12/AE12-1</f>
        <v>0.11631673814219989</v>
      </c>
      <c r="AR27" s="10">
        <f t="shared" ref="AR27:AR36" si="27">AR12/AF12-1</f>
        <v>0.12810758533225353</v>
      </c>
      <c r="AS27" s="10">
        <f t="shared" ref="AS27:AS36" si="28">AS12/AG12-1</f>
        <v>0.13314098695838505</v>
      </c>
      <c r="AT27" s="10">
        <f t="shared" ref="AT27:AT36" si="29">AT12/AH12-1</f>
        <v>0.11284943524266056</v>
      </c>
      <c r="AU27" s="10">
        <f t="shared" ref="AU27:AU36" si="30">AU12/AI12-1</f>
        <v>9.0267239179964154E-2</v>
      </c>
      <c r="AV27" s="10">
        <f t="shared" ref="AV27:AV36" si="31">AV12/AJ12-1</f>
        <v>9.3250859598418057E-2</v>
      </c>
      <c r="AW27" s="10">
        <f t="shared" ref="AW27:AW36" si="32">AW12/AK12-1</f>
        <v>7.0163997751195195E-2</v>
      </c>
      <c r="AX27" s="10">
        <f t="shared" ref="AX27:AX36" si="33">AX12/AL12-1</f>
        <v>7.5002728482633785E-2</v>
      </c>
      <c r="AY27" s="10">
        <f t="shared" ref="AY27:AY36" si="34">AY12/AM12-1</f>
        <v>7.0461915130375363E-2</v>
      </c>
      <c r="AZ27" s="10">
        <f t="shared" ref="AZ27:AZ36" si="35">AZ12/AN12-1</f>
        <v>5.1031300456721551E-2</v>
      </c>
      <c r="BA27" s="10">
        <f t="shared" ref="BA27:BA36" si="36">BA12/AO12-1</f>
        <v>5.3374812141536943E-2</v>
      </c>
      <c r="BB27" s="10">
        <f t="shared" ref="BB27:BB36" si="37">BB12/AP12-1</f>
        <v>4.9574584841239666E-2</v>
      </c>
      <c r="BC27" s="10">
        <f t="shared" ref="BC27:BC36" si="38">BC12/AQ12-1</f>
        <v>5.085992085289992E-2</v>
      </c>
      <c r="BD27" s="10">
        <f t="shared" ref="BD27:BD36" si="39">BD12/AR12-1</f>
        <v>4.0825970021744373E-2</v>
      </c>
      <c r="BE27" s="10">
        <f t="shared" ref="BE27:BE36" si="40">BE12/AS12-1</f>
        <v>3.472875759944194E-2</v>
      </c>
      <c r="BF27" s="10">
        <f t="shared" ref="BF27:BF36" si="41">BF12/AT12-1</f>
        <v>3.4465347098318944E-2</v>
      </c>
      <c r="BG27" s="10">
        <f t="shared" ref="BG27:BG36" si="42">BG12/AU12-1</f>
        <v>3.1985769034521772E-2</v>
      </c>
      <c r="BH27" s="10">
        <f t="shared" ref="BH27:BH36" si="43">BH12/AV12-1</f>
        <v>2.9537926463604869E-2</v>
      </c>
      <c r="BI27" s="10">
        <f t="shared" ref="BI27:BI36" si="44">BI12/AW12-1</f>
        <v>2.9107622742756689E-2</v>
      </c>
      <c r="BJ27" s="10">
        <f t="shared" ref="BJ27:BJ36" si="45">BJ12/AX12-1</f>
        <v>3.4969236051364927E-2</v>
      </c>
      <c r="BK27" s="10">
        <f t="shared" ref="BK27:BK36" si="46">BK12/AY12-1</f>
        <v>3.4678396564545633E-2</v>
      </c>
      <c r="BL27" s="10">
        <f t="shared" ref="BL27:BL36" si="47">BL12/AZ12-1</f>
        <v>3.8860832701341774E-2</v>
      </c>
      <c r="BM27" s="10">
        <f t="shared" ref="BM27:BM36" si="48">BM12/BA12-1</f>
        <v>3.8693720027699996E-2</v>
      </c>
      <c r="BN27" s="10">
        <f t="shared" ref="BN27:BN36" si="49">BN12/BB12-1</f>
        <v>4.012343569368948E-2</v>
      </c>
      <c r="BO27" s="10">
        <f t="shared" ref="BO27:BO36" si="50">BO12/BC12-1</f>
        <v>5.05151952500138E-2</v>
      </c>
      <c r="BP27" s="10">
        <f t="shared" ref="BP27:BP36" si="51">BP12/BD12-1</f>
        <v>5.2455946027038625E-2</v>
      </c>
      <c r="BQ27" s="10">
        <f t="shared" ref="BQ27:BQ36" si="52">BQ12/BE12-1</f>
        <v>6.2907842368899791E-2</v>
      </c>
      <c r="BR27" s="10">
        <f t="shared" ref="BR27:BR36" si="53">BR12/BF12-1</f>
        <v>7.4096334014294163E-2</v>
      </c>
      <c r="BS27" s="10">
        <f t="shared" ref="BS27:BS36" si="54">BS12/BG12-1</f>
        <v>7.9599211807095172E-2</v>
      </c>
      <c r="BT27" s="10">
        <f t="shared" ref="BT27:BT36" si="55">BT12/BH12-1</f>
        <v>8.6047208867412461E-2</v>
      </c>
      <c r="BU27" s="10">
        <f t="shared" ref="BU27:BU36" si="56">BU12/BI12-1</f>
        <v>8.2528493021343241E-2</v>
      </c>
      <c r="BV27" s="10">
        <f t="shared" ref="BV27:BV36" si="57">BV12/BJ12-1</f>
        <v>0.10000629995989452</v>
      </c>
      <c r="BW27" s="10">
        <f t="shared" ref="BW27:BW36" si="58">BW12/BK12-1</f>
        <v>0.1358950513303876</v>
      </c>
      <c r="BX27" s="10">
        <f t="shared" ref="BX27:BX36" si="59">BX12/BL12-1</f>
        <v>0.15862384494407089</v>
      </c>
      <c r="BY27" s="10">
        <f t="shared" ref="BY27:BY36" si="60">BY12/BM12-1</f>
        <v>0.17502670998092662</v>
      </c>
      <c r="BZ27" s="10">
        <f t="shared" ref="BZ27:BZ36" si="61">BZ12/BN12-1</f>
        <v>0.17943270520907095</v>
      </c>
      <c r="CA27" s="10">
        <f t="shared" ref="CA27:CA36" si="62">CA12/BO12-1</f>
        <v>0.20645372286812735</v>
      </c>
      <c r="CB27" s="10">
        <f t="shared" ref="CB27:CB36" si="63">CB12/BP12-1</f>
        <v>0.23867533341847214</v>
      </c>
      <c r="CC27" s="10">
        <f t="shared" ref="CC27:CC36" si="64">CC12/BQ12-1</f>
        <v>0.25276021425839978</v>
      </c>
      <c r="CD27" s="10">
        <f t="shared" ref="CD27:CD36" si="65">CD12/BR12-1</f>
        <v>0.25927316122936195</v>
      </c>
      <c r="CE27" s="10">
        <f t="shared" ref="CE27:CE36" si="66">CE12/BS12-1</f>
        <v>0.26842622824689299</v>
      </c>
      <c r="CF27" s="10">
        <f t="shared" si="3"/>
        <v>0.26882040267631879</v>
      </c>
      <c r="CG27" s="10">
        <f t="shared" si="1"/>
        <v>0.29420537146142767</v>
      </c>
      <c r="CH27" s="10">
        <f t="shared" si="1"/>
        <v>0.27221651784408962</v>
      </c>
      <c r="CI27" s="10">
        <f t="shared" si="1"/>
        <v>0.23679352116194452</v>
      </c>
      <c r="CJ27" s="10">
        <f t="shared" si="1"/>
        <v>0.20761744184193542</v>
      </c>
      <c r="CK27" s="10">
        <f t="shared" si="1"/>
        <v>0.18761129610646066</v>
      </c>
      <c r="CL27" s="10">
        <f t="shared" si="1"/>
        <v>0.20362746346824223</v>
      </c>
      <c r="CM27" s="10">
        <f t="shared" si="1"/>
        <v>0.16517353975480531</v>
      </c>
      <c r="CN27" s="10">
        <f t="shared" si="1"/>
        <v>0.12752477296918863</v>
      </c>
      <c r="CO27" s="10">
        <f t="shared" si="1"/>
        <v>0.10788865998566632</v>
      </c>
      <c r="CP27" s="10">
        <f t="shared" si="1"/>
        <v>9.3604510855764378E-2</v>
      </c>
      <c r="CQ27" s="10">
        <f t="shared" si="1"/>
        <v>8.0208333333333437E-2</v>
      </c>
      <c r="CR27" s="10">
        <f t="shared" si="1"/>
        <v>7.1282850968747313E-2</v>
      </c>
      <c r="CS27" s="10">
        <f t="shared" si="1"/>
        <v>5.4702422698680531E-2</v>
      </c>
    </row>
    <row r="28" spans="5:97" x14ac:dyDescent="0.2">
      <c r="E28" t="s">
        <v>358</v>
      </c>
      <c r="T28" s="10">
        <f t="shared" si="2"/>
        <v>0.11450294100849256</v>
      </c>
      <c r="U28" s="10">
        <f t="shared" si="4"/>
        <v>0.11450294100849256</v>
      </c>
      <c r="V28" s="10">
        <f t="shared" si="5"/>
        <v>0.14024152778570853</v>
      </c>
      <c r="W28" s="10">
        <f t="shared" si="6"/>
        <v>0.12252038771369578</v>
      </c>
      <c r="X28" s="10">
        <f t="shared" si="7"/>
        <v>0.10161853930022446</v>
      </c>
      <c r="Y28" s="10">
        <f t="shared" si="8"/>
        <v>0.10161853930022446</v>
      </c>
      <c r="Z28" s="10">
        <f t="shared" si="9"/>
        <v>0.10161853930022446</v>
      </c>
      <c r="AA28" s="10">
        <f t="shared" si="10"/>
        <v>0.2065797362361228</v>
      </c>
      <c r="AB28" s="10">
        <f t="shared" si="11"/>
        <v>0.2027265286011275</v>
      </c>
      <c r="AC28" s="10">
        <f t="shared" si="12"/>
        <v>0.18609034652629952</v>
      </c>
      <c r="AD28" s="10">
        <f t="shared" si="13"/>
        <v>0.13516774607431925</v>
      </c>
      <c r="AE28" s="10">
        <f t="shared" si="14"/>
        <v>0.13740318585280953</v>
      </c>
      <c r="AF28" s="10">
        <f t="shared" si="15"/>
        <v>0.18405603462014231</v>
      </c>
      <c r="AG28" s="10">
        <f t="shared" si="16"/>
        <v>0.1837879164775118</v>
      </c>
      <c r="AH28" s="10">
        <f t="shared" si="17"/>
        <v>0.15268472444614689</v>
      </c>
      <c r="AI28" s="10">
        <f t="shared" si="18"/>
        <v>0.18577199753898554</v>
      </c>
      <c r="AJ28" s="10">
        <f t="shared" si="19"/>
        <v>0.18577199753898554</v>
      </c>
      <c r="AK28" s="10">
        <f t="shared" si="20"/>
        <v>0.25093054583263164</v>
      </c>
      <c r="AL28" s="10">
        <f t="shared" si="21"/>
        <v>0.24501369332843992</v>
      </c>
      <c r="AM28" s="10">
        <f t="shared" si="22"/>
        <v>0.14480842439078656</v>
      </c>
      <c r="AN28" s="10">
        <f t="shared" si="23"/>
        <v>0.14847607822278475</v>
      </c>
      <c r="AO28" s="10">
        <f t="shared" si="24"/>
        <v>0.15447964188609453</v>
      </c>
      <c r="AP28" s="10">
        <f t="shared" si="25"/>
        <v>0.16449289479462537</v>
      </c>
      <c r="AQ28" s="10">
        <f t="shared" si="26"/>
        <v>0.16220421319853728</v>
      </c>
      <c r="AR28" s="10">
        <f t="shared" si="27"/>
        <v>0.12386222277590186</v>
      </c>
      <c r="AS28" s="10">
        <f t="shared" si="28"/>
        <v>0.12411676824603979</v>
      </c>
      <c r="AT28" s="10">
        <f t="shared" si="29"/>
        <v>0.12838981035149222</v>
      </c>
      <c r="AU28" s="10">
        <f t="shared" si="30"/>
        <v>0.1071388305549863</v>
      </c>
      <c r="AV28" s="10">
        <f t="shared" si="31"/>
        <v>0.11956411298135006</v>
      </c>
      <c r="AW28" s="10">
        <f t="shared" si="32"/>
        <v>6.1248187635572604E-2</v>
      </c>
      <c r="AX28" s="10">
        <f t="shared" si="33"/>
        <v>6.6291705654875299E-2</v>
      </c>
      <c r="AY28" s="10">
        <f t="shared" si="34"/>
        <v>6.1375032878477676E-2</v>
      </c>
      <c r="AZ28" s="10">
        <f t="shared" si="35"/>
        <v>7.3286713852755758E-2</v>
      </c>
      <c r="BA28" s="10">
        <f t="shared" si="36"/>
        <v>6.457314912340828E-2</v>
      </c>
      <c r="BB28" s="10">
        <f t="shared" si="37"/>
        <v>6.1362786345351417E-2</v>
      </c>
      <c r="BC28" s="10">
        <f t="shared" si="38"/>
        <v>6.1362786345351417E-2</v>
      </c>
      <c r="BD28" s="10">
        <f t="shared" si="39"/>
        <v>6.4511963605849099E-2</v>
      </c>
      <c r="BE28" s="10">
        <f t="shared" si="40"/>
        <v>0.11443113141205008</v>
      </c>
      <c r="BF28" s="10">
        <f t="shared" si="41"/>
        <v>0.12693825443074647</v>
      </c>
      <c r="BG28" s="10">
        <f t="shared" si="42"/>
        <v>0.11652009006628661</v>
      </c>
      <c r="BH28" s="10">
        <f t="shared" si="43"/>
        <v>0.10412859118478046</v>
      </c>
      <c r="BI28" s="10">
        <f t="shared" si="44"/>
        <v>0.10686835719428944</v>
      </c>
      <c r="BJ28" s="10">
        <f t="shared" si="45"/>
        <v>0.10738485075939974</v>
      </c>
      <c r="BK28" s="10">
        <f t="shared" si="46"/>
        <v>0.10464380630380954</v>
      </c>
      <c r="BL28" s="10">
        <f t="shared" si="47"/>
        <v>9.2384114237307191E-2</v>
      </c>
      <c r="BM28" s="10">
        <f t="shared" si="48"/>
        <v>0.1780803288538011</v>
      </c>
      <c r="BN28" s="10">
        <f t="shared" si="49"/>
        <v>0.16904589435065387</v>
      </c>
      <c r="BO28" s="10">
        <f t="shared" si="50"/>
        <v>0.16904589435065387</v>
      </c>
      <c r="BP28" s="10">
        <f t="shared" si="51"/>
        <v>0.25241053233603017</v>
      </c>
      <c r="BQ28" s="10">
        <f t="shared" si="52"/>
        <v>0.19657393635003206</v>
      </c>
      <c r="BR28" s="10">
        <f t="shared" si="53"/>
        <v>0.19591915642531665</v>
      </c>
      <c r="BS28" s="10">
        <f t="shared" si="54"/>
        <v>0.19849764910901246</v>
      </c>
      <c r="BT28" s="10">
        <f t="shared" si="55"/>
        <v>0.19849764910901246</v>
      </c>
      <c r="BU28" s="10">
        <f t="shared" si="56"/>
        <v>0.19553107851354556</v>
      </c>
      <c r="BV28" s="10">
        <f t="shared" si="57"/>
        <v>0.23887609782574493</v>
      </c>
      <c r="BW28" s="10">
        <f t="shared" si="58"/>
        <v>0.23887609782574493</v>
      </c>
      <c r="BX28" s="10">
        <f t="shared" si="59"/>
        <v>0.23887609782574493</v>
      </c>
      <c r="BY28" s="10">
        <f t="shared" si="60"/>
        <v>0.14875746214169649</v>
      </c>
      <c r="BZ28" s="10">
        <f t="shared" si="61"/>
        <v>0.14726146070645352</v>
      </c>
      <c r="CA28" s="10">
        <f t="shared" si="62"/>
        <v>0.16985332768677464</v>
      </c>
      <c r="CB28" s="10">
        <f t="shared" si="63"/>
        <v>6.9578658594047216E-2</v>
      </c>
      <c r="CC28" s="10">
        <f t="shared" si="64"/>
        <v>0.12625344217662393</v>
      </c>
      <c r="CD28" s="10">
        <f t="shared" si="65"/>
        <v>0.14434980981656054</v>
      </c>
      <c r="CE28" s="10">
        <f t="shared" si="66"/>
        <v>0.16199451844605939</v>
      </c>
      <c r="CF28" s="10">
        <f t="shared" si="3"/>
        <v>0.23850095146015526</v>
      </c>
      <c r="CG28" s="10">
        <f t="shared" si="1"/>
        <v>0.23850095146015526</v>
      </c>
      <c r="CH28" s="10">
        <f t="shared" si="1"/>
        <v>0.19451199196418956</v>
      </c>
      <c r="CI28" s="10">
        <f t="shared" si="1"/>
        <v>0.19235785266097816</v>
      </c>
      <c r="CJ28" s="10">
        <f t="shared" si="1"/>
        <v>0.19619279472233631</v>
      </c>
      <c r="CK28" s="10">
        <f t="shared" si="1"/>
        <v>0.20666614689291007</v>
      </c>
      <c r="CL28" s="10">
        <f t="shared" si="1"/>
        <v>0.21898482454289936</v>
      </c>
      <c r="CM28" s="10">
        <f t="shared" si="1"/>
        <v>0.1989567128897316</v>
      </c>
      <c r="CN28" s="10">
        <f t="shared" si="1"/>
        <v>0.20715270604425129</v>
      </c>
      <c r="CO28" s="10">
        <f t="shared" si="1"/>
        <v>0.13837299490399513</v>
      </c>
      <c r="CP28" s="10">
        <f t="shared" si="1"/>
        <v>0.10854351212580848</v>
      </c>
      <c r="CQ28" s="10">
        <f t="shared" si="1"/>
        <v>8.9361702127659592E-2</v>
      </c>
      <c r="CR28" s="10">
        <f t="shared" si="1"/>
        <v>2.2068109826667071E-2</v>
      </c>
      <c r="CS28" s="10">
        <f t="shared" si="1"/>
        <v>2.2068109826667071E-2</v>
      </c>
    </row>
    <row r="29" spans="5:97" x14ac:dyDescent="0.2">
      <c r="E29" t="s">
        <v>119</v>
      </c>
      <c r="T29" s="10">
        <f t="shared" si="2"/>
        <v>0.29699533116050514</v>
      </c>
      <c r="U29" s="10">
        <f t="shared" si="4"/>
        <v>0.30055878562983773</v>
      </c>
      <c r="V29" s="10">
        <f t="shared" si="5"/>
        <v>0.30116962936165903</v>
      </c>
      <c r="W29" s="10">
        <f t="shared" si="6"/>
        <v>0.19908444865507957</v>
      </c>
      <c r="X29" s="10">
        <f t="shared" si="7"/>
        <v>0.12827519117188446</v>
      </c>
      <c r="Y29" s="10">
        <f t="shared" si="8"/>
        <v>0.21476204257930132</v>
      </c>
      <c r="Z29" s="10">
        <f t="shared" si="9"/>
        <v>0.13794848945251093</v>
      </c>
      <c r="AA29" s="10">
        <f t="shared" si="10"/>
        <v>8.2701099318642113E-2</v>
      </c>
      <c r="AB29" s="10">
        <f t="shared" si="11"/>
        <v>7.651978883601851E-2</v>
      </c>
      <c r="AC29" s="10">
        <f t="shared" si="12"/>
        <v>4.4678873024304844E-2</v>
      </c>
      <c r="AD29" s="10">
        <f t="shared" si="13"/>
        <v>6.0396455914970115E-2</v>
      </c>
      <c r="AE29" s="10">
        <f t="shared" si="14"/>
        <v>5.6879013222072006E-2</v>
      </c>
      <c r="AF29" s="10">
        <f t="shared" si="15"/>
        <v>5.4380436826652723E-2</v>
      </c>
      <c r="AG29" s="10">
        <f t="shared" si="16"/>
        <v>5.6740799645838447E-2</v>
      </c>
      <c r="AH29" s="10">
        <f t="shared" si="17"/>
        <v>4.2671806712960114E-2</v>
      </c>
      <c r="AI29" s="10">
        <f t="shared" si="18"/>
        <v>0.11746643350804953</v>
      </c>
      <c r="AJ29" s="10">
        <f t="shared" si="19"/>
        <v>0.27762274892810623</v>
      </c>
      <c r="AK29" s="10">
        <f t="shared" si="20"/>
        <v>0.19889628283214855</v>
      </c>
      <c r="AL29" s="10">
        <f t="shared" si="21"/>
        <v>0.30328377451751498</v>
      </c>
      <c r="AM29" s="10">
        <f t="shared" si="22"/>
        <v>0.28443489300582314</v>
      </c>
      <c r="AN29" s="10">
        <f t="shared" si="23"/>
        <v>0.25818356781793605</v>
      </c>
      <c r="AO29" s="10">
        <f t="shared" si="24"/>
        <v>0.24837309228227866</v>
      </c>
      <c r="AP29" s="10">
        <f t="shared" si="25"/>
        <v>0.23224705622158837</v>
      </c>
      <c r="AQ29" s="10">
        <f t="shared" si="26"/>
        <v>0.21690238954944685</v>
      </c>
      <c r="AR29" s="10">
        <f t="shared" si="27"/>
        <v>0.18920136613634986</v>
      </c>
      <c r="AS29" s="10">
        <f t="shared" si="28"/>
        <v>0.13513337268985381</v>
      </c>
      <c r="AT29" s="10">
        <f t="shared" si="29"/>
        <v>0.10985305880367502</v>
      </c>
      <c r="AU29" s="10">
        <f t="shared" si="30"/>
        <v>7.5942784984267764E-2</v>
      </c>
      <c r="AV29" s="10">
        <f t="shared" si="31"/>
        <v>-8.1428606876509435E-2</v>
      </c>
      <c r="AW29" s="10">
        <f t="shared" si="32"/>
        <v>-0.10009409106852396</v>
      </c>
      <c r="AX29" s="10">
        <f t="shared" si="33"/>
        <v>-0.15285887170464207</v>
      </c>
      <c r="AY29" s="10">
        <f t="shared" si="34"/>
        <v>-0.13977455401230621</v>
      </c>
      <c r="AZ29" s="10">
        <f t="shared" si="35"/>
        <v>-0.1331984615822609</v>
      </c>
      <c r="BA29" s="10">
        <f t="shared" si="36"/>
        <v>-0.11863966651936497</v>
      </c>
      <c r="BB29" s="10">
        <f t="shared" si="37"/>
        <v>-0.1138516485693486</v>
      </c>
      <c r="BC29" s="10">
        <f t="shared" si="38"/>
        <v>-9.9691246370508635E-2</v>
      </c>
      <c r="BD29" s="10">
        <f t="shared" si="39"/>
        <v>-8.0595876398462662E-2</v>
      </c>
      <c r="BE29" s="10">
        <f t="shared" si="40"/>
        <v>-4.1587996915324776E-2</v>
      </c>
      <c r="BF29" s="10">
        <f t="shared" si="41"/>
        <v>-1.2009641208768906E-2</v>
      </c>
      <c r="BG29" s="10">
        <f t="shared" si="42"/>
        <v>2.2959147734735286E-2</v>
      </c>
      <c r="BH29" s="10">
        <f t="shared" si="43"/>
        <v>6.1644428942270624E-2</v>
      </c>
      <c r="BI29" s="10">
        <f t="shared" si="44"/>
        <v>0.10380568841233395</v>
      </c>
      <c r="BJ29" s="10">
        <f t="shared" si="45"/>
        <v>8.7623450064076236E-2</v>
      </c>
      <c r="BK29" s="10">
        <f t="shared" si="46"/>
        <v>8.825667652931779E-2</v>
      </c>
      <c r="BL29" s="10">
        <f t="shared" si="47"/>
        <v>7.8011969301052364E-2</v>
      </c>
      <c r="BM29" s="10">
        <f t="shared" si="48"/>
        <v>7.7950996049391152E-2</v>
      </c>
      <c r="BN29" s="10">
        <f t="shared" si="49"/>
        <v>6.9905490151377148E-2</v>
      </c>
      <c r="BO29" s="10">
        <f t="shared" si="50"/>
        <v>7.3255500462550138E-2</v>
      </c>
      <c r="BP29" s="10">
        <f t="shared" si="51"/>
        <v>7.3154359843433658E-2</v>
      </c>
      <c r="BQ29" s="10">
        <f t="shared" si="52"/>
        <v>8.6086833807190954E-2</v>
      </c>
      <c r="BR29" s="10">
        <f t="shared" si="53"/>
        <v>0.11210718763644723</v>
      </c>
      <c r="BS29" s="10">
        <f t="shared" si="54"/>
        <v>0.12411284044776782</v>
      </c>
      <c r="BT29" s="10">
        <f t="shared" si="55"/>
        <v>0.12933215539551091</v>
      </c>
      <c r="BU29" s="10">
        <f t="shared" si="56"/>
        <v>0.13505388883971259</v>
      </c>
      <c r="BV29" s="10">
        <f t="shared" si="57"/>
        <v>0.13142075472284565</v>
      </c>
      <c r="BW29" s="10">
        <f t="shared" si="58"/>
        <v>0.13627367285235126</v>
      </c>
      <c r="BX29" s="10">
        <f t="shared" si="59"/>
        <v>0.15288012576717769</v>
      </c>
      <c r="BY29" s="10">
        <f t="shared" si="60"/>
        <v>0.15127806793256338</v>
      </c>
      <c r="BZ29" s="10">
        <f t="shared" si="61"/>
        <v>0.16864259164421447</v>
      </c>
      <c r="CA29" s="10">
        <f t="shared" si="62"/>
        <v>0.16801298572380374</v>
      </c>
      <c r="CB29" s="10">
        <f t="shared" si="63"/>
        <v>0.13866633526840211</v>
      </c>
      <c r="CC29" s="10">
        <f t="shared" si="64"/>
        <v>0.11282412322793811</v>
      </c>
      <c r="CD29" s="10">
        <f t="shared" si="65"/>
        <v>8.5758284836867649E-2</v>
      </c>
      <c r="CE29" s="10">
        <f t="shared" si="66"/>
        <v>6.7919659184302761E-2</v>
      </c>
      <c r="CF29" s="10">
        <f t="shared" si="3"/>
        <v>7.5205899874891236E-2</v>
      </c>
      <c r="CG29" s="10">
        <f t="shared" si="1"/>
        <v>2.352074473054766E-2</v>
      </c>
      <c r="CH29" s="10">
        <f t="shared" si="1"/>
        <v>1.2645686879407148E-2</v>
      </c>
      <c r="CI29" s="10">
        <f t="shared" si="1"/>
        <v>8.9313470191587641E-3</v>
      </c>
      <c r="CJ29" s="10">
        <f t="shared" si="1"/>
        <v>3.1004821920235681E-2</v>
      </c>
      <c r="CK29" s="10">
        <f t="shared" si="1"/>
        <v>3.2287779996041488E-2</v>
      </c>
      <c r="CL29" s="10">
        <f t="shared" si="1"/>
        <v>1.845002170391119E-2</v>
      </c>
      <c r="CM29" s="10">
        <f t="shared" si="1"/>
        <v>1.874578099289681E-2</v>
      </c>
      <c r="CN29" s="10">
        <f t="shared" si="1"/>
        <v>4.8553464386305922E-2</v>
      </c>
      <c r="CO29" s="10">
        <f t="shared" si="1"/>
        <v>3.8884663776155071E-2</v>
      </c>
      <c r="CP29" s="10">
        <f t="shared" si="1"/>
        <v>2.880180619217132E-2</v>
      </c>
      <c r="CQ29" s="10">
        <f t="shared" si="1"/>
        <v>5.4945054945054972E-2</v>
      </c>
      <c r="CR29" s="10">
        <f t="shared" si="1"/>
        <v>4.7817450041639287E-2</v>
      </c>
      <c r="CS29" s="10">
        <f t="shared" si="1"/>
        <v>2.6442259047139371E-2</v>
      </c>
    </row>
    <row r="30" spans="5:97" x14ac:dyDescent="0.2">
      <c r="E30" t="s">
        <v>113</v>
      </c>
      <c r="T30" s="10">
        <f t="shared" si="2"/>
        <v>-3.9157033904632987E-2</v>
      </c>
      <c r="U30" s="10">
        <f t="shared" si="4"/>
        <v>-3.9157033904632987E-2</v>
      </c>
      <c r="V30" s="10">
        <f t="shared" si="5"/>
        <v>-3.9157033904632987E-2</v>
      </c>
      <c r="W30" s="10">
        <f t="shared" si="6"/>
        <v>-3.9157033904632987E-2</v>
      </c>
      <c r="X30" s="10">
        <f t="shared" si="7"/>
        <v>-3.9157033904632987E-2</v>
      </c>
      <c r="Y30" s="10">
        <f t="shared" si="8"/>
        <v>-5.3105129611562774E-2</v>
      </c>
      <c r="Z30" s="10">
        <f t="shared" si="9"/>
        <v>-5.3105129611562774E-2</v>
      </c>
      <c r="AA30" s="10">
        <f t="shared" si="10"/>
        <v>-4.5079078790320803E-2</v>
      </c>
      <c r="AB30" s="10">
        <f t="shared" si="11"/>
        <v>-4.5079078790320803E-2</v>
      </c>
      <c r="AC30" s="10">
        <f t="shared" si="12"/>
        <v>-4.5079078790320803E-2</v>
      </c>
      <c r="AD30" s="10">
        <f t="shared" si="13"/>
        <v>-4.5079078790320803E-2</v>
      </c>
      <c r="AE30" s="10">
        <f t="shared" si="14"/>
        <v>-7.2847938886687613E-3</v>
      </c>
      <c r="AF30" s="10">
        <f t="shared" si="15"/>
        <v>-2.1889769386940316E-2</v>
      </c>
      <c r="AG30" s="10">
        <f t="shared" si="16"/>
        <v>-2.1889769386940316E-2</v>
      </c>
      <c r="AH30" s="10">
        <f t="shared" si="17"/>
        <v>-2.1889769386940316E-2</v>
      </c>
      <c r="AI30" s="10">
        <f t="shared" si="18"/>
        <v>-2.2993433443054045E-2</v>
      </c>
      <c r="AJ30" s="10">
        <f t="shared" si="19"/>
        <v>-2.2993433443054045E-2</v>
      </c>
      <c r="AK30" s="10">
        <f t="shared" si="20"/>
        <v>-8.6017818217448694E-3</v>
      </c>
      <c r="AL30" s="10">
        <f t="shared" si="21"/>
        <v>-8.6017818217448694E-3</v>
      </c>
      <c r="AM30" s="10">
        <f t="shared" si="22"/>
        <v>-8.6017818217448694E-3</v>
      </c>
      <c r="AN30" s="10">
        <f t="shared" si="23"/>
        <v>-8.6017818217448694E-3</v>
      </c>
      <c r="AO30" s="10">
        <f t="shared" si="24"/>
        <v>-8.6017818217448694E-3</v>
      </c>
      <c r="AP30" s="10">
        <f t="shared" si="25"/>
        <v>-8.6017818217448694E-3</v>
      </c>
      <c r="AQ30" s="10">
        <f t="shared" si="26"/>
        <v>-1.5823913502765019E-2</v>
      </c>
      <c r="AR30" s="10">
        <f t="shared" si="27"/>
        <v>-1.1283636767831506E-3</v>
      </c>
      <c r="AS30" s="10">
        <f t="shared" si="28"/>
        <v>-1.1283636767831506E-3</v>
      </c>
      <c r="AT30" s="10">
        <f t="shared" si="29"/>
        <v>-1.1283636767831506E-3</v>
      </c>
      <c r="AU30" s="10">
        <f t="shared" si="30"/>
        <v>0</v>
      </c>
      <c r="AV30" s="10">
        <f t="shared" si="31"/>
        <v>0</v>
      </c>
      <c r="AW30" s="10">
        <f t="shared" si="32"/>
        <v>0</v>
      </c>
      <c r="AX30" s="10">
        <f t="shared" si="33"/>
        <v>0</v>
      </c>
      <c r="AY30" s="10">
        <f t="shared" si="34"/>
        <v>0</v>
      </c>
      <c r="AZ30" s="10">
        <f t="shared" si="35"/>
        <v>0</v>
      </c>
      <c r="BA30" s="10">
        <f t="shared" si="36"/>
        <v>0</v>
      </c>
      <c r="BB30" s="10">
        <f t="shared" si="37"/>
        <v>0</v>
      </c>
      <c r="BC30" s="10">
        <f t="shared" si="38"/>
        <v>0</v>
      </c>
      <c r="BD30" s="10">
        <f t="shared" si="39"/>
        <v>0</v>
      </c>
      <c r="BE30" s="10">
        <f t="shared" si="40"/>
        <v>0</v>
      </c>
      <c r="BF30" s="10">
        <f t="shared" si="41"/>
        <v>0</v>
      </c>
      <c r="BG30" s="10">
        <f t="shared" si="42"/>
        <v>0</v>
      </c>
      <c r="BH30" s="10">
        <f t="shared" si="43"/>
        <v>0</v>
      </c>
      <c r="BI30" s="10">
        <f t="shared" si="44"/>
        <v>0</v>
      </c>
      <c r="BJ30" s="10">
        <f t="shared" si="45"/>
        <v>0</v>
      </c>
      <c r="BK30" s="10">
        <f t="shared" si="46"/>
        <v>0</v>
      </c>
      <c r="BL30" s="10">
        <f t="shared" si="47"/>
        <v>0</v>
      </c>
      <c r="BM30" s="10">
        <f t="shared" si="48"/>
        <v>0</v>
      </c>
      <c r="BN30" s="10">
        <f t="shared" si="49"/>
        <v>0</v>
      </c>
      <c r="BO30" s="10">
        <f t="shared" si="50"/>
        <v>1.5876631303760158E-2</v>
      </c>
      <c r="BP30" s="10">
        <f t="shared" si="51"/>
        <v>1.5876631303760158E-2</v>
      </c>
      <c r="BQ30" s="10">
        <f t="shared" si="52"/>
        <v>1.5876631303760158E-2</v>
      </c>
      <c r="BR30" s="10">
        <f t="shared" si="53"/>
        <v>1.5876631303760158E-2</v>
      </c>
      <c r="BS30" s="10">
        <f t="shared" si="54"/>
        <v>1.5876631303760158E-2</v>
      </c>
      <c r="BT30" s="10">
        <f t="shared" si="55"/>
        <v>1.5876631303760158E-2</v>
      </c>
      <c r="BU30" s="10">
        <f t="shared" si="56"/>
        <v>1.5876631303760158E-2</v>
      </c>
      <c r="BV30" s="10">
        <f t="shared" si="57"/>
        <v>1.5876631303760158E-2</v>
      </c>
      <c r="BW30" s="10">
        <f t="shared" si="58"/>
        <v>1.5876631303760158E-2</v>
      </c>
      <c r="BX30" s="10">
        <f t="shared" si="59"/>
        <v>1.5876631303760158E-2</v>
      </c>
      <c r="BY30" s="10">
        <f t="shared" si="60"/>
        <v>1.5876631303760158E-2</v>
      </c>
      <c r="BZ30" s="10">
        <f t="shared" si="61"/>
        <v>1.5876631303760158E-2</v>
      </c>
      <c r="CA30" s="10">
        <f t="shared" si="62"/>
        <v>0</v>
      </c>
      <c r="CB30" s="10">
        <f t="shared" si="63"/>
        <v>0</v>
      </c>
      <c r="CC30" s="10">
        <f t="shared" si="64"/>
        <v>3.222298290543657E-3</v>
      </c>
      <c r="CD30" s="10">
        <f t="shared" si="65"/>
        <v>3.222298290543657E-3</v>
      </c>
      <c r="CE30" s="10">
        <f t="shared" si="66"/>
        <v>3.222298290543657E-3</v>
      </c>
      <c r="CF30" s="10">
        <f t="shared" si="3"/>
        <v>3.222298290543657E-3</v>
      </c>
      <c r="CG30" s="10">
        <f t="shared" si="1"/>
        <v>3.222298290543657E-3</v>
      </c>
      <c r="CH30" s="10">
        <f t="shared" si="1"/>
        <v>3.222298290543657E-3</v>
      </c>
      <c r="CI30" s="10">
        <f t="shared" si="1"/>
        <v>3.2222982905438791E-3</v>
      </c>
      <c r="CJ30" s="10">
        <f t="shared" si="1"/>
        <v>3.222298290543657E-3</v>
      </c>
      <c r="CK30" s="10">
        <f t="shared" si="1"/>
        <v>-1.7938132009089891E-3</v>
      </c>
      <c r="CL30" s="10">
        <f t="shared" si="1"/>
        <v>-1.7938132009089891E-3</v>
      </c>
      <c r="CM30" s="10">
        <f t="shared" si="1"/>
        <v>-1.7938132009089891E-3</v>
      </c>
      <c r="CN30" s="10">
        <f t="shared" si="1"/>
        <v>-2.7970354991996293E-3</v>
      </c>
      <c r="CO30" s="10">
        <f t="shared" si="1"/>
        <v>-5.9999999999997833E-3</v>
      </c>
      <c r="CP30" s="10">
        <f t="shared" si="1"/>
        <v>-5.9999999999997833E-3</v>
      </c>
      <c r="CQ30" s="10">
        <f t="shared" si="1"/>
        <v>-5.9999999999997833E-3</v>
      </c>
      <c r="CR30" s="10">
        <f t="shared" si="1"/>
        <v>-5.9999999999997833E-3</v>
      </c>
      <c r="CS30" s="10">
        <f t="shared" si="1"/>
        <v>-5.9999999999997833E-3</v>
      </c>
    </row>
    <row r="31" spans="5:97" x14ac:dyDescent="0.2">
      <c r="E31" t="s">
        <v>359</v>
      </c>
      <c r="T31" s="10">
        <f t="shared" si="2"/>
        <v>0.1170884033607984</v>
      </c>
      <c r="U31" s="10">
        <f t="shared" si="4"/>
        <v>0.13666562973118013</v>
      </c>
      <c r="V31" s="10">
        <f t="shared" si="5"/>
        <v>0.17628338508071861</v>
      </c>
      <c r="W31" s="10">
        <f t="shared" si="6"/>
        <v>0.16632382486401887</v>
      </c>
      <c r="X31" s="10">
        <f t="shared" si="7"/>
        <v>0.1082253164145468</v>
      </c>
      <c r="Y31" s="10">
        <f t="shared" si="8"/>
        <v>0.12815849837959847</v>
      </c>
      <c r="Z31" s="10">
        <f t="shared" si="9"/>
        <v>0.13900962820365437</v>
      </c>
      <c r="AA31" s="10">
        <f t="shared" si="10"/>
        <v>0.14276485252143334</v>
      </c>
      <c r="AB31" s="10">
        <f t="shared" si="11"/>
        <v>0.1270826767283002</v>
      </c>
      <c r="AC31" s="10">
        <f t="shared" si="12"/>
        <v>0.12993894312068544</v>
      </c>
      <c r="AD31" s="10">
        <f t="shared" si="13"/>
        <v>0.12526036484721792</v>
      </c>
      <c r="AE31" s="10">
        <f t="shared" si="14"/>
        <v>0.13115575337418828</v>
      </c>
      <c r="AF31" s="10">
        <f t="shared" si="15"/>
        <v>0.16038676425163212</v>
      </c>
      <c r="AG31" s="10">
        <f t="shared" si="16"/>
        <v>0.14040097971944587</v>
      </c>
      <c r="AH31" s="10">
        <f t="shared" si="17"/>
        <v>0.10199175997874632</v>
      </c>
      <c r="AI31" s="10">
        <f t="shared" si="18"/>
        <v>9.7235858197447733E-2</v>
      </c>
      <c r="AJ31" s="10">
        <f t="shared" si="19"/>
        <v>0.10002409107656862</v>
      </c>
      <c r="AK31" s="10">
        <f t="shared" si="20"/>
        <v>7.309840263790357E-2</v>
      </c>
      <c r="AL31" s="10">
        <f t="shared" si="21"/>
        <v>5.337629990473225E-2</v>
      </c>
      <c r="AM31" s="10">
        <f t="shared" si="22"/>
        <v>5.5714448254823967E-2</v>
      </c>
      <c r="AN31" s="10">
        <f t="shared" si="23"/>
        <v>6.0978924188946237E-2</v>
      </c>
      <c r="AO31" s="10">
        <f t="shared" si="24"/>
        <v>5.704857335325686E-2</v>
      </c>
      <c r="AP31" s="10">
        <f t="shared" si="25"/>
        <v>5.2399847438776792E-2</v>
      </c>
      <c r="AQ31" s="10">
        <f t="shared" si="26"/>
        <v>5.2415963636218699E-2</v>
      </c>
      <c r="AR31" s="10">
        <f t="shared" si="27"/>
        <v>2.5904818017899123E-2</v>
      </c>
      <c r="AS31" s="10">
        <f t="shared" si="28"/>
        <v>3.0820032672386644E-2</v>
      </c>
      <c r="AT31" s="10">
        <f t="shared" si="29"/>
        <v>2.9475625094091074E-2</v>
      </c>
      <c r="AU31" s="10">
        <f t="shared" si="30"/>
        <v>3.2140508553642366E-2</v>
      </c>
      <c r="AV31" s="10">
        <f t="shared" si="31"/>
        <v>3.4430567385883792E-2</v>
      </c>
      <c r="AW31" s="10">
        <f t="shared" si="32"/>
        <v>4.3267612565776714E-2</v>
      </c>
      <c r="AX31" s="10">
        <f t="shared" si="33"/>
        <v>4.6651987945309781E-2</v>
      </c>
      <c r="AY31" s="10">
        <f t="shared" si="34"/>
        <v>4.6651987945309781E-2</v>
      </c>
      <c r="AZ31" s="10">
        <f t="shared" si="35"/>
        <v>3.514823364274422E-2</v>
      </c>
      <c r="BA31" s="10">
        <f t="shared" si="36"/>
        <v>4.7899699164851484E-2</v>
      </c>
      <c r="BB31" s="10">
        <f t="shared" si="37"/>
        <v>4.214655052038685E-2</v>
      </c>
      <c r="BC31" s="10">
        <f t="shared" si="38"/>
        <v>3.7306981865437683E-2</v>
      </c>
      <c r="BD31" s="10">
        <f t="shared" si="39"/>
        <v>3.9319728163151879E-2</v>
      </c>
      <c r="BE31" s="10">
        <f t="shared" si="40"/>
        <v>4.7105789536162845E-2</v>
      </c>
      <c r="BF31" s="10">
        <f t="shared" si="41"/>
        <v>4.8473220609240419E-2</v>
      </c>
      <c r="BG31" s="10">
        <f t="shared" si="42"/>
        <v>4.8473220609240419E-2</v>
      </c>
      <c r="BH31" s="10">
        <f t="shared" si="43"/>
        <v>6.5558838211897452E-2</v>
      </c>
      <c r="BI31" s="10">
        <f t="shared" si="44"/>
        <v>3.662916232602087E-2</v>
      </c>
      <c r="BJ31" s="10">
        <f t="shared" si="45"/>
        <v>3.0784382893743967E-2</v>
      </c>
      <c r="BK31" s="10">
        <f t="shared" si="46"/>
        <v>7.5674658834518516E-2</v>
      </c>
      <c r="BL31" s="10">
        <f t="shared" si="47"/>
        <v>6.7955774370519029E-2</v>
      </c>
      <c r="BM31" s="10">
        <f t="shared" si="48"/>
        <v>7.0001516693543042E-2</v>
      </c>
      <c r="BN31" s="10">
        <f t="shared" si="49"/>
        <v>7.0001516693543042E-2</v>
      </c>
      <c r="BO31" s="10">
        <f t="shared" si="50"/>
        <v>7.0001516693543042E-2</v>
      </c>
      <c r="BP31" s="10">
        <f t="shared" si="51"/>
        <v>6.8011868820193389E-2</v>
      </c>
      <c r="BQ31" s="10">
        <f t="shared" si="52"/>
        <v>6.1352008347600018E-2</v>
      </c>
      <c r="BR31" s="10">
        <f t="shared" si="53"/>
        <v>6.1352008347600018E-2</v>
      </c>
      <c r="BS31" s="10">
        <f t="shared" si="54"/>
        <v>6.3930613870786912E-2</v>
      </c>
      <c r="BT31" s="10">
        <f t="shared" si="55"/>
        <v>4.4553503770295988E-2</v>
      </c>
      <c r="BU31" s="10">
        <f t="shared" si="56"/>
        <v>6.1541456394883731E-2</v>
      </c>
      <c r="BV31" s="10">
        <f t="shared" si="57"/>
        <v>0.1247010496295724</v>
      </c>
      <c r="BW31" s="10">
        <f t="shared" si="58"/>
        <v>9.8441568892104314E-2</v>
      </c>
      <c r="BX31" s="10">
        <f t="shared" si="59"/>
        <v>9.9430703974283885E-2</v>
      </c>
      <c r="BY31" s="10">
        <f t="shared" si="60"/>
        <v>8.3975748919464355E-2</v>
      </c>
      <c r="BZ31" s="10">
        <f t="shared" si="61"/>
        <v>0.10748460028424689</v>
      </c>
      <c r="CA31" s="10">
        <f t="shared" si="62"/>
        <v>0.10748460028424689</v>
      </c>
      <c r="CB31" s="10">
        <f t="shared" si="63"/>
        <v>0.13556520345580214</v>
      </c>
      <c r="CC31" s="10">
        <f t="shared" si="64"/>
        <v>0.12878580389247674</v>
      </c>
      <c r="CD31" s="10">
        <f t="shared" si="65"/>
        <v>0.12878580389247674</v>
      </c>
      <c r="CE31" s="10">
        <f t="shared" si="66"/>
        <v>0.16055128818204611</v>
      </c>
      <c r="CF31" s="10">
        <f t="shared" si="3"/>
        <v>0.15445865746374832</v>
      </c>
      <c r="CG31" s="10">
        <f t="shared" si="1"/>
        <v>0.19121426955548348</v>
      </c>
      <c r="CH31" s="10">
        <f t="shared" si="1"/>
        <v>0.1295650345156889</v>
      </c>
      <c r="CI31" s="10">
        <f t="shared" si="1"/>
        <v>0.1189364233244139</v>
      </c>
      <c r="CJ31" s="10">
        <f t="shared" si="1"/>
        <v>0.11893642332441479</v>
      </c>
      <c r="CK31" s="10">
        <f t="shared" si="1"/>
        <v>0.14802877033084871</v>
      </c>
      <c r="CL31" s="10">
        <f t="shared" si="1"/>
        <v>0.14227741395475157</v>
      </c>
      <c r="CM31" s="10">
        <f t="shared" si="1"/>
        <v>0.17184739494878642</v>
      </c>
      <c r="CN31" s="10">
        <f t="shared" si="1"/>
        <v>0.15666555295227069</v>
      </c>
      <c r="CO31" s="10">
        <f t="shared" si="1"/>
        <v>0.16948179176614708</v>
      </c>
      <c r="CP31" s="10">
        <f t="shared" si="1"/>
        <v>0.17375387137077225</v>
      </c>
      <c r="CQ31" s="10">
        <f t="shared" si="1"/>
        <v>0.13886010362694301</v>
      </c>
      <c r="CR31" s="10">
        <f t="shared" si="1"/>
        <v>0.15112084323107866</v>
      </c>
      <c r="CS31" s="10">
        <f t="shared" si="1"/>
        <v>0.11560233722770352</v>
      </c>
    </row>
    <row r="32" spans="5:97" x14ac:dyDescent="0.2">
      <c r="E32" t="s">
        <v>360</v>
      </c>
      <c r="T32" s="10">
        <f t="shared" si="2"/>
        <v>0.13359065692812266</v>
      </c>
      <c r="U32" s="10">
        <f t="shared" si="4"/>
        <v>0.13359065692812266</v>
      </c>
      <c r="V32" s="10">
        <f t="shared" si="5"/>
        <v>0.13359065692812266</v>
      </c>
      <c r="W32" s="10">
        <f t="shared" si="6"/>
        <v>0.11962443530336375</v>
      </c>
      <c r="X32" s="10">
        <f t="shared" si="7"/>
        <v>0.11962443530336375</v>
      </c>
      <c r="Y32" s="10">
        <f t="shared" si="8"/>
        <v>0.11962443530336375</v>
      </c>
      <c r="Z32" s="10">
        <f t="shared" si="9"/>
        <v>0.11962443530336375</v>
      </c>
      <c r="AA32" s="10">
        <f t="shared" si="10"/>
        <v>0.11962443530336375</v>
      </c>
      <c r="AB32" s="10">
        <f t="shared" si="11"/>
        <v>0.11962443530336375</v>
      </c>
      <c r="AC32" s="10">
        <f t="shared" si="12"/>
        <v>0.11962443530336375</v>
      </c>
      <c r="AD32" s="10">
        <f t="shared" si="13"/>
        <v>0.11962443530336375</v>
      </c>
      <c r="AE32" s="10">
        <f t="shared" si="14"/>
        <v>0.11962443530336375</v>
      </c>
      <c r="AF32" s="10">
        <f t="shared" si="15"/>
        <v>5.0399667397119652E-2</v>
      </c>
      <c r="AG32" s="10">
        <f t="shared" si="16"/>
        <v>6.1093205631234992E-2</v>
      </c>
      <c r="AH32" s="10">
        <f t="shared" si="17"/>
        <v>6.1093205631234992E-2</v>
      </c>
      <c r="AI32" s="10">
        <f t="shared" si="18"/>
        <v>6.1093205631234992E-2</v>
      </c>
      <c r="AJ32" s="10">
        <f t="shared" si="19"/>
        <v>7.8188200311500644E-2</v>
      </c>
      <c r="AK32" s="10">
        <f t="shared" si="20"/>
        <v>7.8188200311500644E-2</v>
      </c>
      <c r="AL32" s="10">
        <f t="shared" si="21"/>
        <v>7.8188200311500644E-2</v>
      </c>
      <c r="AM32" s="10">
        <f t="shared" si="22"/>
        <v>7.8188200311500644E-2</v>
      </c>
      <c r="AN32" s="10">
        <f t="shared" si="23"/>
        <v>7.8188200311500644E-2</v>
      </c>
      <c r="AO32" s="10">
        <f t="shared" si="24"/>
        <v>7.8188200311500644E-2</v>
      </c>
      <c r="AP32" s="10">
        <f t="shared" si="25"/>
        <v>8.7461375703316691E-2</v>
      </c>
      <c r="AQ32" s="10">
        <f t="shared" si="26"/>
        <v>8.7461375703316691E-2</v>
      </c>
      <c r="AR32" s="10">
        <f t="shared" si="27"/>
        <v>3.5283434921524082E-2</v>
      </c>
      <c r="AS32" s="10">
        <f t="shared" si="28"/>
        <v>6.1272826325048158E-2</v>
      </c>
      <c r="AT32" s="10">
        <f t="shared" si="29"/>
        <v>6.1272826325048158E-2</v>
      </c>
      <c r="AU32" s="10">
        <f t="shared" si="30"/>
        <v>6.1272826325048158E-2</v>
      </c>
      <c r="AV32" s="10">
        <f t="shared" si="31"/>
        <v>4.4446029931713982E-2</v>
      </c>
      <c r="AW32" s="10">
        <f t="shared" si="32"/>
        <v>4.4446029931713982E-2</v>
      </c>
      <c r="AX32" s="10">
        <f t="shared" si="33"/>
        <v>4.4446029931713982E-2</v>
      </c>
      <c r="AY32" s="10">
        <f t="shared" si="34"/>
        <v>4.4446029931713982E-2</v>
      </c>
      <c r="AZ32" s="10">
        <f t="shared" si="35"/>
        <v>4.4446029931713982E-2</v>
      </c>
      <c r="BA32" s="10">
        <f t="shared" si="36"/>
        <v>4.4446029931713982E-2</v>
      </c>
      <c r="BB32" s="10">
        <f t="shared" si="37"/>
        <v>3.5539661908685405E-2</v>
      </c>
      <c r="BC32" s="10">
        <f t="shared" si="38"/>
        <v>3.5539661908685405E-2</v>
      </c>
      <c r="BD32" s="10">
        <f t="shared" si="39"/>
        <v>0.16643355441697594</v>
      </c>
      <c r="BE32" s="10">
        <f t="shared" si="40"/>
        <v>0.12640162161150803</v>
      </c>
      <c r="BF32" s="10">
        <f t="shared" si="41"/>
        <v>0.12640162161150803</v>
      </c>
      <c r="BG32" s="10">
        <f t="shared" si="42"/>
        <v>0.12640162161150803</v>
      </c>
      <c r="BH32" s="10">
        <f t="shared" si="43"/>
        <v>0.12640162161150803</v>
      </c>
      <c r="BI32" s="10">
        <f t="shared" si="44"/>
        <v>0.12640162161150803</v>
      </c>
      <c r="BJ32" s="10">
        <f t="shared" si="45"/>
        <v>0.12640162161150803</v>
      </c>
      <c r="BK32" s="10">
        <f t="shared" si="46"/>
        <v>0.12640162161150803</v>
      </c>
      <c r="BL32" s="10">
        <f t="shared" si="47"/>
        <v>0.12640162161150803</v>
      </c>
      <c r="BM32" s="10">
        <f t="shared" si="48"/>
        <v>0.12640162161150803</v>
      </c>
      <c r="BN32" s="10">
        <f t="shared" si="49"/>
        <v>0.12640162161150803</v>
      </c>
      <c r="BO32" s="10">
        <f t="shared" si="50"/>
        <v>0.12640162161150803</v>
      </c>
      <c r="BP32" s="10">
        <f t="shared" si="51"/>
        <v>5.5340083745350821E-2</v>
      </c>
      <c r="BQ32" s="10">
        <f t="shared" si="52"/>
        <v>5.5340083745350821E-2</v>
      </c>
      <c r="BR32" s="10">
        <f t="shared" si="53"/>
        <v>5.5340083745350821E-2</v>
      </c>
      <c r="BS32" s="10">
        <f t="shared" si="54"/>
        <v>5.5340083745350821E-2</v>
      </c>
      <c r="BT32" s="10">
        <f t="shared" si="55"/>
        <v>5.5340083745350821E-2</v>
      </c>
      <c r="BU32" s="10">
        <f t="shared" si="56"/>
        <v>5.5340083745350821E-2</v>
      </c>
      <c r="BV32" s="10">
        <f t="shared" si="57"/>
        <v>5.5340083745350821E-2</v>
      </c>
      <c r="BW32" s="10">
        <f t="shared" si="58"/>
        <v>5.5340083745350821E-2</v>
      </c>
      <c r="BX32" s="10">
        <f t="shared" si="59"/>
        <v>5.5340083745350821E-2</v>
      </c>
      <c r="BY32" s="10">
        <f t="shared" si="60"/>
        <v>5.5340083745350821E-2</v>
      </c>
      <c r="BZ32" s="10">
        <f t="shared" si="61"/>
        <v>5.5340083745350821E-2</v>
      </c>
      <c r="CA32" s="10">
        <f t="shared" si="62"/>
        <v>5.5340083745350821E-2</v>
      </c>
      <c r="CB32" s="10">
        <f t="shared" si="63"/>
        <v>0.17869647548770984</v>
      </c>
      <c r="CC32" s="10">
        <f t="shared" si="64"/>
        <v>0.1786964754877105</v>
      </c>
      <c r="CD32" s="10">
        <f t="shared" si="65"/>
        <v>0.1786964754877105</v>
      </c>
      <c r="CE32" s="10">
        <f t="shared" si="66"/>
        <v>0.18576865434063583</v>
      </c>
      <c r="CF32" s="10">
        <f t="shared" si="3"/>
        <v>0.1786964754877105</v>
      </c>
      <c r="CG32" s="10">
        <f t="shared" si="1"/>
        <v>0.1786964754877105</v>
      </c>
      <c r="CH32" s="10">
        <f t="shared" si="1"/>
        <v>0.1786964754877105</v>
      </c>
      <c r="CI32" s="10">
        <f t="shared" si="1"/>
        <v>0.17869647548770984</v>
      </c>
      <c r="CJ32" s="10">
        <f t="shared" si="1"/>
        <v>0.18910836084859306</v>
      </c>
      <c r="CK32" s="10">
        <f t="shared" si="1"/>
        <v>0.18930474376709916</v>
      </c>
      <c r="CL32" s="10">
        <f t="shared" si="1"/>
        <v>0.18930474376709916</v>
      </c>
      <c r="CM32" s="10">
        <f t="shared" si="1"/>
        <v>0.18930474376709916</v>
      </c>
      <c r="CN32" s="10">
        <f t="shared" si="1"/>
        <v>0.12400000000000011</v>
      </c>
      <c r="CO32" s="10">
        <f t="shared" si="1"/>
        <v>0.12399999999999944</v>
      </c>
      <c r="CP32" s="10">
        <f t="shared" si="1"/>
        <v>0.12399999999999944</v>
      </c>
      <c r="CQ32" s="10">
        <f t="shared" si="1"/>
        <v>0.12922465208747513</v>
      </c>
      <c r="CR32" s="10">
        <f t="shared" si="1"/>
        <v>0.16499999999999937</v>
      </c>
      <c r="CS32" s="10">
        <f t="shared" si="1"/>
        <v>0.16499999999999937</v>
      </c>
    </row>
    <row r="33" spans="5:97" x14ac:dyDescent="0.2">
      <c r="E33" t="s">
        <v>118</v>
      </c>
      <c r="T33" s="10">
        <f t="shared" si="2"/>
        <v>0.2148656717065498</v>
      </c>
      <c r="U33" s="10">
        <f t="shared" si="4"/>
        <v>0.2148656717065498</v>
      </c>
      <c r="V33" s="10">
        <f t="shared" si="5"/>
        <v>0.25829567091408712</v>
      </c>
      <c r="W33" s="10">
        <f t="shared" si="6"/>
        <v>0.25158472387769915</v>
      </c>
      <c r="X33" s="10">
        <f t="shared" si="7"/>
        <v>0.25314555332554822</v>
      </c>
      <c r="Y33" s="10">
        <f t="shared" si="8"/>
        <v>0.25145008162346305</v>
      </c>
      <c r="Z33" s="10">
        <f t="shared" si="9"/>
        <v>0.26685544336884193</v>
      </c>
      <c r="AA33" s="10">
        <f t="shared" si="10"/>
        <v>0.28647601379869458</v>
      </c>
      <c r="AB33" s="10">
        <f t="shared" si="11"/>
        <v>0.17073685534195948</v>
      </c>
      <c r="AC33" s="10">
        <f t="shared" si="12"/>
        <v>0.249796254034377</v>
      </c>
      <c r="AD33" s="10">
        <f t="shared" si="13"/>
        <v>0.31992640691933794</v>
      </c>
      <c r="AE33" s="10">
        <f t="shared" si="14"/>
        <v>0.42773597716549983</v>
      </c>
      <c r="AF33" s="10">
        <f t="shared" si="15"/>
        <v>0.32422820191775781</v>
      </c>
      <c r="AG33" s="10">
        <f t="shared" si="16"/>
        <v>0.33096963441023153</v>
      </c>
      <c r="AH33" s="10">
        <f t="shared" si="17"/>
        <v>0.27696650225033004</v>
      </c>
      <c r="AI33" s="10">
        <f t="shared" si="18"/>
        <v>0.25394996766350886</v>
      </c>
      <c r="AJ33" s="10">
        <f t="shared" si="19"/>
        <v>0.24338863611088013</v>
      </c>
      <c r="AK33" s="10">
        <f t="shared" si="20"/>
        <v>0.28190023320187718</v>
      </c>
      <c r="AL33" s="10">
        <f t="shared" si="21"/>
        <v>0.25365569657496412</v>
      </c>
      <c r="AM33" s="10">
        <f t="shared" si="22"/>
        <v>0.24578578552583519</v>
      </c>
      <c r="AN33" s="10">
        <f t="shared" si="23"/>
        <v>0.2869570044315386</v>
      </c>
      <c r="AO33" s="10">
        <f t="shared" si="24"/>
        <v>0.20358160338804621</v>
      </c>
      <c r="AP33" s="10">
        <f t="shared" si="25"/>
        <v>0.1543431624721574</v>
      </c>
      <c r="AQ33" s="10">
        <f t="shared" si="26"/>
        <v>8.25491938290972E-2</v>
      </c>
      <c r="AR33" s="10">
        <f t="shared" si="27"/>
        <v>0.17959846299404392</v>
      </c>
      <c r="AS33" s="10">
        <f t="shared" si="28"/>
        <v>0.13547353110597582</v>
      </c>
      <c r="AT33" s="10">
        <f t="shared" si="29"/>
        <v>0.13547353110597582</v>
      </c>
      <c r="AU33" s="10">
        <f t="shared" si="30"/>
        <v>0.11610841187646082</v>
      </c>
      <c r="AV33" s="10">
        <f t="shared" si="31"/>
        <v>0.11610841187646082</v>
      </c>
      <c r="AW33" s="10">
        <f t="shared" si="32"/>
        <v>8.1098702345425933E-2</v>
      </c>
      <c r="AX33" s="10">
        <f t="shared" si="33"/>
        <v>0.10545557479383949</v>
      </c>
      <c r="AY33" s="10">
        <f t="shared" si="34"/>
        <v>9.5472727346200603E-2</v>
      </c>
      <c r="AZ33" s="10">
        <f t="shared" si="35"/>
        <v>8.0169815137553169E-2</v>
      </c>
      <c r="BA33" s="10">
        <f t="shared" si="36"/>
        <v>0.16584101230614978</v>
      </c>
      <c r="BB33" s="10">
        <f t="shared" si="37"/>
        <v>0.13365684980985915</v>
      </c>
      <c r="BC33" s="10">
        <f t="shared" si="38"/>
        <v>0.11755967995497296</v>
      </c>
      <c r="BD33" s="10">
        <f t="shared" si="39"/>
        <v>7.9701898187799269E-2</v>
      </c>
      <c r="BE33" s="10">
        <f t="shared" si="40"/>
        <v>0.11597825770932424</v>
      </c>
      <c r="BF33" s="10">
        <f t="shared" si="41"/>
        <v>0.15673611818237032</v>
      </c>
      <c r="BG33" s="10">
        <f t="shared" si="42"/>
        <v>0.16129875957120277</v>
      </c>
      <c r="BH33" s="10">
        <f t="shared" si="43"/>
        <v>0.16129875957120277</v>
      </c>
      <c r="BI33" s="10">
        <f t="shared" si="44"/>
        <v>0.17570326510115963</v>
      </c>
      <c r="BJ33" s="10">
        <f t="shared" si="45"/>
        <v>0.2232784619517445</v>
      </c>
      <c r="BK33" s="10">
        <f t="shared" si="46"/>
        <v>0.2232784619517445</v>
      </c>
      <c r="BL33" s="10">
        <f t="shared" si="47"/>
        <v>0.2232784619517445</v>
      </c>
      <c r="BM33" s="10">
        <f t="shared" si="48"/>
        <v>0.13190724280544908</v>
      </c>
      <c r="BN33" s="10">
        <f t="shared" si="49"/>
        <v>0.13190724280544908</v>
      </c>
      <c r="BO33" s="10">
        <f t="shared" si="50"/>
        <v>0.13904785979210255</v>
      </c>
      <c r="BP33" s="10">
        <f t="shared" si="51"/>
        <v>0.11697131985913112</v>
      </c>
      <c r="BQ33" s="10">
        <f t="shared" si="52"/>
        <v>0.11695473567586157</v>
      </c>
      <c r="BR33" s="10">
        <f t="shared" si="53"/>
        <v>0.1159868662307395</v>
      </c>
      <c r="BS33" s="10">
        <f t="shared" si="54"/>
        <v>0.10597192636638253</v>
      </c>
      <c r="BT33" s="10">
        <f t="shared" si="55"/>
        <v>0.10597192636638253</v>
      </c>
      <c r="BU33" s="10">
        <f t="shared" si="56"/>
        <v>9.2421756691595691E-2</v>
      </c>
      <c r="BV33" s="10">
        <f t="shared" si="57"/>
        <v>7.3854851972217972E-2</v>
      </c>
      <c r="BW33" s="10">
        <f t="shared" si="58"/>
        <v>7.3854851972217972E-2</v>
      </c>
      <c r="BX33" s="10">
        <f t="shared" si="59"/>
        <v>0.11312022321238757</v>
      </c>
      <c r="BY33" s="10">
        <f t="shared" si="60"/>
        <v>0.16294915295530288</v>
      </c>
      <c r="BZ33" s="10">
        <f t="shared" si="61"/>
        <v>0.1652124057492439</v>
      </c>
      <c r="CA33" s="10">
        <f t="shared" si="62"/>
        <v>0.15790776492487058</v>
      </c>
      <c r="CB33" s="10">
        <f t="shared" si="63"/>
        <v>0.16259413007360446</v>
      </c>
      <c r="CC33" s="10">
        <f t="shared" si="64"/>
        <v>0.16261139189586538</v>
      </c>
      <c r="CD33" s="10">
        <f t="shared" si="65"/>
        <v>0.13477479836071748</v>
      </c>
      <c r="CE33" s="10">
        <f t="shared" si="66"/>
        <v>0.15445956733845367</v>
      </c>
      <c r="CF33" s="10">
        <f t="shared" si="3"/>
        <v>0.15445956733845367</v>
      </c>
      <c r="CG33" s="10">
        <f t="shared" si="1"/>
        <v>0.1851930197190077</v>
      </c>
      <c r="CH33" s="10">
        <f t="shared" si="1"/>
        <v>0.15879399848496112</v>
      </c>
      <c r="CI33" s="10">
        <f t="shared" si="1"/>
        <v>0.15879399848496178</v>
      </c>
      <c r="CJ33" s="10">
        <f t="shared" si="1"/>
        <v>0.11592580288705645</v>
      </c>
      <c r="CK33" s="10">
        <f t="shared" si="1"/>
        <v>7.3179213216617356E-2</v>
      </c>
      <c r="CL33" s="10">
        <f t="shared" si="1"/>
        <v>7.2159427772281237E-2</v>
      </c>
      <c r="CM33" s="10">
        <f t="shared" si="1"/>
        <v>8.493590556102748E-2</v>
      </c>
      <c r="CN33" s="10">
        <f t="shared" si="1"/>
        <v>8.2132520851422308E-2</v>
      </c>
      <c r="CO33" s="10">
        <f t="shared" si="1"/>
        <v>7.5798086583024338E-2</v>
      </c>
      <c r="CP33" s="10">
        <f t="shared" si="1"/>
        <v>3.8163575101013647E-2</v>
      </c>
      <c r="CQ33" s="10">
        <f t="shared" si="1"/>
        <v>1.8408534022371859E-2</v>
      </c>
      <c r="CR33" s="10">
        <f t="shared" si="1"/>
        <v>2.1488398540584708E-2</v>
      </c>
      <c r="CS33" s="10">
        <f t="shared" si="1"/>
        <v>-7.999999999999452E-3</v>
      </c>
    </row>
    <row r="34" spans="5:97" x14ac:dyDescent="0.2">
      <c r="E34" t="s">
        <v>361</v>
      </c>
      <c r="T34" s="10">
        <f t="shared" si="2"/>
        <v>0</v>
      </c>
      <c r="U34" s="10">
        <f t="shared" si="4"/>
        <v>-1.031119274272152E-2</v>
      </c>
      <c r="V34" s="10">
        <f t="shared" si="5"/>
        <v>-1.9741499171088361E-2</v>
      </c>
      <c r="W34" s="10">
        <f t="shared" si="6"/>
        <v>-3.4349141948229911E-2</v>
      </c>
      <c r="X34" s="10">
        <f t="shared" si="7"/>
        <v>-3.2801522432534425E-2</v>
      </c>
      <c r="Y34" s="10">
        <f t="shared" si="8"/>
        <v>-4.3104481312956411E-2</v>
      </c>
      <c r="Z34" s="10">
        <f t="shared" si="9"/>
        <v>-5.8215207397073532E-2</v>
      </c>
      <c r="AA34" s="10">
        <f t="shared" si="10"/>
        <v>-6.3792758629480639E-2</v>
      </c>
      <c r="AB34" s="10">
        <f t="shared" si="11"/>
        <v>-7.3956641417675661E-2</v>
      </c>
      <c r="AC34" s="10">
        <f t="shared" si="12"/>
        <v>-8.205705626962867E-2</v>
      </c>
      <c r="AD34" s="10">
        <f t="shared" si="13"/>
        <v>-7.6581391082341188E-2</v>
      </c>
      <c r="AE34" s="10">
        <f t="shared" si="14"/>
        <v>-0.10030044400860738</v>
      </c>
      <c r="AF34" s="10">
        <f t="shared" si="15"/>
        <v>0.13154324657919703</v>
      </c>
      <c r="AG34" s="10">
        <f t="shared" si="16"/>
        <v>0.12782596593740903</v>
      </c>
      <c r="AH34" s="10">
        <f t="shared" si="17"/>
        <v>0.14603653989273457</v>
      </c>
      <c r="AI34" s="10">
        <f t="shared" si="18"/>
        <v>0.21144431978514344</v>
      </c>
      <c r="AJ34" s="10">
        <f t="shared" si="19"/>
        <v>0.21437246867365611</v>
      </c>
      <c r="AK34" s="10">
        <f t="shared" si="20"/>
        <v>0.26275316114364022</v>
      </c>
      <c r="AL34" s="10">
        <f t="shared" si="21"/>
        <v>0.19177104502879061</v>
      </c>
      <c r="AM34" s="10">
        <f t="shared" si="22"/>
        <v>0.1790825842299506</v>
      </c>
      <c r="AN34" s="10">
        <f t="shared" si="23"/>
        <v>0.19758727349353333</v>
      </c>
      <c r="AO34" s="10">
        <f t="shared" si="24"/>
        <v>0.19091567737921511</v>
      </c>
      <c r="AP34" s="10">
        <f t="shared" si="25"/>
        <v>0.21332246090418971</v>
      </c>
      <c r="AQ34" s="10">
        <f t="shared" si="26"/>
        <v>0.21893131913743913</v>
      </c>
      <c r="AR34" s="10">
        <f t="shared" si="27"/>
        <v>9.3474753814508205E-2</v>
      </c>
      <c r="AS34" s="10">
        <f t="shared" si="28"/>
        <v>0.15972295688893046</v>
      </c>
      <c r="AT34" s="10">
        <f t="shared" si="29"/>
        <v>0.14638849374550245</v>
      </c>
      <c r="AU34" s="10">
        <f t="shared" si="30"/>
        <v>0.10254548415959008</v>
      </c>
      <c r="AV34" s="10">
        <f t="shared" si="31"/>
        <v>9.3048869834218895E-2</v>
      </c>
      <c r="AW34" s="10">
        <f t="shared" si="32"/>
        <v>5.144785203536073E-2</v>
      </c>
      <c r="AX34" s="10">
        <f t="shared" si="33"/>
        <v>0.12418578250405266</v>
      </c>
      <c r="AY34" s="10">
        <f t="shared" si="34"/>
        <v>0.13930320026757204</v>
      </c>
      <c r="AZ34" s="10">
        <f t="shared" si="35"/>
        <v>0.12590553069361365</v>
      </c>
      <c r="BA34" s="10">
        <f t="shared" si="36"/>
        <v>0.13221293524487066</v>
      </c>
      <c r="BB34" s="10">
        <f t="shared" si="37"/>
        <v>0.1207794028854885</v>
      </c>
      <c r="BC34" s="10">
        <f t="shared" si="38"/>
        <v>0.13213970720154622</v>
      </c>
      <c r="BD34" s="10">
        <f t="shared" si="39"/>
        <v>0.11819199770852618</v>
      </c>
      <c r="BE34" s="10">
        <f t="shared" si="40"/>
        <v>6.3237854639009106E-2</v>
      </c>
      <c r="BF34" s="10">
        <f t="shared" si="41"/>
        <v>5.8185691511406512E-2</v>
      </c>
      <c r="BG34" s="10">
        <f t="shared" si="42"/>
        <v>2.9896749404063172E-2</v>
      </c>
      <c r="BH34" s="10">
        <f t="shared" si="43"/>
        <v>3.6339777724689215E-2</v>
      </c>
      <c r="BI34" s="10">
        <f t="shared" si="44"/>
        <v>3.6629769979281912E-2</v>
      </c>
      <c r="BJ34" s="10">
        <f t="shared" si="45"/>
        <v>3.3648177044218741E-2</v>
      </c>
      <c r="BK34" s="10">
        <f t="shared" si="46"/>
        <v>4.3111158841881547E-2</v>
      </c>
      <c r="BL34" s="10">
        <f t="shared" si="47"/>
        <v>3.9220174723583634E-2</v>
      </c>
      <c r="BM34" s="10">
        <f t="shared" si="48"/>
        <v>4.02361310470436E-2</v>
      </c>
      <c r="BN34" s="10">
        <f t="shared" si="49"/>
        <v>3.1441688395147827E-2</v>
      </c>
      <c r="BO34" s="10">
        <f t="shared" si="50"/>
        <v>-5.7422084272490181E-2</v>
      </c>
      <c r="BP34" s="10">
        <f t="shared" si="51"/>
        <v>-0.1136004143512549</v>
      </c>
      <c r="BQ34" s="10">
        <f t="shared" si="52"/>
        <v>-0.12867845005768852</v>
      </c>
      <c r="BR34" s="10">
        <f t="shared" si="53"/>
        <v>-0.1150898297166536</v>
      </c>
      <c r="BS34" s="10">
        <f t="shared" si="54"/>
        <v>-9.7715329854354938E-2</v>
      </c>
      <c r="BT34" s="10">
        <f t="shared" si="55"/>
        <v>-9.7304335773304995E-2</v>
      </c>
      <c r="BU34" s="10">
        <f t="shared" si="56"/>
        <v>-9.7795191671184112E-2</v>
      </c>
      <c r="BV34" s="10">
        <f t="shared" si="57"/>
        <v>-8.4575864498478204E-2</v>
      </c>
      <c r="BW34" s="10">
        <f t="shared" si="58"/>
        <v>-8.4581506833061759E-2</v>
      </c>
      <c r="BX34" s="10">
        <f t="shared" si="59"/>
        <v>-8.333489199286892E-2</v>
      </c>
      <c r="BY34" s="10">
        <f t="shared" si="60"/>
        <v>-8.423016152367957E-2</v>
      </c>
      <c r="BZ34" s="10">
        <f t="shared" si="61"/>
        <v>-8.0394193863095986E-2</v>
      </c>
      <c r="CA34" s="10">
        <f t="shared" si="62"/>
        <v>3.0622969713502979E-2</v>
      </c>
      <c r="CB34" s="10">
        <f t="shared" si="63"/>
        <v>0.10943880835223574</v>
      </c>
      <c r="CC34" s="10">
        <f t="shared" si="64"/>
        <v>0.12894430211184638</v>
      </c>
      <c r="CD34" s="10">
        <f t="shared" si="65"/>
        <v>0.13204723138552432</v>
      </c>
      <c r="CE34" s="10">
        <f t="shared" si="66"/>
        <v>0.14014815247799617</v>
      </c>
      <c r="CF34" s="10">
        <f t="shared" si="3"/>
        <v>0.15723048354166957</v>
      </c>
      <c r="CG34" s="10">
        <f t="shared" si="1"/>
        <v>0.17092018301001843</v>
      </c>
      <c r="CH34" s="10">
        <f t="shared" si="1"/>
        <v>0.15803000875642992</v>
      </c>
      <c r="CI34" s="10">
        <f t="shared" si="1"/>
        <v>0.14524259696535324</v>
      </c>
      <c r="CJ34" s="10">
        <f t="shared" si="1"/>
        <v>0.1416749091002889</v>
      </c>
      <c r="CK34" s="10">
        <f t="shared" si="1"/>
        <v>0.17455770224882827</v>
      </c>
      <c r="CL34" s="10">
        <f t="shared" si="1"/>
        <v>0.2117978357110426</v>
      </c>
      <c r="CM34" s="10">
        <f t="shared" si="1"/>
        <v>0.19771953766167605</v>
      </c>
      <c r="CN34" s="10">
        <f t="shared" si="1"/>
        <v>0.18442820416449757</v>
      </c>
      <c r="CO34" s="10">
        <f t="shared" si="1"/>
        <v>0.17911429110593513</v>
      </c>
      <c r="CP34" s="10">
        <f t="shared" si="1"/>
        <v>0.16240374701020333</v>
      </c>
      <c r="CQ34" s="10">
        <f t="shared" si="1"/>
        <v>0.14812165495183161</v>
      </c>
      <c r="CR34" s="10">
        <f t="shared" si="1"/>
        <v>0.15212696788993552</v>
      </c>
      <c r="CS34" s="10">
        <f t="shared" si="1"/>
        <v>0.14067767422567612</v>
      </c>
    </row>
    <row r="35" spans="5:97" x14ac:dyDescent="0.2">
      <c r="E35" t="s">
        <v>362</v>
      </c>
      <c r="T35" s="10">
        <f t="shared" si="2"/>
        <v>0.13429078569915176</v>
      </c>
      <c r="U35" s="10">
        <f t="shared" si="4"/>
        <v>0.15336457931310954</v>
      </c>
      <c r="V35" s="10">
        <f t="shared" si="5"/>
        <v>0.15048240713955563</v>
      </c>
      <c r="W35" s="10">
        <f t="shared" si="6"/>
        <v>0.12271909350847676</v>
      </c>
      <c r="X35" s="10">
        <f t="shared" si="7"/>
        <v>0.10810425136097068</v>
      </c>
      <c r="Y35" s="10">
        <f t="shared" si="8"/>
        <v>0.11918751340660116</v>
      </c>
      <c r="Z35" s="10">
        <f t="shared" si="9"/>
        <v>0.14470048892770859</v>
      </c>
      <c r="AA35" s="10">
        <f t="shared" si="10"/>
        <v>0.12911160125728438</v>
      </c>
      <c r="AB35" s="10">
        <f t="shared" si="11"/>
        <v>0.12790661539936332</v>
      </c>
      <c r="AC35" s="10">
        <f t="shared" si="12"/>
        <v>0.12784380648626015</v>
      </c>
      <c r="AD35" s="10">
        <f t="shared" si="13"/>
        <v>0.12400974067820636</v>
      </c>
      <c r="AE35" s="10">
        <f t="shared" si="14"/>
        <v>0.13226660826050263</v>
      </c>
      <c r="AF35" s="10">
        <f t="shared" si="15"/>
        <v>0.13103433614998572</v>
      </c>
      <c r="AG35" s="10">
        <f t="shared" si="16"/>
        <v>0.14730071999233019</v>
      </c>
      <c r="AH35" s="10">
        <f t="shared" si="17"/>
        <v>0.15252213462836428</v>
      </c>
      <c r="AI35" s="10">
        <f t="shared" si="18"/>
        <v>0.18538440548549295</v>
      </c>
      <c r="AJ35" s="10">
        <f t="shared" si="19"/>
        <v>0.21515493719912682</v>
      </c>
      <c r="AK35" s="10">
        <f t="shared" si="20"/>
        <v>0.22393440903254169</v>
      </c>
      <c r="AL35" s="10">
        <f t="shared" si="21"/>
        <v>0.22235623556398121</v>
      </c>
      <c r="AM35" s="10">
        <f t="shared" si="22"/>
        <v>0.2200130983514843</v>
      </c>
      <c r="AN35" s="10">
        <f t="shared" si="23"/>
        <v>0.25133635258460729</v>
      </c>
      <c r="AO35" s="10">
        <f t="shared" si="24"/>
        <v>0.2531289459606203</v>
      </c>
      <c r="AP35" s="10">
        <f t="shared" si="25"/>
        <v>0.23701807738660086</v>
      </c>
      <c r="AQ35" s="10">
        <f t="shared" si="26"/>
        <v>0.22103603809868311</v>
      </c>
      <c r="AR35" s="10">
        <f t="shared" si="27"/>
        <v>0.20661433831401066</v>
      </c>
      <c r="AS35" s="10">
        <f t="shared" si="28"/>
        <v>0.16548959326225843</v>
      </c>
      <c r="AT35" s="10">
        <f t="shared" si="29"/>
        <v>0.15100936355478889</v>
      </c>
      <c r="AU35" s="10">
        <f t="shared" si="30"/>
        <v>0.12215173073292296</v>
      </c>
      <c r="AV35" s="10">
        <f t="shared" si="31"/>
        <v>8.5641007866983809E-2</v>
      </c>
      <c r="AW35" s="10">
        <f t="shared" si="32"/>
        <v>8.053111903314436E-2</v>
      </c>
      <c r="AX35" s="10">
        <f t="shared" si="33"/>
        <v>5.2630576358815517E-2</v>
      </c>
      <c r="AY35" s="10">
        <f t="shared" si="34"/>
        <v>5.1030955527427535E-2</v>
      </c>
      <c r="AZ35" s="10">
        <f t="shared" si="35"/>
        <v>4.2795061188004579E-2</v>
      </c>
      <c r="BA35" s="10">
        <f t="shared" si="36"/>
        <v>4.5356796995159598E-2</v>
      </c>
      <c r="BB35" s="10">
        <f t="shared" si="37"/>
        <v>4.94476366162655E-2</v>
      </c>
      <c r="BC35" s="10">
        <f t="shared" si="38"/>
        <v>5.2020141736214276E-2</v>
      </c>
      <c r="BD35" s="10">
        <f t="shared" si="39"/>
        <v>6.4667101958208573E-2</v>
      </c>
      <c r="BE35" s="10">
        <f t="shared" si="40"/>
        <v>5.8883511419369983E-2</v>
      </c>
      <c r="BF35" s="10">
        <f t="shared" si="41"/>
        <v>6.8422684680402579E-2</v>
      </c>
      <c r="BG35" s="10">
        <f t="shared" si="42"/>
        <v>5.9193600218503839E-2</v>
      </c>
      <c r="BH35" s="10">
        <f t="shared" si="43"/>
        <v>5.0361132826585164E-2</v>
      </c>
      <c r="BI35" s="10">
        <f t="shared" si="44"/>
        <v>5.8553207599841395E-2</v>
      </c>
      <c r="BJ35" s="10">
        <f t="shared" si="45"/>
        <v>5.9782912113846454E-2</v>
      </c>
      <c r="BK35" s="10">
        <f t="shared" si="46"/>
        <v>9.194927366414074E-2</v>
      </c>
      <c r="BL35" s="10">
        <f t="shared" si="47"/>
        <v>5.8438801005758823E-2</v>
      </c>
      <c r="BM35" s="10">
        <f t="shared" si="48"/>
        <v>5.0328451811196162E-2</v>
      </c>
      <c r="BN35" s="10">
        <f t="shared" si="49"/>
        <v>4.677778317304937E-2</v>
      </c>
      <c r="BO35" s="10">
        <f t="shared" si="50"/>
        <v>6.0565562153305885E-2</v>
      </c>
      <c r="BP35" s="10">
        <f t="shared" si="51"/>
        <v>6.6062698364716343E-2</v>
      </c>
      <c r="BQ35" s="10">
        <f t="shared" si="52"/>
        <v>9.6743775473857596E-2</v>
      </c>
      <c r="BR35" s="10">
        <f t="shared" si="53"/>
        <v>0.10894774949189179</v>
      </c>
      <c r="BS35" s="10">
        <f t="shared" si="54"/>
        <v>0.13840355671639837</v>
      </c>
      <c r="BT35" s="10">
        <f t="shared" si="55"/>
        <v>0.14232636135587606</v>
      </c>
      <c r="BU35" s="10">
        <f t="shared" si="56"/>
        <v>0.15446064513897229</v>
      </c>
      <c r="BV35" s="10">
        <f t="shared" si="57"/>
        <v>0.15882145605102838</v>
      </c>
      <c r="BW35" s="10">
        <f t="shared" si="58"/>
        <v>0.16003317101013792</v>
      </c>
      <c r="BX35" s="10">
        <f t="shared" si="59"/>
        <v>0.16361783770436222</v>
      </c>
      <c r="BY35" s="10">
        <f t="shared" si="60"/>
        <v>0.17813246282318729</v>
      </c>
      <c r="BZ35" s="10">
        <f t="shared" si="61"/>
        <v>0.18704348809755644</v>
      </c>
      <c r="CA35" s="10">
        <f t="shared" si="62"/>
        <v>0.20777870702125822</v>
      </c>
      <c r="CB35" s="10">
        <f t="shared" si="63"/>
        <v>0.19882692906252464</v>
      </c>
      <c r="CC35" s="10">
        <f t="shared" si="64"/>
        <v>0.17403763451714593</v>
      </c>
      <c r="CD35" s="10">
        <f t="shared" si="65"/>
        <v>0.14897784702089045</v>
      </c>
      <c r="CE35" s="10">
        <f t="shared" si="66"/>
        <v>0.13267180258323341</v>
      </c>
      <c r="CF35" s="10">
        <f t="shared" si="3"/>
        <v>0.11608269573061447</v>
      </c>
      <c r="CG35" s="10">
        <f t="shared" si="1"/>
        <v>9.0101182621147524E-2</v>
      </c>
      <c r="CH35" s="10">
        <f t="shared" si="1"/>
        <v>9.4031169756869648E-2</v>
      </c>
      <c r="CI35" s="10">
        <f t="shared" si="1"/>
        <v>7.9745179846104852E-2</v>
      </c>
      <c r="CJ35" s="10">
        <f t="shared" si="1"/>
        <v>5.616655158419559E-2</v>
      </c>
      <c r="CK35" s="10">
        <f t="shared" si="1"/>
        <v>4.6516063498279303E-2</v>
      </c>
      <c r="CL35" s="10">
        <f t="shared" si="1"/>
        <v>4.1719427505959583E-2</v>
      </c>
      <c r="CM35" s="10">
        <f t="shared" si="1"/>
        <v>2.9908769874032126E-2</v>
      </c>
      <c r="CN35" s="10">
        <f t="shared" si="1"/>
        <v>1.822798143880866E-2</v>
      </c>
      <c r="CO35" s="10">
        <f t="shared" si="1"/>
        <v>2.3976710008571045E-2</v>
      </c>
      <c r="CP35" s="10">
        <f t="shared" si="1"/>
        <v>2.7217741935483986E-2</v>
      </c>
      <c r="CQ35" s="10">
        <f t="shared" si="1"/>
        <v>3.9117352056168508E-2</v>
      </c>
      <c r="CR35" s="10">
        <f t="shared" si="1"/>
        <v>5.4386987934802677E-2</v>
      </c>
      <c r="CS35" s="10">
        <f t="shared" si="1"/>
        <v>5.0896328818677228E-2</v>
      </c>
    </row>
    <row r="36" spans="5:97" x14ac:dyDescent="0.2">
      <c r="E36" s="9" t="s">
        <v>363</v>
      </c>
      <c r="T36" s="10" t="e">
        <f>T21/H21-1</f>
        <v>#DIV/0!</v>
      </c>
      <c r="U36" s="10" t="e">
        <f t="shared" si="4"/>
        <v>#DIV/0!</v>
      </c>
      <c r="V36" s="10" t="e">
        <f t="shared" si="5"/>
        <v>#DIV/0!</v>
      </c>
      <c r="W36" s="10" t="e">
        <f t="shared" si="6"/>
        <v>#DIV/0!</v>
      </c>
      <c r="X36" s="10" t="e">
        <f t="shared" si="7"/>
        <v>#DIV/0!</v>
      </c>
      <c r="Y36" s="10" t="e">
        <f t="shared" si="8"/>
        <v>#DIV/0!</v>
      </c>
      <c r="Z36" s="10" t="e">
        <f t="shared" si="9"/>
        <v>#DIV/0!</v>
      </c>
      <c r="AA36" s="10" t="e">
        <f t="shared" si="10"/>
        <v>#DIV/0!</v>
      </c>
      <c r="AB36" s="10" t="e">
        <f t="shared" si="11"/>
        <v>#DIV/0!</v>
      </c>
      <c r="AC36" s="10" t="e">
        <f t="shared" si="12"/>
        <v>#DIV/0!</v>
      </c>
      <c r="AD36" s="10" t="e">
        <f t="shared" si="13"/>
        <v>#DIV/0!</v>
      </c>
      <c r="AE36" s="10" t="e">
        <f t="shared" si="14"/>
        <v>#DIV/0!</v>
      </c>
      <c r="AF36" s="10" t="e">
        <f t="shared" si="15"/>
        <v>#DIV/0!</v>
      </c>
      <c r="AG36" s="10" t="e">
        <f t="shared" si="16"/>
        <v>#DIV/0!</v>
      </c>
      <c r="AH36" s="10" t="e">
        <f t="shared" si="17"/>
        <v>#DIV/0!</v>
      </c>
      <c r="AI36" s="10" t="e">
        <f t="shared" si="18"/>
        <v>#DIV/0!</v>
      </c>
      <c r="AJ36" s="10" t="e">
        <f t="shared" si="19"/>
        <v>#DIV/0!</v>
      </c>
      <c r="AK36" s="10" t="e">
        <f t="shared" si="20"/>
        <v>#DIV/0!</v>
      </c>
      <c r="AL36" s="10" t="e">
        <f t="shared" si="21"/>
        <v>#DIV/0!</v>
      </c>
      <c r="AM36" s="10" t="e">
        <f t="shared" si="22"/>
        <v>#DIV/0!</v>
      </c>
      <c r="AN36" s="10" t="e">
        <f t="shared" si="23"/>
        <v>#DIV/0!</v>
      </c>
      <c r="AO36" s="10" t="e">
        <f t="shared" si="24"/>
        <v>#DIV/0!</v>
      </c>
      <c r="AP36" s="10" t="e">
        <f t="shared" si="25"/>
        <v>#DIV/0!</v>
      </c>
      <c r="AQ36" s="10" t="e">
        <f t="shared" si="26"/>
        <v>#DIV/0!</v>
      </c>
      <c r="AR36" s="10" t="e">
        <f t="shared" si="27"/>
        <v>#DIV/0!</v>
      </c>
      <c r="AS36" s="10" t="e">
        <f t="shared" si="28"/>
        <v>#DIV/0!</v>
      </c>
      <c r="AT36" s="10" t="e">
        <f t="shared" si="29"/>
        <v>#DIV/0!</v>
      </c>
      <c r="AU36" s="10" t="e">
        <f t="shared" si="30"/>
        <v>#DIV/0!</v>
      </c>
      <c r="AV36" s="10" t="e">
        <f t="shared" si="31"/>
        <v>#DIV/0!</v>
      </c>
      <c r="AW36" s="10" t="e">
        <f t="shared" si="32"/>
        <v>#DIV/0!</v>
      </c>
      <c r="AX36" s="10" t="e">
        <f t="shared" si="33"/>
        <v>#DIV/0!</v>
      </c>
      <c r="AY36" s="10" t="e">
        <f t="shared" si="34"/>
        <v>#DIV/0!</v>
      </c>
      <c r="AZ36" s="10" t="e">
        <f t="shared" si="35"/>
        <v>#DIV/0!</v>
      </c>
      <c r="BA36" s="10" t="e">
        <f t="shared" si="36"/>
        <v>#DIV/0!</v>
      </c>
      <c r="BB36" s="10" t="e">
        <f t="shared" si="37"/>
        <v>#DIV/0!</v>
      </c>
      <c r="BC36" s="10" t="e">
        <f t="shared" si="38"/>
        <v>#DIV/0!</v>
      </c>
      <c r="BD36" s="10" t="e">
        <f t="shared" si="39"/>
        <v>#DIV/0!</v>
      </c>
      <c r="BE36" s="10" t="e">
        <f t="shared" si="40"/>
        <v>#DIV/0!</v>
      </c>
      <c r="BF36" s="10" t="e">
        <f t="shared" si="41"/>
        <v>#DIV/0!</v>
      </c>
      <c r="BG36" s="10" t="e">
        <f t="shared" si="42"/>
        <v>#DIV/0!</v>
      </c>
      <c r="BH36" s="10" t="e">
        <f t="shared" si="43"/>
        <v>#DIV/0!</v>
      </c>
      <c r="BI36" s="10" t="e">
        <f t="shared" si="44"/>
        <v>#DIV/0!</v>
      </c>
      <c r="BJ36" s="10" t="e">
        <f t="shared" si="45"/>
        <v>#DIV/0!</v>
      </c>
      <c r="BK36" s="10" t="e">
        <f t="shared" si="46"/>
        <v>#DIV/0!</v>
      </c>
      <c r="BL36" s="10" t="e">
        <f t="shared" si="47"/>
        <v>#DIV/0!</v>
      </c>
      <c r="BM36" s="10" t="e">
        <f t="shared" si="48"/>
        <v>#DIV/0!</v>
      </c>
      <c r="BN36" s="10" t="e">
        <f t="shared" si="49"/>
        <v>#DIV/0!</v>
      </c>
      <c r="BO36" s="10" t="e">
        <f t="shared" si="50"/>
        <v>#DIV/0!</v>
      </c>
      <c r="BP36" s="10" t="e">
        <f t="shared" si="51"/>
        <v>#DIV/0!</v>
      </c>
      <c r="BQ36" s="10" t="e">
        <f t="shared" si="52"/>
        <v>#DIV/0!</v>
      </c>
      <c r="BR36" s="10" t="e">
        <f t="shared" si="53"/>
        <v>#DIV/0!</v>
      </c>
      <c r="BS36" s="10" t="e">
        <f t="shared" si="54"/>
        <v>#DIV/0!</v>
      </c>
      <c r="BT36" s="10" t="e">
        <f t="shared" si="55"/>
        <v>#DIV/0!</v>
      </c>
      <c r="BU36" s="10" t="e">
        <f t="shared" si="56"/>
        <v>#DIV/0!</v>
      </c>
      <c r="BV36" s="10" t="e">
        <f t="shared" si="57"/>
        <v>#DIV/0!</v>
      </c>
      <c r="BW36" s="10" t="e">
        <f t="shared" si="58"/>
        <v>#DIV/0!</v>
      </c>
      <c r="BX36" s="10" t="e">
        <f t="shared" si="59"/>
        <v>#DIV/0!</v>
      </c>
      <c r="BY36" s="10" t="e">
        <f t="shared" si="60"/>
        <v>#DIV/0!</v>
      </c>
      <c r="BZ36" s="10" t="e">
        <f t="shared" si="61"/>
        <v>#DIV/0!</v>
      </c>
      <c r="CA36" s="10" t="e">
        <f t="shared" si="62"/>
        <v>#DIV/0!</v>
      </c>
      <c r="CB36" s="10" t="e">
        <f t="shared" si="63"/>
        <v>#DIV/0!</v>
      </c>
      <c r="CC36" s="10" t="e">
        <f t="shared" si="64"/>
        <v>#DIV/0!</v>
      </c>
      <c r="CD36" s="10" t="e">
        <f t="shared" si="65"/>
        <v>#DIV/0!</v>
      </c>
      <c r="CE36" s="10" t="e">
        <f t="shared" si="66"/>
        <v>#DIV/0!</v>
      </c>
      <c r="CF36" s="10" t="e">
        <f t="shared" si="3"/>
        <v>#DIV/0!</v>
      </c>
      <c r="CG36" s="10" t="e">
        <f t="shared" ref="CG36:CS36" si="67">CG21/BU21-1</f>
        <v>#DIV/0!</v>
      </c>
      <c r="CH36" s="10" t="e">
        <f t="shared" si="67"/>
        <v>#DIV/0!</v>
      </c>
      <c r="CI36" s="10" t="e">
        <f t="shared" si="67"/>
        <v>#DIV/0!</v>
      </c>
      <c r="CJ36" s="10" t="e">
        <f t="shared" si="67"/>
        <v>#DIV/0!</v>
      </c>
      <c r="CK36" s="10" t="e">
        <f t="shared" si="67"/>
        <v>#DIV/0!</v>
      </c>
      <c r="CL36" s="10" t="e">
        <f t="shared" si="67"/>
        <v>#DIV/0!</v>
      </c>
      <c r="CM36" s="10" t="e">
        <f t="shared" si="67"/>
        <v>#DIV/0!</v>
      </c>
      <c r="CN36" s="10" t="e">
        <f t="shared" si="67"/>
        <v>#DIV/0!</v>
      </c>
      <c r="CO36" s="10" t="e">
        <f t="shared" si="67"/>
        <v>#DIV/0!</v>
      </c>
      <c r="CP36" s="10" t="e">
        <f t="shared" si="67"/>
        <v>#DIV/0!</v>
      </c>
      <c r="CQ36" s="10" t="e">
        <f t="shared" si="67"/>
        <v>#DIV/0!</v>
      </c>
      <c r="CR36" s="10" t="e">
        <f t="shared" si="67"/>
        <v>#DIV/0!</v>
      </c>
      <c r="CS36" s="10" t="e">
        <f t="shared" si="67"/>
        <v>#DIV/0!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C00000"/>
  </sheetPr>
  <dimension ref="D3:GC66"/>
  <sheetViews>
    <sheetView workbookViewId="0">
      <pane xSplit="5" ySplit="3" topLeftCell="BF46" activePane="bottomRight" state="frozen"/>
      <selection pane="topRight" activeCell="F1" sqref="F1"/>
      <selection pane="bottomLeft" activeCell="A4" sqref="A4"/>
      <selection pane="bottomRight" activeCell="K34" sqref="K34"/>
    </sheetView>
  </sheetViews>
  <sheetFormatPr defaultColWidth="9.140625" defaultRowHeight="12.75" x14ac:dyDescent="0.2"/>
  <cols>
    <col min="1" max="3" width="0.85546875" style="422" customWidth="1"/>
    <col min="4" max="4" width="4.140625" style="422" customWidth="1"/>
    <col min="5" max="5" width="23.85546875" style="422" customWidth="1"/>
    <col min="6" max="52" width="11.42578125" style="422" bestFit="1" customWidth="1"/>
    <col min="53" max="53" width="11.7109375" style="422" bestFit="1" customWidth="1"/>
    <col min="54" max="78" width="11.42578125" style="422" bestFit="1" customWidth="1"/>
    <col min="79" max="80" width="10.42578125" style="422" bestFit="1" customWidth="1"/>
    <col min="81" max="86" width="11.42578125" style="422" bestFit="1" customWidth="1"/>
    <col min="87" max="88" width="10.42578125" style="422" bestFit="1" customWidth="1"/>
    <col min="89" max="125" width="11.42578125" style="422" bestFit="1" customWidth="1"/>
    <col min="126" max="137" width="10.7109375" style="422" bestFit="1" customWidth="1"/>
    <col min="138" max="143" width="11" style="422" bestFit="1" customWidth="1"/>
    <col min="144" max="149" width="9.28515625" style="422" bestFit="1" customWidth="1"/>
    <col min="150" max="161" width="12" style="422" bestFit="1" customWidth="1"/>
    <col min="162" max="185" width="9.28515625" style="422" bestFit="1" customWidth="1"/>
    <col min="186" max="16384" width="9.140625" style="422"/>
  </cols>
  <sheetData>
    <row r="3" spans="4:185" x14ac:dyDescent="0.2">
      <c r="F3" s="384">
        <v>36526</v>
      </c>
      <c r="G3" s="384">
        <v>36557</v>
      </c>
      <c r="H3" s="384">
        <v>36586</v>
      </c>
      <c r="I3" s="384">
        <v>36617</v>
      </c>
      <c r="J3" s="384">
        <v>36647</v>
      </c>
      <c r="K3" s="384">
        <v>36678</v>
      </c>
      <c r="L3" s="384">
        <v>36708</v>
      </c>
      <c r="M3" s="384">
        <v>36739</v>
      </c>
      <c r="N3" s="384">
        <v>36770</v>
      </c>
      <c r="O3" s="384">
        <v>36800</v>
      </c>
      <c r="P3" s="384">
        <v>36831</v>
      </c>
      <c r="Q3" s="384">
        <v>36861</v>
      </c>
      <c r="R3" s="384">
        <v>36892</v>
      </c>
      <c r="S3" s="384">
        <v>36923</v>
      </c>
      <c r="T3" s="384">
        <v>36951</v>
      </c>
      <c r="U3" s="384">
        <v>36982</v>
      </c>
      <c r="V3" s="384">
        <v>37012</v>
      </c>
      <c r="W3" s="384">
        <v>37043</v>
      </c>
      <c r="X3" s="384">
        <v>37073</v>
      </c>
      <c r="Y3" s="384">
        <v>37104</v>
      </c>
      <c r="Z3" s="384">
        <v>37135</v>
      </c>
      <c r="AA3" s="384">
        <v>37165</v>
      </c>
      <c r="AB3" s="384">
        <v>37196</v>
      </c>
      <c r="AC3" s="384">
        <v>37226</v>
      </c>
      <c r="AD3" s="384">
        <v>37257</v>
      </c>
      <c r="AE3" s="384">
        <v>37288</v>
      </c>
      <c r="AF3" s="384">
        <v>37316</v>
      </c>
      <c r="AG3" s="384">
        <v>37347</v>
      </c>
      <c r="AH3" s="384">
        <v>37377</v>
      </c>
      <c r="AI3" s="384">
        <v>37408</v>
      </c>
      <c r="AJ3" s="384">
        <v>37438</v>
      </c>
      <c r="AK3" s="384">
        <v>37469</v>
      </c>
      <c r="AL3" s="384">
        <v>37500</v>
      </c>
      <c r="AM3" s="384">
        <v>37530</v>
      </c>
      <c r="AN3" s="384">
        <v>37561</v>
      </c>
      <c r="AO3" s="384">
        <v>37591</v>
      </c>
      <c r="AP3" s="384">
        <v>37622</v>
      </c>
      <c r="AQ3" s="384">
        <v>37653</v>
      </c>
      <c r="AR3" s="384">
        <v>37681</v>
      </c>
      <c r="AS3" s="384">
        <v>37712</v>
      </c>
      <c r="AT3" s="384">
        <v>37742</v>
      </c>
      <c r="AU3" s="384">
        <v>37773</v>
      </c>
      <c r="AV3" s="384">
        <v>37803</v>
      </c>
      <c r="AW3" s="384">
        <v>37834</v>
      </c>
      <c r="AX3" s="384">
        <v>37865</v>
      </c>
      <c r="AY3" s="384">
        <v>37895</v>
      </c>
      <c r="AZ3" s="384">
        <v>37926</v>
      </c>
      <c r="BA3" s="384">
        <v>37956</v>
      </c>
      <c r="BB3" s="384">
        <v>37987</v>
      </c>
      <c r="BC3" s="384">
        <v>38018</v>
      </c>
      <c r="BD3" s="384">
        <v>38047</v>
      </c>
      <c r="BE3" s="384">
        <v>38078</v>
      </c>
      <c r="BF3" s="384">
        <v>38108</v>
      </c>
      <c r="BG3" s="384">
        <v>38139</v>
      </c>
      <c r="BH3" s="384">
        <v>38169</v>
      </c>
      <c r="BI3" s="384">
        <v>38200</v>
      </c>
      <c r="BJ3" s="384">
        <v>38231</v>
      </c>
      <c r="BK3" s="384">
        <v>38261</v>
      </c>
      <c r="BL3" s="384">
        <v>38292</v>
      </c>
      <c r="BM3" s="384">
        <v>38322</v>
      </c>
      <c r="BN3" s="384">
        <v>38353</v>
      </c>
      <c r="BO3" s="384">
        <v>38384</v>
      </c>
      <c r="BP3" s="384">
        <v>38412</v>
      </c>
      <c r="BQ3" s="384">
        <v>38443</v>
      </c>
      <c r="BR3" s="384">
        <v>38473</v>
      </c>
      <c r="BS3" s="384">
        <v>38504</v>
      </c>
      <c r="BT3" s="384">
        <v>38534</v>
      </c>
      <c r="BU3" s="384">
        <v>38565</v>
      </c>
      <c r="BV3" s="384">
        <v>38596</v>
      </c>
      <c r="BW3" s="384">
        <v>38626</v>
      </c>
      <c r="BX3" s="384">
        <v>38657</v>
      </c>
      <c r="BY3" s="384">
        <v>38687</v>
      </c>
      <c r="BZ3" s="384">
        <v>38718</v>
      </c>
      <c r="CA3" s="384">
        <v>38749</v>
      </c>
      <c r="CB3" s="384">
        <v>38777</v>
      </c>
      <c r="CC3" s="384">
        <v>38808</v>
      </c>
      <c r="CD3" s="384">
        <v>38838</v>
      </c>
      <c r="CE3" s="384">
        <v>38869</v>
      </c>
      <c r="CF3" s="384">
        <v>38899</v>
      </c>
      <c r="CG3" s="384">
        <v>38930</v>
      </c>
      <c r="CH3" s="384">
        <v>38961</v>
      </c>
      <c r="CI3" s="384">
        <v>38991</v>
      </c>
      <c r="CJ3" s="384">
        <v>39022</v>
      </c>
      <c r="CK3" s="384">
        <v>39052</v>
      </c>
      <c r="CL3" s="384">
        <v>39083</v>
      </c>
      <c r="CM3" s="384">
        <v>39114</v>
      </c>
      <c r="CN3" s="384">
        <v>39142</v>
      </c>
      <c r="CO3" s="384">
        <v>39173</v>
      </c>
      <c r="CP3" s="384">
        <v>39203</v>
      </c>
      <c r="CQ3" s="384">
        <v>39234</v>
      </c>
      <c r="CR3" s="384">
        <v>39264</v>
      </c>
      <c r="CS3" s="384">
        <v>39295</v>
      </c>
      <c r="CT3" s="384">
        <v>39326</v>
      </c>
      <c r="CU3" s="384">
        <v>39356</v>
      </c>
      <c r="CV3" s="384">
        <v>39387</v>
      </c>
      <c r="CW3" s="384">
        <v>39417</v>
      </c>
      <c r="CX3" s="384">
        <v>39448</v>
      </c>
      <c r="CY3" s="384">
        <v>39479</v>
      </c>
      <c r="CZ3" s="384">
        <v>39508</v>
      </c>
      <c r="DA3" s="384">
        <v>39539</v>
      </c>
      <c r="DB3" s="384">
        <v>39569</v>
      </c>
      <c r="DC3" s="384">
        <v>39600</v>
      </c>
      <c r="DD3" s="384">
        <v>39630</v>
      </c>
      <c r="DE3" s="384">
        <v>39661</v>
      </c>
      <c r="DF3" s="384">
        <v>39692</v>
      </c>
      <c r="DG3" s="384">
        <v>39722</v>
      </c>
      <c r="DH3" s="384">
        <v>39753</v>
      </c>
      <c r="DI3" s="384">
        <v>39783</v>
      </c>
      <c r="DJ3" s="384">
        <v>39814</v>
      </c>
      <c r="DK3" s="384">
        <v>39845</v>
      </c>
      <c r="DL3" s="384">
        <v>39873</v>
      </c>
      <c r="DM3" s="384">
        <v>39904</v>
      </c>
      <c r="DN3" s="384">
        <v>39934</v>
      </c>
      <c r="DO3" s="384">
        <v>39965</v>
      </c>
      <c r="DP3" s="384">
        <v>39995</v>
      </c>
      <c r="DQ3" s="384">
        <v>40026</v>
      </c>
      <c r="DR3" s="384">
        <v>40057</v>
      </c>
      <c r="DS3" s="384">
        <v>40087</v>
      </c>
      <c r="DT3" s="384">
        <v>40118</v>
      </c>
      <c r="DU3" s="384">
        <v>40148</v>
      </c>
      <c r="DV3" s="384">
        <v>40179</v>
      </c>
      <c r="DW3" s="384">
        <v>40210</v>
      </c>
      <c r="DX3" s="384">
        <v>40238</v>
      </c>
      <c r="DY3" s="384">
        <v>40269</v>
      </c>
      <c r="DZ3" s="384">
        <v>40299</v>
      </c>
      <c r="EA3" s="384">
        <v>40330</v>
      </c>
      <c r="EB3" s="384">
        <v>40360</v>
      </c>
      <c r="EC3" s="384">
        <v>40391</v>
      </c>
      <c r="ED3" s="384">
        <v>40422</v>
      </c>
      <c r="EE3" s="384">
        <v>40452</v>
      </c>
      <c r="EF3" s="384">
        <v>40483</v>
      </c>
      <c r="EG3" s="384">
        <v>40513</v>
      </c>
      <c r="EH3" s="384">
        <v>40544</v>
      </c>
      <c r="EI3" s="384">
        <v>40575</v>
      </c>
      <c r="EJ3" s="384">
        <v>40603</v>
      </c>
      <c r="EK3" s="384">
        <v>40634</v>
      </c>
      <c r="EL3" s="384">
        <v>40664</v>
      </c>
      <c r="EM3" s="384">
        <v>40695</v>
      </c>
      <c r="EN3" s="384">
        <v>40725</v>
      </c>
      <c r="EO3" s="384">
        <v>40756</v>
      </c>
      <c r="EP3" s="384">
        <v>40787</v>
      </c>
      <c r="EQ3" s="384">
        <v>40817</v>
      </c>
      <c r="ER3" s="384">
        <v>40848</v>
      </c>
      <c r="ES3" s="384">
        <v>40878</v>
      </c>
      <c r="ET3" s="384">
        <v>40909</v>
      </c>
      <c r="EU3" s="384">
        <v>40940</v>
      </c>
      <c r="EV3" s="384">
        <v>40969</v>
      </c>
      <c r="EW3" s="384">
        <v>41000</v>
      </c>
      <c r="EX3" s="384">
        <v>41030</v>
      </c>
      <c r="EY3" s="384">
        <v>41061</v>
      </c>
      <c r="EZ3" s="384">
        <v>41091</v>
      </c>
      <c r="FA3" s="384">
        <v>41122</v>
      </c>
      <c r="FB3" s="384">
        <v>41153</v>
      </c>
      <c r="FC3" s="384">
        <v>41183</v>
      </c>
      <c r="FD3" s="384">
        <v>41214</v>
      </c>
      <c r="FE3" s="384">
        <v>41244</v>
      </c>
      <c r="FF3" s="384">
        <v>41275</v>
      </c>
      <c r="FG3" s="384">
        <v>41306</v>
      </c>
      <c r="FH3" s="384">
        <v>41334</v>
      </c>
      <c r="FI3" s="384">
        <v>41365</v>
      </c>
      <c r="FJ3" s="384">
        <v>41395</v>
      </c>
      <c r="FK3" s="384">
        <v>41426</v>
      </c>
      <c r="FL3" s="384">
        <v>41456</v>
      </c>
      <c r="FM3" s="384">
        <v>41487</v>
      </c>
      <c r="FN3" s="384">
        <v>41518</v>
      </c>
      <c r="FO3" s="384">
        <v>41548</v>
      </c>
      <c r="FP3" s="384">
        <v>41579</v>
      </c>
      <c r="FQ3" s="384">
        <v>41609</v>
      </c>
      <c r="FR3" s="384">
        <v>41640</v>
      </c>
      <c r="FS3" s="384">
        <v>41671</v>
      </c>
      <c r="FT3" s="384">
        <v>41699</v>
      </c>
      <c r="FU3" s="384">
        <v>41730</v>
      </c>
      <c r="FV3" s="384">
        <v>41760</v>
      </c>
      <c r="FW3" s="384">
        <v>41791</v>
      </c>
      <c r="FX3" s="384">
        <v>41821</v>
      </c>
      <c r="FY3" s="384">
        <v>41852</v>
      </c>
      <c r="FZ3" s="384">
        <v>41883</v>
      </c>
      <c r="GA3" s="384">
        <v>41913</v>
      </c>
      <c r="GB3" s="384">
        <v>41944</v>
      </c>
      <c r="GC3" s="384">
        <v>41974</v>
      </c>
    </row>
    <row r="4" spans="4:185" x14ac:dyDescent="0.2">
      <c r="D4" s="551"/>
      <c r="E4" s="551" t="s">
        <v>456</v>
      </c>
      <c r="F4" s="565">
        <v>78829000</v>
      </c>
      <c r="G4" s="566">
        <v>82135000</v>
      </c>
      <c r="H4" s="566">
        <v>87094000</v>
      </c>
      <c r="I4" s="566">
        <v>69675000</v>
      </c>
      <c r="J4" s="566">
        <v>53082000</v>
      </c>
      <c r="K4" s="566">
        <v>46596000</v>
      </c>
      <c r="L4" s="566">
        <v>58949000</v>
      </c>
      <c r="M4" s="566">
        <v>73900000</v>
      </c>
      <c r="N4" s="566">
        <v>85455000</v>
      </c>
      <c r="O4" s="566">
        <v>61122000</v>
      </c>
      <c r="P4" s="566">
        <v>73694000</v>
      </c>
      <c r="Q4" s="566">
        <v>61449000</v>
      </c>
      <c r="R4" s="565">
        <v>85529000</v>
      </c>
      <c r="S4" s="566">
        <v>78338000</v>
      </c>
      <c r="T4" s="566">
        <v>87603000</v>
      </c>
      <c r="U4" s="566">
        <v>78702000</v>
      </c>
      <c r="V4" s="566">
        <v>74616000</v>
      </c>
      <c r="W4" s="566">
        <v>86387000</v>
      </c>
      <c r="X4" s="566">
        <v>89518000</v>
      </c>
      <c r="Y4" s="566">
        <v>96885000</v>
      </c>
      <c r="Z4" s="566">
        <v>103117000</v>
      </c>
      <c r="AA4" s="566">
        <v>108575000</v>
      </c>
      <c r="AB4" s="566">
        <v>120805000</v>
      </c>
      <c r="AC4" s="566">
        <v>122335000</v>
      </c>
      <c r="AD4" s="565">
        <v>99156000</v>
      </c>
      <c r="AE4" s="566">
        <v>88817000</v>
      </c>
      <c r="AF4" s="566">
        <v>90243000</v>
      </c>
      <c r="AG4" s="566">
        <v>84279000</v>
      </c>
      <c r="AH4" s="566">
        <v>88774000</v>
      </c>
      <c r="AI4" s="566">
        <v>97054000</v>
      </c>
      <c r="AJ4" s="566">
        <v>113839000</v>
      </c>
      <c r="AK4" s="566">
        <v>104745000</v>
      </c>
      <c r="AL4" s="566">
        <v>101521000</v>
      </c>
      <c r="AM4" s="566">
        <v>111527000</v>
      </c>
      <c r="AN4" s="566">
        <v>100210000</v>
      </c>
      <c r="AO4" s="567">
        <v>111334000</v>
      </c>
      <c r="AP4" s="565">
        <v>109142000</v>
      </c>
      <c r="AQ4" s="566">
        <v>95183000</v>
      </c>
      <c r="AR4" s="566">
        <v>112232000</v>
      </c>
      <c r="AS4" s="566">
        <v>109131000</v>
      </c>
      <c r="AT4" s="566">
        <v>112569000</v>
      </c>
      <c r="AU4" s="566">
        <v>96093000</v>
      </c>
      <c r="AV4" s="566">
        <v>77542000</v>
      </c>
      <c r="AW4" s="566">
        <v>82384000</v>
      </c>
      <c r="AX4" s="566">
        <v>89110000</v>
      </c>
      <c r="AY4" s="566">
        <v>96322000</v>
      </c>
      <c r="AZ4" s="566">
        <v>97282000</v>
      </c>
      <c r="BA4" s="567">
        <v>71670000</v>
      </c>
      <c r="BB4" s="565">
        <v>60371000</v>
      </c>
      <c r="BC4" s="566">
        <v>45276000</v>
      </c>
      <c r="BD4" s="566">
        <v>68651000</v>
      </c>
      <c r="BE4" s="566">
        <v>63908000</v>
      </c>
      <c r="BF4" s="566">
        <v>84171000</v>
      </c>
      <c r="BG4" s="566">
        <v>68528000</v>
      </c>
      <c r="BH4" s="566">
        <v>60053000</v>
      </c>
      <c r="BI4" s="566">
        <v>57180000</v>
      </c>
      <c r="BJ4" s="566">
        <v>61790000</v>
      </c>
      <c r="BK4" s="566">
        <v>52983000</v>
      </c>
      <c r="BL4" s="566">
        <v>49187000</v>
      </c>
      <c r="BM4" s="567">
        <v>45981000</v>
      </c>
      <c r="BN4" s="565">
        <v>70086000</v>
      </c>
      <c r="BO4" s="566">
        <v>69571000</v>
      </c>
      <c r="BP4" s="566">
        <v>55862000</v>
      </c>
      <c r="BQ4" s="566">
        <v>53370000</v>
      </c>
      <c r="BR4" s="566">
        <v>45054000</v>
      </c>
      <c r="BS4" s="566">
        <v>50726000</v>
      </c>
      <c r="BT4" s="566">
        <v>43792000</v>
      </c>
      <c r="BU4" s="566">
        <v>49253000</v>
      </c>
      <c r="BV4" s="566">
        <v>54912000</v>
      </c>
      <c r="BW4" s="566">
        <v>60923000</v>
      </c>
      <c r="BX4" s="566">
        <v>67038000</v>
      </c>
      <c r="BY4" s="567">
        <v>62687000</v>
      </c>
      <c r="BZ4" s="565">
        <v>54292000</v>
      </c>
      <c r="CA4" s="566">
        <v>41556000</v>
      </c>
      <c r="CB4" s="566">
        <v>35803000</v>
      </c>
      <c r="CC4" s="566">
        <v>39364000</v>
      </c>
      <c r="CD4" s="566">
        <v>57385000</v>
      </c>
      <c r="CE4" s="566">
        <v>34515000</v>
      </c>
      <c r="CF4" s="566">
        <v>35470000</v>
      </c>
      <c r="CG4" s="566">
        <v>37485000</v>
      </c>
      <c r="CH4" s="566">
        <v>43014000</v>
      </c>
      <c r="CI4" s="566">
        <v>28714000</v>
      </c>
      <c r="CJ4" s="566">
        <v>14610000</v>
      </c>
      <c r="CK4" s="567">
        <v>65895000</v>
      </c>
      <c r="CL4" s="568">
        <v>67861000</v>
      </c>
      <c r="CM4" s="568">
        <v>92925000</v>
      </c>
      <c r="CN4" s="568">
        <v>108375000</v>
      </c>
      <c r="CO4" s="568">
        <v>115791000</v>
      </c>
      <c r="CP4" s="568">
        <v>95705000</v>
      </c>
      <c r="CQ4" s="568">
        <v>70356000</v>
      </c>
      <c r="CR4" s="568">
        <v>62944000</v>
      </c>
      <c r="CS4" s="568">
        <v>67332000</v>
      </c>
      <c r="CT4" s="568">
        <v>84447000</v>
      </c>
      <c r="CU4" s="568">
        <v>85437000</v>
      </c>
      <c r="CV4" s="568">
        <v>86496000</v>
      </c>
      <c r="CW4" s="568">
        <v>90968000</v>
      </c>
      <c r="CX4" s="565">
        <v>93219000</v>
      </c>
      <c r="CY4" s="566">
        <v>98825000</v>
      </c>
      <c r="CZ4" s="566">
        <v>89773000</v>
      </c>
      <c r="DA4" s="566">
        <v>114297000</v>
      </c>
      <c r="DB4" s="566">
        <v>107408000</v>
      </c>
      <c r="DC4" s="566">
        <v>73332000</v>
      </c>
      <c r="DD4" s="566">
        <v>64123000</v>
      </c>
      <c r="DE4" s="566">
        <v>64996000</v>
      </c>
      <c r="DF4" s="566">
        <v>79257000</v>
      </c>
      <c r="DG4" s="566">
        <v>92650000</v>
      </c>
      <c r="DH4" s="566">
        <v>94433000</v>
      </c>
      <c r="DI4" s="567">
        <v>89324000</v>
      </c>
      <c r="DJ4" s="565">
        <v>96329000</v>
      </c>
      <c r="DK4" s="566">
        <v>92981000</v>
      </c>
      <c r="DL4" s="566">
        <v>103375000</v>
      </c>
      <c r="DM4" s="566">
        <v>97191000</v>
      </c>
      <c r="DN4" s="566">
        <v>83825000</v>
      </c>
      <c r="DO4" s="566">
        <v>76655000</v>
      </c>
      <c r="DP4" s="566">
        <v>79451000</v>
      </c>
      <c r="DQ4" s="566">
        <v>86107000</v>
      </c>
      <c r="DR4" s="566">
        <v>96551000</v>
      </c>
      <c r="DS4" s="566">
        <v>107170000</v>
      </c>
      <c r="DT4" s="566">
        <v>87181000</v>
      </c>
      <c r="DU4" s="567">
        <v>91022000</v>
      </c>
      <c r="DV4" s="569">
        <v>88188000</v>
      </c>
      <c r="DW4" s="569">
        <v>75931000</v>
      </c>
      <c r="DX4" s="569">
        <v>91229000</v>
      </c>
      <c r="DY4" s="569">
        <v>72387000</v>
      </c>
      <c r="DZ4" s="569">
        <v>77559000</v>
      </c>
      <c r="EA4" s="569">
        <v>73436000</v>
      </c>
      <c r="EB4" s="569">
        <v>81682000</v>
      </c>
      <c r="EC4" s="569">
        <v>105738000</v>
      </c>
      <c r="ED4" s="569">
        <v>107569000</v>
      </c>
      <c r="EE4" s="569">
        <v>113239000</v>
      </c>
      <c r="EF4" s="569">
        <v>111336000</v>
      </c>
      <c r="EG4" s="569">
        <v>112282000</v>
      </c>
      <c r="EH4" s="569">
        <v>117703000</v>
      </c>
      <c r="EI4" s="569">
        <v>86866000</v>
      </c>
      <c r="EJ4" s="569">
        <v>101763000</v>
      </c>
      <c r="EK4" s="569">
        <v>83413000</v>
      </c>
      <c r="EL4" s="569">
        <v>77150000</v>
      </c>
      <c r="EM4" s="569">
        <v>50200000</v>
      </c>
      <c r="EN4" s="570"/>
      <c r="EO4" s="570"/>
      <c r="EP4" s="570"/>
      <c r="EQ4" s="570"/>
      <c r="ER4" s="570"/>
      <c r="ES4" s="570"/>
      <c r="ET4" s="569">
        <v>75771000</v>
      </c>
      <c r="EU4" s="569">
        <v>61649000</v>
      </c>
      <c r="EV4" s="569">
        <v>82403000</v>
      </c>
      <c r="EW4" s="569">
        <v>80348000</v>
      </c>
      <c r="EX4" s="569">
        <v>69488000</v>
      </c>
      <c r="EY4" s="569">
        <v>65523000</v>
      </c>
      <c r="EZ4" s="569">
        <v>53702</v>
      </c>
      <c r="FA4" s="569">
        <v>46689000</v>
      </c>
      <c r="FB4" s="569">
        <v>45752000</v>
      </c>
      <c r="FC4" s="569">
        <v>47809000</v>
      </c>
      <c r="FD4" s="569">
        <v>41205000</v>
      </c>
      <c r="FE4" s="569">
        <v>40389000</v>
      </c>
      <c r="FF4" s="570"/>
      <c r="FG4" s="570"/>
      <c r="FH4" s="570"/>
      <c r="FI4" s="571"/>
      <c r="FJ4" s="571"/>
      <c r="FK4" s="571"/>
      <c r="FL4" s="571"/>
      <c r="FM4" s="571"/>
      <c r="FN4" s="571"/>
      <c r="FO4" s="571"/>
      <c r="FP4" s="571"/>
      <c r="FQ4" s="571"/>
      <c r="FR4" s="571"/>
      <c r="FS4" s="571"/>
      <c r="FT4" s="571"/>
      <c r="FU4" s="571"/>
      <c r="FV4" s="571"/>
      <c r="FW4" s="571"/>
      <c r="FX4" s="571"/>
      <c r="FY4" s="571"/>
      <c r="FZ4" s="571"/>
      <c r="GA4" s="571"/>
      <c r="GB4" s="571"/>
      <c r="GC4" s="571"/>
    </row>
    <row r="5" spans="4:185" x14ac:dyDescent="0.2">
      <c r="D5" s="551"/>
      <c r="E5" s="551" t="s">
        <v>457</v>
      </c>
      <c r="F5" s="565">
        <v>41304500</v>
      </c>
      <c r="G5" s="566">
        <v>39460900</v>
      </c>
      <c r="H5" s="566">
        <v>57989500</v>
      </c>
      <c r="I5" s="566">
        <v>64421500</v>
      </c>
      <c r="J5" s="566">
        <v>72843100</v>
      </c>
      <c r="K5" s="566">
        <v>59324900</v>
      </c>
      <c r="L5" s="566">
        <v>52226000</v>
      </c>
      <c r="M5" s="566">
        <v>46348300</v>
      </c>
      <c r="N5" s="566">
        <v>38701200</v>
      </c>
      <c r="O5" s="566">
        <v>32474500</v>
      </c>
      <c r="P5" s="566">
        <v>34837900</v>
      </c>
      <c r="Q5" s="566">
        <v>56175700</v>
      </c>
      <c r="R5" s="565">
        <v>73028800</v>
      </c>
      <c r="S5" s="566">
        <v>64882700</v>
      </c>
      <c r="T5" s="566">
        <v>61464400</v>
      </c>
      <c r="U5" s="566">
        <v>61212700</v>
      </c>
      <c r="V5" s="566">
        <v>81950800</v>
      </c>
      <c r="W5" s="566">
        <v>73299500</v>
      </c>
      <c r="X5" s="566">
        <v>62993100</v>
      </c>
      <c r="Y5" s="566">
        <v>55758100</v>
      </c>
      <c r="Z5" s="566">
        <v>43097000</v>
      </c>
      <c r="AA5" s="566">
        <v>41927600</v>
      </c>
      <c r="AB5" s="566">
        <v>33315300</v>
      </c>
      <c r="AC5" s="566">
        <v>34024300</v>
      </c>
      <c r="AD5" s="565">
        <v>54199500</v>
      </c>
      <c r="AE5" s="566">
        <v>54584400</v>
      </c>
      <c r="AF5" s="566">
        <v>82138100</v>
      </c>
      <c r="AG5" s="566">
        <v>62373700</v>
      </c>
      <c r="AH5" s="566">
        <v>83441000</v>
      </c>
      <c r="AI5" s="566">
        <v>75492700</v>
      </c>
      <c r="AJ5" s="566">
        <v>66950500</v>
      </c>
      <c r="AK5" s="566">
        <v>56110000</v>
      </c>
      <c r="AL5" s="566">
        <v>51883200</v>
      </c>
      <c r="AM5" s="566">
        <v>42145500</v>
      </c>
      <c r="AN5" s="566">
        <v>41443800</v>
      </c>
      <c r="AO5" s="567">
        <v>50895500</v>
      </c>
      <c r="AP5" s="565">
        <v>67284600</v>
      </c>
      <c r="AQ5" s="566">
        <v>52954000</v>
      </c>
      <c r="AR5" s="566">
        <v>50872000</v>
      </c>
      <c r="AS5" s="566">
        <v>74377800</v>
      </c>
      <c r="AT5" s="566">
        <v>53961400</v>
      </c>
      <c r="AU5" s="566">
        <v>47980400</v>
      </c>
      <c r="AV5" s="566">
        <v>40076100</v>
      </c>
      <c r="AW5" s="566">
        <v>34922600</v>
      </c>
      <c r="AX5" s="566">
        <v>31529300</v>
      </c>
      <c r="AY5" s="566">
        <v>29291600</v>
      </c>
      <c r="AZ5" s="566">
        <v>23530500</v>
      </c>
      <c r="BA5" s="567">
        <v>36116600</v>
      </c>
      <c r="BB5" s="565">
        <v>58371700</v>
      </c>
      <c r="BC5" s="566">
        <v>71152300</v>
      </c>
      <c r="BD5" s="566">
        <v>71464400</v>
      </c>
      <c r="BE5" s="566">
        <v>115021200</v>
      </c>
      <c r="BF5" s="566">
        <v>92559400</v>
      </c>
      <c r="BG5" s="566">
        <v>65463500</v>
      </c>
      <c r="BH5" s="566">
        <v>55564900</v>
      </c>
      <c r="BI5" s="566">
        <v>45945800</v>
      </c>
      <c r="BJ5" s="566">
        <v>38589800</v>
      </c>
      <c r="BK5" s="566">
        <v>37433300</v>
      </c>
      <c r="BL5" s="566">
        <v>37296700</v>
      </c>
      <c r="BM5" s="567">
        <v>69148000</v>
      </c>
      <c r="BN5" s="565">
        <v>67281300</v>
      </c>
      <c r="BO5" s="566">
        <v>55032300</v>
      </c>
      <c r="BP5" s="566">
        <v>63544300</v>
      </c>
      <c r="BQ5" s="566">
        <v>81875300</v>
      </c>
      <c r="BR5" s="566">
        <v>76615200</v>
      </c>
      <c r="BS5" s="566">
        <v>58957500</v>
      </c>
      <c r="BT5" s="566">
        <v>50977600</v>
      </c>
      <c r="BU5" s="566">
        <v>43848200</v>
      </c>
      <c r="BV5" s="566">
        <v>35626000</v>
      </c>
      <c r="BW5" s="566">
        <v>31560300</v>
      </c>
      <c r="BX5" s="566">
        <v>27581500</v>
      </c>
      <c r="BY5" s="567">
        <v>23683000</v>
      </c>
      <c r="BZ5" s="565">
        <v>25492200</v>
      </c>
      <c r="CA5" s="566">
        <v>33249700</v>
      </c>
      <c r="CB5" s="566">
        <v>40023900</v>
      </c>
      <c r="CC5" s="566">
        <v>69606900</v>
      </c>
      <c r="CD5" s="566">
        <v>77689800</v>
      </c>
      <c r="CE5" s="566">
        <v>47652500</v>
      </c>
      <c r="CF5" s="566">
        <v>37051700</v>
      </c>
      <c r="CG5" s="566">
        <v>34689800</v>
      </c>
      <c r="CH5" s="566">
        <v>28656900</v>
      </c>
      <c r="CI5" s="566">
        <v>26381500</v>
      </c>
      <c r="CJ5" s="566">
        <v>23130200</v>
      </c>
      <c r="CK5" s="567">
        <v>57180200</v>
      </c>
      <c r="CL5" s="568">
        <v>63052200</v>
      </c>
      <c r="CM5" s="568">
        <v>62228700</v>
      </c>
      <c r="CN5" s="568">
        <v>54700900</v>
      </c>
      <c r="CO5" s="568">
        <v>67797200</v>
      </c>
      <c r="CP5" s="568">
        <v>75515000</v>
      </c>
      <c r="CQ5" s="568">
        <v>62742900</v>
      </c>
      <c r="CR5" s="568">
        <v>52302900</v>
      </c>
      <c r="CS5" s="568">
        <v>58235500</v>
      </c>
      <c r="CT5" s="568">
        <v>40565400</v>
      </c>
      <c r="CU5" s="568">
        <v>46433100</v>
      </c>
      <c r="CV5" s="568">
        <v>32173100</v>
      </c>
      <c r="CW5" s="568">
        <v>48800000</v>
      </c>
      <c r="CX5" s="565">
        <v>52454400</v>
      </c>
      <c r="CY5" s="566">
        <v>73314600</v>
      </c>
      <c r="CZ5" s="566">
        <v>73664200</v>
      </c>
      <c r="DA5" s="566">
        <v>110194400</v>
      </c>
      <c r="DB5" s="566">
        <v>105047100</v>
      </c>
      <c r="DC5" s="566">
        <v>97786500</v>
      </c>
      <c r="DD5" s="566">
        <v>83178200</v>
      </c>
      <c r="DE5" s="566">
        <v>67855100</v>
      </c>
      <c r="DF5" s="566">
        <v>56527400</v>
      </c>
      <c r="DG5" s="566">
        <v>50756900</v>
      </c>
      <c r="DH5" s="566">
        <v>45211800</v>
      </c>
      <c r="DI5" s="567">
        <v>77159600</v>
      </c>
      <c r="DJ5" s="565">
        <v>59938100</v>
      </c>
      <c r="DK5" s="566">
        <v>66180500</v>
      </c>
      <c r="DL5" s="566">
        <v>95610970</v>
      </c>
      <c r="DM5" s="566">
        <v>117542200</v>
      </c>
      <c r="DN5" s="566">
        <v>116243600</v>
      </c>
      <c r="DO5" s="566">
        <v>87350100</v>
      </c>
      <c r="DP5" s="566">
        <v>73732900</v>
      </c>
      <c r="DQ5" s="566">
        <v>62302330</v>
      </c>
      <c r="DR5" s="566">
        <v>23758100</v>
      </c>
      <c r="DS5" s="566">
        <v>45287100</v>
      </c>
      <c r="DT5" s="566">
        <v>46812900</v>
      </c>
      <c r="DU5" s="567">
        <v>50856810</v>
      </c>
      <c r="DV5" s="569">
        <v>66895700</v>
      </c>
      <c r="DW5" s="569">
        <v>65858400</v>
      </c>
      <c r="DX5" s="569">
        <v>83301460</v>
      </c>
      <c r="DY5" s="569">
        <v>107369790</v>
      </c>
      <c r="DZ5" s="569">
        <v>113908000</v>
      </c>
      <c r="EA5" s="569">
        <v>95253100</v>
      </c>
      <c r="EB5" s="569">
        <v>80033800</v>
      </c>
      <c r="EC5" s="569">
        <v>64961300</v>
      </c>
      <c r="ED5" s="569">
        <v>54158580</v>
      </c>
      <c r="EE5" s="569">
        <v>46401350</v>
      </c>
      <c r="EF5" s="569">
        <v>46536200</v>
      </c>
      <c r="EG5" s="569">
        <v>42638200</v>
      </c>
      <c r="EH5" s="569">
        <v>47103800</v>
      </c>
      <c r="EI5" s="569">
        <v>47186200</v>
      </c>
      <c r="EJ5" s="569">
        <v>65253700</v>
      </c>
      <c r="EK5" s="569">
        <v>111729630</v>
      </c>
      <c r="EL5" s="569">
        <v>112208300</v>
      </c>
      <c r="EM5" s="569">
        <v>80860500</v>
      </c>
      <c r="EN5" s="570"/>
      <c r="EO5" s="570"/>
      <c r="EP5" s="570"/>
      <c r="EQ5" s="570"/>
      <c r="ER5" s="570"/>
      <c r="ES5" s="570"/>
      <c r="ET5" s="569">
        <v>58658900</v>
      </c>
      <c r="EU5" s="569">
        <v>45375100</v>
      </c>
      <c r="EV5" s="569">
        <v>57945000</v>
      </c>
      <c r="EW5" s="569">
        <v>73897700</v>
      </c>
      <c r="EX5" s="569">
        <v>82566800</v>
      </c>
      <c r="EY5" s="569">
        <v>57350300</v>
      </c>
      <c r="EZ5" s="569">
        <v>46509600</v>
      </c>
      <c r="FA5" s="569">
        <v>41837800</v>
      </c>
      <c r="FB5" s="569">
        <v>33769100</v>
      </c>
      <c r="FC5" s="569">
        <v>31630400</v>
      </c>
      <c r="FD5" s="569">
        <v>28484500</v>
      </c>
      <c r="FE5" s="569">
        <v>32907900</v>
      </c>
      <c r="FF5" s="570"/>
      <c r="FG5" s="570"/>
      <c r="FH5" s="570"/>
      <c r="FI5" s="571"/>
      <c r="FJ5" s="571"/>
      <c r="FK5" s="571"/>
      <c r="FL5" s="571"/>
      <c r="FM5" s="571"/>
      <c r="FN5" s="571"/>
      <c r="FO5" s="571"/>
      <c r="FP5" s="571"/>
      <c r="FQ5" s="571"/>
      <c r="FR5" s="571"/>
      <c r="FS5" s="571"/>
      <c r="FT5" s="571"/>
      <c r="FU5" s="571"/>
      <c r="FV5" s="571"/>
      <c r="FW5" s="571"/>
      <c r="FX5" s="571"/>
      <c r="FY5" s="571"/>
      <c r="FZ5" s="571"/>
      <c r="GA5" s="571"/>
      <c r="GB5" s="571"/>
      <c r="GC5" s="571"/>
    </row>
    <row r="6" spans="4:185" x14ac:dyDescent="0.2">
      <c r="D6" s="551"/>
      <c r="E6" s="551" t="s">
        <v>458</v>
      </c>
      <c r="F6" s="565">
        <v>37471000</v>
      </c>
      <c r="G6" s="566">
        <v>34569000</v>
      </c>
      <c r="H6" s="566">
        <v>18741000</v>
      </c>
      <c r="I6" s="566">
        <v>14021000</v>
      </c>
      <c r="J6" s="566">
        <v>11263000</v>
      </c>
      <c r="K6" s="566">
        <v>14260000</v>
      </c>
      <c r="L6" s="566">
        <v>24081000</v>
      </c>
      <c r="M6" s="566">
        <v>32019000</v>
      </c>
      <c r="N6" s="566">
        <v>34777000</v>
      </c>
      <c r="O6" s="566">
        <v>30617000</v>
      </c>
      <c r="P6" s="566">
        <v>29134000</v>
      </c>
      <c r="Q6" s="566">
        <v>4827000</v>
      </c>
      <c r="R6" s="565">
        <v>25000</v>
      </c>
      <c r="S6" s="566">
        <v>17574000</v>
      </c>
      <c r="T6" s="566">
        <v>45164000</v>
      </c>
      <c r="U6" s="566">
        <v>41206000</v>
      </c>
      <c r="V6" s="566">
        <v>30130000</v>
      </c>
      <c r="W6" s="566">
        <v>27797000</v>
      </c>
      <c r="X6" s="566">
        <v>36260000</v>
      </c>
      <c r="Y6" s="566">
        <v>42911000</v>
      </c>
      <c r="Z6" s="566">
        <v>44935000</v>
      </c>
      <c r="AA6" s="566">
        <v>53596000</v>
      </c>
      <c r="AB6" s="566">
        <v>54855000</v>
      </c>
      <c r="AC6" s="566">
        <v>51385000</v>
      </c>
      <c r="AD6" s="565">
        <v>36136000</v>
      </c>
      <c r="AE6" s="566">
        <v>34224000</v>
      </c>
      <c r="AF6" s="566">
        <v>29587000</v>
      </c>
      <c r="AG6" s="566">
        <v>33407000</v>
      </c>
      <c r="AH6" s="566">
        <v>35008000</v>
      </c>
      <c r="AI6" s="566">
        <v>29657000</v>
      </c>
      <c r="AJ6" s="566">
        <v>31246000</v>
      </c>
      <c r="AK6" s="566">
        <v>49826000</v>
      </c>
      <c r="AL6" s="566">
        <v>48195000</v>
      </c>
      <c r="AM6" s="566">
        <v>55828000</v>
      </c>
      <c r="AN6" s="566">
        <v>48322000</v>
      </c>
      <c r="AO6" s="567">
        <v>48339000</v>
      </c>
      <c r="AP6" s="565">
        <v>43451000</v>
      </c>
      <c r="AQ6" s="566">
        <v>45136000</v>
      </c>
      <c r="AR6" s="566">
        <v>51291000</v>
      </c>
      <c r="AS6" s="566">
        <v>40014000</v>
      </c>
      <c r="AT6" s="566">
        <v>52593000</v>
      </c>
      <c r="AU6" s="566">
        <v>47659000</v>
      </c>
      <c r="AV6" s="566">
        <v>35366000</v>
      </c>
      <c r="AW6" s="566">
        <v>42065000</v>
      </c>
      <c r="AX6" s="566">
        <v>44081000</v>
      </c>
      <c r="AY6" s="566">
        <v>49160000</v>
      </c>
      <c r="AZ6" s="566">
        <v>49077000</v>
      </c>
      <c r="BA6" s="567">
        <v>31997000</v>
      </c>
      <c r="BB6" s="565">
        <v>15812000</v>
      </c>
      <c r="BC6" s="566">
        <v>6982000</v>
      </c>
      <c r="BD6" s="566">
        <v>10835000</v>
      </c>
      <c r="BE6" s="566">
        <v>5000</v>
      </c>
      <c r="BF6" s="566">
        <v>33692000</v>
      </c>
      <c r="BG6" s="566">
        <v>33692000</v>
      </c>
      <c r="BH6" s="566">
        <v>26754000</v>
      </c>
      <c r="BI6" s="566">
        <v>23243000</v>
      </c>
      <c r="BJ6" s="566">
        <v>31466000</v>
      </c>
      <c r="BK6" s="566">
        <v>22395000</v>
      </c>
      <c r="BL6" s="566">
        <v>21812000</v>
      </c>
      <c r="BM6" s="567">
        <v>9614000</v>
      </c>
      <c r="BN6" s="565">
        <v>24868000</v>
      </c>
      <c r="BO6" s="566">
        <v>23991000</v>
      </c>
      <c r="BP6" s="566">
        <v>6067000</v>
      </c>
      <c r="BQ6" s="566">
        <v>4585000</v>
      </c>
      <c r="BR6" s="566">
        <v>7932000</v>
      </c>
      <c r="BS6" s="566">
        <v>15921000</v>
      </c>
      <c r="BT6" s="566">
        <v>14972000</v>
      </c>
      <c r="BU6" s="566">
        <v>21453000</v>
      </c>
      <c r="BV6" s="566">
        <v>26774000</v>
      </c>
      <c r="BW6" s="566">
        <v>28919000</v>
      </c>
      <c r="BX6" s="566">
        <v>30873000</v>
      </c>
      <c r="BY6" s="567">
        <v>26893000</v>
      </c>
      <c r="BZ6" s="565">
        <v>23599000</v>
      </c>
      <c r="CA6" s="566">
        <v>8712000</v>
      </c>
      <c r="CB6" s="566">
        <v>4940000</v>
      </c>
      <c r="CC6" s="566">
        <v>20000</v>
      </c>
      <c r="CD6" s="566">
        <v>9332000</v>
      </c>
      <c r="CE6" s="566">
        <v>6260000</v>
      </c>
      <c r="CF6" s="566">
        <v>11321000</v>
      </c>
      <c r="CG6" s="566">
        <v>12801000</v>
      </c>
      <c r="CH6" s="566">
        <v>16184000</v>
      </c>
      <c r="CI6" s="566">
        <v>3611000</v>
      </c>
      <c r="CJ6" s="566">
        <v>4000</v>
      </c>
      <c r="CK6" s="567">
        <v>0</v>
      </c>
      <c r="CL6" s="572">
        <v>0</v>
      </c>
      <c r="CM6" s="568">
        <v>34458000</v>
      </c>
      <c r="CN6" s="568">
        <v>55170000</v>
      </c>
      <c r="CO6" s="568">
        <v>52524000</v>
      </c>
      <c r="CP6" s="568">
        <v>34415000</v>
      </c>
      <c r="CQ6" s="568">
        <v>24464000</v>
      </c>
      <c r="CR6" s="568">
        <v>25223000</v>
      </c>
      <c r="CS6" s="568">
        <v>28357000</v>
      </c>
      <c r="CT6" s="568">
        <v>38741000</v>
      </c>
      <c r="CU6" s="568">
        <v>45152000</v>
      </c>
      <c r="CV6" s="568">
        <v>42459000</v>
      </c>
      <c r="CW6" s="568">
        <v>41008000</v>
      </c>
      <c r="CX6" s="565">
        <v>39697000</v>
      </c>
      <c r="CY6" s="566">
        <v>13398000</v>
      </c>
      <c r="CZ6" s="566">
        <v>22356000</v>
      </c>
      <c r="DA6" s="566">
        <v>16680000</v>
      </c>
      <c r="DB6" s="566">
        <v>34301000</v>
      </c>
      <c r="DC6" s="566">
        <v>16834000</v>
      </c>
      <c r="DD6" s="566">
        <v>18716000</v>
      </c>
      <c r="DE6" s="566">
        <v>23298000</v>
      </c>
      <c r="DF6" s="566">
        <v>35674000</v>
      </c>
      <c r="DG6" s="566">
        <v>44788000</v>
      </c>
      <c r="DH6" s="566">
        <v>44420000</v>
      </c>
      <c r="DI6" s="567">
        <v>33857000</v>
      </c>
      <c r="DJ6" s="565">
        <v>43905000</v>
      </c>
      <c r="DK6" s="566">
        <v>36983000</v>
      </c>
      <c r="DL6" s="566">
        <v>36407000</v>
      </c>
      <c r="DM6" s="566">
        <v>23174000</v>
      </c>
      <c r="DN6" s="566">
        <v>28529000</v>
      </c>
      <c r="DO6" s="566">
        <v>31390000</v>
      </c>
      <c r="DP6" s="566">
        <v>35257000</v>
      </c>
      <c r="DQ6" s="566">
        <v>39343000</v>
      </c>
      <c r="DR6" s="566">
        <v>45744000</v>
      </c>
      <c r="DS6" s="566">
        <v>53082000</v>
      </c>
      <c r="DT6" s="566">
        <v>39873000</v>
      </c>
      <c r="DU6" s="567">
        <v>37422000</v>
      </c>
      <c r="DV6" s="569">
        <v>22556000</v>
      </c>
      <c r="DW6" s="569">
        <v>24984000</v>
      </c>
      <c r="DX6" s="569">
        <v>30286000</v>
      </c>
      <c r="DY6" s="569">
        <v>20923000</v>
      </c>
      <c r="DZ6" s="569">
        <v>17858000</v>
      </c>
      <c r="EA6" s="569">
        <v>26354000</v>
      </c>
      <c r="EB6" s="569">
        <v>32554000</v>
      </c>
      <c r="EC6" s="569">
        <v>51130000</v>
      </c>
      <c r="ED6" s="569">
        <v>51600000</v>
      </c>
      <c r="EE6" s="569">
        <v>54380000</v>
      </c>
      <c r="EF6" s="569">
        <v>52372000</v>
      </c>
      <c r="EG6" s="569">
        <v>48308000</v>
      </c>
      <c r="EH6" s="569">
        <v>50045000</v>
      </c>
      <c r="EI6" s="569">
        <v>34130000</v>
      </c>
      <c r="EJ6" s="569">
        <v>32359000</v>
      </c>
      <c r="EK6" s="569">
        <v>13524000</v>
      </c>
      <c r="EL6" s="569">
        <v>19719000</v>
      </c>
      <c r="EM6" s="569">
        <v>12376000</v>
      </c>
      <c r="EN6" s="570"/>
      <c r="EO6" s="570"/>
      <c r="EP6" s="570"/>
      <c r="EQ6" s="570"/>
      <c r="ER6" s="570"/>
      <c r="ES6" s="570"/>
      <c r="ET6" s="569">
        <v>21476000</v>
      </c>
      <c r="EU6" s="569">
        <v>26673000</v>
      </c>
      <c r="EV6" s="569">
        <v>26654000</v>
      </c>
      <c r="EW6" s="569">
        <v>24238000</v>
      </c>
      <c r="EX6" s="569">
        <v>20682000</v>
      </c>
      <c r="EY6" s="569">
        <v>27438000</v>
      </c>
      <c r="EZ6" s="569">
        <v>23351000</v>
      </c>
      <c r="FA6" s="569">
        <v>19362000</v>
      </c>
      <c r="FB6" s="569">
        <v>19256000</v>
      </c>
      <c r="FC6" s="569">
        <v>23100000</v>
      </c>
      <c r="FD6" s="569">
        <v>19719000</v>
      </c>
      <c r="FE6" s="569">
        <v>9768000</v>
      </c>
      <c r="FF6" s="570"/>
      <c r="FG6" s="570"/>
      <c r="FH6" s="570"/>
      <c r="FI6" s="571"/>
      <c r="FJ6" s="571"/>
      <c r="FK6" s="571"/>
      <c r="FL6" s="571"/>
      <c r="FM6" s="571"/>
      <c r="FN6" s="571"/>
      <c r="FO6" s="571"/>
      <c r="FP6" s="571"/>
      <c r="FQ6" s="571"/>
      <c r="FR6" s="571"/>
      <c r="FS6" s="571"/>
      <c r="FT6" s="571"/>
      <c r="FU6" s="571"/>
      <c r="FV6" s="571"/>
      <c r="FW6" s="571"/>
      <c r="FX6" s="571"/>
      <c r="FY6" s="571"/>
      <c r="FZ6" s="571"/>
      <c r="GA6" s="571"/>
      <c r="GB6" s="571"/>
      <c r="GC6" s="571"/>
    </row>
    <row r="7" spans="4:185" x14ac:dyDescent="0.2">
      <c r="D7" s="551"/>
      <c r="E7" s="551" t="s">
        <v>459</v>
      </c>
      <c r="F7" s="565">
        <v>6859500</v>
      </c>
      <c r="G7" s="566">
        <v>1098000</v>
      </c>
      <c r="H7" s="566">
        <v>5868000</v>
      </c>
      <c r="I7" s="566">
        <v>8992800</v>
      </c>
      <c r="J7" s="566">
        <v>12855300</v>
      </c>
      <c r="K7" s="566">
        <v>9681000</v>
      </c>
      <c r="L7" s="566">
        <v>8167500</v>
      </c>
      <c r="M7" s="566">
        <v>7552800</v>
      </c>
      <c r="N7" s="566">
        <v>6754200</v>
      </c>
      <c r="O7" s="566">
        <v>6336000</v>
      </c>
      <c r="P7" s="566">
        <v>5875500</v>
      </c>
      <c r="Q7" s="566">
        <v>7177800</v>
      </c>
      <c r="R7" s="565">
        <v>5920800</v>
      </c>
      <c r="S7" s="566">
        <v>6363300</v>
      </c>
      <c r="T7" s="566">
        <v>6522600</v>
      </c>
      <c r="U7" s="566">
        <v>6003600</v>
      </c>
      <c r="V7" s="566">
        <v>9685800</v>
      </c>
      <c r="W7" s="566">
        <v>6419100</v>
      </c>
      <c r="X7" s="566">
        <v>5918400</v>
      </c>
      <c r="Y7" s="566">
        <v>3564600</v>
      </c>
      <c r="Z7" s="566">
        <v>3081900</v>
      </c>
      <c r="AA7" s="566">
        <v>3460800</v>
      </c>
      <c r="AB7" s="566">
        <v>3133800</v>
      </c>
      <c r="AC7" s="566">
        <v>3030900</v>
      </c>
      <c r="AD7" s="565">
        <v>4030500</v>
      </c>
      <c r="AE7" s="566">
        <v>4591800</v>
      </c>
      <c r="AF7" s="566">
        <v>6314100</v>
      </c>
      <c r="AG7" s="566">
        <v>8654100</v>
      </c>
      <c r="AH7" s="566">
        <v>4495500</v>
      </c>
      <c r="AI7" s="566">
        <v>4342800</v>
      </c>
      <c r="AJ7" s="566">
        <v>4318200</v>
      </c>
      <c r="AK7" s="566">
        <v>5193600</v>
      </c>
      <c r="AL7" s="566">
        <v>5510400</v>
      </c>
      <c r="AM7" s="566">
        <v>6122400</v>
      </c>
      <c r="AN7" s="566">
        <v>9694500</v>
      </c>
      <c r="AO7" s="567">
        <v>6440100</v>
      </c>
      <c r="AP7" s="565">
        <v>5274900</v>
      </c>
      <c r="AQ7" s="566">
        <v>4198800</v>
      </c>
      <c r="AR7" s="566">
        <v>4836600</v>
      </c>
      <c r="AS7" s="566">
        <v>5720700</v>
      </c>
      <c r="AT7" s="566">
        <v>6161700</v>
      </c>
      <c r="AU7" s="566">
        <v>8951100</v>
      </c>
      <c r="AV7" s="566">
        <v>6265500</v>
      </c>
      <c r="AW7" s="566">
        <v>5333400</v>
      </c>
      <c r="AX7" s="566">
        <v>5406500</v>
      </c>
      <c r="AY7" s="566">
        <v>5037600</v>
      </c>
      <c r="AZ7" s="566">
        <v>4804200</v>
      </c>
      <c r="BA7" s="567">
        <v>5368800</v>
      </c>
      <c r="BB7" s="565">
        <v>5731500</v>
      </c>
      <c r="BC7" s="566">
        <v>5214300</v>
      </c>
      <c r="BD7" s="566">
        <v>5680500</v>
      </c>
      <c r="BE7" s="566">
        <v>5153400</v>
      </c>
      <c r="BF7" s="566">
        <v>5510700</v>
      </c>
      <c r="BG7" s="566">
        <v>4955700</v>
      </c>
      <c r="BH7" s="566">
        <v>5295300</v>
      </c>
      <c r="BI7" s="566">
        <v>4558500</v>
      </c>
      <c r="BJ7" s="566">
        <v>3520800</v>
      </c>
      <c r="BK7" s="566">
        <v>3988200</v>
      </c>
      <c r="BL7" s="566">
        <v>4724700</v>
      </c>
      <c r="BM7" s="567">
        <v>4279500</v>
      </c>
      <c r="BN7" s="565">
        <v>3720600</v>
      </c>
      <c r="BO7" s="566">
        <v>3105790</v>
      </c>
      <c r="BP7" s="566">
        <v>3459570</v>
      </c>
      <c r="BQ7" s="566">
        <v>5239410</v>
      </c>
      <c r="BR7" s="566">
        <v>5750890</v>
      </c>
      <c r="BS7" s="566">
        <v>6146670</v>
      </c>
      <c r="BT7" s="566">
        <v>5064070</v>
      </c>
      <c r="BU7" s="566">
        <v>4373790</v>
      </c>
      <c r="BV7" s="566">
        <v>3621210</v>
      </c>
      <c r="BW7" s="566">
        <v>3791380</v>
      </c>
      <c r="BX7" s="566">
        <v>3795230</v>
      </c>
      <c r="BY7" s="567">
        <v>3062530</v>
      </c>
      <c r="BZ7" s="565">
        <v>2951030</v>
      </c>
      <c r="CA7" s="566">
        <v>2785060</v>
      </c>
      <c r="CB7" s="566">
        <v>4088540</v>
      </c>
      <c r="CC7" s="566">
        <v>4648720</v>
      </c>
      <c r="CD7" s="566">
        <v>6029480</v>
      </c>
      <c r="CE7" s="566">
        <v>6744790</v>
      </c>
      <c r="CF7" s="566">
        <v>6166170</v>
      </c>
      <c r="CG7" s="566">
        <v>5605620</v>
      </c>
      <c r="CH7" s="566">
        <v>4601080</v>
      </c>
      <c r="CI7" s="566">
        <v>4601080</v>
      </c>
      <c r="CJ7" s="566">
        <v>6787100</v>
      </c>
      <c r="CK7" s="567">
        <v>7029830</v>
      </c>
      <c r="CL7" s="565">
        <v>6329990</v>
      </c>
      <c r="CM7" s="566">
        <v>6068320</v>
      </c>
      <c r="CN7" s="566">
        <v>6295650</v>
      </c>
      <c r="CO7" s="566">
        <v>5179580</v>
      </c>
      <c r="CP7" s="566">
        <v>5917800</v>
      </c>
      <c r="CQ7" s="566">
        <v>6531360</v>
      </c>
      <c r="CR7" s="566">
        <v>6837620</v>
      </c>
      <c r="CS7" s="566">
        <v>6767730</v>
      </c>
      <c r="CT7" s="566">
        <v>5945750</v>
      </c>
      <c r="CU7" s="566">
        <v>4924770</v>
      </c>
      <c r="CV7" s="566">
        <v>4619530</v>
      </c>
      <c r="CW7" s="567">
        <v>3829100</v>
      </c>
      <c r="CX7" s="565">
        <v>3074880</v>
      </c>
      <c r="CY7" s="566">
        <v>4694960</v>
      </c>
      <c r="CZ7" s="566">
        <v>3378400</v>
      </c>
      <c r="DA7" s="566">
        <v>6063930</v>
      </c>
      <c r="DB7" s="566">
        <v>5941970</v>
      </c>
      <c r="DC7" s="566">
        <v>5856250</v>
      </c>
      <c r="DD7" s="566">
        <v>4574580</v>
      </c>
      <c r="DE7" s="566">
        <v>6338990</v>
      </c>
      <c r="DF7" s="566">
        <v>5678400</v>
      </c>
      <c r="DG7" s="566">
        <v>4711370</v>
      </c>
      <c r="DH7" s="566">
        <v>5180010</v>
      </c>
      <c r="DI7" s="567">
        <v>4690670</v>
      </c>
      <c r="DJ7" s="565">
        <v>4408700</v>
      </c>
      <c r="DK7" s="566">
        <v>3835900</v>
      </c>
      <c r="DL7" s="566">
        <v>4063590</v>
      </c>
      <c r="DM7" s="566">
        <v>2084210</v>
      </c>
      <c r="DN7" s="566">
        <v>2471850</v>
      </c>
      <c r="DO7" s="566">
        <v>5232600</v>
      </c>
      <c r="DP7" s="566">
        <v>4511500</v>
      </c>
      <c r="DQ7" s="566">
        <v>2511170</v>
      </c>
      <c r="DR7" s="566">
        <v>2480680</v>
      </c>
      <c r="DS7" s="566">
        <v>2448129</v>
      </c>
      <c r="DT7" s="566">
        <v>4521060</v>
      </c>
      <c r="DU7" s="567">
        <v>4475160</v>
      </c>
      <c r="DV7" s="569">
        <v>6139120</v>
      </c>
      <c r="DW7" s="569">
        <v>4518010</v>
      </c>
      <c r="DX7" s="569">
        <v>1534690</v>
      </c>
      <c r="DY7" s="569">
        <v>1510990</v>
      </c>
      <c r="DZ7" s="569">
        <v>6163460</v>
      </c>
      <c r="EA7" s="569">
        <v>5481160</v>
      </c>
      <c r="EB7" s="569">
        <v>4805020</v>
      </c>
      <c r="EC7" s="569">
        <v>4239500</v>
      </c>
      <c r="ED7" s="569">
        <v>3886900</v>
      </c>
      <c r="EE7" s="569">
        <v>3277390</v>
      </c>
      <c r="EF7" s="569">
        <v>3364450</v>
      </c>
      <c r="EG7" s="569">
        <v>4034880</v>
      </c>
      <c r="EH7" s="569">
        <v>2548660</v>
      </c>
      <c r="EI7" s="569">
        <v>0</v>
      </c>
      <c r="EJ7" s="569">
        <v>0</v>
      </c>
      <c r="EK7" s="569">
        <v>0</v>
      </c>
      <c r="EL7" s="569">
        <v>0</v>
      </c>
      <c r="EM7" s="569">
        <v>0</v>
      </c>
      <c r="EN7" s="570"/>
      <c r="EO7" s="570"/>
      <c r="EP7" s="570"/>
      <c r="EQ7" s="570"/>
      <c r="ER7" s="570"/>
      <c r="ES7" s="570"/>
      <c r="ET7" s="569">
        <v>0</v>
      </c>
      <c r="EU7" s="569">
        <v>671210</v>
      </c>
      <c r="EV7" s="569">
        <v>3778090</v>
      </c>
      <c r="EW7" s="569">
        <v>3981070</v>
      </c>
      <c r="EX7" s="569">
        <v>6225860</v>
      </c>
      <c r="EY7" s="569">
        <v>2376500</v>
      </c>
      <c r="EZ7" s="569">
        <v>2749110</v>
      </c>
      <c r="FA7" s="569">
        <v>2698390</v>
      </c>
      <c r="FB7" s="569">
        <v>2304250</v>
      </c>
      <c r="FC7" s="569">
        <v>1221140</v>
      </c>
      <c r="FD7" s="569">
        <v>2817870</v>
      </c>
      <c r="FE7" s="569">
        <v>3071030</v>
      </c>
      <c r="FF7" s="570"/>
      <c r="FG7" s="570"/>
      <c r="FH7" s="570"/>
      <c r="FI7" s="571"/>
      <c r="FJ7" s="571"/>
      <c r="FK7" s="571"/>
      <c r="FL7" s="571"/>
      <c r="FM7" s="571"/>
      <c r="FN7" s="571"/>
      <c r="FO7" s="571"/>
      <c r="FP7" s="571"/>
      <c r="FQ7" s="571"/>
      <c r="FR7" s="571"/>
      <c r="FS7" s="571"/>
      <c r="FT7" s="571"/>
      <c r="FU7" s="571"/>
      <c r="FV7" s="571"/>
      <c r="FW7" s="571"/>
      <c r="FX7" s="571"/>
      <c r="FY7" s="571"/>
      <c r="FZ7" s="571"/>
      <c r="GA7" s="571"/>
      <c r="GB7" s="571"/>
      <c r="GC7" s="571"/>
    </row>
    <row r="8" spans="4:185" x14ac:dyDescent="0.2">
      <c r="D8" s="551"/>
      <c r="E8" s="551" t="s">
        <v>471</v>
      </c>
      <c r="F8" s="565">
        <v>23735000</v>
      </c>
      <c r="G8" s="566">
        <v>21422000</v>
      </c>
      <c r="H8" s="566">
        <v>25354000</v>
      </c>
      <c r="I8" s="566">
        <v>28584000</v>
      </c>
      <c r="J8" s="566">
        <v>39186000</v>
      </c>
      <c r="K8" s="566">
        <v>31817000</v>
      </c>
      <c r="L8" s="566">
        <v>26670000</v>
      </c>
      <c r="M8" s="566">
        <v>25052000</v>
      </c>
      <c r="N8" s="566">
        <v>19771000</v>
      </c>
      <c r="O8" s="566">
        <v>19591000</v>
      </c>
      <c r="P8" s="566">
        <v>20152000</v>
      </c>
      <c r="Q8" s="566">
        <v>23168000</v>
      </c>
      <c r="R8" s="565">
        <v>30895000</v>
      </c>
      <c r="S8" s="566">
        <v>27981000</v>
      </c>
      <c r="T8" s="566">
        <v>21571000</v>
      </c>
      <c r="U8" s="566">
        <v>20293000</v>
      </c>
      <c r="V8" s="566">
        <v>24316000</v>
      </c>
      <c r="W8" s="566">
        <v>21205000</v>
      </c>
      <c r="X8" s="566">
        <v>19571000</v>
      </c>
      <c r="Y8" s="566">
        <v>15741000</v>
      </c>
      <c r="Z8" s="566">
        <v>16530000</v>
      </c>
      <c r="AA8" s="566">
        <v>16597000</v>
      </c>
      <c r="AB8" s="566">
        <v>15575000</v>
      </c>
      <c r="AC8" s="566">
        <v>14831000</v>
      </c>
      <c r="AD8" s="565">
        <v>2820050</v>
      </c>
      <c r="AE8" s="566">
        <v>2186800</v>
      </c>
      <c r="AF8" s="566">
        <v>2488600</v>
      </c>
      <c r="AG8" s="566">
        <v>1564350</v>
      </c>
      <c r="AH8" s="566">
        <v>1447550</v>
      </c>
      <c r="AI8" s="566">
        <v>2034550</v>
      </c>
      <c r="AJ8" s="566">
        <v>2059900</v>
      </c>
      <c r="AK8" s="566">
        <v>2223450</v>
      </c>
      <c r="AL8" s="566">
        <v>2237500</v>
      </c>
      <c r="AM8" s="566">
        <v>2536650</v>
      </c>
      <c r="AN8" s="566">
        <v>2095450</v>
      </c>
      <c r="AO8" s="567">
        <v>2068950</v>
      </c>
      <c r="AP8" s="565">
        <v>2333550</v>
      </c>
      <c r="AQ8" s="566">
        <v>2490350</v>
      </c>
      <c r="AR8" s="566">
        <v>2995400</v>
      </c>
      <c r="AS8" s="566">
        <v>2732350</v>
      </c>
      <c r="AT8" s="566">
        <v>2933350</v>
      </c>
      <c r="AU8" s="566">
        <v>2875600</v>
      </c>
      <c r="AV8" s="566">
        <v>2978850</v>
      </c>
      <c r="AW8" s="566">
        <v>2986700</v>
      </c>
      <c r="AX8" s="566">
        <v>2823650</v>
      </c>
      <c r="AY8" s="566">
        <v>2964200</v>
      </c>
      <c r="AZ8" s="566">
        <v>2968100</v>
      </c>
      <c r="BA8" s="567">
        <v>4489600</v>
      </c>
      <c r="BB8" s="565">
        <v>2948100</v>
      </c>
      <c r="BC8" s="566">
        <v>2498600</v>
      </c>
      <c r="BD8" s="566">
        <v>2794250</v>
      </c>
      <c r="BE8" s="566">
        <v>2543000</v>
      </c>
      <c r="BF8" s="566">
        <v>2737000</v>
      </c>
      <c r="BG8" s="566">
        <v>2666000</v>
      </c>
      <c r="BH8" s="566">
        <v>2442650</v>
      </c>
      <c r="BI8" s="566">
        <v>2028550</v>
      </c>
      <c r="BJ8" s="566">
        <v>1860750</v>
      </c>
      <c r="BK8" s="566">
        <v>2067450</v>
      </c>
      <c r="BL8" s="566">
        <v>2033500</v>
      </c>
      <c r="BM8" s="567">
        <v>2104000</v>
      </c>
      <c r="BN8" s="565">
        <v>2065550</v>
      </c>
      <c r="BO8" s="566">
        <v>1845950</v>
      </c>
      <c r="BP8" s="566">
        <v>1990050</v>
      </c>
      <c r="BQ8" s="566">
        <v>1896450</v>
      </c>
      <c r="BR8" s="566">
        <v>1979800</v>
      </c>
      <c r="BS8" s="566">
        <v>1922400</v>
      </c>
      <c r="BT8" s="566">
        <v>1997400</v>
      </c>
      <c r="BU8" s="566">
        <v>1917750</v>
      </c>
      <c r="BV8" s="566">
        <v>1900700</v>
      </c>
      <c r="BW8" s="566">
        <v>1973850</v>
      </c>
      <c r="BX8" s="566">
        <v>1864900</v>
      </c>
      <c r="BY8" s="567">
        <v>1845150</v>
      </c>
      <c r="BZ8" s="565">
        <v>1878550</v>
      </c>
      <c r="CA8" s="566">
        <v>1661200</v>
      </c>
      <c r="CB8" s="566">
        <v>1145150</v>
      </c>
      <c r="CC8" s="566">
        <v>1351050</v>
      </c>
      <c r="CD8" s="566">
        <v>1371950</v>
      </c>
      <c r="CE8" s="566">
        <v>1494850</v>
      </c>
      <c r="CF8" s="566">
        <v>1573950</v>
      </c>
      <c r="CG8" s="566">
        <v>2286900</v>
      </c>
      <c r="CH8" s="566">
        <v>2448150</v>
      </c>
      <c r="CI8" s="566">
        <v>2689600</v>
      </c>
      <c r="CJ8" s="566">
        <v>2362300</v>
      </c>
      <c r="CK8" s="567">
        <v>1992850</v>
      </c>
      <c r="CL8" s="565">
        <v>1635800</v>
      </c>
      <c r="CM8" s="566">
        <v>2220350</v>
      </c>
      <c r="CN8" s="566">
        <v>2371950</v>
      </c>
      <c r="CO8" s="566">
        <v>2391100</v>
      </c>
      <c r="CP8" s="566">
        <v>2478400</v>
      </c>
      <c r="CQ8" s="566">
        <v>2434250</v>
      </c>
      <c r="CR8" s="566">
        <v>2450150</v>
      </c>
      <c r="CS8" s="566">
        <v>2136700</v>
      </c>
      <c r="CT8" s="566">
        <v>2395650</v>
      </c>
      <c r="CU8" s="566">
        <v>2275250</v>
      </c>
      <c r="CV8" s="566">
        <v>2446150</v>
      </c>
      <c r="CW8" s="567">
        <v>1832500</v>
      </c>
      <c r="CX8" s="565">
        <v>1827950</v>
      </c>
      <c r="CY8" s="566">
        <v>2215800</v>
      </c>
      <c r="CZ8" s="566">
        <v>1768600</v>
      </c>
      <c r="DA8" s="566">
        <v>1687250</v>
      </c>
      <c r="DB8" s="566">
        <v>1968100</v>
      </c>
      <c r="DC8" s="566">
        <v>1816850</v>
      </c>
      <c r="DD8" s="566">
        <v>1994600</v>
      </c>
      <c r="DE8" s="566">
        <v>1909100</v>
      </c>
      <c r="DF8" s="566">
        <v>2451300</v>
      </c>
      <c r="DG8" s="566">
        <v>2589150</v>
      </c>
      <c r="DH8" s="566">
        <v>2472300</v>
      </c>
      <c r="DI8" s="567">
        <v>2360650</v>
      </c>
      <c r="DJ8" s="565">
        <v>2546400</v>
      </c>
      <c r="DK8" s="566">
        <v>2393450</v>
      </c>
      <c r="DL8" s="566">
        <v>3129800</v>
      </c>
      <c r="DM8" s="566">
        <v>3832700</v>
      </c>
      <c r="DN8" s="566">
        <v>3077900</v>
      </c>
      <c r="DO8" s="566">
        <v>2506750</v>
      </c>
      <c r="DP8" s="566">
        <v>2659650</v>
      </c>
      <c r="DQ8" s="566">
        <v>2624550</v>
      </c>
      <c r="DR8" s="566">
        <v>2467050</v>
      </c>
      <c r="DS8" s="566">
        <v>2587750</v>
      </c>
      <c r="DT8" s="566">
        <v>2502750</v>
      </c>
      <c r="DU8" s="567">
        <v>2552200</v>
      </c>
      <c r="DV8" s="569">
        <v>29650500</v>
      </c>
      <c r="DW8" s="569">
        <v>10361700</v>
      </c>
      <c r="DX8" s="569">
        <v>11806400</v>
      </c>
      <c r="DY8" s="569">
        <v>21215400</v>
      </c>
      <c r="DZ8" s="569">
        <v>36122100</v>
      </c>
      <c r="EA8" s="569">
        <v>22780200</v>
      </c>
      <c r="EB8" s="569">
        <v>14646200</v>
      </c>
      <c r="EC8" s="569">
        <v>13234700</v>
      </c>
      <c r="ED8" s="569">
        <v>12413000</v>
      </c>
      <c r="EE8" s="569">
        <v>11233600</v>
      </c>
      <c r="EF8" s="569">
        <v>11435700</v>
      </c>
      <c r="EG8" s="569">
        <v>13036600</v>
      </c>
      <c r="EH8" s="569">
        <v>13766200</v>
      </c>
      <c r="EI8" s="569">
        <v>12287000</v>
      </c>
      <c r="EJ8" s="569">
        <v>15200900</v>
      </c>
      <c r="EK8" s="569">
        <v>22945700</v>
      </c>
      <c r="EL8" s="569">
        <v>25307100</v>
      </c>
      <c r="EM8" s="569">
        <v>16947300</v>
      </c>
      <c r="EN8" s="570"/>
      <c r="EO8" s="570"/>
      <c r="EP8" s="570"/>
      <c r="EQ8" s="570"/>
      <c r="ER8" s="570"/>
      <c r="ES8" s="570"/>
      <c r="ET8" s="569">
        <v>28921800</v>
      </c>
      <c r="EU8" s="569">
        <v>8661900</v>
      </c>
      <c r="EV8" s="569">
        <v>11630800</v>
      </c>
      <c r="EW8" s="569">
        <v>12119900</v>
      </c>
      <c r="EX8" s="569">
        <v>20433690</v>
      </c>
      <c r="EY8" s="569">
        <v>11683250</v>
      </c>
      <c r="EZ8" s="569">
        <v>121330</v>
      </c>
      <c r="FA8" s="569">
        <v>9058310</v>
      </c>
      <c r="FB8" s="569">
        <v>8543400</v>
      </c>
      <c r="FC8" s="569">
        <v>1801150</v>
      </c>
      <c r="FD8" s="569">
        <v>1725650</v>
      </c>
      <c r="FE8" s="569">
        <v>1845600</v>
      </c>
      <c r="FF8" s="570"/>
      <c r="FG8" s="570"/>
      <c r="FH8" s="570"/>
      <c r="FI8" s="571"/>
      <c r="FJ8" s="571"/>
      <c r="FK8" s="571"/>
      <c r="FL8" s="571"/>
      <c r="FM8" s="571"/>
      <c r="FN8" s="571"/>
      <c r="FO8" s="571"/>
      <c r="FP8" s="571"/>
      <c r="FQ8" s="571"/>
      <c r="FR8" s="571"/>
      <c r="FS8" s="571"/>
      <c r="FT8" s="571"/>
      <c r="FU8" s="571"/>
      <c r="FV8" s="571"/>
      <c r="FW8" s="571"/>
      <c r="FX8" s="571"/>
      <c r="FY8" s="571"/>
      <c r="FZ8" s="571"/>
      <c r="GA8" s="571"/>
      <c r="GB8" s="571"/>
      <c r="GC8" s="571"/>
    </row>
    <row r="9" spans="4:185" x14ac:dyDescent="0.2">
      <c r="D9" s="551"/>
      <c r="E9" s="551" t="s">
        <v>460</v>
      </c>
      <c r="F9" s="565">
        <v>4284800</v>
      </c>
      <c r="G9" s="566">
        <v>4111950</v>
      </c>
      <c r="H9" s="566">
        <v>4231850</v>
      </c>
      <c r="I9" s="566">
        <v>4011100</v>
      </c>
      <c r="J9" s="566">
        <v>3026650</v>
      </c>
      <c r="K9" s="566">
        <v>2814700</v>
      </c>
      <c r="L9" s="566">
        <v>2940050</v>
      </c>
      <c r="M9" s="566">
        <v>2898500</v>
      </c>
      <c r="N9" s="566">
        <v>2793400</v>
      </c>
      <c r="O9" s="566">
        <v>2825900</v>
      </c>
      <c r="P9" s="566">
        <v>2787850</v>
      </c>
      <c r="Q9" s="566">
        <v>2703550</v>
      </c>
      <c r="R9" s="565">
        <v>2681000</v>
      </c>
      <c r="S9" s="566">
        <v>2419200</v>
      </c>
      <c r="T9" s="566">
        <v>2244250</v>
      </c>
      <c r="U9" s="566">
        <v>2229550</v>
      </c>
      <c r="V9" s="566">
        <v>1652600</v>
      </c>
      <c r="W9" s="566">
        <v>1302200</v>
      </c>
      <c r="X9" s="566">
        <v>2160850</v>
      </c>
      <c r="Y9" s="566">
        <v>2461200</v>
      </c>
      <c r="Z9" s="566">
        <v>2845850</v>
      </c>
      <c r="AA9" s="566">
        <v>2908850</v>
      </c>
      <c r="AB9" s="566">
        <v>2761850</v>
      </c>
      <c r="AC9" s="566">
        <v>2825800</v>
      </c>
      <c r="AD9" s="565">
        <v>16464000</v>
      </c>
      <c r="AE9" s="566">
        <v>14873000</v>
      </c>
      <c r="AF9" s="566">
        <v>19906000</v>
      </c>
      <c r="AG9" s="566">
        <v>24247000</v>
      </c>
      <c r="AH9" s="566">
        <v>17273000</v>
      </c>
      <c r="AI9" s="566">
        <v>14237000</v>
      </c>
      <c r="AJ9" s="566">
        <v>13605000</v>
      </c>
      <c r="AK9" s="566">
        <v>15929000</v>
      </c>
      <c r="AL9" s="566">
        <v>18173000</v>
      </c>
      <c r="AM9" s="566">
        <v>20403000</v>
      </c>
      <c r="AN9" s="566">
        <v>34198000</v>
      </c>
      <c r="AO9" s="567">
        <v>21765000</v>
      </c>
      <c r="AP9" s="565">
        <v>19952000</v>
      </c>
      <c r="AQ9" s="566">
        <v>13262000</v>
      </c>
      <c r="AR9" s="566">
        <v>15265000</v>
      </c>
      <c r="AS9" s="566">
        <v>17674000</v>
      </c>
      <c r="AT9" s="566">
        <v>19934000</v>
      </c>
      <c r="AU9" s="566">
        <v>29403000</v>
      </c>
      <c r="AV9" s="566">
        <v>21657000</v>
      </c>
      <c r="AW9" s="566">
        <v>19214000</v>
      </c>
      <c r="AX9" s="566">
        <v>16779000</v>
      </c>
      <c r="AY9" s="566">
        <v>16973000</v>
      </c>
      <c r="AZ9" s="566">
        <v>15545000</v>
      </c>
      <c r="BA9" s="567">
        <v>16541000</v>
      </c>
      <c r="BB9" s="565">
        <v>18821000</v>
      </c>
      <c r="BC9" s="566">
        <v>18359000</v>
      </c>
      <c r="BD9" s="566">
        <v>20106000</v>
      </c>
      <c r="BE9" s="566">
        <v>28452000</v>
      </c>
      <c r="BF9" s="566">
        <v>21773000</v>
      </c>
      <c r="BG9" s="566">
        <v>17293000</v>
      </c>
      <c r="BH9" s="566">
        <v>19561000</v>
      </c>
      <c r="BI9" s="566">
        <v>13609000</v>
      </c>
      <c r="BJ9" s="566">
        <v>11044000</v>
      </c>
      <c r="BK9" s="566">
        <v>14403000</v>
      </c>
      <c r="BL9" s="566">
        <v>14491000</v>
      </c>
      <c r="BM9" s="567">
        <v>12978000</v>
      </c>
      <c r="BN9" s="565">
        <v>11252000</v>
      </c>
      <c r="BO9" s="566">
        <v>10759000</v>
      </c>
      <c r="BP9" s="566">
        <v>15290400</v>
      </c>
      <c r="BQ9" s="566">
        <v>17951300</v>
      </c>
      <c r="BR9" s="566">
        <v>23064900</v>
      </c>
      <c r="BS9" s="566">
        <v>19981700</v>
      </c>
      <c r="BT9" s="566">
        <v>14672600</v>
      </c>
      <c r="BU9" s="566">
        <v>13058500</v>
      </c>
      <c r="BV9" s="566">
        <v>11199000</v>
      </c>
      <c r="BW9" s="566">
        <v>11745300</v>
      </c>
      <c r="BX9" s="566">
        <v>11660700</v>
      </c>
      <c r="BY9" s="567">
        <v>9989200</v>
      </c>
      <c r="BZ9" s="565">
        <v>9840600</v>
      </c>
      <c r="CA9" s="566">
        <v>9209500</v>
      </c>
      <c r="CB9" s="566">
        <v>12398800</v>
      </c>
      <c r="CC9" s="566">
        <v>14154200</v>
      </c>
      <c r="CD9" s="566">
        <v>33917200</v>
      </c>
      <c r="CE9" s="566">
        <v>24416700</v>
      </c>
      <c r="CF9" s="566">
        <v>17929000</v>
      </c>
      <c r="CG9" s="566">
        <v>15968900</v>
      </c>
      <c r="CH9" s="566">
        <v>13366600</v>
      </c>
      <c r="CI9" s="566">
        <v>30279300</v>
      </c>
      <c r="CJ9" s="566">
        <v>41863100</v>
      </c>
      <c r="CK9" s="567">
        <v>42912500</v>
      </c>
      <c r="CL9" s="565">
        <v>45818100</v>
      </c>
      <c r="CM9" s="566">
        <v>29563500</v>
      </c>
      <c r="CN9" s="566">
        <v>20331200</v>
      </c>
      <c r="CO9" s="566">
        <v>21959900</v>
      </c>
      <c r="CP9" s="566">
        <v>40781000</v>
      </c>
      <c r="CQ9" s="566">
        <v>39889400</v>
      </c>
      <c r="CR9" s="566">
        <v>24283600</v>
      </c>
      <c r="CS9" s="566">
        <v>26756700</v>
      </c>
      <c r="CT9" s="566">
        <v>18606500</v>
      </c>
      <c r="CU9" s="566">
        <v>15168800</v>
      </c>
      <c r="CV9" s="566">
        <v>14241600</v>
      </c>
      <c r="CW9" s="567">
        <v>12061000</v>
      </c>
      <c r="CX9" s="565">
        <v>10448500</v>
      </c>
      <c r="CY9" s="566">
        <v>14780300</v>
      </c>
      <c r="CZ9" s="566">
        <v>13576600</v>
      </c>
      <c r="DA9" s="566">
        <v>32945000</v>
      </c>
      <c r="DB9" s="566">
        <v>39850100</v>
      </c>
      <c r="DC9" s="566">
        <v>35242500</v>
      </c>
      <c r="DD9" s="566">
        <v>29963700</v>
      </c>
      <c r="DE9" s="566">
        <v>24063000</v>
      </c>
      <c r="DF9" s="566">
        <v>17254800</v>
      </c>
      <c r="DG9" s="566">
        <v>14664700</v>
      </c>
      <c r="DH9" s="566">
        <v>15045900</v>
      </c>
      <c r="DI9" s="567">
        <v>14156700</v>
      </c>
      <c r="DJ9" s="565">
        <v>14108200</v>
      </c>
      <c r="DK9" s="566">
        <v>13569100</v>
      </c>
      <c r="DL9" s="566">
        <v>13569400</v>
      </c>
      <c r="DM9" s="566">
        <v>16447400</v>
      </c>
      <c r="DN9" s="566">
        <v>18788600</v>
      </c>
      <c r="DO9" s="566">
        <v>8006900</v>
      </c>
      <c r="DP9" s="566">
        <v>13637300</v>
      </c>
      <c r="DQ9" s="566">
        <v>13143700</v>
      </c>
      <c r="DR9" s="566">
        <v>11692700</v>
      </c>
      <c r="DS9" s="566">
        <v>13168700</v>
      </c>
      <c r="DT9" s="566">
        <v>14405900</v>
      </c>
      <c r="DU9" s="567">
        <v>16147600</v>
      </c>
      <c r="DV9" s="569">
        <v>2604200</v>
      </c>
      <c r="DW9" s="569">
        <v>2325800</v>
      </c>
      <c r="DX9" s="569">
        <v>2301200</v>
      </c>
      <c r="DY9" s="569">
        <v>2316550</v>
      </c>
      <c r="DZ9" s="569">
        <v>2561850</v>
      </c>
      <c r="EA9" s="569">
        <v>2452300</v>
      </c>
      <c r="EB9" s="569">
        <v>2525150</v>
      </c>
      <c r="EC9" s="569">
        <v>2540250</v>
      </c>
      <c r="ED9" s="569">
        <v>2540250</v>
      </c>
      <c r="EE9" s="569">
        <v>2515100</v>
      </c>
      <c r="EF9" s="569">
        <v>2483000</v>
      </c>
      <c r="EG9" s="569">
        <v>3000900</v>
      </c>
      <c r="EH9" s="569">
        <v>3275050</v>
      </c>
      <c r="EI9" s="569">
        <v>2927550</v>
      </c>
      <c r="EJ9" s="569">
        <v>2923650</v>
      </c>
      <c r="EK9" s="569">
        <v>2451000</v>
      </c>
      <c r="EL9" s="569">
        <v>2563400</v>
      </c>
      <c r="EM9" s="569">
        <v>2492750</v>
      </c>
      <c r="EN9" s="570"/>
      <c r="EO9" s="570"/>
      <c r="EP9" s="570"/>
      <c r="EQ9" s="570"/>
      <c r="ER9" s="570"/>
      <c r="ES9" s="570"/>
      <c r="ET9" s="569">
        <v>1942150</v>
      </c>
      <c r="EU9" s="569">
        <v>1782550</v>
      </c>
      <c r="EV9" s="569">
        <v>1765200</v>
      </c>
      <c r="EW9" s="569">
        <v>1756950</v>
      </c>
      <c r="EX9" s="569">
        <v>1820200</v>
      </c>
      <c r="EY9" s="569">
        <v>1714100</v>
      </c>
      <c r="EZ9" s="569">
        <v>1809950</v>
      </c>
      <c r="FA9" s="569">
        <v>1855500</v>
      </c>
      <c r="FB9" s="569">
        <v>1716800</v>
      </c>
      <c r="FC9" s="569">
        <v>7835830</v>
      </c>
      <c r="FD9" s="569">
        <v>9447260</v>
      </c>
      <c r="FE9" s="569">
        <v>9979350</v>
      </c>
      <c r="FF9" s="570"/>
      <c r="FG9" s="570"/>
      <c r="FH9" s="570"/>
      <c r="FI9" s="571"/>
      <c r="FJ9" s="571"/>
      <c r="FK9" s="571"/>
      <c r="FL9" s="571"/>
      <c r="FM9" s="571"/>
      <c r="FN9" s="571"/>
      <c r="FO9" s="571"/>
      <c r="FP9" s="571"/>
      <c r="FQ9" s="571"/>
      <c r="FR9" s="571"/>
      <c r="FS9" s="571"/>
      <c r="FT9" s="571"/>
      <c r="FU9" s="571"/>
      <c r="FV9" s="571"/>
      <c r="FW9" s="571"/>
      <c r="FX9" s="571"/>
      <c r="FY9" s="571"/>
      <c r="FZ9" s="571"/>
      <c r="GA9" s="571"/>
      <c r="GB9" s="571"/>
      <c r="GC9" s="571"/>
    </row>
    <row r="10" spans="4:185" x14ac:dyDescent="0.2">
      <c r="D10" s="560"/>
      <c r="E10" s="551" t="s">
        <v>461</v>
      </c>
      <c r="F10" s="566"/>
      <c r="G10" s="566"/>
      <c r="H10" s="566"/>
      <c r="I10" s="566"/>
      <c r="J10" s="566"/>
      <c r="K10" s="566"/>
      <c r="L10" s="566"/>
      <c r="M10" s="566"/>
      <c r="N10" s="566"/>
      <c r="O10" s="566"/>
      <c r="P10" s="566"/>
      <c r="Q10" s="566"/>
      <c r="R10" s="566"/>
      <c r="S10" s="566"/>
      <c r="T10" s="566"/>
      <c r="U10" s="566"/>
      <c r="V10" s="566"/>
      <c r="W10" s="566"/>
      <c r="X10" s="566"/>
      <c r="Y10" s="566"/>
      <c r="Z10" s="566"/>
      <c r="AA10" s="566"/>
      <c r="AB10" s="566"/>
      <c r="AC10" s="566"/>
      <c r="AD10" s="566"/>
      <c r="AE10" s="566"/>
      <c r="AF10" s="566"/>
      <c r="AG10" s="566"/>
      <c r="AH10" s="566"/>
      <c r="AI10" s="566"/>
      <c r="AJ10" s="566"/>
      <c r="AK10" s="566"/>
      <c r="AL10" s="566"/>
      <c r="AM10" s="566"/>
      <c r="AN10" s="566"/>
      <c r="AO10" s="566"/>
      <c r="AP10" s="566"/>
      <c r="AQ10" s="566"/>
      <c r="AR10" s="566"/>
      <c r="AS10" s="566"/>
      <c r="AT10" s="566"/>
      <c r="AU10" s="566"/>
      <c r="AV10" s="566"/>
      <c r="AW10" s="566"/>
      <c r="AX10" s="566"/>
      <c r="AY10" s="566"/>
      <c r="AZ10" s="566"/>
      <c r="BA10" s="566"/>
      <c r="BB10" s="566"/>
      <c r="BC10" s="566"/>
      <c r="BD10" s="566"/>
      <c r="BE10" s="566"/>
      <c r="BF10" s="566"/>
      <c r="BG10" s="566"/>
      <c r="BH10" s="566"/>
      <c r="BI10" s="566"/>
      <c r="BJ10" s="566"/>
      <c r="BK10" s="566"/>
      <c r="BL10" s="566"/>
      <c r="BM10" s="566"/>
      <c r="BN10" s="566"/>
      <c r="BO10" s="566"/>
      <c r="BP10" s="566"/>
      <c r="BQ10" s="566"/>
      <c r="BR10" s="566"/>
      <c r="BS10" s="566"/>
      <c r="BT10" s="566"/>
      <c r="BU10" s="566"/>
      <c r="BV10" s="566"/>
      <c r="BW10" s="566"/>
      <c r="BX10" s="566"/>
      <c r="BY10" s="566"/>
      <c r="BZ10" s="566"/>
      <c r="CA10" s="566"/>
      <c r="CB10" s="566"/>
      <c r="CC10" s="566"/>
      <c r="CD10" s="566"/>
      <c r="CE10" s="566"/>
      <c r="CF10" s="566"/>
      <c r="CG10" s="566"/>
      <c r="CH10" s="566"/>
      <c r="CI10" s="566"/>
      <c r="CJ10" s="566"/>
      <c r="CK10" s="566"/>
      <c r="CL10" s="568">
        <v>369131</v>
      </c>
      <c r="CM10" s="568">
        <v>303773</v>
      </c>
      <c r="CN10" s="568">
        <v>306478</v>
      </c>
      <c r="CO10" s="568">
        <v>202631</v>
      </c>
      <c r="CP10" s="568">
        <v>255936</v>
      </c>
      <c r="CQ10" s="568">
        <v>285530</v>
      </c>
      <c r="CR10" s="568">
        <v>217181</v>
      </c>
      <c r="CS10" s="573">
        <v>193154</v>
      </c>
      <c r="CT10" s="568">
        <v>139297</v>
      </c>
      <c r="CU10" s="568">
        <v>113032</v>
      </c>
      <c r="CV10" s="568">
        <v>99723</v>
      </c>
      <c r="CW10" s="568">
        <v>213876</v>
      </c>
      <c r="CX10" s="565">
        <v>370750</v>
      </c>
      <c r="CY10" s="566">
        <v>351701</v>
      </c>
      <c r="CZ10" s="566">
        <v>381285</v>
      </c>
      <c r="DA10" s="566">
        <v>396230</v>
      </c>
      <c r="DB10" s="566">
        <v>347936</v>
      </c>
      <c r="DC10" s="566">
        <v>0</v>
      </c>
      <c r="DD10" s="566">
        <v>115018</v>
      </c>
      <c r="DE10" s="566">
        <v>216388</v>
      </c>
      <c r="DF10" s="566">
        <v>149095</v>
      </c>
      <c r="DG10" s="566">
        <v>121787</v>
      </c>
      <c r="DH10" s="566">
        <v>124459</v>
      </c>
      <c r="DI10" s="567">
        <v>291643</v>
      </c>
      <c r="DJ10" s="565">
        <v>397148</v>
      </c>
      <c r="DK10" s="566">
        <v>309030</v>
      </c>
      <c r="DL10" s="566">
        <v>329585</v>
      </c>
      <c r="DM10" s="566">
        <v>412050</v>
      </c>
      <c r="DN10" s="566">
        <v>401612</v>
      </c>
      <c r="DO10" s="566">
        <v>302298</v>
      </c>
      <c r="DP10" s="566">
        <v>246086</v>
      </c>
      <c r="DQ10" s="566">
        <v>169750</v>
      </c>
      <c r="DR10" s="566">
        <v>123196</v>
      </c>
      <c r="DS10" s="566">
        <v>302298</v>
      </c>
      <c r="DT10" s="566">
        <v>141203</v>
      </c>
      <c r="DU10" s="567">
        <v>159483</v>
      </c>
      <c r="DV10" s="569">
        <v>198786</v>
      </c>
      <c r="DW10" s="569">
        <v>47493</v>
      </c>
      <c r="DX10" s="569">
        <v>325393</v>
      </c>
      <c r="DY10" s="569">
        <v>435067</v>
      </c>
      <c r="DZ10" s="569">
        <v>436738</v>
      </c>
      <c r="EA10" s="569">
        <v>341553</v>
      </c>
      <c r="EB10" s="569">
        <v>278635</v>
      </c>
      <c r="EC10" s="569">
        <v>195094</v>
      </c>
      <c r="ED10" s="569">
        <v>157620</v>
      </c>
      <c r="EE10" s="569">
        <v>120760</v>
      </c>
      <c r="EF10" s="569">
        <v>85266</v>
      </c>
      <c r="EG10" s="569">
        <v>192509</v>
      </c>
      <c r="EH10" s="569">
        <v>230682</v>
      </c>
      <c r="EI10" s="569">
        <v>153454</v>
      </c>
      <c r="EJ10" s="569">
        <v>211704</v>
      </c>
      <c r="EK10" s="569">
        <v>134750</v>
      </c>
      <c r="EL10" s="569">
        <v>136943</v>
      </c>
      <c r="EM10" s="569">
        <v>131153</v>
      </c>
      <c r="EN10" s="570"/>
      <c r="EO10" s="570"/>
      <c r="EP10" s="570"/>
      <c r="EQ10" s="570"/>
      <c r="ER10" s="570"/>
      <c r="ES10" s="570"/>
      <c r="ET10" s="569">
        <v>224342</v>
      </c>
      <c r="EU10" s="569">
        <v>224342</v>
      </c>
      <c r="EV10" s="569">
        <v>224342</v>
      </c>
      <c r="EW10" s="569">
        <v>224342</v>
      </c>
      <c r="EX10" s="569">
        <v>224342</v>
      </c>
      <c r="EY10" s="569">
        <v>224342</v>
      </c>
      <c r="EZ10" s="569">
        <v>224342</v>
      </c>
      <c r="FA10" s="569">
        <v>224342</v>
      </c>
      <c r="FB10" s="569">
        <v>224342</v>
      </c>
      <c r="FC10" s="569">
        <v>224342</v>
      </c>
      <c r="FD10" s="569">
        <v>224342</v>
      </c>
      <c r="FE10" s="569">
        <v>224342</v>
      </c>
      <c r="FF10" s="570"/>
      <c r="FG10" s="570"/>
      <c r="FH10" s="570"/>
      <c r="FI10" s="571"/>
      <c r="FJ10" s="571"/>
      <c r="FK10" s="571"/>
      <c r="FL10" s="571"/>
      <c r="FM10" s="571"/>
      <c r="FN10" s="571"/>
      <c r="FO10" s="571"/>
      <c r="FP10" s="571"/>
      <c r="FQ10" s="571"/>
      <c r="FR10" s="571"/>
      <c r="FS10" s="571"/>
      <c r="FT10" s="571"/>
      <c r="FU10" s="571"/>
      <c r="FV10" s="571"/>
      <c r="FW10" s="571"/>
      <c r="FX10" s="571"/>
      <c r="FY10" s="571"/>
      <c r="FZ10" s="571"/>
      <c r="GA10" s="571"/>
      <c r="GB10" s="571"/>
      <c r="GC10" s="571"/>
    </row>
    <row r="11" spans="4:185" x14ac:dyDescent="0.2">
      <c r="D11" s="560"/>
      <c r="E11" s="551"/>
      <c r="F11" s="566"/>
      <c r="G11" s="566"/>
      <c r="H11" s="566"/>
      <c r="I11" s="566"/>
      <c r="J11" s="566"/>
      <c r="K11" s="566"/>
      <c r="L11" s="566"/>
      <c r="M11" s="566"/>
      <c r="N11" s="566"/>
      <c r="O11" s="566"/>
      <c r="P11" s="566"/>
      <c r="Q11" s="566"/>
      <c r="R11" s="566"/>
      <c r="S11" s="566"/>
      <c r="T11" s="566"/>
      <c r="U11" s="566"/>
      <c r="V11" s="566"/>
      <c r="W11" s="566"/>
      <c r="X11" s="566"/>
      <c r="Y11" s="566"/>
      <c r="Z11" s="566"/>
      <c r="AA11" s="566"/>
      <c r="AB11" s="566"/>
      <c r="AC11" s="566"/>
      <c r="AD11" s="566"/>
      <c r="AE11" s="566"/>
      <c r="AF11" s="566"/>
      <c r="AG11" s="566"/>
      <c r="AH11" s="566"/>
      <c r="AI11" s="566"/>
      <c r="AJ11" s="566"/>
      <c r="AK11" s="566"/>
      <c r="AL11" s="566"/>
      <c r="AM11" s="566"/>
      <c r="AN11" s="566"/>
      <c r="AO11" s="566"/>
      <c r="AP11" s="566"/>
      <c r="AQ11" s="566"/>
      <c r="AR11" s="566"/>
      <c r="AS11" s="566"/>
      <c r="AT11" s="566"/>
      <c r="AU11" s="566"/>
      <c r="AV11" s="566"/>
      <c r="AW11" s="566"/>
      <c r="AX11" s="566"/>
      <c r="AY11" s="566"/>
      <c r="AZ11" s="566"/>
      <c r="BA11" s="566"/>
      <c r="BB11" s="566"/>
      <c r="BC11" s="566"/>
      <c r="BD11" s="566"/>
      <c r="BE11" s="566"/>
      <c r="BF11" s="566"/>
      <c r="BG11" s="566"/>
      <c r="BH11" s="566"/>
      <c r="BI11" s="566"/>
      <c r="BJ11" s="566"/>
      <c r="BK11" s="566"/>
      <c r="BL11" s="566"/>
      <c r="BM11" s="566"/>
      <c r="BN11" s="566"/>
      <c r="BO11" s="566"/>
      <c r="BP11" s="566"/>
      <c r="BQ11" s="566"/>
      <c r="BR11" s="566"/>
      <c r="BS11" s="566"/>
      <c r="BT11" s="566"/>
      <c r="BU11" s="566"/>
      <c r="BV11" s="566"/>
      <c r="BW11" s="566"/>
      <c r="BX11" s="566"/>
      <c r="BY11" s="566"/>
      <c r="BZ11" s="566"/>
      <c r="CA11" s="566"/>
      <c r="CB11" s="566"/>
      <c r="CC11" s="566"/>
      <c r="CD11" s="566"/>
      <c r="CE11" s="566"/>
      <c r="CF11" s="566"/>
      <c r="CG11" s="566"/>
      <c r="CH11" s="566"/>
      <c r="CI11" s="566"/>
      <c r="CJ11" s="566"/>
      <c r="CK11" s="566"/>
      <c r="CL11" s="568"/>
      <c r="CM11" s="568"/>
      <c r="CN11" s="568"/>
      <c r="CO11" s="568"/>
      <c r="CP11" s="568"/>
      <c r="CQ11" s="568"/>
      <c r="CR11" s="568"/>
      <c r="CS11" s="573"/>
      <c r="CT11" s="568"/>
      <c r="CU11" s="568"/>
      <c r="CV11" s="568"/>
      <c r="CW11" s="568"/>
      <c r="CX11" s="565"/>
      <c r="CY11" s="566"/>
      <c r="CZ11" s="566"/>
      <c r="DA11" s="566"/>
      <c r="DB11" s="566"/>
      <c r="DC11" s="566"/>
      <c r="DD11" s="566"/>
      <c r="DE11" s="566"/>
      <c r="DF11" s="566"/>
      <c r="DG11" s="566"/>
      <c r="DH11" s="566"/>
      <c r="DI11" s="567"/>
      <c r="DJ11" s="565"/>
      <c r="DK11" s="566"/>
      <c r="DL11" s="566"/>
      <c r="DM11" s="566"/>
      <c r="DN11" s="566"/>
      <c r="DO11" s="566"/>
      <c r="DP11" s="566"/>
      <c r="DQ11" s="566"/>
      <c r="DR11" s="566"/>
      <c r="DS11" s="566"/>
      <c r="DT11" s="566"/>
      <c r="DU11" s="567"/>
      <c r="DV11" s="569"/>
      <c r="DW11" s="569"/>
      <c r="DX11" s="569"/>
      <c r="DY11" s="569"/>
      <c r="DZ11" s="569"/>
      <c r="EA11" s="569"/>
      <c r="EB11" s="569"/>
      <c r="EC11" s="569"/>
      <c r="ED11" s="569"/>
      <c r="EE11" s="569"/>
      <c r="EF11" s="569"/>
      <c r="EG11" s="569"/>
      <c r="EH11" s="569"/>
      <c r="EI11" s="569"/>
      <c r="EJ11" s="569"/>
      <c r="EK11" s="569"/>
      <c r="EL11" s="569"/>
      <c r="EM11" s="569"/>
      <c r="EN11" s="570"/>
      <c r="EO11" s="570"/>
      <c r="EP11" s="570"/>
      <c r="EQ11" s="570"/>
      <c r="ER11" s="570"/>
      <c r="ES11" s="570"/>
      <c r="ET11" s="569"/>
      <c r="EU11" s="569"/>
      <c r="EV11" s="569"/>
      <c r="EW11" s="569"/>
      <c r="EX11" s="569"/>
      <c r="EY11" s="569"/>
      <c r="EZ11" s="569"/>
      <c r="FA11" s="569"/>
      <c r="FB11" s="569"/>
      <c r="FC11" s="569"/>
      <c r="FD11" s="569"/>
      <c r="FE11" s="569"/>
      <c r="FF11" s="570"/>
      <c r="FG11" s="570"/>
      <c r="FH11" s="570"/>
      <c r="FI11" s="571"/>
      <c r="FJ11" s="571"/>
      <c r="FK11" s="571"/>
      <c r="FL11" s="571"/>
      <c r="FM11" s="571"/>
      <c r="FN11" s="571"/>
      <c r="FO11" s="571"/>
      <c r="FP11" s="571"/>
      <c r="FQ11" s="571"/>
      <c r="FR11" s="571"/>
      <c r="FS11" s="571"/>
      <c r="FT11" s="571"/>
      <c r="FU11" s="571"/>
      <c r="FV11" s="571"/>
      <c r="FW11" s="571"/>
      <c r="FX11" s="571"/>
      <c r="FY11" s="571"/>
      <c r="FZ11" s="571"/>
      <c r="GA11" s="571"/>
      <c r="GB11" s="571"/>
      <c r="GC11" s="571"/>
    </row>
    <row r="12" spans="4:185" x14ac:dyDescent="0.2">
      <c r="D12" s="551"/>
      <c r="E12" s="560" t="s">
        <v>484</v>
      </c>
      <c r="F12" s="566">
        <f>SUM(F4:F9)</f>
        <v>192483800</v>
      </c>
      <c r="G12" s="566">
        <f>SUM(G4:G9)</f>
        <v>182796850</v>
      </c>
      <c r="H12" s="566">
        <f t="shared" ref="H12:BS12" si="0">SUM(H4:H9)</f>
        <v>199278350</v>
      </c>
      <c r="I12" s="566">
        <f t="shared" si="0"/>
        <v>189705400</v>
      </c>
      <c r="J12" s="566">
        <f t="shared" si="0"/>
        <v>192256050</v>
      </c>
      <c r="K12" s="566">
        <f t="shared" si="0"/>
        <v>164493600</v>
      </c>
      <c r="L12" s="566">
        <f t="shared" si="0"/>
        <v>173033550</v>
      </c>
      <c r="M12" s="566">
        <f t="shared" si="0"/>
        <v>187770600</v>
      </c>
      <c r="N12" s="566">
        <f t="shared" si="0"/>
        <v>188251800</v>
      </c>
      <c r="O12" s="566">
        <f t="shared" si="0"/>
        <v>152966400</v>
      </c>
      <c r="P12" s="566">
        <f t="shared" si="0"/>
        <v>166481250</v>
      </c>
      <c r="Q12" s="566">
        <f t="shared" si="0"/>
        <v>155501050</v>
      </c>
      <c r="R12" s="566">
        <f t="shared" si="0"/>
        <v>198079600</v>
      </c>
      <c r="S12" s="566">
        <f t="shared" si="0"/>
        <v>197558200</v>
      </c>
      <c r="T12" s="566">
        <f t="shared" si="0"/>
        <v>224569250</v>
      </c>
      <c r="U12" s="566">
        <f t="shared" si="0"/>
        <v>209646850</v>
      </c>
      <c r="V12" s="566">
        <f t="shared" si="0"/>
        <v>222351200</v>
      </c>
      <c r="W12" s="566">
        <f t="shared" si="0"/>
        <v>216409800</v>
      </c>
      <c r="X12" s="566">
        <f t="shared" si="0"/>
        <v>216421350</v>
      </c>
      <c r="Y12" s="566">
        <f t="shared" si="0"/>
        <v>217320900</v>
      </c>
      <c r="Z12" s="566">
        <f t="shared" si="0"/>
        <v>213606750</v>
      </c>
      <c r="AA12" s="566">
        <f t="shared" si="0"/>
        <v>227065250</v>
      </c>
      <c r="AB12" s="566">
        <f t="shared" si="0"/>
        <v>230445950</v>
      </c>
      <c r="AC12" s="566">
        <f t="shared" si="0"/>
        <v>228432000</v>
      </c>
      <c r="AD12" s="566">
        <f t="shared" si="0"/>
        <v>212806050</v>
      </c>
      <c r="AE12" s="566">
        <f t="shared" si="0"/>
        <v>199277000</v>
      </c>
      <c r="AF12" s="566">
        <f t="shared" si="0"/>
        <v>230676800</v>
      </c>
      <c r="AG12" s="566">
        <f t="shared" si="0"/>
        <v>214525150</v>
      </c>
      <c r="AH12" s="566">
        <f t="shared" si="0"/>
        <v>230439050</v>
      </c>
      <c r="AI12" s="566">
        <f t="shared" si="0"/>
        <v>222818050</v>
      </c>
      <c r="AJ12" s="566">
        <f t="shared" si="0"/>
        <v>232018600</v>
      </c>
      <c r="AK12" s="566">
        <f t="shared" si="0"/>
        <v>234027050</v>
      </c>
      <c r="AL12" s="566">
        <f t="shared" si="0"/>
        <v>227520100</v>
      </c>
      <c r="AM12" s="566">
        <f t="shared" si="0"/>
        <v>238562550</v>
      </c>
      <c r="AN12" s="566">
        <f t="shared" si="0"/>
        <v>235963750</v>
      </c>
      <c r="AO12" s="566">
        <f t="shared" si="0"/>
        <v>240842550</v>
      </c>
      <c r="AP12" s="566">
        <f t="shared" si="0"/>
        <v>247438050</v>
      </c>
      <c r="AQ12" s="566">
        <f t="shared" si="0"/>
        <v>213224150</v>
      </c>
      <c r="AR12" s="566">
        <f t="shared" si="0"/>
        <v>237492000</v>
      </c>
      <c r="AS12" s="566">
        <f t="shared" si="0"/>
        <v>249649850</v>
      </c>
      <c r="AT12" s="566">
        <f t="shared" si="0"/>
        <v>248152450</v>
      </c>
      <c r="AU12" s="566">
        <f t="shared" si="0"/>
        <v>232962100</v>
      </c>
      <c r="AV12" s="566">
        <f t="shared" si="0"/>
        <v>183885450</v>
      </c>
      <c r="AW12" s="566">
        <f t="shared" si="0"/>
        <v>186905700</v>
      </c>
      <c r="AX12" s="566">
        <f t="shared" si="0"/>
        <v>189729450</v>
      </c>
      <c r="AY12" s="566">
        <f t="shared" si="0"/>
        <v>199748400</v>
      </c>
      <c r="AZ12" s="566">
        <f t="shared" si="0"/>
        <v>193206800</v>
      </c>
      <c r="BA12" s="566">
        <f t="shared" si="0"/>
        <v>166183000</v>
      </c>
      <c r="BB12" s="566">
        <f t="shared" si="0"/>
        <v>162055300</v>
      </c>
      <c r="BC12" s="566">
        <f t="shared" si="0"/>
        <v>149482200</v>
      </c>
      <c r="BD12" s="566">
        <f t="shared" si="0"/>
        <v>179531150</v>
      </c>
      <c r="BE12" s="566">
        <f t="shared" si="0"/>
        <v>215082600</v>
      </c>
      <c r="BF12" s="566">
        <f t="shared" si="0"/>
        <v>240443100</v>
      </c>
      <c r="BG12" s="566">
        <f t="shared" si="0"/>
        <v>192598200</v>
      </c>
      <c r="BH12" s="566">
        <f t="shared" si="0"/>
        <v>169670850</v>
      </c>
      <c r="BI12" s="566">
        <f t="shared" si="0"/>
        <v>146564850</v>
      </c>
      <c r="BJ12" s="566">
        <f t="shared" si="0"/>
        <v>148271350</v>
      </c>
      <c r="BK12" s="566">
        <f t="shared" si="0"/>
        <v>133269950</v>
      </c>
      <c r="BL12" s="566">
        <f t="shared" si="0"/>
        <v>129544900</v>
      </c>
      <c r="BM12" s="566">
        <f t="shared" si="0"/>
        <v>144104500</v>
      </c>
      <c r="BN12" s="566">
        <f t="shared" si="0"/>
        <v>179273450</v>
      </c>
      <c r="BO12" s="566">
        <f t="shared" si="0"/>
        <v>164305040</v>
      </c>
      <c r="BP12" s="566">
        <f t="shared" si="0"/>
        <v>146213320</v>
      </c>
      <c r="BQ12" s="566">
        <f t="shared" si="0"/>
        <v>164917460</v>
      </c>
      <c r="BR12" s="566">
        <f t="shared" si="0"/>
        <v>160396790</v>
      </c>
      <c r="BS12" s="566">
        <f t="shared" si="0"/>
        <v>153655270</v>
      </c>
      <c r="BT12" s="566">
        <f t="shared" ref="BT12:CK12" si="1">SUM(BT4:BT9)</f>
        <v>131475670</v>
      </c>
      <c r="BU12" s="566">
        <f t="shared" si="1"/>
        <v>133904240</v>
      </c>
      <c r="BV12" s="566">
        <f t="shared" si="1"/>
        <v>134032910</v>
      </c>
      <c r="BW12" s="566">
        <f t="shared" si="1"/>
        <v>138912830</v>
      </c>
      <c r="BX12" s="566">
        <f t="shared" si="1"/>
        <v>142813330</v>
      </c>
      <c r="BY12" s="566">
        <f t="shared" si="1"/>
        <v>128159880</v>
      </c>
      <c r="BZ12" s="566">
        <f t="shared" si="1"/>
        <v>118053380</v>
      </c>
      <c r="CA12" s="566">
        <f t="shared" si="1"/>
        <v>97173460</v>
      </c>
      <c r="CB12" s="566">
        <f t="shared" si="1"/>
        <v>98399390</v>
      </c>
      <c r="CC12" s="566">
        <f t="shared" si="1"/>
        <v>129144870</v>
      </c>
      <c r="CD12" s="566">
        <f t="shared" si="1"/>
        <v>185725430</v>
      </c>
      <c r="CE12" s="566">
        <f t="shared" si="1"/>
        <v>121083840</v>
      </c>
      <c r="CF12" s="566">
        <f t="shared" si="1"/>
        <v>109511820</v>
      </c>
      <c r="CG12" s="566">
        <f t="shared" si="1"/>
        <v>108837220</v>
      </c>
      <c r="CH12" s="566">
        <f t="shared" si="1"/>
        <v>108270730</v>
      </c>
      <c r="CI12" s="566">
        <f t="shared" si="1"/>
        <v>96276480</v>
      </c>
      <c r="CJ12" s="566">
        <f t="shared" si="1"/>
        <v>88756700</v>
      </c>
      <c r="CK12" s="566">
        <f t="shared" si="1"/>
        <v>175010380</v>
      </c>
      <c r="CL12" s="566">
        <f>SUM(CL4:CL10)</f>
        <v>185066221</v>
      </c>
      <c r="CM12" s="566">
        <f t="shared" ref="CM12:DI12" si="2">SUM(CM4:CM10)</f>
        <v>227767643</v>
      </c>
      <c r="CN12" s="566">
        <f t="shared" si="2"/>
        <v>247551178</v>
      </c>
      <c r="CO12" s="566">
        <f t="shared" si="2"/>
        <v>265845411</v>
      </c>
      <c r="CP12" s="566">
        <f t="shared" si="2"/>
        <v>255068136</v>
      </c>
      <c r="CQ12" s="566">
        <f t="shared" si="2"/>
        <v>206703440</v>
      </c>
      <c r="CR12" s="566">
        <f t="shared" si="2"/>
        <v>174258451</v>
      </c>
      <c r="CS12" s="566">
        <f t="shared" si="2"/>
        <v>189778784</v>
      </c>
      <c r="CT12" s="566">
        <f t="shared" si="2"/>
        <v>190840597</v>
      </c>
      <c r="CU12" s="566">
        <f t="shared" si="2"/>
        <v>199503952</v>
      </c>
      <c r="CV12" s="566">
        <f t="shared" si="2"/>
        <v>182535103</v>
      </c>
      <c r="CW12" s="566">
        <f t="shared" si="2"/>
        <v>198712476</v>
      </c>
      <c r="CX12" s="566">
        <f t="shared" si="2"/>
        <v>201092480</v>
      </c>
      <c r="CY12" s="566">
        <f t="shared" si="2"/>
        <v>207580361</v>
      </c>
      <c r="CZ12" s="566">
        <f t="shared" si="2"/>
        <v>204898085</v>
      </c>
      <c r="DA12" s="566">
        <f t="shared" si="2"/>
        <v>282263810</v>
      </c>
      <c r="DB12" s="566">
        <f t="shared" si="2"/>
        <v>294864206</v>
      </c>
      <c r="DC12" s="566">
        <f t="shared" si="2"/>
        <v>230868100</v>
      </c>
      <c r="DD12" s="566">
        <f t="shared" si="2"/>
        <v>202665098</v>
      </c>
      <c r="DE12" s="566">
        <f t="shared" si="2"/>
        <v>188676578</v>
      </c>
      <c r="DF12" s="566">
        <f t="shared" si="2"/>
        <v>196991995</v>
      </c>
      <c r="DG12" s="566">
        <f t="shared" si="2"/>
        <v>210281907</v>
      </c>
      <c r="DH12" s="566">
        <f t="shared" si="2"/>
        <v>206887469</v>
      </c>
      <c r="DI12" s="566">
        <f t="shared" si="2"/>
        <v>221840263</v>
      </c>
      <c r="DJ12" s="566">
        <f>SUM(DJ4:DJ10)</f>
        <v>221632548</v>
      </c>
      <c r="DK12" s="566">
        <f t="shared" ref="DK12:DU12" si="3">SUM(DK4:DK10)</f>
        <v>216251980</v>
      </c>
      <c r="DL12" s="566">
        <f t="shared" si="3"/>
        <v>256485345</v>
      </c>
      <c r="DM12" s="566">
        <f t="shared" si="3"/>
        <v>260683560</v>
      </c>
      <c r="DN12" s="566">
        <f t="shared" si="3"/>
        <v>253337562</v>
      </c>
      <c r="DO12" s="566">
        <f t="shared" si="3"/>
        <v>211443648</v>
      </c>
      <c r="DP12" s="566">
        <f t="shared" si="3"/>
        <v>209495436</v>
      </c>
      <c r="DQ12" s="566">
        <f t="shared" si="3"/>
        <v>206201500</v>
      </c>
      <c r="DR12" s="566">
        <f t="shared" si="3"/>
        <v>182816726</v>
      </c>
      <c r="DS12" s="566">
        <f t="shared" si="3"/>
        <v>224045977</v>
      </c>
      <c r="DT12" s="566">
        <f t="shared" si="3"/>
        <v>195437813</v>
      </c>
      <c r="DU12" s="566">
        <f t="shared" si="3"/>
        <v>202635253</v>
      </c>
      <c r="DV12" s="569">
        <f>SUM(DV4:DV10)</f>
        <v>216232306</v>
      </c>
      <c r="DW12" s="569">
        <f t="shared" ref="DW12:EM12" si="4">SUM(DW4:DW10)</f>
        <v>184026403</v>
      </c>
      <c r="DX12" s="569">
        <f t="shared" si="4"/>
        <v>220784143</v>
      </c>
      <c r="DY12" s="569">
        <f t="shared" si="4"/>
        <v>226157797</v>
      </c>
      <c r="DZ12" s="569">
        <f t="shared" si="4"/>
        <v>254609148</v>
      </c>
      <c r="EA12" s="569">
        <f t="shared" si="4"/>
        <v>226098313</v>
      </c>
      <c r="EB12" s="569">
        <f t="shared" si="4"/>
        <v>216524805</v>
      </c>
      <c r="EC12" s="569">
        <f t="shared" si="4"/>
        <v>242038844</v>
      </c>
      <c r="ED12" s="569">
        <f t="shared" si="4"/>
        <v>232325350</v>
      </c>
      <c r="EE12" s="569">
        <f t="shared" si="4"/>
        <v>231167200</v>
      </c>
      <c r="EF12" s="569">
        <f t="shared" si="4"/>
        <v>227612616</v>
      </c>
      <c r="EG12" s="569">
        <f t="shared" si="4"/>
        <v>223493089</v>
      </c>
      <c r="EH12" s="569">
        <f t="shared" si="4"/>
        <v>234672392</v>
      </c>
      <c r="EI12" s="569">
        <f t="shared" si="4"/>
        <v>183550204</v>
      </c>
      <c r="EJ12" s="569">
        <f t="shared" si="4"/>
        <v>217711954</v>
      </c>
      <c r="EK12" s="569">
        <f t="shared" si="4"/>
        <v>234198080</v>
      </c>
      <c r="EL12" s="569">
        <f t="shared" si="4"/>
        <v>237084743</v>
      </c>
      <c r="EM12" s="569">
        <f t="shared" si="4"/>
        <v>163007703</v>
      </c>
      <c r="EN12" s="570"/>
      <c r="EO12" s="570"/>
      <c r="EP12" s="570"/>
      <c r="EQ12" s="570"/>
      <c r="ER12" s="570"/>
      <c r="ES12" s="570"/>
      <c r="ET12" s="569">
        <f>SUM(ET4:ET10)</f>
        <v>186994192</v>
      </c>
      <c r="EU12" s="569">
        <f t="shared" ref="EU12:FE12" si="5">SUM(EU4:EU10)</f>
        <v>145037102</v>
      </c>
      <c r="EV12" s="569">
        <f t="shared" si="5"/>
        <v>184400432</v>
      </c>
      <c r="EW12" s="569">
        <f t="shared" si="5"/>
        <v>196565962</v>
      </c>
      <c r="EX12" s="569">
        <f t="shared" si="5"/>
        <v>201440892</v>
      </c>
      <c r="EY12" s="569">
        <f t="shared" si="5"/>
        <v>166309492</v>
      </c>
      <c r="EZ12" s="569">
        <f t="shared" si="5"/>
        <v>74819034</v>
      </c>
      <c r="FA12" s="569">
        <f t="shared" si="5"/>
        <v>121725342</v>
      </c>
      <c r="FB12" s="569">
        <f t="shared" si="5"/>
        <v>111565892</v>
      </c>
      <c r="FC12" s="569">
        <f t="shared" si="5"/>
        <v>113621862</v>
      </c>
      <c r="FD12" s="569">
        <f t="shared" si="5"/>
        <v>103623622</v>
      </c>
      <c r="FE12" s="569">
        <f t="shared" si="5"/>
        <v>98185222</v>
      </c>
      <c r="FF12" s="570"/>
      <c r="FG12" s="570"/>
      <c r="FH12" s="570"/>
      <c r="FI12" s="571"/>
      <c r="FJ12" s="571"/>
      <c r="FK12" s="571"/>
      <c r="FL12" s="571"/>
      <c r="FM12" s="571"/>
      <c r="FN12" s="571"/>
      <c r="FO12" s="571"/>
      <c r="FP12" s="571"/>
      <c r="FQ12" s="571"/>
      <c r="FR12" s="571"/>
      <c r="FS12" s="571"/>
      <c r="FT12" s="571"/>
      <c r="FU12" s="571"/>
      <c r="FV12" s="571"/>
      <c r="FW12" s="571"/>
      <c r="FX12" s="571"/>
      <c r="FY12" s="571"/>
      <c r="FZ12" s="571"/>
      <c r="GA12" s="571"/>
      <c r="GB12" s="571"/>
      <c r="GC12" s="571"/>
    </row>
    <row r="13" spans="4:185" x14ac:dyDescent="0.2">
      <c r="D13" s="202"/>
      <c r="E13" s="202" t="s">
        <v>462</v>
      </c>
      <c r="F13" s="566"/>
      <c r="G13" s="566"/>
      <c r="H13" s="566"/>
      <c r="I13" s="566"/>
      <c r="J13" s="566"/>
      <c r="K13" s="566"/>
      <c r="L13" s="566"/>
      <c r="M13" s="566"/>
      <c r="N13" s="566"/>
      <c r="O13" s="566"/>
      <c r="P13" s="566"/>
      <c r="Q13" s="566"/>
      <c r="R13" s="570"/>
      <c r="S13" s="570"/>
      <c r="T13" s="570"/>
      <c r="U13" s="570"/>
      <c r="V13" s="570"/>
      <c r="W13" s="570"/>
      <c r="X13" s="570"/>
      <c r="Y13" s="570"/>
      <c r="Z13" s="570"/>
      <c r="AA13" s="570"/>
      <c r="AB13" s="570"/>
      <c r="AC13" s="570"/>
      <c r="AD13" s="566"/>
      <c r="AE13" s="566"/>
      <c r="AF13" s="566"/>
      <c r="AG13" s="566"/>
      <c r="AH13" s="566"/>
      <c r="AI13" s="566"/>
      <c r="AJ13" s="566"/>
      <c r="AK13" s="566"/>
      <c r="AL13" s="566"/>
      <c r="AM13" s="566"/>
      <c r="AN13" s="566">
        <v>0</v>
      </c>
      <c r="AO13" s="567">
        <v>0</v>
      </c>
      <c r="AP13" s="565">
        <v>0</v>
      </c>
      <c r="AQ13" s="566">
        <v>0</v>
      </c>
      <c r="AR13" s="566">
        <v>0</v>
      </c>
      <c r="AS13" s="566">
        <v>0</v>
      </c>
      <c r="AT13" s="566">
        <v>0</v>
      </c>
      <c r="AU13" s="566">
        <v>0</v>
      </c>
      <c r="AV13" s="566">
        <v>0</v>
      </c>
      <c r="AW13" s="566">
        <v>0</v>
      </c>
      <c r="AX13" s="566">
        <v>0</v>
      </c>
      <c r="AY13" s="566">
        <v>0</v>
      </c>
      <c r="AZ13" s="566">
        <v>0</v>
      </c>
      <c r="BA13" s="567">
        <v>0</v>
      </c>
      <c r="BB13" s="566"/>
      <c r="BC13" s="566"/>
      <c r="BD13" s="566"/>
      <c r="BE13" s="566"/>
      <c r="BF13" s="566"/>
      <c r="BG13" s="566"/>
      <c r="BH13" s="566"/>
      <c r="BI13" s="566"/>
      <c r="BJ13" s="566"/>
      <c r="BK13" s="566"/>
      <c r="BL13" s="566"/>
      <c r="BM13" s="566"/>
      <c r="BN13" s="566"/>
      <c r="BO13" s="566"/>
      <c r="BP13" s="566"/>
      <c r="BQ13" s="566"/>
      <c r="BR13" s="566"/>
      <c r="BS13" s="566"/>
      <c r="BT13" s="566"/>
      <c r="BU13" s="566"/>
      <c r="BV13" s="566"/>
      <c r="BW13" s="566"/>
      <c r="BX13" s="566"/>
      <c r="BY13" s="566"/>
      <c r="BZ13" s="566"/>
      <c r="CA13" s="566"/>
      <c r="CB13" s="566"/>
      <c r="CC13" s="566"/>
      <c r="CD13" s="566"/>
      <c r="CE13" s="566">
        <f>BZ10+CA10+CB10+CC10+CD10+CE10</f>
        <v>0</v>
      </c>
      <c r="CF13" s="566"/>
      <c r="CG13" s="566"/>
      <c r="CH13" s="566"/>
      <c r="CI13" s="566"/>
      <c r="CJ13" s="566"/>
      <c r="CK13" s="566"/>
      <c r="CL13" s="566"/>
      <c r="CM13" s="566"/>
      <c r="CN13" s="566"/>
      <c r="CO13" s="566"/>
      <c r="CP13" s="566"/>
      <c r="CQ13" s="566"/>
      <c r="CR13" s="566"/>
      <c r="CS13" s="566"/>
      <c r="CT13" s="566"/>
      <c r="CU13" s="566"/>
      <c r="CV13" s="566"/>
      <c r="CW13" s="566"/>
      <c r="CX13" s="574"/>
      <c r="CY13" s="566"/>
      <c r="CZ13" s="566"/>
      <c r="DA13" s="566"/>
      <c r="DB13" s="566"/>
      <c r="DC13" s="566"/>
      <c r="DD13" s="566"/>
      <c r="DE13" s="566"/>
      <c r="DF13" s="566"/>
      <c r="DG13" s="566"/>
      <c r="DH13" s="566"/>
      <c r="DI13" s="567"/>
      <c r="DJ13" s="566"/>
      <c r="DK13" s="566"/>
      <c r="DL13" s="566"/>
      <c r="DM13" s="566"/>
      <c r="DN13" s="566"/>
      <c r="DO13" s="566"/>
      <c r="DP13" s="566"/>
      <c r="DQ13" s="566"/>
      <c r="DR13" s="566"/>
      <c r="DS13" s="566"/>
      <c r="DT13" s="566"/>
      <c r="DU13" s="566"/>
      <c r="DV13" s="569"/>
      <c r="DW13" s="569"/>
      <c r="DX13" s="569"/>
      <c r="DY13" s="569"/>
      <c r="DZ13" s="569"/>
      <c r="EA13" s="569"/>
      <c r="EB13" s="569"/>
      <c r="EC13" s="569"/>
      <c r="ED13" s="569"/>
      <c r="EE13" s="569"/>
      <c r="EF13" s="569"/>
      <c r="EG13" s="569"/>
      <c r="EH13" s="569"/>
      <c r="EI13" s="569"/>
      <c r="EJ13" s="569"/>
      <c r="EK13" s="569"/>
      <c r="EL13" s="569"/>
      <c r="EM13" s="569"/>
      <c r="EN13" s="570"/>
      <c r="EO13" s="570"/>
      <c r="EP13" s="570"/>
      <c r="EQ13" s="570"/>
      <c r="ER13" s="570"/>
      <c r="ES13" s="570"/>
      <c r="ET13" s="569"/>
      <c r="EU13" s="569"/>
      <c r="EV13" s="569"/>
      <c r="EW13" s="569"/>
      <c r="EX13" s="569"/>
      <c r="EY13" s="569"/>
      <c r="EZ13" s="569"/>
      <c r="FA13" s="569"/>
      <c r="FB13" s="569"/>
      <c r="FC13" s="569"/>
      <c r="FD13" s="569"/>
      <c r="FE13" s="569"/>
      <c r="FF13" s="570"/>
      <c r="FG13" s="570"/>
      <c r="FH13" s="570"/>
      <c r="FI13" s="571"/>
      <c r="FJ13" s="571"/>
      <c r="FK13" s="571"/>
      <c r="FL13" s="571"/>
      <c r="FM13" s="571"/>
      <c r="FN13" s="571"/>
      <c r="FO13" s="571"/>
      <c r="FP13" s="571"/>
      <c r="FQ13" s="571"/>
      <c r="FR13" s="571"/>
      <c r="FS13" s="571"/>
      <c r="FT13" s="571"/>
      <c r="FU13" s="571"/>
      <c r="FV13" s="571"/>
      <c r="FW13" s="571"/>
      <c r="FX13" s="571"/>
      <c r="FY13" s="571"/>
      <c r="FZ13" s="571"/>
      <c r="GA13" s="571"/>
      <c r="GB13" s="571"/>
      <c r="GC13" s="571"/>
    </row>
    <row r="14" spans="4:185" x14ac:dyDescent="0.2">
      <c r="D14" s="551"/>
      <c r="E14" s="551" t="s">
        <v>472</v>
      </c>
      <c r="F14" s="565">
        <v>2392000</v>
      </c>
      <c r="G14" s="566">
        <v>2520000</v>
      </c>
      <c r="H14" s="566">
        <v>1165000</v>
      </c>
      <c r="I14" s="566">
        <v>1335000</v>
      </c>
      <c r="J14" s="566">
        <v>151000</v>
      </c>
      <c r="K14" s="566">
        <v>858600</v>
      </c>
      <c r="L14" s="566">
        <v>5632000</v>
      </c>
      <c r="M14" s="566">
        <v>4083000</v>
      </c>
      <c r="N14" s="566">
        <v>3491000</v>
      </c>
      <c r="O14" s="566">
        <v>9241000</v>
      </c>
      <c r="P14" s="566">
        <v>7365000</v>
      </c>
      <c r="Q14" s="566">
        <v>6729000</v>
      </c>
      <c r="R14" s="565">
        <v>2170000</v>
      </c>
      <c r="S14" s="566">
        <v>339000</v>
      </c>
      <c r="T14" s="566">
        <v>105000</v>
      </c>
      <c r="U14" s="566">
        <v>2000</v>
      </c>
      <c r="V14" s="566">
        <v>11000</v>
      </c>
      <c r="W14" s="566">
        <v>37000</v>
      </c>
      <c r="X14" s="566">
        <v>361000</v>
      </c>
      <c r="Y14" s="566">
        <v>1800000</v>
      </c>
      <c r="Z14" s="566">
        <v>1559000</v>
      </c>
      <c r="AA14" s="566">
        <v>0</v>
      </c>
      <c r="AB14" s="566">
        <v>70000</v>
      </c>
      <c r="AC14" s="566">
        <v>1658000</v>
      </c>
      <c r="AD14" s="565">
        <v>98000</v>
      </c>
      <c r="AE14" s="566">
        <v>27000</v>
      </c>
      <c r="AF14" s="566">
        <v>34000</v>
      </c>
      <c r="AG14" s="566">
        <v>12000</v>
      </c>
      <c r="AH14" s="566">
        <v>5000</v>
      </c>
      <c r="AI14" s="566">
        <v>0</v>
      </c>
      <c r="AJ14" s="566">
        <v>9000</v>
      </c>
      <c r="AK14" s="566">
        <v>0</v>
      </c>
      <c r="AL14" s="566">
        <v>0</v>
      </c>
      <c r="AM14" s="566">
        <v>0</v>
      </c>
      <c r="AN14" s="566">
        <v>0</v>
      </c>
      <c r="AO14" s="567">
        <v>0</v>
      </c>
      <c r="AP14" s="565">
        <v>0</v>
      </c>
      <c r="AQ14" s="566">
        <v>0</v>
      </c>
      <c r="AR14" s="566">
        <v>0</v>
      </c>
      <c r="AS14" s="566">
        <v>0</v>
      </c>
      <c r="AT14" s="566">
        <v>0</v>
      </c>
      <c r="AU14" s="566">
        <v>0</v>
      </c>
      <c r="AV14" s="566">
        <v>0</v>
      </c>
      <c r="AW14" s="566">
        <v>0</v>
      </c>
      <c r="AX14" s="566">
        <v>0</v>
      </c>
      <c r="AY14" s="566">
        <v>0</v>
      </c>
      <c r="AZ14" s="566">
        <v>0</v>
      </c>
      <c r="BA14" s="567">
        <v>33215000</v>
      </c>
      <c r="BB14" s="565">
        <v>0</v>
      </c>
      <c r="BC14" s="566">
        <v>0</v>
      </c>
      <c r="BD14" s="566">
        <v>0</v>
      </c>
      <c r="BE14" s="566">
        <v>0</v>
      </c>
      <c r="BF14" s="566">
        <v>0</v>
      </c>
      <c r="BG14" s="566">
        <v>0</v>
      </c>
      <c r="BH14" s="566">
        <v>0</v>
      </c>
      <c r="BI14" s="566">
        <v>0</v>
      </c>
      <c r="BJ14" s="566">
        <v>0</v>
      </c>
      <c r="BK14" s="566">
        <v>0</v>
      </c>
      <c r="BL14" s="566">
        <v>0</v>
      </c>
      <c r="BM14" s="567">
        <v>0</v>
      </c>
      <c r="BN14" s="571"/>
      <c r="BO14" s="571"/>
      <c r="BP14" s="571"/>
      <c r="BQ14" s="571"/>
      <c r="BR14" s="571"/>
      <c r="BS14" s="571"/>
      <c r="BT14" s="571"/>
      <c r="BU14" s="571"/>
      <c r="BV14" s="571"/>
      <c r="BW14" s="571"/>
      <c r="BX14" s="571"/>
      <c r="BY14" s="571"/>
      <c r="BZ14" s="565"/>
      <c r="CA14" s="566"/>
      <c r="CB14" s="566"/>
      <c r="CC14" s="566"/>
      <c r="CD14" s="566"/>
      <c r="CE14" s="566"/>
      <c r="CF14" s="566"/>
      <c r="CG14" s="566"/>
      <c r="CH14" s="566"/>
      <c r="CI14" s="566"/>
      <c r="CJ14" s="566"/>
      <c r="CK14" s="567"/>
      <c r="CL14" s="566"/>
      <c r="CM14" s="566"/>
      <c r="CN14" s="566"/>
      <c r="CO14" s="566"/>
      <c r="CP14" s="566"/>
      <c r="CQ14" s="566"/>
      <c r="CR14" s="566"/>
      <c r="CS14" s="566"/>
      <c r="CT14" s="566"/>
      <c r="CU14" s="566"/>
      <c r="CV14" s="566"/>
      <c r="CW14" s="566"/>
      <c r="CX14" s="568"/>
      <c r="CY14" s="568"/>
      <c r="CZ14" s="568"/>
      <c r="DA14" s="568"/>
      <c r="DB14" s="568"/>
      <c r="DC14" s="572"/>
      <c r="DD14" s="572"/>
      <c r="DE14" s="572"/>
      <c r="DF14" s="572"/>
      <c r="DG14" s="572"/>
      <c r="DH14" s="572"/>
      <c r="DI14" s="572"/>
      <c r="DJ14" s="566"/>
      <c r="DK14" s="566"/>
      <c r="DL14" s="566"/>
      <c r="DM14" s="566"/>
      <c r="DN14" s="566"/>
      <c r="DO14" s="566"/>
      <c r="DP14" s="566"/>
      <c r="DQ14" s="566"/>
      <c r="DR14" s="566"/>
      <c r="DS14" s="566"/>
      <c r="DT14" s="566"/>
      <c r="DU14" s="566"/>
      <c r="DV14" s="569"/>
      <c r="DW14" s="569"/>
      <c r="DX14" s="569"/>
      <c r="DY14" s="569"/>
      <c r="DZ14" s="569"/>
      <c r="EA14" s="569"/>
      <c r="EB14" s="569"/>
      <c r="EC14" s="569"/>
      <c r="ED14" s="569"/>
      <c r="EE14" s="569"/>
      <c r="EF14" s="569"/>
      <c r="EG14" s="569"/>
      <c r="EH14" s="569"/>
      <c r="EI14" s="569"/>
      <c r="EJ14" s="569"/>
      <c r="EK14" s="569"/>
      <c r="EL14" s="569"/>
      <c r="EM14" s="569"/>
      <c r="EN14" s="570"/>
      <c r="EO14" s="570"/>
      <c r="EP14" s="570"/>
      <c r="EQ14" s="570"/>
      <c r="ER14" s="570"/>
      <c r="ES14" s="570"/>
      <c r="ET14" s="569"/>
      <c r="EU14" s="569"/>
      <c r="EV14" s="569"/>
      <c r="EW14" s="569"/>
      <c r="EX14" s="569"/>
      <c r="EY14" s="569"/>
      <c r="EZ14" s="569"/>
      <c r="FA14" s="569"/>
      <c r="FB14" s="569"/>
      <c r="FC14" s="569"/>
      <c r="FD14" s="569"/>
      <c r="FE14" s="569"/>
      <c r="FF14" s="570"/>
      <c r="FG14" s="570"/>
      <c r="FH14" s="570"/>
      <c r="FI14" s="571"/>
      <c r="FJ14" s="571"/>
      <c r="FK14" s="571"/>
      <c r="FL14" s="571"/>
      <c r="FM14" s="571"/>
      <c r="FN14" s="571"/>
      <c r="FO14" s="571"/>
      <c r="FP14" s="571"/>
      <c r="FQ14" s="571"/>
      <c r="FR14" s="571"/>
      <c r="FS14" s="571"/>
      <c r="FT14" s="571"/>
      <c r="FU14" s="571"/>
      <c r="FV14" s="571"/>
      <c r="FW14" s="571"/>
      <c r="FX14" s="571"/>
      <c r="FY14" s="571"/>
      <c r="FZ14" s="571"/>
      <c r="GA14" s="571"/>
      <c r="GB14" s="571"/>
      <c r="GC14" s="571"/>
    </row>
    <row r="15" spans="4:185" x14ac:dyDescent="0.2">
      <c r="D15" s="551"/>
      <c r="E15" s="551" t="s">
        <v>473</v>
      </c>
      <c r="F15" s="565">
        <v>4082400</v>
      </c>
      <c r="G15" s="566">
        <v>7579890</v>
      </c>
      <c r="H15" s="566">
        <v>5176610</v>
      </c>
      <c r="I15" s="566">
        <v>1193080</v>
      </c>
      <c r="J15" s="566">
        <v>5783900</v>
      </c>
      <c r="K15" s="566">
        <v>23549600</v>
      </c>
      <c r="L15" s="566">
        <v>17815500</v>
      </c>
      <c r="M15" s="566">
        <v>11252550</v>
      </c>
      <c r="N15" s="566">
        <v>11001810</v>
      </c>
      <c r="O15" s="566">
        <v>41861900</v>
      </c>
      <c r="P15" s="566">
        <v>18870800</v>
      </c>
      <c r="Q15" s="566">
        <v>22912100</v>
      </c>
      <c r="R15" s="565">
        <v>12769200</v>
      </c>
      <c r="S15" s="566">
        <v>1572600</v>
      </c>
      <c r="T15" s="566">
        <v>253000</v>
      </c>
      <c r="U15" s="566">
        <v>0</v>
      </c>
      <c r="V15" s="566">
        <v>610900</v>
      </c>
      <c r="W15" s="566">
        <v>164500</v>
      </c>
      <c r="X15" s="566">
        <v>2601900</v>
      </c>
      <c r="Y15" s="566">
        <v>4524300</v>
      </c>
      <c r="Z15" s="566">
        <v>3902100</v>
      </c>
      <c r="AA15" s="566">
        <v>6622200</v>
      </c>
      <c r="AB15" s="566">
        <v>0</v>
      </c>
      <c r="AC15" s="566">
        <v>0</v>
      </c>
      <c r="AD15" s="565">
        <v>0</v>
      </c>
      <c r="AE15" s="566">
        <v>0</v>
      </c>
      <c r="AF15" s="566">
        <v>0</v>
      </c>
      <c r="AG15" s="566">
        <v>0</v>
      </c>
      <c r="AH15" s="566">
        <v>0</v>
      </c>
      <c r="AI15" s="566">
        <v>0</v>
      </c>
      <c r="AJ15" s="566">
        <v>0</v>
      </c>
      <c r="AK15" s="566">
        <v>0</v>
      </c>
      <c r="AL15" s="566">
        <v>0</v>
      </c>
      <c r="AM15" s="566">
        <v>0</v>
      </c>
      <c r="AN15" s="566">
        <v>2700</v>
      </c>
      <c r="AO15" s="567">
        <v>0</v>
      </c>
      <c r="AP15" s="565">
        <v>0</v>
      </c>
      <c r="AQ15" s="566">
        <v>0</v>
      </c>
      <c r="AR15" s="566">
        <v>0</v>
      </c>
      <c r="AS15" s="566">
        <v>0</v>
      </c>
      <c r="AT15" s="566">
        <v>0</v>
      </c>
      <c r="AU15" s="566">
        <v>0</v>
      </c>
      <c r="AV15" s="566">
        <v>0</v>
      </c>
      <c r="AW15" s="566">
        <v>0</v>
      </c>
      <c r="AX15" s="566">
        <v>0</v>
      </c>
      <c r="AY15" s="566">
        <v>37600</v>
      </c>
      <c r="AZ15" s="566">
        <v>553300</v>
      </c>
      <c r="BA15" s="567">
        <v>873400</v>
      </c>
      <c r="BB15" s="565">
        <v>37803000</v>
      </c>
      <c r="BC15" s="566">
        <v>34258000</v>
      </c>
      <c r="BD15" s="566">
        <v>24233000</v>
      </c>
      <c r="BE15" s="566">
        <v>5004000</v>
      </c>
      <c r="BF15" s="566">
        <v>0</v>
      </c>
      <c r="BG15" s="566">
        <v>0</v>
      </c>
      <c r="BH15" s="566">
        <v>0</v>
      </c>
      <c r="BI15" s="566">
        <v>0</v>
      </c>
      <c r="BJ15" s="566">
        <v>0</v>
      </c>
      <c r="BK15" s="566">
        <v>0</v>
      </c>
      <c r="BL15" s="566">
        <v>0</v>
      </c>
      <c r="BM15" s="567">
        <v>0</v>
      </c>
      <c r="BN15" s="571"/>
      <c r="BO15" s="571"/>
      <c r="BP15" s="571"/>
      <c r="BQ15" s="571"/>
      <c r="BR15" s="571"/>
      <c r="BS15" s="571"/>
      <c r="BT15" s="571"/>
      <c r="BU15" s="571"/>
      <c r="BV15" s="571"/>
      <c r="BW15" s="571"/>
      <c r="BX15" s="571"/>
      <c r="BY15" s="571"/>
      <c r="BZ15" s="565"/>
      <c r="CA15" s="566"/>
      <c r="CB15" s="566"/>
      <c r="CC15" s="566"/>
      <c r="CD15" s="566"/>
      <c r="CE15" s="566"/>
      <c r="CF15" s="566"/>
      <c r="CG15" s="566"/>
      <c r="CH15" s="566"/>
      <c r="CI15" s="566"/>
      <c r="CJ15" s="566"/>
      <c r="CK15" s="567"/>
      <c r="CL15" s="565"/>
      <c r="CM15" s="566"/>
      <c r="CN15" s="566"/>
      <c r="CO15" s="568"/>
      <c r="CP15" s="566"/>
      <c r="CQ15" s="566"/>
      <c r="CR15" s="566"/>
      <c r="CS15" s="566"/>
      <c r="CT15" s="566"/>
      <c r="CU15" s="566"/>
      <c r="CV15" s="566"/>
      <c r="CW15" s="567"/>
      <c r="CX15" s="565">
        <v>0</v>
      </c>
      <c r="CY15" s="566">
        <v>0</v>
      </c>
      <c r="CZ15" s="566">
        <v>0</v>
      </c>
      <c r="DA15" s="566">
        <v>0</v>
      </c>
      <c r="DB15" s="566">
        <v>0</v>
      </c>
      <c r="DC15" s="566">
        <v>0</v>
      </c>
      <c r="DD15" s="566">
        <v>0</v>
      </c>
      <c r="DE15" s="566">
        <v>0</v>
      </c>
      <c r="DF15" s="566">
        <v>0</v>
      </c>
      <c r="DG15" s="566">
        <v>0</v>
      </c>
      <c r="DH15" s="566">
        <v>0</v>
      </c>
      <c r="DI15" s="567">
        <v>0</v>
      </c>
      <c r="DJ15" s="575"/>
      <c r="DK15" s="575"/>
      <c r="DL15" s="575"/>
      <c r="DM15" s="575"/>
      <c r="DN15" s="575"/>
      <c r="DO15" s="575"/>
      <c r="DP15" s="565"/>
      <c r="DQ15" s="575"/>
      <c r="DR15" s="575"/>
      <c r="DS15" s="565"/>
      <c r="DT15" s="575"/>
      <c r="DU15" s="576"/>
      <c r="DV15" s="569"/>
      <c r="DW15" s="569"/>
      <c r="DX15" s="569"/>
      <c r="DY15" s="569"/>
      <c r="DZ15" s="569"/>
      <c r="EA15" s="569"/>
      <c r="EB15" s="569"/>
      <c r="EC15" s="569"/>
      <c r="ED15" s="569"/>
      <c r="EE15" s="569"/>
      <c r="EF15" s="569"/>
      <c r="EG15" s="569"/>
      <c r="EH15" s="569"/>
      <c r="EI15" s="569"/>
      <c r="EJ15" s="569"/>
      <c r="EK15" s="569"/>
      <c r="EL15" s="569"/>
      <c r="EM15" s="569"/>
      <c r="EN15" s="570"/>
      <c r="EO15" s="570"/>
      <c r="EP15" s="570"/>
      <c r="EQ15" s="570"/>
      <c r="ER15" s="570"/>
      <c r="ES15" s="570"/>
      <c r="ET15" s="569"/>
      <c r="EU15" s="569"/>
      <c r="EV15" s="569"/>
      <c r="EW15" s="569"/>
      <c r="EX15" s="569"/>
      <c r="EY15" s="569"/>
      <c r="EZ15" s="569"/>
      <c r="FA15" s="569"/>
      <c r="FB15" s="569"/>
      <c r="FC15" s="569"/>
      <c r="FD15" s="569"/>
      <c r="FE15" s="569"/>
      <c r="FF15" s="570"/>
      <c r="FG15" s="570"/>
      <c r="FH15" s="570"/>
      <c r="FI15" s="571"/>
      <c r="FJ15" s="571"/>
      <c r="FK15" s="571"/>
      <c r="FL15" s="571"/>
      <c r="FM15" s="571"/>
      <c r="FN15" s="571"/>
      <c r="FO15" s="571"/>
      <c r="FP15" s="571"/>
      <c r="FQ15" s="571"/>
      <c r="FR15" s="571"/>
      <c r="FS15" s="571"/>
      <c r="FT15" s="571"/>
      <c r="FU15" s="571"/>
      <c r="FV15" s="571"/>
      <c r="FW15" s="571"/>
      <c r="FX15" s="571"/>
      <c r="FY15" s="571"/>
      <c r="FZ15" s="571"/>
      <c r="GA15" s="571"/>
      <c r="GB15" s="571"/>
      <c r="GC15" s="571"/>
    </row>
    <row r="16" spans="4:185" x14ac:dyDescent="0.2">
      <c r="D16" s="551"/>
      <c r="E16" s="561" t="s">
        <v>480</v>
      </c>
      <c r="F16" s="565"/>
      <c r="G16" s="566"/>
      <c r="H16" s="566"/>
      <c r="I16" s="566"/>
      <c r="J16" s="566"/>
      <c r="K16" s="566"/>
      <c r="L16" s="566"/>
      <c r="M16" s="566"/>
      <c r="N16" s="566"/>
      <c r="O16" s="566"/>
      <c r="P16" s="566"/>
      <c r="Q16" s="566"/>
      <c r="R16" s="565"/>
      <c r="S16" s="566"/>
      <c r="T16" s="566"/>
      <c r="U16" s="566"/>
      <c r="V16" s="566"/>
      <c r="W16" s="566"/>
      <c r="X16" s="566"/>
      <c r="Y16" s="566"/>
      <c r="Z16" s="566"/>
      <c r="AA16" s="566"/>
      <c r="AB16" s="566"/>
      <c r="AC16" s="566"/>
      <c r="AD16" s="565"/>
      <c r="AE16" s="566"/>
      <c r="AF16" s="566"/>
      <c r="AG16" s="566"/>
      <c r="AH16" s="566"/>
      <c r="AI16" s="566"/>
      <c r="AJ16" s="566"/>
      <c r="AK16" s="566"/>
      <c r="AL16" s="566"/>
      <c r="AM16" s="566"/>
      <c r="AN16" s="566"/>
      <c r="AO16" s="567"/>
      <c r="AP16" s="565"/>
      <c r="AQ16" s="566"/>
      <c r="AR16" s="566"/>
      <c r="AS16" s="566"/>
      <c r="AT16" s="566"/>
      <c r="AU16" s="566"/>
      <c r="AV16" s="566"/>
      <c r="AW16" s="566"/>
      <c r="AX16" s="566"/>
      <c r="AY16" s="566"/>
      <c r="AZ16" s="566"/>
      <c r="BA16" s="567"/>
      <c r="BB16" s="565"/>
      <c r="BC16" s="566"/>
      <c r="BD16" s="566"/>
      <c r="BE16" s="566"/>
      <c r="BF16" s="566"/>
      <c r="BG16" s="566"/>
      <c r="BH16" s="566"/>
      <c r="BI16" s="566"/>
      <c r="BJ16" s="566"/>
      <c r="BK16" s="566"/>
      <c r="BL16" s="566"/>
      <c r="BM16" s="567"/>
      <c r="BN16" s="571"/>
      <c r="BO16" s="571"/>
      <c r="BP16" s="571"/>
      <c r="BQ16" s="571"/>
      <c r="BR16" s="571"/>
      <c r="BS16" s="571"/>
      <c r="BT16" s="571"/>
      <c r="BU16" s="571"/>
      <c r="BV16" s="571"/>
      <c r="BW16" s="571"/>
      <c r="BX16" s="571"/>
      <c r="BY16" s="571"/>
      <c r="BZ16" s="565"/>
      <c r="CA16" s="566"/>
      <c r="CB16" s="566"/>
      <c r="CC16" s="566"/>
      <c r="CD16" s="566"/>
      <c r="CE16" s="566"/>
      <c r="CF16" s="566"/>
      <c r="CG16" s="566"/>
      <c r="CH16" s="566"/>
      <c r="CI16" s="566"/>
      <c r="CJ16" s="566"/>
      <c r="CK16" s="567"/>
      <c r="CL16" s="565"/>
      <c r="CM16" s="566"/>
      <c r="CN16" s="566"/>
      <c r="CO16" s="568"/>
      <c r="CP16" s="566"/>
      <c r="CQ16" s="566"/>
      <c r="CR16" s="566"/>
      <c r="CS16" s="566"/>
      <c r="CT16" s="566"/>
      <c r="CU16" s="566"/>
      <c r="CV16" s="566"/>
      <c r="CW16" s="567"/>
      <c r="CX16" s="575">
        <v>606350</v>
      </c>
      <c r="CY16" s="575">
        <v>2247810</v>
      </c>
      <c r="CZ16" s="575">
        <v>2536500</v>
      </c>
      <c r="DA16" s="575">
        <v>1415500</v>
      </c>
      <c r="DB16" s="575">
        <v>174128</v>
      </c>
      <c r="DC16" s="575">
        <v>0</v>
      </c>
      <c r="DD16" s="565">
        <v>10938040</v>
      </c>
      <c r="DE16" s="575">
        <v>42589240</v>
      </c>
      <c r="DF16" s="575">
        <v>53616100</v>
      </c>
      <c r="DG16" s="565">
        <v>55537584</v>
      </c>
      <c r="DH16" s="575">
        <v>50531376</v>
      </c>
      <c r="DI16" s="576">
        <v>45875100</v>
      </c>
      <c r="DJ16" s="575">
        <v>41699968</v>
      </c>
      <c r="DK16" s="575">
        <v>24036576</v>
      </c>
      <c r="DL16" s="575">
        <v>36028710</v>
      </c>
      <c r="DM16" s="575">
        <v>28070600</v>
      </c>
      <c r="DN16" s="575">
        <v>33686000</v>
      </c>
      <c r="DO16" s="575">
        <v>62006000</v>
      </c>
      <c r="DP16" s="565">
        <v>68923000</v>
      </c>
      <c r="DQ16" s="575">
        <v>68752070</v>
      </c>
      <c r="DR16" s="575">
        <v>65637500</v>
      </c>
      <c r="DS16" s="565">
        <v>70903000</v>
      </c>
      <c r="DT16" s="575">
        <v>69436000</v>
      </c>
      <c r="DU16" s="576">
        <v>52831000</v>
      </c>
      <c r="DV16" s="569">
        <v>47190000</v>
      </c>
      <c r="DW16" s="569">
        <v>55102000</v>
      </c>
      <c r="DX16" s="569">
        <v>55793036</v>
      </c>
      <c r="DY16" s="569">
        <v>48280000</v>
      </c>
      <c r="DZ16" s="569">
        <v>45840000</v>
      </c>
      <c r="EA16" s="569">
        <v>56537000</v>
      </c>
      <c r="EB16" s="569">
        <v>68676000</v>
      </c>
      <c r="EC16" s="569">
        <v>60202000</v>
      </c>
      <c r="ED16" s="569">
        <v>59464000</v>
      </c>
      <c r="EE16" s="569">
        <v>69575000</v>
      </c>
      <c r="EF16" s="569">
        <v>69575000</v>
      </c>
      <c r="EG16" s="569">
        <v>43264000</v>
      </c>
      <c r="EH16" s="569">
        <v>49278000</v>
      </c>
      <c r="EI16" s="569">
        <v>53736000</v>
      </c>
      <c r="EJ16" s="569">
        <v>58466000</v>
      </c>
      <c r="EK16" s="569">
        <v>53865000</v>
      </c>
      <c r="EL16" s="569">
        <v>52354000</v>
      </c>
      <c r="EM16" s="569">
        <v>52641000</v>
      </c>
      <c r="EN16" s="570"/>
      <c r="EO16" s="570"/>
      <c r="EP16" s="570"/>
      <c r="EQ16" s="570"/>
      <c r="ER16" s="570"/>
      <c r="ES16" s="570"/>
      <c r="ET16" s="569">
        <v>27930000</v>
      </c>
      <c r="EU16" s="569">
        <v>34855000</v>
      </c>
      <c r="EV16" s="569">
        <v>62414000</v>
      </c>
      <c r="EW16" s="569">
        <v>60023000</v>
      </c>
      <c r="EX16" s="569">
        <v>59070000</v>
      </c>
      <c r="EY16" s="569">
        <v>56527000</v>
      </c>
      <c r="EZ16" s="569">
        <v>59464000</v>
      </c>
      <c r="FA16" s="569">
        <v>63478000</v>
      </c>
      <c r="FB16" s="569">
        <v>57422000</v>
      </c>
      <c r="FC16" s="569">
        <v>64402000</v>
      </c>
      <c r="FD16" s="569">
        <v>58797000</v>
      </c>
      <c r="FE16" s="569">
        <v>63189000</v>
      </c>
      <c r="FF16" s="570"/>
      <c r="FG16" s="570"/>
      <c r="FH16" s="570"/>
      <c r="FI16" s="571"/>
      <c r="FJ16" s="571"/>
      <c r="FK16" s="571"/>
      <c r="FL16" s="571"/>
      <c r="FM16" s="571"/>
      <c r="FN16" s="571"/>
      <c r="FO16" s="571"/>
      <c r="FP16" s="571"/>
      <c r="FQ16" s="571"/>
      <c r="FR16" s="571"/>
      <c r="FS16" s="571"/>
      <c r="FT16" s="571"/>
      <c r="FU16" s="571"/>
      <c r="FV16" s="571"/>
      <c r="FW16" s="571"/>
      <c r="FX16" s="571"/>
      <c r="FY16" s="571"/>
      <c r="FZ16" s="571"/>
      <c r="GA16" s="571"/>
      <c r="GB16" s="571"/>
      <c r="GC16" s="571"/>
    </row>
    <row r="17" spans="4:185" x14ac:dyDescent="0.2">
      <c r="D17" s="551"/>
      <c r="E17" s="561" t="s">
        <v>481</v>
      </c>
      <c r="F17" s="565"/>
      <c r="G17" s="566"/>
      <c r="H17" s="566"/>
      <c r="I17" s="566"/>
      <c r="J17" s="566"/>
      <c r="K17" s="566"/>
      <c r="L17" s="566"/>
      <c r="M17" s="566"/>
      <c r="N17" s="566"/>
      <c r="O17" s="566"/>
      <c r="P17" s="566"/>
      <c r="Q17" s="566"/>
      <c r="R17" s="565"/>
      <c r="S17" s="566"/>
      <c r="T17" s="566"/>
      <c r="U17" s="566"/>
      <c r="V17" s="566"/>
      <c r="W17" s="566"/>
      <c r="X17" s="566"/>
      <c r="Y17" s="566"/>
      <c r="Z17" s="566"/>
      <c r="AA17" s="566"/>
      <c r="AB17" s="566"/>
      <c r="AC17" s="566"/>
      <c r="AD17" s="565"/>
      <c r="AE17" s="566"/>
      <c r="AF17" s="566"/>
      <c r="AG17" s="566"/>
      <c r="AH17" s="566"/>
      <c r="AI17" s="566"/>
      <c r="AJ17" s="566"/>
      <c r="AK17" s="566"/>
      <c r="AL17" s="566"/>
      <c r="AM17" s="566"/>
      <c r="AN17" s="566"/>
      <c r="AO17" s="567"/>
      <c r="AP17" s="565"/>
      <c r="AQ17" s="566"/>
      <c r="AR17" s="566"/>
      <c r="AS17" s="566"/>
      <c r="AT17" s="566"/>
      <c r="AU17" s="566"/>
      <c r="AV17" s="566"/>
      <c r="AW17" s="566"/>
      <c r="AX17" s="566"/>
      <c r="AY17" s="566"/>
      <c r="AZ17" s="566"/>
      <c r="BA17" s="567"/>
      <c r="BB17" s="565"/>
      <c r="BC17" s="566"/>
      <c r="BD17" s="566"/>
      <c r="BE17" s="566"/>
      <c r="BF17" s="566"/>
      <c r="BG17" s="566"/>
      <c r="BH17" s="566"/>
      <c r="BI17" s="566"/>
      <c r="BJ17" s="566"/>
      <c r="BK17" s="566"/>
      <c r="BL17" s="566"/>
      <c r="BM17" s="567"/>
      <c r="BN17" s="571"/>
      <c r="BO17" s="571"/>
      <c r="BP17" s="571"/>
      <c r="BQ17" s="571"/>
      <c r="BR17" s="571"/>
      <c r="BS17" s="571"/>
      <c r="BT17" s="571"/>
      <c r="BU17" s="571"/>
      <c r="BV17" s="571"/>
      <c r="BW17" s="571"/>
      <c r="BX17" s="571"/>
      <c r="BY17" s="571"/>
      <c r="BZ17" s="565"/>
      <c r="CA17" s="566"/>
      <c r="CB17" s="566"/>
      <c r="CC17" s="566"/>
      <c r="CD17" s="566"/>
      <c r="CE17" s="566"/>
      <c r="CF17" s="566"/>
      <c r="CG17" s="566"/>
      <c r="CH17" s="566"/>
      <c r="CI17" s="566"/>
      <c r="CJ17" s="566"/>
      <c r="CK17" s="567"/>
      <c r="CL17" s="565"/>
      <c r="CM17" s="566"/>
      <c r="CN17" s="566"/>
      <c r="CO17" s="568"/>
      <c r="CP17" s="566"/>
      <c r="CQ17" s="566"/>
      <c r="CR17" s="566"/>
      <c r="CS17" s="566"/>
      <c r="CT17" s="566"/>
      <c r="CU17" s="566"/>
      <c r="CV17" s="566"/>
      <c r="CW17" s="567"/>
      <c r="CX17" s="570"/>
      <c r="CY17" s="570"/>
      <c r="CZ17" s="570"/>
      <c r="DA17" s="570"/>
      <c r="DB17" s="570"/>
      <c r="DC17" s="570"/>
      <c r="DD17" s="570"/>
      <c r="DE17" s="570"/>
      <c r="DF17" s="570"/>
      <c r="DG17" s="570"/>
      <c r="DH17" s="570"/>
      <c r="DI17" s="570"/>
      <c r="DJ17" s="575">
        <v>0</v>
      </c>
      <c r="DK17" s="575">
        <v>0</v>
      </c>
      <c r="DL17" s="575">
        <v>0</v>
      </c>
      <c r="DM17" s="575">
        <v>0</v>
      </c>
      <c r="DN17" s="575">
        <v>0</v>
      </c>
      <c r="DO17" s="575">
        <v>0</v>
      </c>
      <c r="DP17" s="565">
        <v>0</v>
      </c>
      <c r="DQ17" s="575">
        <v>0</v>
      </c>
      <c r="DR17" s="575">
        <v>0</v>
      </c>
      <c r="DS17" s="565">
        <v>0</v>
      </c>
      <c r="DT17" s="575">
        <v>1307400</v>
      </c>
      <c r="DU17" s="576">
        <v>13740000</v>
      </c>
      <c r="DV17" s="569">
        <v>11313600</v>
      </c>
      <c r="DW17" s="569">
        <v>22942900</v>
      </c>
      <c r="DX17" s="569">
        <v>23015100</v>
      </c>
      <c r="DY17" s="569">
        <v>13727400</v>
      </c>
      <c r="DZ17" s="569">
        <v>12836700</v>
      </c>
      <c r="EA17" s="569">
        <v>16895100</v>
      </c>
      <c r="EB17" s="569">
        <v>23229500</v>
      </c>
      <c r="EC17" s="569">
        <v>17908300</v>
      </c>
      <c r="ED17" s="569">
        <v>17601900</v>
      </c>
      <c r="EE17" s="569">
        <v>25958600</v>
      </c>
      <c r="EF17" s="569">
        <v>29681100</v>
      </c>
      <c r="EG17" s="569">
        <v>28618300</v>
      </c>
      <c r="EH17" s="569">
        <v>28975200</v>
      </c>
      <c r="EI17" s="569">
        <v>27557200</v>
      </c>
      <c r="EJ17" s="569">
        <v>28397500</v>
      </c>
      <c r="EK17" s="569">
        <v>18815100</v>
      </c>
      <c r="EL17" s="569">
        <v>19276600</v>
      </c>
      <c r="EM17" s="569">
        <v>24522200</v>
      </c>
      <c r="EN17" s="570"/>
      <c r="EO17" s="570"/>
      <c r="EP17" s="570"/>
      <c r="EQ17" s="570"/>
      <c r="ER17" s="570"/>
      <c r="ES17" s="570"/>
      <c r="ET17" s="569">
        <v>30348100</v>
      </c>
      <c r="EU17" s="569">
        <v>29370300</v>
      </c>
      <c r="EV17" s="569">
        <v>28602100</v>
      </c>
      <c r="EW17" s="569">
        <v>26811500</v>
      </c>
      <c r="EX17" s="569">
        <v>25135700</v>
      </c>
      <c r="EY17" s="569">
        <v>27989700</v>
      </c>
      <c r="EZ17" s="569">
        <v>15125100</v>
      </c>
      <c r="FA17" s="569">
        <v>11832400</v>
      </c>
      <c r="FB17" s="569">
        <v>24234000</v>
      </c>
      <c r="FC17" s="569">
        <v>20708400</v>
      </c>
      <c r="FD17" s="569">
        <v>25831700</v>
      </c>
      <c r="FE17" s="569">
        <v>20682100</v>
      </c>
      <c r="FF17" s="570"/>
      <c r="FG17" s="570"/>
      <c r="FH17" s="570"/>
      <c r="FI17" s="571"/>
      <c r="FJ17" s="571"/>
      <c r="FK17" s="571"/>
      <c r="FL17" s="571"/>
      <c r="FM17" s="571"/>
      <c r="FN17" s="571"/>
      <c r="FO17" s="571"/>
      <c r="FP17" s="571"/>
      <c r="FQ17" s="571"/>
      <c r="FR17" s="571"/>
      <c r="FS17" s="571"/>
      <c r="FT17" s="571"/>
      <c r="FU17" s="571"/>
      <c r="FV17" s="571"/>
      <c r="FW17" s="571"/>
      <c r="FX17" s="571"/>
      <c r="FY17" s="571"/>
      <c r="FZ17" s="571"/>
      <c r="GA17" s="571"/>
      <c r="GB17" s="571"/>
      <c r="GC17" s="571"/>
    </row>
    <row r="18" spans="4:185" x14ac:dyDescent="0.2">
      <c r="D18" s="551"/>
      <c r="E18" s="551" t="s">
        <v>463</v>
      </c>
      <c r="F18" s="565">
        <v>284700</v>
      </c>
      <c r="G18" s="566">
        <v>328400</v>
      </c>
      <c r="H18" s="566">
        <v>13800</v>
      </c>
      <c r="I18" s="566">
        <v>6400</v>
      </c>
      <c r="J18" s="566">
        <v>315200</v>
      </c>
      <c r="K18" s="566">
        <v>1124800</v>
      </c>
      <c r="L18" s="566">
        <v>477200</v>
      </c>
      <c r="M18" s="566">
        <v>1307600</v>
      </c>
      <c r="N18" s="566">
        <v>2500</v>
      </c>
      <c r="O18" s="566">
        <v>926400</v>
      </c>
      <c r="P18" s="566">
        <v>996100</v>
      </c>
      <c r="Q18" s="566">
        <v>2245800</v>
      </c>
      <c r="R18" s="565">
        <v>581900</v>
      </c>
      <c r="S18" s="566">
        <v>228300</v>
      </c>
      <c r="T18" s="566">
        <v>41100</v>
      </c>
      <c r="U18" s="566">
        <v>0</v>
      </c>
      <c r="V18" s="566">
        <v>0</v>
      </c>
      <c r="W18" s="566">
        <v>0</v>
      </c>
      <c r="X18" s="566">
        <v>235200</v>
      </c>
      <c r="Y18" s="566">
        <v>499900</v>
      </c>
      <c r="Z18" s="566">
        <v>614100</v>
      </c>
      <c r="AA18" s="566">
        <v>531800</v>
      </c>
      <c r="AB18" s="566">
        <v>863200</v>
      </c>
      <c r="AC18" s="566">
        <v>322780</v>
      </c>
      <c r="AD18" s="565">
        <v>6200</v>
      </c>
      <c r="AE18" s="566">
        <v>9700</v>
      </c>
      <c r="AF18" s="566">
        <v>6100</v>
      </c>
      <c r="AG18" s="566">
        <v>4000</v>
      </c>
      <c r="AH18" s="566">
        <v>4300</v>
      </c>
      <c r="AI18" s="566">
        <v>7700</v>
      </c>
      <c r="AJ18" s="566">
        <v>7200</v>
      </c>
      <c r="AK18" s="566">
        <v>0</v>
      </c>
      <c r="AL18" s="566">
        <v>0</v>
      </c>
      <c r="AM18" s="566">
        <v>0</v>
      </c>
      <c r="AN18" s="566">
        <v>0</v>
      </c>
      <c r="AO18" s="567">
        <v>0</v>
      </c>
      <c r="AP18" s="565">
        <v>0</v>
      </c>
      <c r="AQ18" s="566">
        <v>0</v>
      </c>
      <c r="AR18" s="566">
        <v>46600</v>
      </c>
      <c r="AS18" s="566">
        <v>19800</v>
      </c>
      <c r="AT18" s="566">
        <v>38000</v>
      </c>
      <c r="AU18" s="566">
        <v>1400</v>
      </c>
      <c r="AV18" s="566">
        <v>12100</v>
      </c>
      <c r="AW18" s="566">
        <v>5300</v>
      </c>
      <c r="AX18" s="566">
        <v>1500</v>
      </c>
      <c r="AY18" s="566">
        <v>36000</v>
      </c>
      <c r="AZ18" s="566">
        <v>584600</v>
      </c>
      <c r="BA18" s="567">
        <v>574700</v>
      </c>
      <c r="BB18" s="565">
        <v>1776400</v>
      </c>
      <c r="BC18" s="566">
        <v>1582600</v>
      </c>
      <c r="BD18" s="566">
        <v>1183300</v>
      </c>
      <c r="BE18" s="566">
        <v>165700</v>
      </c>
      <c r="BF18" s="566">
        <v>5700</v>
      </c>
      <c r="BG18" s="566">
        <v>18300</v>
      </c>
      <c r="BH18" s="566">
        <v>9800</v>
      </c>
      <c r="BI18" s="566">
        <v>8300</v>
      </c>
      <c r="BJ18" s="566">
        <v>1268300</v>
      </c>
      <c r="BK18" s="566">
        <v>1994000</v>
      </c>
      <c r="BL18" s="566">
        <v>2470600</v>
      </c>
      <c r="BM18" s="567">
        <v>1289900</v>
      </c>
      <c r="BN18" s="565">
        <v>1743100</v>
      </c>
      <c r="BO18" s="566">
        <v>1804800</v>
      </c>
      <c r="BP18" s="566">
        <v>146800</v>
      </c>
      <c r="BQ18" s="566">
        <v>0</v>
      </c>
      <c r="BR18" s="566">
        <v>0</v>
      </c>
      <c r="BS18" s="566">
        <v>0</v>
      </c>
      <c r="BT18" s="566">
        <v>0</v>
      </c>
      <c r="BU18" s="566">
        <v>0</v>
      </c>
      <c r="BV18" s="566">
        <v>0</v>
      </c>
      <c r="BW18" s="566">
        <v>0</v>
      </c>
      <c r="BX18" s="566">
        <v>0</v>
      </c>
      <c r="BY18" s="567">
        <v>0</v>
      </c>
      <c r="BZ18" s="565">
        <v>0</v>
      </c>
      <c r="CA18" s="566">
        <v>0</v>
      </c>
      <c r="CB18" s="566">
        <v>0</v>
      </c>
      <c r="CC18" s="566">
        <v>0</v>
      </c>
      <c r="CD18" s="566">
        <v>0</v>
      </c>
      <c r="CE18" s="566">
        <v>0</v>
      </c>
      <c r="CF18" s="566">
        <v>0</v>
      </c>
      <c r="CG18" s="566">
        <v>0</v>
      </c>
      <c r="CH18" s="566">
        <v>0</v>
      </c>
      <c r="CI18" s="566">
        <v>1545100</v>
      </c>
      <c r="CJ18" s="566">
        <v>1697900</v>
      </c>
      <c r="CK18" s="567">
        <v>845000</v>
      </c>
      <c r="CL18" s="565">
        <v>11600</v>
      </c>
      <c r="CM18" s="566">
        <v>7900</v>
      </c>
      <c r="CN18" s="566">
        <v>6500</v>
      </c>
      <c r="CO18" s="568">
        <v>2500</v>
      </c>
      <c r="CP18" s="566">
        <v>0</v>
      </c>
      <c r="CQ18" s="566">
        <v>0</v>
      </c>
      <c r="CR18" s="566">
        <v>0</v>
      </c>
      <c r="CS18" s="566">
        <v>0</v>
      </c>
      <c r="CT18" s="566">
        <v>0</v>
      </c>
      <c r="CU18" s="566">
        <v>0</v>
      </c>
      <c r="CV18" s="566">
        <v>0</v>
      </c>
      <c r="CW18" s="567">
        <v>0</v>
      </c>
      <c r="CX18" s="565">
        <v>0</v>
      </c>
      <c r="CY18" s="566">
        <v>0</v>
      </c>
      <c r="CZ18" s="566">
        <v>0</v>
      </c>
      <c r="DA18" s="566">
        <v>0</v>
      </c>
      <c r="DB18" s="566">
        <v>0</v>
      </c>
      <c r="DC18" s="566">
        <v>0</v>
      </c>
      <c r="DD18" s="566">
        <v>0</v>
      </c>
      <c r="DE18" s="566">
        <v>0</v>
      </c>
      <c r="DF18" s="566">
        <v>0</v>
      </c>
      <c r="DG18" s="566">
        <v>0</v>
      </c>
      <c r="DH18" s="566">
        <v>0</v>
      </c>
      <c r="DI18" s="567">
        <v>0</v>
      </c>
      <c r="DJ18" s="566">
        <v>0</v>
      </c>
      <c r="DK18" s="566">
        <v>0</v>
      </c>
      <c r="DL18" s="566">
        <v>0</v>
      </c>
      <c r="DM18" s="566">
        <v>0</v>
      </c>
      <c r="DN18" s="566">
        <v>0</v>
      </c>
      <c r="DO18" s="566">
        <v>0</v>
      </c>
      <c r="DP18" s="566">
        <v>0</v>
      </c>
      <c r="DQ18" s="566">
        <v>0</v>
      </c>
      <c r="DR18" s="566">
        <v>0</v>
      </c>
      <c r="DS18" s="566">
        <v>0</v>
      </c>
      <c r="DT18" s="566">
        <v>0</v>
      </c>
      <c r="DU18" s="567">
        <v>0</v>
      </c>
      <c r="DV18" s="569">
        <v>0</v>
      </c>
      <c r="DW18" s="569">
        <v>0</v>
      </c>
      <c r="DX18" s="569">
        <v>0</v>
      </c>
      <c r="DY18" s="569">
        <v>0</v>
      </c>
      <c r="DZ18" s="569">
        <v>0</v>
      </c>
      <c r="EA18" s="569">
        <v>0</v>
      </c>
      <c r="EB18" s="569">
        <v>0</v>
      </c>
      <c r="EC18" s="569">
        <v>0</v>
      </c>
      <c r="ED18" s="569">
        <v>0</v>
      </c>
      <c r="EE18" s="569">
        <v>0</v>
      </c>
      <c r="EF18" s="569">
        <v>0</v>
      </c>
      <c r="EG18" s="569">
        <v>0</v>
      </c>
      <c r="EH18" s="569">
        <v>0</v>
      </c>
      <c r="EI18" s="569">
        <v>0</v>
      </c>
      <c r="EJ18" s="569">
        <v>0</v>
      </c>
      <c r="EK18" s="569">
        <v>0</v>
      </c>
      <c r="EL18" s="569">
        <v>0</v>
      </c>
      <c r="EM18" s="569">
        <v>0</v>
      </c>
      <c r="EN18" s="570"/>
      <c r="EO18" s="570"/>
      <c r="EP18" s="570"/>
      <c r="EQ18" s="570"/>
      <c r="ER18" s="570"/>
      <c r="ES18" s="570"/>
      <c r="ET18" s="569">
        <v>0</v>
      </c>
      <c r="EU18" s="569">
        <v>0</v>
      </c>
      <c r="EV18" s="569">
        <v>0</v>
      </c>
      <c r="EW18" s="569">
        <v>0</v>
      </c>
      <c r="EX18" s="569">
        <v>1089000</v>
      </c>
      <c r="EY18" s="569">
        <v>12470000</v>
      </c>
      <c r="EZ18" s="569">
        <v>43443900</v>
      </c>
      <c r="FA18" s="569">
        <v>46626000</v>
      </c>
      <c r="FB18" s="569">
        <v>29136950</v>
      </c>
      <c r="FC18" s="569">
        <v>43148000</v>
      </c>
      <c r="FD18" s="569">
        <v>29721000</v>
      </c>
      <c r="FE18" s="569">
        <v>39039000</v>
      </c>
      <c r="FF18" s="570"/>
      <c r="FG18" s="570"/>
      <c r="FH18" s="570"/>
      <c r="FI18" s="571"/>
      <c r="FJ18" s="571"/>
      <c r="FK18" s="571"/>
      <c r="FL18" s="571"/>
      <c r="FM18" s="571"/>
      <c r="FN18" s="571"/>
      <c r="FO18" s="571"/>
      <c r="FP18" s="571"/>
      <c r="FQ18" s="571"/>
      <c r="FR18" s="571"/>
      <c r="FS18" s="571"/>
      <c r="FT18" s="571"/>
      <c r="FU18" s="571"/>
      <c r="FV18" s="571"/>
      <c r="FW18" s="571"/>
      <c r="FX18" s="571"/>
      <c r="FY18" s="571"/>
      <c r="FZ18" s="571"/>
      <c r="GA18" s="571"/>
      <c r="GB18" s="571"/>
      <c r="GC18" s="571"/>
    </row>
    <row r="19" spans="4:185" x14ac:dyDescent="0.2">
      <c r="D19" s="551"/>
      <c r="E19" s="551" t="s">
        <v>464</v>
      </c>
      <c r="F19" s="565">
        <v>487600</v>
      </c>
      <c r="G19" s="566">
        <v>1000800</v>
      </c>
      <c r="H19" s="566">
        <v>265400</v>
      </c>
      <c r="I19" s="566">
        <v>61100</v>
      </c>
      <c r="J19" s="566">
        <v>651600</v>
      </c>
      <c r="K19" s="566">
        <v>2447100</v>
      </c>
      <c r="L19" s="566">
        <v>2189300</v>
      </c>
      <c r="M19" s="566">
        <v>2400900</v>
      </c>
      <c r="N19" s="566">
        <v>2181700</v>
      </c>
      <c r="O19" s="566">
        <v>2480000</v>
      </c>
      <c r="P19" s="566">
        <v>2589800</v>
      </c>
      <c r="Q19" s="566">
        <v>2025500</v>
      </c>
      <c r="R19" s="565">
        <v>855400</v>
      </c>
      <c r="S19" s="566">
        <v>278900</v>
      </c>
      <c r="T19" s="566">
        <v>78400</v>
      </c>
      <c r="U19" s="566">
        <v>0</v>
      </c>
      <c r="V19" s="566">
        <v>30700</v>
      </c>
      <c r="W19" s="566">
        <v>360200</v>
      </c>
      <c r="X19" s="566">
        <v>1327300</v>
      </c>
      <c r="Y19" s="566">
        <v>875800</v>
      </c>
      <c r="Z19" s="566">
        <v>467500</v>
      </c>
      <c r="AA19" s="566">
        <v>998700</v>
      </c>
      <c r="AB19" s="566">
        <v>1271200</v>
      </c>
      <c r="AC19" s="566">
        <v>691600</v>
      </c>
      <c r="AD19" s="565">
        <v>2000</v>
      </c>
      <c r="AE19" s="566">
        <v>43300</v>
      </c>
      <c r="AF19" s="566">
        <v>6900</v>
      </c>
      <c r="AG19" s="566">
        <v>9600</v>
      </c>
      <c r="AH19" s="566">
        <v>1300</v>
      </c>
      <c r="AI19" s="566">
        <v>19100</v>
      </c>
      <c r="AJ19" s="566">
        <v>7100</v>
      </c>
      <c r="AK19" s="566">
        <v>4700</v>
      </c>
      <c r="AL19" s="566">
        <v>3300</v>
      </c>
      <c r="AM19" s="566">
        <v>1900</v>
      </c>
      <c r="AN19" s="566">
        <v>6920</v>
      </c>
      <c r="AO19" s="567">
        <v>6063</v>
      </c>
      <c r="AP19" s="565">
        <v>4036</v>
      </c>
      <c r="AQ19" s="566">
        <v>8636</v>
      </c>
      <c r="AR19" s="566">
        <v>74575</v>
      </c>
      <c r="AS19" s="566">
        <v>4225</v>
      </c>
      <c r="AT19" s="566">
        <v>24332</v>
      </c>
      <c r="AU19" s="566">
        <v>55145</v>
      </c>
      <c r="AV19" s="566">
        <v>5950</v>
      </c>
      <c r="AW19" s="566">
        <v>3383</v>
      </c>
      <c r="AX19" s="566">
        <v>672</v>
      </c>
      <c r="AY19" s="566">
        <v>37933</v>
      </c>
      <c r="AZ19" s="566">
        <v>271225</v>
      </c>
      <c r="BA19" s="567">
        <v>665130</v>
      </c>
      <c r="BB19" s="565">
        <v>649200</v>
      </c>
      <c r="BC19" s="566">
        <v>480200</v>
      </c>
      <c r="BD19" s="566">
        <v>669600</v>
      </c>
      <c r="BE19" s="566">
        <v>31700</v>
      </c>
      <c r="BF19" s="566">
        <v>79100</v>
      </c>
      <c r="BG19" s="566">
        <v>623700</v>
      </c>
      <c r="BH19" s="566">
        <v>467100</v>
      </c>
      <c r="BI19" s="566">
        <v>99000</v>
      </c>
      <c r="BJ19" s="566">
        <v>497800</v>
      </c>
      <c r="BK19" s="566">
        <v>624600</v>
      </c>
      <c r="BL19" s="566">
        <v>822400</v>
      </c>
      <c r="BM19" s="567">
        <v>495700</v>
      </c>
      <c r="BN19" s="565">
        <v>538300</v>
      </c>
      <c r="BO19" s="566">
        <v>2200</v>
      </c>
      <c r="BP19" s="566">
        <v>9800</v>
      </c>
      <c r="BQ19" s="566">
        <v>0</v>
      </c>
      <c r="BR19" s="566">
        <v>0</v>
      </c>
      <c r="BS19" s="566">
        <v>0</v>
      </c>
      <c r="BT19" s="566">
        <v>0</v>
      </c>
      <c r="BU19" s="566">
        <v>0</v>
      </c>
      <c r="BV19" s="566">
        <v>0</v>
      </c>
      <c r="BW19" s="566">
        <v>0</v>
      </c>
      <c r="BX19" s="566">
        <v>0</v>
      </c>
      <c r="BY19" s="567">
        <v>0</v>
      </c>
      <c r="BZ19" s="565">
        <v>0</v>
      </c>
      <c r="CA19" s="566">
        <v>438600</v>
      </c>
      <c r="CB19" s="566">
        <v>40200</v>
      </c>
      <c r="CC19" s="566">
        <v>0</v>
      </c>
      <c r="CD19" s="566">
        <v>0</v>
      </c>
      <c r="CE19" s="566">
        <v>0</v>
      </c>
      <c r="CF19" s="566">
        <v>0</v>
      </c>
      <c r="CG19" s="566">
        <v>211300</v>
      </c>
      <c r="CH19" s="566">
        <v>172700</v>
      </c>
      <c r="CI19" s="566">
        <v>168500</v>
      </c>
      <c r="CJ19" s="566">
        <v>472700</v>
      </c>
      <c r="CK19" s="567">
        <v>229100</v>
      </c>
      <c r="CL19" s="565">
        <v>0</v>
      </c>
      <c r="CM19" s="566">
        <v>0</v>
      </c>
      <c r="CN19" s="566">
        <v>0</v>
      </c>
      <c r="CO19" s="568">
        <v>3300</v>
      </c>
      <c r="CP19" s="568">
        <v>2900</v>
      </c>
      <c r="CQ19" s="566">
        <v>1300</v>
      </c>
      <c r="CR19" s="568">
        <v>4500</v>
      </c>
      <c r="CS19" s="568">
        <v>3100</v>
      </c>
      <c r="CT19" s="566">
        <v>0</v>
      </c>
      <c r="CU19" s="566">
        <v>0</v>
      </c>
      <c r="CV19" s="566">
        <v>0</v>
      </c>
      <c r="CW19" s="567">
        <v>0</v>
      </c>
      <c r="CX19" s="565">
        <v>83560</v>
      </c>
      <c r="CY19" s="566">
        <v>87790</v>
      </c>
      <c r="CZ19" s="566">
        <v>78650</v>
      </c>
      <c r="DA19" s="566">
        <v>91170</v>
      </c>
      <c r="DB19" s="566">
        <v>166290</v>
      </c>
      <c r="DC19" s="566">
        <v>201890</v>
      </c>
      <c r="DD19" s="566">
        <v>213450</v>
      </c>
      <c r="DE19" s="566">
        <v>209540</v>
      </c>
      <c r="DF19" s="566">
        <v>208590</v>
      </c>
      <c r="DG19" s="566">
        <v>215600</v>
      </c>
      <c r="DH19" s="566">
        <v>211970</v>
      </c>
      <c r="DI19" s="567">
        <v>315860</v>
      </c>
      <c r="DJ19" s="566">
        <v>0</v>
      </c>
      <c r="DK19" s="566">
        <v>0</v>
      </c>
      <c r="DL19" s="566">
        <v>0</v>
      </c>
      <c r="DM19" s="566">
        <v>0</v>
      </c>
      <c r="DN19" s="566">
        <v>0</v>
      </c>
      <c r="DO19" s="566">
        <v>0</v>
      </c>
      <c r="DP19" s="566">
        <v>0</v>
      </c>
      <c r="DQ19" s="566">
        <v>0</v>
      </c>
      <c r="DR19" s="566">
        <v>0</v>
      </c>
      <c r="DS19" s="566">
        <v>0</v>
      </c>
      <c r="DT19" s="566">
        <v>0</v>
      </c>
      <c r="DU19" s="566">
        <v>0</v>
      </c>
      <c r="DV19" s="569">
        <v>0</v>
      </c>
      <c r="DW19" s="569">
        <v>0</v>
      </c>
      <c r="DX19" s="569">
        <v>0</v>
      </c>
      <c r="DY19" s="569">
        <v>0</v>
      </c>
      <c r="DZ19" s="569">
        <v>0</v>
      </c>
      <c r="EA19" s="569">
        <v>0</v>
      </c>
      <c r="EB19" s="569">
        <v>0</v>
      </c>
      <c r="EC19" s="569">
        <v>0</v>
      </c>
      <c r="ED19" s="569">
        <v>0</v>
      </c>
      <c r="EE19" s="569">
        <v>0</v>
      </c>
      <c r="EF19" s="569">
        <v>0</v>
      </c>
      <c r="EG19" s="569">
        <v>0</v>
      </c>
      <c r="EH19" s="569">
        <v>0</v>
      </c>
      <c r="EI19" s="569">
        <v>0</v>
      </c>
      <c r="EJ19" s="569">
        <v>0</v>
      </c>
      <c r="EK19" s="569">
        <v>0</v>
      </c>
      <c r="EL19" s="569">
        <v>0</v>
      </c>
      <c r="EM19" s="569">
        <v>0</v>
      </c>
      <c r="EN19" s="570"/>
      <c r="EO19" s="570"/>
      <c r="EP19" s="570"/>
      <c r="EQ19" s="570"/>
      <c r="ER19" s="570"/>
      <c r="ES19" s="570"/>
      <c r="ET19" s="569">
        <v>0</v>
      </c>
      <c r="EU19" s="569">
        <v>0</v>
      </c>
      <c r="EV19" s="569">
        <v>0</v>
      </c>
      <c r="EW19" s="569">
        <v>0</v>
      </c>
      <c r="EX19" s="569">
        <v>0</v>
      </c>
      <c r="EY19" s="569">
        <v>0</v>
      </c>
      <c r="EZ19" s="569">
        <v>0</v>
      </c>
      <c r="FA19" s="569">
        <v>0</v>
      </c>
      <c r="FB19" s="569">
        <v>0</v>
      </c>
      <c r="FC19" s="569">
        <v>0</v>
      </c>
      <c r="FD19" s="569">
        <v>0</v>
      </c>
      <c r="FE19" s="569">
        <v>0</v>
      </c>
      <c r="FF19" s="570"/>
      <c r="FG19" s="570"/>
      <c r="FH19" s="570"/>
      <c r="FI19" s="571"/>
      <c r="FJ19" s="571"/>
      <c r="FK19" s="571"/>
      <c r="FL19" s="571"/>
      <c r="FM19" s="571"/>
      <c r="FN19" s="571"/>
      <c r="FO19" s="571"/>
      <c r="FP19" s="571"/>
      <c r="FQ19" s="571"/>
      <c r="FR19" s="571"/>
      <c r="FS19" s="571"/>
      <c r="FT19" s="571"/>
      <c r="FU19" s="571"/>
      <c r="FV19" s="571"/>
      <c r="FW19" s="571"/>
      <c r="FX19" s="571"/>
      <c r="FY19" s="571"/>
      <c r="FZ19" s="571"/>
      <c r="GA19" s="571"/>
      <c r="GB19" s="571"/>
      <c r="GC19" s="571"/>
    </row>
    <row r="20" spans="4:185" x14ac:dyDescent="0.2">
      <c r="D20" s="551"/>
      <c r="E20" s="551" t="s">
        <v>465</v>
      </c>
      <c r="F20" s="565">
        <v>252520</v>
      </c>
      <c r="G20" s="566">
        <v>646800</v>
      </c>
      <c r="H20" s="566">
        <v>337320</v>
      </c>
      <c r="I20" s="566">
        <v>224530</v>
      </c>
      <c r="J20" s="566">
        <v>628850</v>
      </c>
      <c r="K20" s="566">
        <v>1839580</v>
      </c>
      <c r="L20" s="566">
        <v>1888900</v>
      </c>
      <c r="M20" s="566">
        <v>1107450</v>
      </c>
      <c r="N20" s="566">
        <v>104990</v>
      </c>
      <c r="O20" s="566">
        <v>1054960</v>
      </c>
      <c r="P20" s="566">
        <v>1723920</v>
      </c>
      <c r="Q20" s="566">
        <v>901120</v>
      </c>
      <c r="R20" s="565">
        <v>677600</v>
      </c>
      <c r="S20" s="566">
        <v>385720</v>
      </c>
      <c r="T20" s="566">
        <v>150420</v>
      </c>
      <c r="U20" s="566">
        <v>7880</v>
      </c>
      <c r="V20" s="566">
        <v>1260</v>
      </c>
      <c r="W20" s="566">
        <v>382920</v>
      </c>
      <c r="X20" s="566">
        <v>675700</v>
      </c>
      <c r="Y20" s="566">
        <v>1131440</v>
      </c>
      <c r="Z20" s="566">
        <v>896500</v>
      </c>
      <c r="AA20" s="566">
        <v>753160</v>
      </c>
      <c r="AB20" s="566">
        <v>708640</v>
      </c>
      <c r="AC20" s="566">
        <v>726920</v>
      </c>
      <c r="AD20" s="565">
        <v>8100</v>
      </c>
      <c r="AE20" s="566">
        <v>30940</v>
      </c>
      <c r="AF20" s="566">
        <v>17260</v>
      </c>
      <c r="AG20" s="566">
        <v>4020</v>
      </c>
      <c r="AH20" s="566">
        <v>19260</v>
      </c>
      <c r="AI20" s="566">
        <v>11580</v>
      </c>
      <c r="AJ20" s="566">
        <v>7650</v>
      </c>
      <c r="AK20" s="566">
        <v>1010</v>
      </c>
      <c r="AL20" s="566">
        <v>4390</v>
      </c>
      <c r="AM20" s="566">
        <v>22600</v>
      </c>
      <c r="AN20" s="566">
        <v>4200</v>
      </c>
      <c r="AO20" s="567">
        <v>8400</v>
      </c>
      <c r="AP20" s="565">
        <v>4200</v>
      </c>
      <c r="AQ20" s="566">
        <v>5400</v>
      </c>
      <c r="AR20" s="566">
        <v>58600</v>
      </c>
      <c r="AS20" s="566">
        <v>3800</v>
      </c>
      <c r="AT20" s="566">
        <v>8000</v>
      </c>
      <c r="AU20" s="566">
        <v>0</v>
      </c>
      <c r="AV20" s="566">
        <v>6400</v>
      </c>
      <c r="AW20" s="566">
        <v>2100</v>
      </c>
      <c r="AX20" s="566">
        <v>4300</v>
      </c>
      <c r="AY20" s="566">
        <v>40700</v>
      </c>
      <c r="AZ20" s="566">
        <v>287900</v>
      </c>
      <c r="BA20" s="567">
        <v>947300</v>
      </c>
      <c r="BB20" s="565">
        <v>579540</v>
      </c>
      <c r="BC20" s="566">
        <v>992820</v>
      </c>
      <c r="BD20" s="566">
        <v>950770</v>
      </c>
      <c r="BE20" s="566">
        <v>137540</v>
      </c>
      <c r="BF20" s="566">
        <v>8980</v>
      </c>
      <c r="BG20" s="566">
        <v>7100</v>
      </c>
      <c r="BH20" s="566">
        <v>1120</v>
      </c>
      <c r="BI20" s="566">
        <v>2470</v>
      </c>
      <c r="BJ20" s="566">
        <v>844160</v>
      </c>
      <c r="BK20" s="566">
        <v>980010</v>
      </c>
      <c r="BL20" s="566">
        <v>1098100</v>
      </c>
      <c r="BM20" s="567">
        <v>493900</v>
      </c>
      <c r="BN20" s="565">
        <v>340630</v>
      </c>
      <c r="BO20" s="566">
        <v>934410</v>
      </c>
      <c r="BP20" s="566">
        <v>267480</v>
      </c>
      <c r="BQ20" s="566">
        <v>2720</v>
      </c>
      <c r="BR20" s="566">
        <v>1730</v>
      </c>
      <c r="BS20" s="566">
        <v>5670</v>
      </c>
      <c r="BT20" s="566">
        <v>3970</v>
      </c>
      <c r="BU20" s="566">
        <v>6900</v>
      </c>
      <c r="BV20" s="566">
        <v>4700</v>
      </c>
      <c r="BW20" s="566">
        <v>87880</v>
      </c>
      <c r="BX20" s="566">
        <v>490</v>
      </c>
      <c r="BY20" s="567">
        <v>0</v>
      </c>
      <c r="BZ20" s="565">
        <v>9060</v>
      </c>
      <c r="CA20" s="566">
        <v>1209500</v>
      </c>
      <c r="CB20" s="566">
        <v>0</v>
      </c>
      <c r="CC20" s="566">
        <v>0</v>
      </c>
      <c r="CD20" s="566">
        <v>385150</v>
      </c>
      <c r="CE20" s="566">
        <v>501350</v>
      </c>
      <c r="CF20" s="566">
        <v>17610</v>
      </c>
      <c r="CG20" s="566">
        <v>406440</v>
      </c>
      <c r="CH20" s="566">
        <v>1031650</v>
      </c>
      <c r="CI20" s="566">
        <v>1199680</v>
      </c>
      <c r="CJ20" s="566">
        <v>4328493</v>
      </c>
      <c r="CK20" s="567">
        <v>321490</v>
      </c>
      <c r="CL20" s="565">
        <v>1250</v>
      </c>
      <c r="CM20" s="566">
        <v>4800</v>
      </c>
      <c r="CN20" s="566">
        <v>1330</v>
      </c>
      <c r="CO20" s="566">
        <v>8190</v>
      </c>
      <c r="CP20" s="566">
        <v>8880</v>
      </c>
      <c r="CQ20" s="566">
        <v>3210</v>
      </c>
      <c r="CR20" s="566">
        <v>0</v>
      </c>
      <c r="CS20" s="566">
        <v>0</v>
      </c>
      <c r="CT20" s="566">
        <v>7320</v>
      </c>
      <c r="CU20" s="566">
        <v>42570</v>
      </c>
      <c r="CV20" s="566">
        <v>118270</v>
      </c>
      <c r="CW20" s="567">
        <v>120930</v>
      </c>
      <c r="CX20" s="565">
        <v>4200</v>
      </c>
      <c r="CY20" s="566">
        <v>0</v>
      </c>
      <c r="CZ20" s="566">
        <v>0</v>
      </c>
      <c r="DA20" s="566">
        <v>0</v>
      </c>
      <c r="DB20" s="566">
        <v>0</v>
      </c>
      <c r="DC20" s="566">
        <v>0</v>
      </c>
      <c r="DD20" s="566">
        <v>0</v>
      </c>
      <c r="DE20" s="566">
        <v>0</v>
      </c>
      <c r="DF20" s="566">
        <v>0</v>
      </c>
      <c r="DG20" s="566">
        <v>0</v>
      </c>
      <c r="DH20" s="566">
        <v>0</v>
      </c>
      <c r="DI20" s="567">
        <v>0</v>
      </c>
      <c r="DJ20" s="565">
        <v>161490</v>
      </c>
      <c r="DK20" s="566">
        <v>11590</v>
      </c>
      <c r="DL20" s="566">
        <v>9240</v>
      </c>
      <c r="DM20" s="566">
        <v>300</v>
      </c>
      <c r="DN20" s="566">
        <v>1570</v>
      </c>
      <c r="DO20" s="566">
        <v>10420</v>
      </c>
      <c r="DP20" s="566">
        <v>4260</v>
      </c>
      <c r="DQ20" s="566">
        <v>7510</v>
      </c>
      <c r="DR20" s="566">
        <v>491130</v>
      </c>
      <c r="DS20" s="566">
        <v>1121950</v>
      </c>
      <c r="DT20" s="566">
        <v>382730</v>
      </c>
      <c r="DU20" s="566">
        <v>224720</v>
      </c>
      <c r="DV20" s="569">
        <v>0</v>
      </c>
      <c r="DW20" s="569">
        <v>0</v>
      </c>
      <c r="DX20" s="569">
        <v>0</v>
      </c>
      <c r="DY20" s="569">
        <v>3680</v>
      </c>
      <c r="DZ20" s="569">
        <v>19170</v>
      </c>
      <c r="EA20" s="569">
        <v>0</v>
      </c>
      <c r="EB20" s="569">
        <v>7170</v>
      </c>
      <c r="EC20" s="569">
        <v>7210</v>
      </c>
      <c r="ED20" s="569">
        <v>2870</v>
      </c>
      <c r="EE20" s="569">
        <v>2870</v>
      </c>
      <c r="EF20" s="569">
        <v>573409</v>
      </c>
      <c r="EG20" s="569">
        <v>445720</v>
      </c>
      <c r="EH20" s="569">
        <v>511600</v>
      </c>
      <c r="EI20" s="569">
        <v>585540</v>
      </c>
      <c r="EJ20" s="569">
        <v>263280</v>
      </c>
      <c r="EK20" s="569">
        <v>51360</v>
      </c>
      <c r="EL20" s="569">
        <v>262330</v>
      </c>
      <c r="EM20" s="569">
        <v>832770</v>
      </c>
      <c r="EN20" s="570"/>
      <c r="EO20" s="570"/>
      <c r="EP20" s="570"/>
      <c r="EQ20" s="570"/>
      <c r="ER20" s="570"/>
      <c r="ES20" s="570"/>
      <c r="ET20" s="569">
        <v>27930</v>
      </c>
      <c r="EU20" s="569">
        <v>480160</v>
      </c>
      <c r="EV20" s="569">
        <v>534300</v>
      </c>
      <c r="EW20" s="569">
        <v>274960</v>
      </c>
      <c r="EX20" s="569">
        <v>277800</v>
      </c>
      <c r="EY20" s="569">
        <v>233500</v>
      </c>
      <c r="EZ20" s="569">
        <v>56910</v>
      </c>
      <c r="FA20" s="569">
        <v>1029530</v>
      </c>
      <c r="FB20" s="569">
        <v>0</v>
      </c>
      <c r="FC20" s="569">
        <v>547910</v>
      </c>
      <c r="FD20" s="569">
        <v>901270</v>
      </c>
      <c r="FE20" s="569">
        <v>546520</v>
      </c>
      <c r="FF20" s="570"/>
      <c r="FG20" s="570"/>
      <c r="FH20" s="570"/>
      <c r="FI20" s="571"/>
      <c r="FJ20" s="571"/>
      <c r="FK20" s="571"/>
      <c r="FL20" s="571"/>
      <c r="FM20" s="571"/>
      <c r="FN20" s="571"/>
      <c r="FO20" s="571"/>
      <c r="FP20" s="571"/>
      <c r="FQ20" s="571"/>
      <c r="FR20" s="571"/>
      <c r="FS20" s="571"/>
      <c r="FT20" s="571"/>
      <c r="FU20" s="571"/>
      <c r="FV20" s="571"/>
      <c r="FW20" s="571"/>
      <c r="FX20" s="571"/>
      <c r="FY20" s="571"/>
      <c r="FZ20" s="571"/>
      <c r="GA20" s="571"/>
      <c r="GB20" s="571"/>
      <c r="GC20" s="571"/>
    </row>
    <row r="21" spans="4:185" x14ac:dyDescent="0.2">
      <c r="D21" s="551"/>
      <c r="E21" s="551" t="s">
        <v>466</v>
      </c>
      <c r="F21" s="565">
        <v>84700</v>
      </c>
      <c r="G21" s="566">
        <v>126000</v>
      </c>
      <c r="H21" s="566">
        <v>11600</v>
      </c>
      <c r="I21" s="566">
        <v>35900</v>
      </c>
      <c r="J21" s="566">
        <v>236500</v>
      </c>
      <c r="K21" s="566">
        <v>248200</v>
      </c>
      <c r="L21" s="566">
        <v>305700</v>
      </c>
      <c r="M21" s="566">
        <v>6900</v>
      </c>
      <c r="N21" s="566">
        <v>4600</v>
      </c>
      <c r="O21" s="566">
        <v>360000</v>
      </c>
      <c r="P21" s="566">
        <v>398400</v>
      </c>
      <c r="Q21" s="566">
        <v>263500</v>
      </c>
      <c r="R21" s="565">
        <v>9000</v>
      </c>
      <c r="S21" s="566">
        <v>12600</v>
      </c>
      <c r="T21" s="566">
        <v>16500</v>
      </c>
      <c r="U21" s="566">
        <v>15200</v>
      </c>
      <c r="V21" s="566">
        <v>15100</v>
      </c>
      <c r="W21" s="566">
        <v>484700</v>
      </c>
      <c r="X21" s="566">
        <v>582000</v>
      </c>
      <c r="Y21" s="566">
        <v>4800</v>
      </c>
      <c r="Z21" s="566">
        <v>132600</v>
      </c>
      <c r="AA21" s="566">
        <v>20600</v>
      </c>
      <c r="AB21" s="566">
        <v>0</v>
      </c>
      <c r="AC21" s="566">
        <v>14600</v>
      </c>
      <c r="AD21" s="565">
        <v>8200</v>
      </c>
      <c r="AE21" s="566">
        <v>37600</v>
      </c>
      <c r="AF21" s="566">
        <v>8300</v>
      </c>
      <c r="AG21" s="566">
        <v>8300</v>
      </c>
      <c r="AH21" s="566">
        <v>15600</v>
      </c>
      <c r="AI21" s="566">
        <v>3800</v>
      </c>
      <c r="AJ21" s="566">
        <v>7000</v>
      </c>
      <c r="AK21" s="566">
        <v>4200</v>
      </c>
      <c r="AL21" s="566">
        <v>1900</v>
      </c>
      <c r="AM21" s="566">
        <v>2100</v>
      </c>
      <c r="AN21" s="566">
        <v>0</v>
      </c>
      <c r="AO21" s="567">
        <v>2400</v>
      </c>
      <c r="AP21" s="565">
        <v>3200</v>
      </c>
      <c r="AQ21" s="566">
        <v>0</v>
      </c>
      <c r="AR21" s="566">
        <v>0</v>
      </c>
      <c r="AS21" s="566">
        <v>0</v>
      </c>
      <c r="AT21" s="566">
        <v>0</v>
      </c>
      <c r="AU21" s="566">
        <v>0</v>
      </c>
      <c r="AV21" s="566">
        <v>0</v>
      </c>
      <c r="AW21" s="566">
        <v>0</v>
      </c>
      <c r="AX21" s="566">
        <v>0</v>
      </c>
      <c r="AY21" s="566">
        <v>0</v>
      </c>
      <c r="AZ21" s="566">
        <v>0</v>
      </c>
      <c r="BA21" s="567">
        <v>58800</v>
      </c>
      <c r="BB21" s="565">
        <v>935900</v>
      </c>
      <c r="BC21" s="566">
        <v>876500</v>
      </c>
      <c r="BD21" s="566">
        <v>1009900</v>
      </c>
      <c r="BE21" s="566">
        <v>112500</v>
      </c>
      <c r="BF21" s="566">
        <v>8300</v>
      </c>
      <c r="BG21" s="566">
        <v>4600</v>
      </c>
      <c r="BH21" s="566">
        <v>7900</v>
      </c>
      <c r="BI21" s="566">
        <v>9000</v>
      </c>
      <c r="BJ21" s="566">
        <v>2203100</v>
      </c>
      <c r="BK21" s="566">
        <v>1140900</v>
      </c>
      <c r="BL21" s="566">
        <v>1734400</v>
      </c>
      <c r="BM21" s="567">
        <v>969349</v>
      </c>
      <c r="BN21" s="565">
        <v>212500</v>
      </c>
      <c r="BO21" s="566">
        <v>699700</v>
      </c>
      <c r="BP21" s="566">
        <v>77200</v>
      </c>
      <c r="BQ21" s="566">
        <v>0</v>
      </c>
      <c r="BR21" s="566">
        <v>107500</v>
      </c>
      <c r="BS21" s="566">
        <v>221800</v>
      </c>
      <c r="BT21" s="566">
        <v>229500</v>
      </c>
      <c r="BU21" s="566">
        <v>210200</v>
      </c>
      <c r="BV21" s="566">
        <v>201900</v>
      </c>
      <c r="BW21" s="566">
        <v>199200</v>
      </c>
      <c r="BX21" s="566">
        <v>211000</v>
      </c>
      <c r="BY21" s="567">
        <v>174800</v>
      </c>
      <c r="BZ21" s="565">
        <v>207000</v>
      </c>
      <c r="CA21" s="566">
        <v>675700</v>
      </c>
      <c r="CB21" s="566">
        <v>822100</v>
      </c>
      <c r="CC21" s="566">
        <v>157800</v>
      </c>
      <c r="CD21" s="566">
        <v>251500</v>
      </c>
      <c r="CE21" s="566">
        <v>296400</v>
      </c>
      <c r="CF21" s="566">
        <v>474400</v>
      </c>
      <c r="CG21" s="566">
        <v>316500</v>
      </c>
      <c r="CH21" s="566">
        <v>848200</v>
      </c>
      <c r="CI21" s="566">
        <v>426400</v>
      </c>
      <c r="CJ21" s="566">
        <v>251100</v>
      </c>
      <c r="CK21" s="567">
        <v>8300</v>
      </c>
      <c r="CL21" s="565">
        <v>8100</v>
      </c>
      <c r="CM21" s="566">
        <v>9400</v>
      </c>
      <c r="CN21" s="566">
        <v>8200</v>
      </c>
      <c r="CO21" s="568">
        <v>4000</v>
      </c>
      <c r="CP21" s="568">
        <v>8500</v>
      </c>
      <c r="CQ21" s="568">
        <v>8400</v>
      </c>
      <c r="CR21" s="568">
        <v>9100</v>
      </c>
      <c r="CS21" s="566">
        <v>8700</v>
      </c>
      <c r="CT21" s="566">
        <v>6600</v>
      </c>
      <c r="CU21" s="566">
        <v>8100</v>
      </c>
      <c r="CV21" s="566">
        <v>8500</v>
      </c>
      <c r="CW21" s="567">
        <v>8000</v>
      </c>
      <c r="CX21" s="565">
        <v>0</v>
      </c>
      <c r="CY21" s="566">
        <v>0</v>
      </c>
      <c r="CZ21" s="566">
        <v>0</v>
      </c>
      <c r="DA21" s="566">
        <v>0</v>
      </c>
      <c r="DB21" s="566">
        <v>0</v>
      </c>
      <c r="DC21" s="566">
        <v>0</v>
      </c>
      <c r="DD21" s="566">
        <v>0</v>
      </c>
      <c r="DE21" s="566">
        <v>0</v>
      </c>
      <c r="DF21" s="566">
        <v>0</v>
      </c>
      <c r="DG21" s="566">
        <v>0</v>
      </c>
      <c r="DH21" s="566">
        <v>0</v>
      </c>
      <c r="DI21" s="567">
        <v>0</v>
      </c>
      <c r="DJ21" s="565">
        <v>0</v>
      </c>
      <c r="DK21" s="566">
        <v>0</v>
      </c>
      <c r="DL21" s="566">
        <v>0</v>
      </c>
      <c r="DM21" s="566">
        <v>0</v>
      </c>
      <c r="DN21" s="566">
        <v>0</v>
      </c>
      <c r="DO21" s="566">
        <v>0</v>
      </c>
      <c r="DP21" s="566">
        <v>0</v>
      </c>
      <c r="DQ21" s="566">
        <v>0</v>
      </c>
      <c r="DR21" s="566">
        <v>0</v>
      </c>
      <c r="DS21" s="566">
        <v>0</v>
      </c>
      <c r="DT21" s="566">
        <v>0</v>
      </c>
      <c r="DU21" s="567">
        <v>0</v>
      </c>
      <c r="DV21" s="569">
        <v>0</v>
      </c>
      <c r="DW21" s="569">
        <v>0</v>
      </c>
      <c r="DX21" s="569">
        <v>0</v>
      </c>
      <c r="DY21" s="569">
        <v>0</v>
      </c>
      <c r="DZ21" s="569">
        <v>0</v>
      </c>
      <c r="EA21" s="569">
        <v>0</v>
      </c>
      <c r="EB21" s="569">
        <v>0</v>
      </c>
      <c r="EC21" s="569">
        <v>0</v>
      </c>
      <c r="ED21" s="569">
        <v>0</v>
      </c>
      <c r="EE21" s="569">
        <v>0</v>
      </c>
      <c r="EF21" s="569">
        <v>0</v>
      </c>
      <c r="EG21" s="569">
        <v>0</v>
      </c>
      <c r="EH21" s="569">
        <v>0</v>
      </c>
      <c r="EI21" s="569">
        <v>0</v>
      </c>
      <c r="EJ21" s="569">
        <v>0</v>
      </c>
      <c r="EK21" s="569">
        <v>0</v>
      </c>
      <c r="EL21" s="569">
        <v>0</v>
      </c>
      <c r="EM21" s="569">
        <v>0</v>
      </c>
      <c r="EN21" s="570"/>
      <c r="EO21" s="570"/>
      <c r="EP21" s="570"/>
      <c r="EQ21" s="570"/>
      <c r="ER21" s="570"/>
      <c r="ES21" s="570"/>
      <c r="ET21" s="569">
        <v>0</v>
      </c>
      <c r="EU21" s="569">
        <v>0</v>
      </c>
      <c r="EV21" s="569">
        <v>0</v>
      </c>
      <c r="EW21" s="569">
        <v>0</v>
      </c>
      <c r="EX21" s="569">
        <v>0</v>
      </c>
      <c r="EY21" s="569">
        <v>0</v>
      </c>
      <c r="EZ21" s="569">
        <v>0</v>
      </c>
      <c r="FA21" s="569">
        <v>0</v>
      </c>
      <c r="FB21" s="569">
        <v>0</v>
      </c>
      <c r="FC21" s="569">
        <v>0</v>
      </c>
      <c r="FD21" s="569">
        <v>0</v>
      </c>
      <c r="FE21" s="569">
        <v>0</v>
      </c>
      <c r="FF21" s="570"/>
      <c r="FG21" s="570"/>
      <c r="FH21" s="570"/>
      <c r="FI21" s="571"/>
      <c r="FJ21" s="571"/>
      <c r="FK21" s="571"/>
      <c r="FL21" s="571"/>
      <c r="FM21" s="571"/>
      <c r="FN21" s="571"/>
      <c r="FO21" s="571"/>
      <c r="FP21" s="571"/>
      <c r="FQ21" s="571"/>
      <c r="FR21" s="571"/>
      <c r="FS21" s="571"/>
      <c r="FT21" s="571"/>
      <c r="FU21" s="571"/>
      <c r="FV21" s="571"/>
      <c r="FW21" s="571"/>
      <c r="FX21" s="571"/>
      <c r="FY21" s="571"/>
      <c r="FZ21" s="571"/>
      <c r="GA21" s="571"/>
      <c r="GB21" s="571"/>
      <c r="GC21" s="571"/>
    </row>
    <row r="22" spans="4:185" x14ac:dyDescent="0.2">
      <c r="D22" s="551"/>
      <c r="E22" s="551" t="s">
        <v>467</v>
      </c>
      <c r="F22" s="565">
        <v>143400</v>
      </c>
      <c r="G22" s="566">
        <v>534400</v>
      </c>
      <c r="H22" s="566">
        <v>147700</v>
      </c>
      <c r="I22" s="566">
        <v>39200</v>
      </c>
      <c r="J22" s="566">
        <v>756800</v>
      </c>
      <c r="K22" s="566">
        <v>1565200</v>
      </c>
      <c r="L22" s="566">
        <v>1394400</v>
      </c>
      <c r="M22" s="566">
        <v>0</v>
      </c>
      <c r="N22" s="566">
        <v>874200</v>
      </c>
      <c r="O22" s="566">
        <v>1705400</v>
      </c>
      <c r="P22" s="566">
        <v>1577300</v>
      </c>
      <c r="Q22" s="566">
        <v>571400</v>
      </c>
      <c r="R22" s="565">
        <v>684200</v>
      </c>
      <c r="S22" s="566">
        <v>76900</v>
      </c>
      <c r="T22" s="566">
        <v>0</v>
      </c>
      <c r="U22" s="566">
        <v>0</v>
      </c>
      <c r="V22" s="566">
        <v>34300</v>
      </c>
      <c r="W22" s="566">
        <v>303800</v>
      </c>
      <c r="X22" s="566">
        <v>1240000</v>
      </c>
      <c r="Y22" s="566">
        <v>789900</v>
      </c>
      <c r="Z22" s="566">
        <v>1076300</v>
      </c>
      <c r="AA22" s="566">
        <v>353500</v>
      </c>
      <c r="AB22" s="566">
        <v>182200</v>
      </c>
      <c r="AC22" s="566">
        <v>387200</v>
      </c>
      <c r="AD22" s="565">
        <v>0</v>
      </c>
      <c r="AE22" s="566">
        <v>5900</v>
      </c>
      <c r="AF22" s="566">
        <v>2900</v>
      </c>
      <c r="AG22" s="566">
        <v>11100</v>
      </c>
      <c r="AH22" s="566">
        <v>5800</v>
      </c>
      <c r="AI22" s="566">
        <v>12100</v>
      </c>
      <c r="AJ22" s="566">
        <v>0</v>
      </c>
      <c r="AK22" s="566">
        <v>0</v>
      </c>
      <c r="AL22" s="566">
        <v>0</v>
      </c>
      <c r="AM22" s="566">
        <v>0</v>
      </c>
      <c r="AN22" s="566">
        <v>0</v>
      </c>
      <c r="AO22" s="567">
        <v>0</v>
      </c>
      <c r="AP22" s="565">
        <v>0</v>
      </c>
      <c r="AQ22" s="566">
        <v>0</v>
      </c>
      <c r="AR22" s="566">
        <v>0</v>
      </c>
      <c r="AS22" s="566">
        <v>0</v>
      </c>
      <c r="AT22" s="566">
        <v>0</v>
      </c>
      <c r="AU22" s="566">
        <v>0</v>
      </c>
      <c r="AV22" s="566">
        <v>0</v>
      </c>
      <c r="AW22" s="566">
        <v>0</v>
      </c>
      <c r="AX22" s="566">
        <v>0</v>
      </c>
      <c r="AY22" s="566">
        <v>0</v>
      </c>
      <c r="AZ22" s="566">
        <v>0</v>
      </c>
      <c r="BA22" s="567">
        <v>0</v>
      </c>
      <c r="BB22" s="565">
        <v>469100</v>
      </c>
      <c r="BC22" s="566">
        <v>928800</v>
      </c>
      <c r="BD22" s="566">
        <v>890300</v>
      </c>
      <c r="BE22" s="566">
        <v>0</v>
      </c>
      <c r="BF22" s="566">
        <v>19500</v>
      </c>
      <c r="BG22" s="566">
        <v>13800</v>
      </c>
      <c r="BH22" s="566">
        <v>27700</v>
      </c>
      <c r="BI22" s="566">
        <v>52500</v>
      </c>
      <c r="BJ22" s="566">
        <v>855700</v>
      </c>
      <c r="BK22" s="566">
        <v>37600</v>
      </c>
      <c r="BL22" s="566">
        <v>13700</v>
      </c>
      <c r="BM22" s="567">
        <v>0</v>
      </c>
      <c r="BN22" s="565"/>
      <c r="BO22" s="566">
        <v>147400</v>
      </c>
      <c r="BP22" s="566">
        <v>99900</v>
      </c>
      <c r="BQ22" s="566">
        <v>0</v>
      </c>
      <c r="BR22" s="566">
        <v>45100</v>
      </c>
      <c r="BS22" s="566">
        <v>154800</v>
      </c>
      <c r="BT22" s="566">
        <v>76200</v>
      </c>
      <c r="BU22" s="566">
        <v>201000</v>
      </c>
      <c r="BV22" s="566">
        <v>156300</v>
      </c>
      <c r="BW22" s="566">
        <v>15000</v>
      </c>
      <c r="BX22" s="566">
        <v>22800</v>
      </c>
      <c r="BY22" s="567">
        <v>0</v>
      </c>
      <c r="BZ22" s="570">
        <v>0</v>
      </c>
      <c r="CA22" s="570">
        <v>97600</v>
      </c>
      <c r="CB22" s="570">
        <v>80000</v>
      </c>
      <c r="CC22" s="570">
        <v>0</v>
      </c>
      <c r="CD22" s="566">
        <v>0</v>
      </c>
      <c r="CE22" s="566">
        <v>0</v>
      </c>
      <c r="CF22" s="566">
        <v>0</v>
      </c>
      <c r="CG22" s="566">
        <v>34200</v>
      </c>
      <c r="CH22" s="566">
        <v>0</v>
      </c>
      <c r="CI22" s="566">
        <v>0</v>
      </c>
      <c r="CJ22" s="566">
        <v>0</v>
      </c>
      <c r="CK22" s="566">
        <v>9600</v>
      </c>
      <c r="CL22" s="565">
        <v>0</v>
      </c>
      <c r="CM22" s="566">
        <v>0</v>
      </c>
      <c r="CN22" s="566">
        <v>0</v>
      </c>
      <c r="CO22" s="566">
        <v>0</v>
      </c>
      <c r="CP22" s="566">
        <v>0</v>
      </c>
      <c r="CQ22" s="566">
        <v>0</v>
      </c>
      <c r="CR22" s="566">
        <v>0</v>
      </c>
      <c r="CS22" s="566">
        <v>0</v>
      </c>
      <c r="CT22" s="566">
        <v>0</v>
      </c>
      <c r="CU22" s="566">
        <v>0</v>
      </c>
      <c r="CV22" s="566">
        <v>0</v>
      </c>
      <c r="CW22" s="567">
        <v>0</v>
      </c>
      <c r="CX22" s="565">
        <v>0</v>
      </c>
      <c r="CY22" s="566">
        <v>0</v>
      </c>
      <c r="CZ22" s="566">
        <v>0</v>
      </c>
      <c r="DA22" s="566">
        <v>0</v>
      </c>
      <c r="DB22" s="566">
        <v>0</v>
      </c>
      <c r="DC22" s="566">
        <v>0</v>
      </c>
      <c r="DD22" s="566">
        <v>0</v>
      </c>
      <c r="DE22" s="566">
        <v>0</v>
      </c>
      <c r="DF22" s="566">
        <v>0</v>
      </c>
      <c r="DG22" s="566">
        <v>0</v>
      </c>
      <c r="DH22" s="566">
        <v>0</v>
      </c>
      <c r="DI22" s="567">
        <v>0</v>
      </c>
      <c r="DJ22" s="565">
        <v>0</v>
      </c>
      <c r="DK22" s="566">
        <v>0</v>
      </c>
      <c r="DL22" s="566">
        <v>0</v>
      </c>
      <c r="DM22" s="566">
        <v>0</v>
      </c>
      <c r="DN22" s="566">
        <v>0</v>
      </c>
      <c r="DO22" s="566">
        <v>0</v>
      </c>
      <c r="DP22" s="566">
        <v>0</v>
      </c>
      <c r="DQ22" s="566">
        <v>0</v>
      </c>
      <c r="DR22" s="566">
        <v>0</v>
      </c>
      <c r="DS22" s="566">
        <v>0</v>
      </c>
      <c r="DT22" s="566">
        <v>0</v>
      </c>
      <c r="DU22" s="566">
        <v>0</v>
      </c>
      <c r="DV22" s="569">
        <v>0</v>
      </c>
      <c r="DW22" s="569">
        <v>0</v>
      </c>
      <c r="DX22" s="569">
        <v>0</v>
      </c>
      <c r="DY22" s="569">
        <v>0</v>
      </c>
      <c r="DZ22" s="569">
        <v>0</v>
      </c>
      <c r="EA22" s="569">
        <v>0</v>
      </c>
      <c r="EB22" s="569">
        <v>0</v>
      </c>
      <c r="EC22" s="569">
        <v>0</v>
      </c>
      <c r="ED22" s="569">
        <v>0</v>
      </c>
      <c r="EE22" s="569">
        <v>0</v>
      </c>
      <c r="EF22" s="569">
        <v>0</v>
      </c>
      <c r="EG22" s="569">
        <v>0</v>
      </c>
      <c r="EH22" s="569">
        <v>0</v>
      </c>
      <c r="EI22" s="569">
        <v>0</v>
      </c>
      <c r="EJ22" s="569">
        <v>0</v>
      </c>
      <c r="EK22" s="569">
        <v>0</v>
      </c>
      <c r="EL22" s="569">
        <v>0</v>
      </c>
      <c r="EM22" s="569">
        <v>0</v>
      </c>
      <c r="EN22" s="570"/>
      <c r="EO22" s="570"/>
      <c r="EP22" s="570"/>
      <c r="EQ22" s="570"/>
      <c r="ER22" s="570"/>
      <c r="ES22" s="570"/>
      <c r="ET22" s="569">
        <v>0</v>
      </c>
      <c r="EU22" s="569">
        <v>0</v>
      </c>
      <c r="EV22" s="569">
        <v>0</v>
      </c>
      <c r="EW22" s="569">
        <v>0</v>
      </c>
      <c r="EX22" s="569">
        <v>0</v>
      </c>
      <c r="EY22" s="569">
        <v>0</v>
      </c>
      <c r="EZ22" s="569">
        <v>0</v>
      </c>
      <c r="FA22" s="569">
        <v>0</v>
      </c>
      <c r="FB22" s="569">
        <v>0</v>
      </c>
      <c r="FC22" s="569">
        <v>0</v>
      </c>
      <c r="FD22" s="569">
        <v>0</v>
      </c>
      <c r="FE22" s="569">
        <v>0</v>
      </c>
      <c r="FF22" s="570"/>
      <c r="FG22" s="570"/>
      <c r="FH22" s="570"/>
      <c r="FI22" s="571"/>
      <c r="FJ22" s="571"/>
      <c r="FK22" s="571"/>
      <c r="FL22" s="571"/>
      <c r="FM22" s="571"/>
      <c r="FN22" s="571"/>
      <c r="FO22" s="571"/>
      <c r="FP22" s="571"/>
      <c r="FQ22" s="571"/>
      <c r="FR22" s="571"/>
      <c r="FS22" s="571"/>
      <c r="FT22" s="571"/>
      <c r="FU22" s="571"/>
      <c r="FV22" s="571"/>
      <c r="FW22" s="571"/>
      <c r="FX22" s="571"/>
      <c r="FY22" s="571"/>
      <c r="FZ22" s="571"/>
      <c r="GA22" s="571"/>
      <c r="GB22" s="571"/>
      <c r="GC22" s="571"/>
    </row>
    <row r="23" spans="4:185" x14ac:dyDescent="0.2">
      <c r="D23" s="551"/>
      <c r="E23" s="551" t="s">
        <v>468</v>
      </c>
      <c r="F23" s="565">
        <v>4600</v>
      </c>
      <c r="G23" s="566">
        <v>3980</v>
      </c>
      <c r="H23" s="566">
        <v>3380</v>
      </c>
      <c r="I23" s="566">
        <v>9300</v>
      </c>
      <c r="J23" s="566">
        <v>53310</v>
      </c>
      <c r="K23" s="566">
        <v>423570</v>
      </c>
      <c r="L23" s="566">
        <v>362800</v>
      </c>
      <c r="M23" s="566">
        <v>406910</v>
      </c>
      <c r="N23" s="566">
        <v>179410</v>
      </c>
      <c r="O23" s="566">
        <v>369970</v>
      </c>
      <c r="P23" s="566">
        <v>222860</v>
      </c>
      <c r="Q23" s="566">
        <v>184090</v>
      </c>
      <c r="R23" s="565">
        <v>23420</v>
      </c>
      <c r="S23" s="566">
        <v>7610</v>
      </c>
      <c r="T23" s="566">
        <v>4310</v>
      </c>
      <c r="U23" s="566">
        <v>5130</v>
      </c>
      <c r="V23" s="566">
        <v>20430</v>
      </c>
      <c r="W23" s="566">
        <v>178930</v>
      </c>
      <c r="X23" s="566">
        <v>266330</v>
      </c>
      <c r="Y23" s="566">
        <v>218100</v>
      </c>
      <c r="Z23" s="566">
        <v>176010</v>
      </c>
      <c r="AA23" s="566">
        <v>182380</v>
      </c>
      <c r="AB23" s="566">
        <v>223400</v>
      </c>
      <c r="AC23" s="566">
        <v>79750</v>
      </c>
      <c r="AD23" s="565">
        <v>5600</v>
      </c>
      <c r="AE23" s="566">
        <v>8410</v>
      </c>
      <c r="AF23" s="566">
        <v>2320</v>
      </c>
      <c r="AG23" s="566">
        <v>0</v>
      </c>
      <c r="AH23" s="566">
        <v>23600</v>
      </c>
      <c r="AI23" s="566">
        <v>4040</v>
      </c>
      <c r="AJ23" s="566">
        <v>0</v>
      </c>
      <c r="AK23" s="566">
        <v>0</v>
      </c>
      <c r="AL23" s="566">
        <v>0</v>
      </c>
      <c r="AM23" s="566">
        <v>0</v>
      </c>
      <c r="AN23" s="566"/>
      <c r="AO23" s="566"/>
      <c r="AP23" s="570"/>
      <c r="AQ23" s="570"/>
      <c r="AR23" s="570"/>
      <c r="AS23" s="570"/>
      <c r="AT23" s="566"/>
      <c r="AU23" s="566"/>
      <c r="AV23" s="566"/>
      <c r="AW23" s="566"/>
      <c r="AX23" s="566"/>
      <c r="AY23" s="566"/>
      <c r="AZ23" s="566"/>
      <c r="BA23" s="566"/>
      <c r="BB23" s="565">
        <v>10730</v>
      </c>
      <c r="BC23" s="566">
        <v>30620</v>
      </c>
      <c r="BD23" s="566">
        <v>1060</v>
      </c>
      <c r="BE23" s="566">
        <v>0</v>
      </c>
      <c r="BF23" s="566">
        <v>650</v>
      </c>
      <c r="BG23" s="566">
        <v>0</v>
      </c>
      <c r="BH23" s="566">
        <v>0</v>
      </c>
      <c r="BI23" s="566">
        <v>1280</v>
      </c>
      <c r="BJ23" s="566">
        <v>830</v>
      </c>
      <c r="BK23" s="566">
        <v>1240</v>
      </c>
      <c r="BL23" s="566">
        <v>0</v>
      </c>
      <c r="BM23" s="567">
        <v>0</v>
      </c>
      <c r="BN23" s="565"/>
      <c r="BO23" s="566"/>
      <c r="BP23" s="566"/>
      <c r="BQ23" s="566"/>
      <c r="BR23" s="566">
        <v>0</v>
      </c>
      <c r="BS23" s="566">
        <v>0</v>
      </c>
      <c r="BT23" s="566">
        <v>0</v>
      </c>
      <c r="BU23" s="566">
        <v>0</v>
      </c>
      <c r="BV23" s="566">
        <v>0</v>
      </c>
      <c r="BW23" s="566">
        <v>0</v>
      </c>
      <c r="BX23" s="566">
        <v>0</v>
      </c>
      <c r="BY23" s="567">
        <v>0</v>
      </c>
      <c r="BZ23" s="566">
        <v>0</v>
      </c>
      <c r="CA23" s="566">
        <v>0</v>
      </c>
      <c r="CB23" s="566">
        <v>0</v>
      </c>
      <c r="CC23" s="566">
        <v>0</v>
      </c>
      <c r="CD23" s="566">
        <v>0</v>
      </c>
      <c r="CE23" s="566">
        <v>0</v>
      </c>
      <c r="CF23" s="566">
        <v>0</v>
      </c>
      <c r="CG23" s="566">
        <v>0</v>
      </c>
      <c r="CH23" s="566">
        <v>0</v>
      </c>
      <c r="CI23" s="566">
        <v>0</v>
      </c>
      <c r="CJ23" s="566">
        <v>0</v>
      </c>
      <c r="CK23" s="566">
        <v>0</v>
      </c>
      <c r="CL23" s="565">
        <v>0</v>
      </c>
      <c r="CM23" s="566">
        <v>0</v>
      </c>
      <c r="CN23" s="566">
        <v>0</v>
      </c>
      <c r="CO23" s="566">
        <v>0</v>
      </c>
      <c r="CP23" s="566">
        <v>0</v>
      </c>
      <c r="CQ23" s="566">
        <v>0</v>
      </c>
      <c r="CR23" s="566">
        <v>0</v>
      </c>
      <c r="CS23" s="566">
        <v>0</v>
      </c>
      <c r="CT23" s="566">
        <v>0</v>
      </c>
      <c r="CU23" s="566">
        <v>0</v>
      </c>
      <c r="CV23" s="566">
        <v>0</v>
      </c>
      <c r="CW23" s="567">
        <v>0</v>
      </c>
      <c r="CX23" s="565">
        <v>0</v>
      </c>
      <c r="CY23" s="565">
        <v>0</v>
      </c>
      <c r="CZ23" s="565">
        <v>0</v>
      </c>
      <c r="DA23" s="565">
        <v>0</v>
      </c>
      <c r="DB23" s="565">
        <v>0</v>
      </c>
      <c r="DC23" s="565">
        <v>0</v>
      </c>
      <c r="DD23" s="565">
        <v>0</v>
      </c>
      <c r="DE23" s="565">
        <v>0</v>
      </c>
      <c r="DF23" s="565">
        <v>0</v>
      </c>
      <c r="DG23" s="565">
        <v>0</v>
      </c>
      <c r="DH23" s="565">
        <v>0</v>
      </c>
      <c r="DI23" s="565">
        <v>0</v>
      </c>
      <c r="DJ23" s="565">
        <v>0</v>
      </c>
      <c r="DK23" s="566">
        <v>0</v>
      </c>
      <c r="DL23" s="566">
        <v>0</v>
      </c>
      <c r="DM23" s="566">
        <v>0</v>
      </c>
      <c r="DN23" s="566">
        <v>0</v>
      </c>
      <c r="DO23" s="566">
        <v>0</v>
      </c>
      <c r="DP23" s="566">
        <v>0</v>
      </c>
      <c r="DQ23" s="566">
        <v>0</v>
      </c>
      <c r="DR23" s="566">
        <v>0</v>
      </c>
      <c r="DS23" s="566">
        <v>0</v>
      </c>
      <c r="DT23" s="566">
        <v>0</v>
      </c>
      <c r="DU23" s="567">
        <v>0</v>
      </c>
      <c r="DV23" s="569">
        <v>0</v>
      </c>
      <c r="DW23" s="569">
        <v>0</v>
      </c>
      <c r="DX23" s="569">
        <v>0</v>
      </c>
      <c r="DY23" s="569">
        <v>0</v>
      </c>
      <c r="DZ23" s="569">
        <v>0</v>
      </c>
      <c r="EA23" s="569">
        <v>0</v>
      </c>
      <c r="EB23" s="569">
        <v>0</v>
      </c>
      <c r="EC23" s="569">
        <v>0</v>
      </c>
      <c r="ED23" s="569">
        <v>0</v>
      </c>
      <c r="EE23" s="569">
        <v>0</v>
      </c>
      <c r="EF23" s="569">
        <v>0</v>
      </c>
      <c r="EG23" s="569">
        <v>0</v>
      </c>
      <c r="EH23" s="569"/>
      <c r="EI23" s="569"/>
      <c r="EJ23" s="569"/>
      <c r="EK23" s="569"/>
      <c r="EL23" s="569"/>
      <c r="EM23" s="569"/>
      <c r="EN23" s="570"/>
      <c r="EO23" s="570"/>
      <c r="EP23" s="570"/>
      <c r="EQ23" s="570"/>
      <c r="ER23" s="570"/>
      <c r="ES23" s="570"/>
      <c r="ET23" s="569"/>
      <c r="EU23" s="569"/>
      <c r="EV23" s="569"/>
      <c r="EW23" s="569"/>
      <c r="EX23" s="569"/>
      <c r="EY23" s="569"/>
      <c r="EZ23" s="569"/>
      <c r="FA23" s="569"/>
      <c r="FB23" s="569"/>
      <c r="FC23" s="569"/>
      <c r="FD23" s="569"/>
      <c r="FE23" s="569"/>
      <c r="FF23" s="570"/>
      <c r="FG23" s="570"/>
      <c r="FH23" s="570"/>
      <c r="FI23" s="571"/>
      <c r="FJ23" s="571"/>
      <c r="FK23" s="571"/>
      <c r="FL23" s="571"/>
      <c r="FM23" s="571"/>
      <c r="FN23" s="571"/>
      <c r="FO23" s="571"/>
      <c r="FP23" s="571"/>
      <c r="FQ23" s="571"/>
      <c r="FR23" s="571"/>
      <c r="FS23" s="571"/>
      <c r="FT23" s="571"/>
      <c r="FU23" s="571"/>
      <c r="FV23" s="571"/>
      <c r="FW23" s="571"/>
      <c r="FX23" s="571"/>
      <c r="FY23" s="571"/>
      <c r="FZ23" s="571"/>
      <c r="GA23" s="571"/>
      <c r="GB23" s="571"/>
      <c r="GC23" s="571"/>
    </row>
    <row r="24" spans="4:185" x14ac:dyDescent="0.2">
      <c r="D24" s="542"/>
      <c r="E24" s="551" t="s">
        <v>474</v>
      </c>
      <c r="F24" s="565"/>
      <c r="G24" s="566"/>
      <c r="H24" s="566"/>
      <c r="I24" s="566"/>
      <c r="J24" s="566"/>
      <c r="K24" s="566"/>
      <c r="L24" s="566"/>
      <c r="M24" s="566"/>
      <c r="N24" s="566"/>
      <c r="O24" s="566"/>
      <c r="P24" s="566"/>
      <c r="Q24" s="566"/>
      <c r="R24" s="565"/>
      <c r="S24" s="566"/>
      <c r="T24" s="566"/>
      <c r="U24" s="566"/>
      <c r="V24" s="566"/>
      <c r="W24" s="566"/>
      <c r="X24" s="566"/>
      <c r="Y24" s="566"/>
      <c r="Z24" s="566"/>
      <c r="AA24" s="566"/>
      <c r="AB24" s="566"/>
      <c r="AC24" s="566"/>
      <c r="AD24" s="570"/>
      <c r="AE24" s="570"/>
      <c r="AF24" s="570"/>
      <c r="AG24" s="570"/>
      <c r="AH24" s="566"/>
      <c r="AI24" s="566"/>
      <c r="AJ24" s="566"/>
      <c r="AK24" s="566"/>
      <c r="AL24" s="566"/>
      <c r="AM24" s="566"/>
      <c r="AN24" s="566"/>
      <c r="AO24" s="566"/>
      <c r="AP24" s="566"/>
      <c r="AQ24" s="566"/>
      <c r="AR24" s="566"/>
      <c r="AS24" s="566"/>
      <c r="AT24" s="566"/>
      <c r="AU24" s="566"/>
      <c r="AV24" s="566"/>
      <c r="AW24" s="566"/>
      <c r="AX24" s="566"/>
      <c r="AY24" s="566"/>
      <c r="AZ24" s="566"/>
      <c r="BA24" s="566"/>
      <c r="BB24" s="570"/>
      <c r="BC24" s="570"/>
      <c r="BD24" s="570"/>
      <c r="BE24" s="570"/>
      <c r="BF24" s="566"/>
      <c r="BG24" s="566"/>
      <c r="BH24" s="566"/>
      <c r="BI24" s="566"/>
      <c r="BJ24" s="566"/>
      <c r="BK24" s="566"/>
      <c r="BL24" s="566"/>
      <c r="BM24" s="566"/>
      <c r="BN24" s="566"/>
      <c r="BO24" s="566"/>
      <c r="BP24" s="566"/>
      <c r="BQ24" s="566"/>
      <c r="BR24" s="566"/>
      <c r="BS24" s="566"/>
      <c r="BT24" s="566"/>
      <c r="BU24" s="566"/>
      <c r="BV24" s="566"/>
      <c r="BW24" s="566"/>
      <c r="BX24" s="566"/>
      <c r="BY24" s="566"/>
      <c r="BZ24" s="566"/>
      <c r="CA24" s="566"/>
      <c r="CB24" s="566"/>
      <c r="CC24" s="566"/>
      <c r="CD24" s="566"/>
      <c r="CE24" s="566"/>
      <c r="CF24" s="566"/>
      <c r="CG24" s="566"/>
      <c r="CH24" s="566"/>
      <c r="CI24" s="566"/>
      <c r="CJ24" s="566"/>
      <c r="CK24" s="566"/>
      <c r="CL24" s="565">
        <v>401025</v>
      </c>
      <c r="CM24" s="565">
        <v>385813</v>
      </c>
      <c r="CN24" s="565">
        <v>397186</v>
      </c>
      <c r="CO24" s="565">
        <v>1803</v>
      </c>
      <c r="CP24" s="565">
        <v>21001</v>
      </c>
      <c r="CQ24" s="565">
        <v>13555</v>
      </c>
      <c r="CR24" s="565">
        <v>4498</v>
      </c>
      <c r="CS24" s="565">
        <v>19740</v>
      </c>
      <c r="CT24" s="565">
        <v>13657</v>
      </c>
      <c r="CU24" s="565">
        <v>0</v>
      </c>
      <c r="CV24" s="565">
        <v>0</v>
      </c>
      <c r="CW24" s="565">
        <v>600</v>
      </c>
      <c r="CX24" s="572">
        <v>871</v>
      </c>
      <c r="CY24" s="568">
        <v>444</v>
      </c>
      <c r="CZ24" s="572">
        <v>467</v>
      </c>
      <c r="DA24" s="572">
        <v>0</v>
      </c>
      <c r="DB24" s="572">
        <v>0</v>
      </c>
      <c r="DC24" s="572">
        <v>656</v>
      </c>
      <c r="DD24" s="572">
        <v>737</v>
      </c>
      <c r="DE24" s="572">
        <v>204</v>
      </c>
      <c r="DF24" s="572">
        <v>0</v>
      </c>
      <c r="DG24" s="572">
        <v>0</v>
      </c>
      <c r="DH24" s="572">
        <v>0</v>
      </c>
      <c r="DI24" s="572">
        <v>0</v>
      </c>
      <c r="DJ24" s="565"/>
      <c r="DK24" s="566"/>
      <c r="DL24" s="566"/>
      <c r="DM24" s="566"/>
      <c r="DN24" s="566"/>
      <c r="DO24" s="566"/>
      <c r="DP24" s="566"/>
      <c r="DQ24" s="566"/>
      <c r="DR24" s="566"/>
      <c r="DS24" s="566"/>
      <c r="DT24" s="566"/>
      <c r="DU24" s="567"/>
      <c r="DV24" s="569">
        <v>0</v>
      </c>
      <c r="DW24" s="569">
        <v>0</v>
      </c>
      <c r="DX24" s="569">
        <v>0</v>
      </c>
      <c r="DY24" s="569">
        <v>0</v>
      </c>
      <c r="DZ24" s="569">
        <v>0</v>
      </c>
      <c r="EA24" s="569">
        <v>0</v>
      </c>
      <c r="EB24" s="569">
        <v>0</v>
      </c>
      <c r="EC24" s="569">
        <v>0</v>
      </c>
      <c r="ED24" s="569">
        <v>0</v>
      </c>
      <c r="EE24" s="569">
        <v>0</v>
      </c>
      <c r="EF24" s="569">
        <v>0</v>
      </c>
      <c r="EG24" s="569">
        <v>0</v>
      </c>
      <c r="EH24" s="569">
        <v>0</v>
      </c>
      <c r="EI24" s="569">
        <v>0</v>
      </c>
      <c r="EJ24" s="569">
        <v>0</v>
      </c>
      <c r="EK24" s="569">
        <v>0</v>
      </c>
      <c r="EL24" s="569">
        <v>0</v>
      </c>
      <c r="EM24" s="569">
        <v>0</v>
      </c>
      <c r="EN24" s="570"/>
      <c r="EO24" s="570"/>
      <c r="EP24" s="570"/>
      <c r="EQ24" s="570"/>
      <c r="ER24" s="570"/>
      <c r="ES24" s="570"/>
      <c r="ET24" s="569">
        <v>0</v>
      </c>
      <c r="EU24" s="569">
        <v>0</v>
      </c>
      <c r="EV24" s="569">
        <v>0</v>
      </c>
      <c r="EW24" s="569">
        <v>0</v>
      </c>
      <c r="EX24" s="569">
        <v>0</v>
      </c>
      <c r="EY24" s="569">
        <v>0</v>
      </c>
      <c r="EZ24" s="569">
        <v>0</v>
      </c>
      <c r="FA24" s="569">
        <v>0</v>
      </c>
      <c r="FB24" s="569">
        <v>0</v>
      </c>
      <c r="FC24" s="569">
        <v>0</v>
      </c>
      <c r="FD24" s="569">
        <v>0</v>
      </c>
      <c r="FE24" s="569">
        <v>0</v>
      </c>
      <c r="FF24" s="570"/>
      <c r="FG24" s="570"/>
      <c r="FH24" s="570"/>
      <c r="FI24" s="571"/>
      <c r="FJ24" s="571"/>
      <c r="FK24" s="571"/>
      <c r="FL24" s="571"/>
      <c r="FM24" s="571"/>
      <c r="FN24" s="571"/>
      <c r="FO24" s="571"/>
      <c r="FP24" s="571"/>
      <c r="FQ24" s="571"/>
      <c r="FR24" s="571"/>
      <c r="FS24" s="571"/>
      <c r="FT24" s="571"/>
      <c r="FU24" s="571"/>
      <c r="FV24" s="571"/>
      <c r="FW24" s="571"/>
      <c r="FX24" s="571"/>
      <c r="FY24" s="571"/>
      <c r="FZ24" s="571"/>
      <c r="GA24" s="571"/>
      <c r="GB24" s="571"/>
      <c r="GC24" s="571"/>
    </row>
    <row r="25" spans="4:185" x14ac:dyDescent="0.2">
      <c r="D25" s="560"/>
      <c r="E25" s="560" t="s">
        <v>469</v>
      </c>
      <c r="F25" s="566">
        <f t="shared" ref="F25:AC25" si="6">SUM(F14:F23)</f>
        <v>7731920</v>
      </c>
      <c r="G25" s="566">
        <f t="shared" si="6"/>
        <v>12740270</v>
      </c>
      <c r="H25" s="566">
        <f t="shared" si="6"/>
        <v>7120810</v>
      </c>
      <c r="I25" s="566">
        <f t="shared" si="6"/>
        <v>2904510</v>
      </c>
      <c r="J25" s="566">
        <f t="shared" si="6"/>
        <v>8577160</v>
      </c>
      <c r="K25" s="566">
        <f t="shared" si="6"/>
        <v>32056650</v>
      </c>
      <c r="L25" s="566">
        <f t="shared" si="6"/>
        <v>30065800</v>
      </c>
      <c r="M25" s="566">
        <f t="shared" si="6"/>
        <v>20565310</v>
      </c>
      <c r="N25" s="566">
        <f t="shared" si="6"/>
        <v>17840210</v>
      </c>
      <c r="O25" s="566">
        <f t="shared" si="6"/>
        <v>57999630</v>
      </c>
      <c r="P25" s="566">
        <f t="shared" si="6"/>
        <v>33744180</v>
      </c>
      <c r="Q25" s="566">
        <f t="shared" si="6"/>
        <v>35832510</v>
      </c>
      <c r="R25" s="566">
        <f t="shared" si="6"/>
        <v>17770720</v>
      </c>
      <c r="S25" s="566">
        <f t="shared" si="6"/>
        <v>2901630</v>
      </c>
      <c r="T25" s="566">
        <f>SUM(T14:T23)</f>
        <v>648730</v>
      </c>
      <c r="U25" s="566">
        <f t="shared" si="6"/>
        <v>30210</v>
      </c>
      <c r="V25" s="566">
        <f t="shared" si="6"/>
        <v>723690</v>
      </c>
      <c r="W25" s="566">
        <f t="shared" si="6"/>
        <v>1912050</v>
      </c>
      <c r="X25" s="566">
        <f t="shared" si="6"/>
        <v>7289430</v>
      </c>
      <c r="Y25" s="566">
        <f t="shared" si="6"/>
        <v>9844240</v>
      </c>
      <c r="Z25" s="566">
        <f t="shared" si="6"/>
        <v>8824110</v>
      </c>
      <c r="AA25" s="566">
        <f t="shared" si="6"/>
        <v>9462340</v>
      </c>
      <c r="AB25" s="566">
        <f t="shared" si="6"/>
        <v>3318640</v>
      </c>
      <c r="AC25" s="566">
        <f t="shared" si="6"/>
        <v>3880850</v>
      </c>
      <c r="AD25" s="566">
        <f>SUM(AD14:AD23)</f>
        <v>128100</v>
      </c>
      <c r="AE25" s="566">
        <f>SUM(AE14:AE23)</f>
        <v>162850</v>
      </c>
      <c r="AF25" s="566">
        <f>SUM(AF14:AF23)</f>
        <v>77780</v>
      </c>
      <c r="AG25" s="566">
        <f>SUM(AG14:AG23)</f>
        <v>49020</v>
      </c>
      <c r="AH25" s="566">
        <f t="shared" ref="AH25:CS25" si="7">SUM(AH14:AH24)</f>
        <v>74860</v>
      </c>
      <c r="AI25" s="566">
        <f t="shared" si="7"/>
        <v>58320</v>
      </c>
      <c r="AJ25" s="566">
        <f t="shared" si="7"/>
        <v>37950</v>
      </c>
      <c r="AK25" s="566">
        <f t="shared" si="7"/>
        <v>9910</v>
      </c>
      <c r="AL25" s="566">
        <f t="shared" si="7"/>
        <v>9590</v>
      </c>
      <c r="AM25" s="566">
        <f t="shared" si="7"/>
        <v>26600</v>
      </c>
      <c r="AN25" s="566">
        <f t="shared" si="7"/>
        <v>13820</v>
      </c>
      <c r="AO25" s="566">
        <f t="shared" si="7"/>
        <v>16863</v>
      </c>
      <c r="AP25" s="566">
        <f t="shared" si="7"/>
        <v>11436</v>
      </c>
      <c r="AQ25" s="566">
        <f t="shared" si="7"/>
        <v>14036</v>
      </c>
      <c r="AR25" s="566">
        <f t="shared" si="7"/>
        <v>179775</v>
      </c>
      <c r="AS25" s="566">
        <f t="shared" si="7"/>
        <v>27825</v>
      </c>
      <c r="AT25" s="566">
        <f t="shared" si="7"/>
        <v>70332</v>
      </c>
      <c r="AU25" s="566">
        <f t="shared" si="7"/>
        <v>56545</v>
      </c>
      <c r="AV25" s="566">
        <f t="shared" si="7"/>
        <v>24450</v>
      </c>
      <c r="AW25" s="566">
        <f t="shared" si="7"/>
        <v>10783</v>
      </c>
      <c r="AX25" s="566">
        <f t="shared" si="7"/>
        <v>6472</v>
      </c>
      <c r="AY25" s="566">
        <f t="shared" si="7"/>
        <v>152233</v>
      </c>
      <c r="AZ25" s="566">
        <f t="shared" si="7"/>
        <v>1697025</v>
      </c>
      <c r="BA25" s="566">
        <f t="shared" si="7"/>
        <v>36334330</v>
      </c>
      <c r="BB25" s="566">
        <f t="shared" si="7"/>
        <v>42223870</v>
      </c>
      <c r="BC25" s="566">
        <f t="shared" si="7"/>
        <v>39149540</v>
      </c>
      <c r="BD25" s="566">
        <f t="shared" si="7"/>
        <v>28937930</v>
      </c>
      <c r="BE25" s="566">
        <f t="shared" si="7"/>
        <v>5451440</v>
      </c>
      <c r="BF25" s="566">
        <f t="shared" si="7"/>
        <v>122230</v>
      </c>
      <c r="BG25" s="566">
        <f t="shared" si="7"/>
        <v>667500</v>
      </c>
      <c r="BH25" s="566">
        <f t="shared" si="7"/>
        <v>513620</v>
      </c>
      <c r="BI25" s="566">
        <f t="shared" si="7"/>
        <v>172550</v>
      </c>
      <c r="BJ25" s="566">
        <f t="shared" si="7"/>
        <v>5669890</v>
      </c>
      <c r="BK25" s="566">
        <f t="shared" si="7"/>
        <v>4778350</v>
      </c>
      <c r="BL25" s="566">
        <f t="shared" si="7"/>
        <v>6139200</v>
      </c>
      <c r="BM25" s="566">
        <f t="shared" si="7"/>
        <v>3248849</v>
      </c>
      <c r="BN25" s="566">
        <f t="shared" ref="BN25:BY25" si="8">SUM(BN18:BN24)</f>
        <v>2834530</v>
      </c>
      <c r="BO25" s="566">
        <f t="shared" si="8"/>
        <v>3588510</v>
      </c>
      <c r="BP25" s="566">
        <f t="shared" si="8"/>
        <v>601180</v>
      </c>
      <c r="BQ25" s="566">
        <f t="shared" si="8"/>
        <v>2720</v>
      </c>
      <c r="BR25" s="566">
        <f t="shared" si="8"/>
        <v>154330</v>
      </c>
      <c r="BS25" s="566">
        <f t="shared" si="8"/>
        <v>382270</v>
      </c>
      <c r="BT25" s="566">
        <f t="shared" si="8"/>
        <v>309670</v>
      </c>
      <c r="BU25" s="566">
        <f t="shared" si="8"/>
        <v>418100</v>
      </c>
      <c r="BV25" s="566">
        <f t="shared" si="8"/>
        <v>362900</v>
      </c>
      <c r="BW25" s="566">
        <f t="shared" si="8"/>
        <v>302080</v>
      </c>
      <c r="BX25" s="566">
        <f t="shared" si="8"/>
        <v>234290</v>
      </c>
      <c r="BY25" s="566">
        <f t="shared" si="8"/>
        <v>174800</v>
      </c>
      <c r="BZ25" s="566">
        <f t="shared" si="7"/>
        <v>216060</v>
      </c>
      <c r="CA25" s="566">
        <f t="shared" si="7"/>
        <v>2421400</v>
      </c>
      <c r="CB25" s="566">
        <f t="shared" si="7"/>
        <v>942300</v>
      </c>
      <c r="CC25" s="566">
        <f t="shared" si="7"/>
        <v>157800</v>
      </c>
      <c r="CD25" s="566">
        <f t="shared" si="7"/>
        <v>636650</v>
      </c>
      <c r="CE25" s="566">
        <f t="shared" si="7"/>
        <v>797750</v>
      </c>
      <c r="CF25" s="566">
        <f t="shared" si="7"/>
        <v>492010</v>
      </c>
      <c r="CG25" s="566">
        <f t="shared" si="7"/>
        <v>968440</v>
      </c>
      <c r="CH25" s="566">
        <f t="shared" si="7"/>
        <v>2052550</v>
      </c>
      <c r="CI25" s="566">
        <f t="shared" si="7"/>
        <v>3339680</v>
      </c>
      <c r="CJ25" s="566">
        <f t="shared" si="7"/>
        <v>6750193</v>
      </c>
      <c r="CK25" s="566">
        <f t="shared" si="7"/>
        <v>1413490</v>
      </c>
      <c r="CL25" s="566">
        <f t="shared" si="7"/>
        <v>421975</v>
      </c>
      <c r="CM25" s="566">
        <f t="shared" si="7"/>
        <v>407913</v>
      </c>
      <c r="CN25" s="566">
        <f t="shared" si="7"/>
        <v>413216</v>
      </c>
      <c r="CO25" s="566">
        <f t="shared" si="7"/>
        <v>19793</v>
      </c>
      <c r="CP25" s="566">
        <f t="shared" si="7"/>
        <v>41281</v>
      </c>
      <c r="CQ25" s="566">
        <f t="shared" si="7"/>
        <v>26465</v>
      </c>
      <c r="CR25" s="566">
        <f t="shared" si="7"/>
        <v>18098</v>
      </c>
      <c r="CS25" s="566">
        <f t="shared" si="7"/>
        <v>31540</v>
      </c>
      <c r="CT25" s="566">
        <f t="shared" ref="CT25:DI25" si="9">SUM(CT14:CT24)</f>
        <v>27577</v>
      </c>
      <c r="CU25" s="566">
        <f t="shared" si="9"/>
        <v>50670</v>
      </c>
      <c r="CV25" s="566">
        <f t="shared" si="9"/>
        <v>126770</v>
      </c>
      <c r="CW25" s="566">
        <f t="shared" si="9"/>
        <v>129530</v>
      </c>
      <c r="CX25" s="566">
        <f t="shared" si="9"/>
        <v>694981</v>
      </c>
      <c r="CY25" s="566">
        <f t="shared" si="9"/>
        <v>2336044</v>
      </c>
      <c r="CZ25" s="566">
        <f t="shared" si="9"/>
        <v>2615617</v>
      </c>
      <c r="DA25" s="566">
        <f t="shared" si="9"/>
        <v>1506670</v>
      </c>
      <c r="DB25" s="566">
        <f t="shared" si="9"/>
        <v>340418</v>
      </c>
      <c r="DC25" s="566">
        <f t="shared" si="9"/>
        <v>202546</v>
      </c>
      <c r="DD25" s="566">
        <f t="shared" si="9"/>
        <v>11152227</v>
      </c>
      <c r="DE25" s="566">
        <f t="shared" si="9"/>
        <v>42798984</v>
      </c>
      <c r="DF25" s="566">
        <f t="shared" si="9"/>
        <v>53824690</v>
      </c>
      <c r="DG25" s="566">
        <f t="shared" si="9"/>
        <v>55753184</v>
      </c>
      <c r="DH25" s="566">
        <f t="shared" si="9"/>
        <v>50743346</v>
      </c>
      <c r="DI25" s="566">
        <f t="shared" si="9"/>
        <v>46190960</v>
      </c>
      <c r="DJ25" s="565">
        <f>SUM(DJ15:DJ24)</f>
        <v>41861458</v>
      </c>
      <c r="DK25" s="565">
        <f t="shared" ref="DK25:FE25" si="10">SUM(DK15:DK24)</f>
        <v>24048166</v>
      </c>
      <c r="DL25" s="565">
        <f t="shared" si="10"/>
        <v>36037950</v>
      </c>
      <c r="DM25" s="565">
        <f t="shared" si="10"/>
        <v>28070900</v>
      </c>
      <c r="DN25" s="565">
        <f t="shared" si="10"/>
        <v>33687570</v>
      </c>
      <c r="DO25" s="565">
        <f t="shared" si="10"/>
        <v>62016420</v>
      </c>
      <c r="DP25" s="565">
        <f t="shared" si="10"/>
        <v>68927260</v>
      </c>
      <c r="DQ25" s="565">
        <f t="shared" si="10"/>
        <v>68759580</v>
      </c>
      <c r="DR25" s="565">
        <f t="shared" si="10"/>
        <v>66128630</v>
      </c>
      <c r="DS25" s="565">
        <f t="shared" si="10"/>
        <v>72024950</v>
      </c>
      <c r="DT25" s="565">
        <f t="shared" si="10"/>
        <v>71126130</v>
      </c>
      <c r="DU25" s="565">
        <f t="shared" si="10"/>
        <v>66795720</v>
      </c>
      <c r="DV25" s="565">
        <f t="shared" si="10"/>
        <v>58503600</v>
      </c>
      <c r="DW25" s="565">
        <f t="shared" si="10"/>
        <v>78044900</v>
      </c>
      <c r="DX25" s="565">
        <f t="shared" si="10"/>
        <v>78808136</v>
      </c>
      <c r="DY25" s="565">
        <f t="shared" si="10"/>
        <v>62011080</v>
      </c>
      <c r="DZ25" s="565">
        <f t="shared" si="10"/>
        <v>58695870</v>
      </c>
      <c r="EA25" s="565">
        <f t="shared" si="10"/>
        <v>73432100</v>
      </c>
      <c r="EB25" s="565">
        <f t="shared" si="10"/>
        <v>91912670</v>
      </c>
      <c r="EC25" s="565">
        <f t="shared" si="10"/>
        <v>78117510</v>
      </c>
      <c r="ED25" s="565">
        <f t="shared" si="10"/>
        <v>77068770</v>
      </c>
      <c r="EE25" s="565">
        <f t="shared" si="10"/>
        <v>95536470</v>
      </c>
      <c r="EF25" s="565">
        <f t="shared" si="10"/>
        <v>99829509</v>
      </c>
      <c r="EG25" s="565">
        <f t="shared" si="10"/>
        <v>72328020</v>
      </c>
      <c r="EH25" s="565">
        <f t="shared" si="10"/>
        <v>78764800</v>
      </c>
      <c r="EI25" s="565">
        <f t="shared" si="10"/>
        <v>81878740</v>
      </c>
      <c r="EJ25" s="565">
        <f t="shared" si="10"/>
        <v>87126780</v>
      </c>
      <c r="EK25" s="565">
        <f t="shared" si="10"/>
        <v>72731460</v>
      </c>
      <c r="EL25" s="565">
        <f t="shared" si="10"/>
        <v>71892930</v>
      </c>
      <c r="EM25" s="565">
        <f t="shared" si="10"/>
        <v>77995970</v>
      </c>
      <c r="EN25" s="565">
        <f t="shared" si="10"/>
        <v>0</v>
      </c>
      <c r="EO25" s="565">
        <f t="shared" si="10"/>
        <v>0</v>
      </c>
      <c r="EP25" s="565">
        <f t="shared" si="10"/>
        <v>0</v>
      </c>
      <c r="EQ25" s="565">
        <f t="shared" si="10"/>
        <v>0</v>
      </c>
      <c r="ER25" s="565">
        <f t="shared" si="10"/>
        <v>0</v>
      </c>
      <c r="ES25" s="565">
        <f t="shared" si="10"/>
        <v>0</v>
      </c>
      <c r="ET25" s="565">
        <f t="shared" si="10"/>
        <v>58306030</v>
      </c>
      <c r="EU25" s="565">
        <f t="shared" si="10"/>
        <v>64705460</v>
      </c>
      <c r="EV25" s="565">
        <f t="shared" si="10"/>
        <v>91550400</v>
      </c>
      <c r="EW25" s="565">
        <f t="shared" si="10"/>
        <v>87109460</v>
      </c>
      <c r="EX25" s="565">
        <f t="shared" si="10"/>
        <v>85572500</v>
      </c>
      <c r="EY25" s="565">
        <f t="shared" si="10"/>
        <v>97220200</v>
      </c>
      <c r="EZ25" s="565">
        <f t="shared" si="10"/>
        <v>118089910</v>
      </c>
      <c r="FA25" s="565">
        <f t="shared" si="10"/>
        <v>122965930</v>
      </c>
      <c r="FB25" s="565">
        <f t="shared" si="10"/>
        <v>110792950</v>
      </c>
      <c r="FC25" s="565">
        <f t="shared" si="10"/>
        <v>128806310</v>
      </c>
      <c r="FD25" s="565">
        <f t="shared" si="10"/>
        <v>115250970</v>
      </c>
      <c r="FE25" s="565">
        <f t="shared" si="10"/>
        <v>123456620</v>
      </c>
      <c r="FF25" s="570"/>
      <c r="FG25" s="570"/>
      <c r="FH25" s="570"/>
      <c r="FI25" s="571"/>
      <c r="FJ25" s="571"/>
      <c r="FK25" s="571"/>
      <c r="FL25" s="571"/>
      <c r="FM25" s="571"/>
      <c r="FN25" s="571"/>
      <c r="FO25" s="571"/>
      <c r="FP25" s="571"/>
      <c r="FQ25" s="571"/>
      <c r="FR25" s="571"/>
      <c r="FS25" s="571"/>
      <c r="FT25" s="571"/>
      <c r="FU25" s="571"/>
      <c r="FV25" s="571"/>
      <c r="FW25" s="571"/>
      <c r="FX25" s="571"/>
      <c r="FY25" s="571"/>
      <c r="FZ25" s="571"/>
      <c r="GA25" s="571"/>
      <c r="GB25" s="571"/>
      <c r="GC25" s="571"/>
    </row>
    <row r="26" spans="4:185" x14ac:dyDescent="0.2">
      <c r="D26" s="542"/>
      <c r="E26" s="542"/>
      <c r="F26" s="566"/>
      <c r="G26" s="566"/>
      <c r="H26" s="566"/>
      <c r="I26" s="566"/>
      <c r="J26" s="566"/>
      <c r="K26" s="566"/>
      <c r="L26" s="566"/>
      <c r="M26" s="566"/>
      <c r="N26" s="566"/>
      <c r="O26" s="566"/>
      <c r="P26" s="566"/>
      <c r="Q26" s="566"/>
      <c r="R26" s="566"/>
      <c r="S26" s="566"/>
      <c r="T26" s="566"/>
      <c r="U26" s="566"/>
      <c r="V26" s="566"/>
      <c r="W26" s="566"/>
      <c r="X26" s="566"/>
      <c r="Y26" s="566"/>
      <c r="Z26" s="566"/>
      <c r="AA26" s="566"/>
      <c r="AB26" s="566"/>
      <c r="AC26" s="566"/>
      <c r="AD26" s="566"/>
      <c r="AE26" s="566"/>
      <c r="AF26" s="566"/>
      <c r="AG26" s="566"/>
      <c r="AH26" s="566"/>
      <c r="AI26" s="566"/>
      <c r="AJ26" s="566"/>
      <c r="AK26" s="566"/>
      <c r="AL26" s="566"/>
      <c r="AM26" s="566"/>
      <c r="AN26" s="566"/>
      <c r="AO26" s="566"/>
      <c r="AP26" s="566"/>
      <c r="AQ26" s="566"/>
      <c r="AR26" s="566"/>
      <c r="AS26" s="566"/>
      <c r="AT26" s="566"/>
      <c r="AU26" s="566"/>
      <c r="AV26" s="566"/>
      <c r="AW26" s="566"/>
      <c r="AX26" s="566"/>
      <c r="AY26" s="566"/>
      <c r="AZ26" s="566"/>
      <c r="BA26" s="566"/>
      <c r="BB26" s="566"/>
      <c r="BC26" s="566"/>
      <c r="BD26" s="566"/>
      <c r="BE26" s="566"/>
      <c r="BF26" s="566"/>
      <c r="BG26" s="566"/>
      <c r="BH26" s="566"/>
      <c r="BI26" s="566"/>
      <c r="BJ26" s="566"/>
      <c r="BK26" s="566"/>
      <c r="BL26" s="566"/>
      <c r="BM26" s="566"/>
      <c r="BN26" s="570"/>
      <c r="BO26" s="570"/>
      <c r="BP26" s="570"/>
      <c r="BQ26" s="570"/>
      <c r="BR26" s="570"/>
      <c r="BS26" s="570"/>
      <c r="BT26" s="570"/>
      <c r="BU26" s="570"/>
      <c r="BV26" s="570"/>
      <c r="BW26" s="570"/>
      <c r="BX26" s="570"/>
      <c r="BY26" s="570"/>
      <c r="BZ26" s="570"/>
      <c r="CA26" s="570"/>
      <c r="CB26" s="570"/>
      <c r="CC26" s="570"/>
      <c r="CD26" s="570"/>
      <c r="CE26" s="570"/>
      <c r="CF26" s="570"/>
      <c r="CG26" s="570"/>
      <c r="CH26" s="570"/>
      <c r="CI26" s="570"/>
      <c r="CJ26" s="570"/>
      <c r="CK26" s="570"/>
      <c r="CL26" s="566"/>
      <c r="CM26" s="566"/>
      <c r="CN26" s="566"/>
      <c r="CO26" s="566"/>
      <c r="CP26" s="566"/>
      <c r="CQ26" s="566"/>
      <c r="CR26" s="566"/>
      <c r="CS26" s="566"/>
      <c r="CT26" s="566"/>
      <c r="CU26" s="566"/>
      <c r="CV26" s="566"/>
      <c r="CW26" s="566"/>
      <c r="CX26" s="572"/>
      <c r="CY26" s="568"/>
      <c r="CZ26" s="572"/>
      <c r="DA26" s="572"/>
      <c r="DB26" s="572"/>
      <c r="DC26" s="572"/>
      <c r="DD26" s="572"/>
      <c r="DE26" s="572"/>
      <c r="DF26" s="572"/>
      <c r="DG26" s="572"/>
      <c r="DH26" s="572"/>
      <c r="DI26" s="572"/>
      <c r="DJ26" s="566"/>
      <c r="DK26" s="566"/>
      <c r="DL26" s="566"/>
      <c r="DM26" s="566"/>
      <c r="DN26" s="566"/>
      <c r="DO26" s="566"/>
      <c r="DP26" s="566"/>
      <c r="DQ26" s="566"/>
      <c r="DR26" s="566"/>
      <c r="DS26" s="566"/>
      <c r="DT26" s="566"/>
      <c r="DU26" s="566"/>
      <c r="DV26" s="569"/>
      <c r="DW26" s="569"/>
      <c r="DX26" s="569"/>
      <c r="DY26" s="569"/>
      <c r="DZ26" s="569"/>
      <c r="EA26" s="569"/>
      <c r="EB26" s="569"/>
      <c r="EC26" s="569"/>
      <c r="ED26" s="569"/>
      <c r="EE26" s="569"/>
      <c r="EF26" s="569"/>
      <c r="EG26" s="569"/>
      <c r="EH26" s="569"/>
      <c r="EI26" s="569"/>
      <c r="EJ26" s="569"/>
      <c r="EK26" s="569"/>
      <c r="EL26" s="569"/>
      <c r="EM26" s="569"/>
      <c r="EN26" s="570"/>
      <c r="EO26" s="570"/>
      <c r="EP26" s="570"/>
      <c r="EQ26" s="570"/>
      <c r="ER26" s="570"/>
      <c r="ES26" s="570"/>
      <c r="ET26" s="569"/>
      <c r="EU26" s="569"/>
      <c r="EV26" s="569"/>
      <c r="EW26" s="569"/>
      <c r="EX26" s="569"/>
      <c r="EY26" s="569"/>
      <c r="EZ26" s="569"/>
      <c r="FA26" s="569"/>
      <c r="FB26" s="569"/>
      <c r="FC26" s="569"/>
      <c r="FD26" s="569"/>
      <c r="FE26" s="569"/>
      <c r="FF26" s="570"/>
      <c r="FG26" s="570"/>
      <c r="FH26" s="570"/>
      <c r="FI26" s="571"/>
      <c r="FJ26" s="571"/>
      <c r="FK26" s="571"/>
      <c r="FL26" s="571"/>
      <c r="FM26" s="571"/>
      <c r="FN26" s="571"/>
      <c r="FO26" s="571"/>
      <c r="FP26" s="571"/>
      <c r="FQ26" s="571"/>
      <c r="FR26" s="571"/>
      <c r="FS26" s="571"/>
      <c r="FT26" s="571"/>
      <c r="FU26" s="571"/>
      <c r="FV26" s="571"/>
      <c r="FW26" s="571"/>
      <c r="FX26" s="571"/>
      <c r="FY26" s="571"/>
      <c r="FZ26" s="571"/>
      <c r="GA26" s="571"/>
      <c r="GB26" s="571"/>
      <c r="GC26" s="571"/>
    </row>
    <row r="27" spans="4:185" x14ac:dyDescent="0.2">
      <c r="D27" s="560"/>
      <c r="E27" s="560" t="s">
        <v>483</v>
      </c>
      <c r="F27" s="566">
        <f t="shared" ref="F27:J27" si="11">+F12+F25</f>
        <v>200215720</v>
      </c>
      <c r="G27" s="566">
        <f t="shared" si="11"/>
        <v>195537120</v>
      </c>
      <c r="H27" s="566">
        <f t="shared" si="11"/>
        <v>206399160</v>
      </c>
      <c r="I27" s="566">
        <f t="shared" si="11"/>
        <v>192609910</v>
      </c>
      <c r="J27" s="566">
        <f t="shared" si="11"/>
        <v>200833210</v>
      </c>
      <c r="K27" s="566">
        <f t="shared" ref="K27:BI27" si="12">+K12+K25</f>
        <v>196550250</v>
      </c>
      <c r="L27" s="566">
        <f t="shared" si="12"/>
        <v>203099350</v>
      </c>
      <c r="M27" s="566">
        <f t="shared" si="12"/>
        <v>208335910</v>
      </c>
      <c r="N27" s="566">
        <f t="shared" si="12"/>
        <v>206092010</v>
      </c>
      <c r="O27" s="566">
        <f t="shared" si="12"/>
        <v>210966030</v>
      </c>
      <c r="P27" s="566">
        <f t="shared" si="12"/>
        <v>200225430</v>
      </c>
      <c r="Q27" s="566">
        <f t="shared" si="12"/>
        <v>191333560</v>
      </c>
      <c r="R27" s="566">
        <f t="shared" si="12"/>
        <v>215850320</v>
      </c>
      <c r="S27" s="566">
        <f t="shared" si="12"/>
        <v>200459830</v>
      </c>
      <c r="T27" s="566">
        <f t="shared" si="12"/>
        <v>225217980</v>
      </c>
      <c r="U27" s="566">
        <f t="shared" si="12"/>
        <v>209677060</v>
      </c>
      <c r="V27" s="566">
        <f t="shared" si="12"/>
        <v>223074890</v>
      </c>
      <c r="W27" s="566">
        <f t="shared" si="12"/>
        <v>218321850</v>
      </c>
      <c r="X27" s="566">
        <f t="shared" si="12"/>
        <v>223710780</v>
      </c>
      <c r="Y27" s="566">
        <f t="shared" si="12"/>
        <v>227165140</v>
      </c>
      <c r="Z27" s="566">
        <f t="shared" si="12"/>
        <v>222430860</v>
      </c>
      <c r="AA27" s="566">
        <f t="shared" si="12"/>
        <v>236527590</v>
      </c>
      <c r="AB27" s="566">
        <f t="shared" si="12"/>
        <v>233764590</v>
      </c>
      <c r="AC27" s="566">
        <f t="shared" si="12"/>
        <v>232312850</v>
      </c>
      <c r="AD27" s="566">
        <f t="shared" si="12"/>
        <v>212934150</v>
      </c>
      <c r="AE27" s="566">
        <f t="shared" si="12"/>
        <v>199439850</v>
      </c>
      <c r="AF27" s="566">
        <f t="shared" si="12"/>
        <v>230754580</v>
      </c>
      <c r="AG27" s="566">
        <f t="shared" si="12"/>
        <v>214574170</v>
      </c>
      <c r="AH27" s="566">
        <f t="shared" si="12"/>
        <v>230513910</v>
      </c>
      <c r="AI27" s="566">
        <f t="shared" si="12"/>
        <v>222876370</v>
      </c>
      <c r="AJ27" s="566">
        <f t="shared" si="12"/>
        <v>232056550</v>
      </c>
      <c r="AK27" s="566">
        <f t="shared" si="12"/>
        <v>234036960</v>
      </c>
      <c r="AL27" s="566">
        <f t="shared" si="12"/>
        <v>227529690</v>
      </c>
      <c r="AM27" s="566">
        <f t="shared" si="12"/>
        <v>238589150</v>
      </c>
      <c r="AN27" s="566">
        <f t="shared" si="12"/>
        <v>235977570</v>
      </c>
      <c r="AO27" s="566">
        <f t="shared" si="12"/>
        <v>240859413</v>
      </c>
      <c r="AP27" s="566">
        <f t="shared" si="12"/>
        <v>247449486</v>
      </c>
      <c r="AQ27" s="566">
        <f t="shared" si="12"/>
        <v>213238186</v>
      </c>
      <c r="AR27" s="566">
        <f t="shared" si="12"/>
        <v>237671775</v>
      </c>
      <c r="AS27" s="566">
        <f t="shared" si="12"/>
        <v>249677675</v>
      </c>
      <c r="AT27" s="566">
        <f t="shared" si="12"/>
        <v>248222782</v>
      </c>
      <c r="AU27" s="566">
        <f t="shared" si="12"/>
        <v>233018645</v>
      </c>
      <c r="AV27" s="566">
        <f t="shared" si="12"/>
        <v>183909900</v>
      </c>
      <c r="AW27" s="566">
        <f t="shared" si="12"/>
        <v>186916483</v>
      </c>
      <c r="AX27" s="566">
        <f t="shared" si="12"/>
        <v>189735922</v>
      </c>
      <c r="AY27" s="566">
        <f t="shared" si="12"/>
        <v>199900633</v>
      </c>
      <c r="AZ27" s="566">
        <f t="shared" si="12"/>
        <v>194903825</v>
      </c>
      <c r="BA27" s="566">
        <f t="shared" si="12"/>
        <v>202517330</v>
      </c>
      <c r="BB27" s="566">
        <f t="shared" si="12"/>
        <v>204279170</v>
      </c>
      <c r="BC27" s="566">
        <f t="shared" si="12"/>
        <v>188631740</v>
      </c>
      <c r="BD27" s="566">
        <f t="shared" si="12"/>
        <v>208469080</v>
      </c>
      <c r="BE27" s="566">
        <f t="shared" si="12"/>
        <v>220534040</v>
      </c>
      <c r="BF27" s="566">
        <f t="shared" si="12"/>
        <v>240565330</v>
      </c>
      <c r="BG27" s="566">
        <f t="shared" si="12"/>
        <v>193265700</v>
      </c>
      <c r="BH27" s="566">
        <f t="shared" si="12"/>
        <v>170184470</v>
      </c>
      <c r="BI27" s="566">
        <f t="shared" si="12"/>
        <v>146737400</v>
      </c>
      <c r="BJ27" s="566">
        <f t="shared" ref="BJ27:DJ27" si="13">+BJ12+BJ25</f>
        <v>153941240</v>
      </c>
      <c r="BK27" s="566">
        <f t="shared" si="13"/>
        <v>138048300</v>
      </c>
      <c r="BL27" s="566">
        <f t="shared" si="13"/>
        <v>135684100</v>
      </c>
      <c r="BM27" s="566">
        <f t="shared" si="13"/>
        <v>147353349</v>
      </c>
      <c r="BN27" s="566">
        <f t="shared" si="13"/>
        <v>182107980</v>
      </c>
      <c r="BO27" s="566">
        <f t="shared" si="13"/>
        <v>167893550</v>
      </c>
      <c r="BP27" s="566">
        <f t="shared" si="13"/>
        <v>146814500</v>
      </c>
      <c r="BQ27" s="566">
        <f t="shared" si="13"/>
        <v>164920180</v>
      </c>
      <c r="BR27" s="566">
        <f t="shared" si="13"/>
        <v>160551120</v>
      </c>
      <c r="BS27" s="566">
        <f t="shared" si="13"/>
        <v>154037540</v>
      </c>
      <c r="BT27" s="566">
        <f t="shared" si="13"/>
        <v>131785340</v>
      </c>
      <c r="BU27" s="566">
        <f t="shared" si="13"/>
        <v>134322340</v>
      </c>
      <c r="BV27" s="566">
        <f t="shared" si="13"/>
        <v>134395810</v>
      </c>
      <c r="BW27" s="566">
        <f t="shared" si="13"/>
        <v>139214910</v>
      </c>
      <c r="BX27" s="566">
        <f t="shared" si="13"/>
        <v>143047620</v>
      </c>
      <c r="BY27" s="566">
        <f t="shared" si="13"/>
        <v>128334680</v>
      </c>
      <c r="BZ27" s="566">
        <f t="shared" si="13"/>
        <v>118269440</v>
      </c>
      <c r="CA27" s="566">
        <f t="shared" si="13"/>
        <v>99594860</v>
      </c>
      <c r="CB27" s="566">
        <f t="shared" si="13"/>
        <v>99341690</v>
      </c>
      <c r="CC27" s="566">
        <f t="shared" si="13"/>
        <v>129302670</v>
      </c>
      <c r="CD27" s="566">
        <f t="shared" si="13"/>
        <v>186362080</v>
      </c>
      <c r="CE27" s="566">
        <f t="shared" si="13"/>
        <v>121881590</v>
      </c>
      <c r="CF27" s="566">
        <f t="shared" si="13"/>
        <v>110003830</v>
      </c>
      <c r="CG27" s="566">
        <f t="shared" si="13"/>
        <v>109805660</v>
      </c>
      <c r="CH27" s="566">
        <f t="shared" si="13"/>
        <v>110323280</v>
      </c>
      <c r="CI27" s="566">
        <f t="shared" si="13"/>
        <v>99616160</v>
      </c>
      <c r="CJ27" s="566">
        <f t="shared" si="13"/>
        <v>95506893</v>
      </c>
      <c r="CK27" s="566">
        <f t="shared" si="13"/>
        <v>176423870</v>
      </c>
      <c r="CL27" s="566">
        <f t="shared" si="13"/>
        <v>185488196</v>
      </c>
      <c r="CM27" s="566">
        <f t="shared" si="13"/>
        <v>228175556</v>
      </c>
      <c r="CN27" s="566">
        <f t="shared" si="13"/>
        <v>247964394</v>
      </c>
      <c r="CO27" s="566">
        <f t="shared" si="13"/>
        <v>265865204</v>
      </c>
      <c r="CP27" s="566">
        <f t="shared" si="13"/>
        <v>255109417</v>
      </c>
      <c r="CQ27" s="566">
        <f t="shared" si="13"/>
        <v>206729905</v>
      </c>
      <c r="CR27" s="566">
        <f t="shared" si="13"/>
        <v>174276549</v>
      </c>
      <c r="CS27" s="566">
        <f t="shared" si="13"/>
        <v>189810324</v>
      </c>
      <c r="CT27" s="566">
        <f t="shared" si="13"/>
        <v>190868174</v>
      </c>
      <c r="CU27" s="566">
        <f t="shared" si="13"/>
        <v>199554622</v>
      </c>
      <c r="CV27" s="566">
        <f t="shared" si="13"/>
        <v>182661873</v>
      </c>
      <c r="CW27" s="566">
        <f t="shared" si="13"/>
        <v>198842006</v>
      </c>
      <c r="CX27" s="566">
        <f t="shared" si="13"/>
        <v>201787461</v>
      </c>
      <c r="CY27" s="566">
        <f t="shared" si="13"/>
        <v>209916405</v>
      </c>
      <c r="CZ27" s="566">
        <f t="shared" si="13"/>
        <v>207513702</v>
      </c>
      <c r="DA27" s="566">
        <f t="shared" si="13"/>
        <v>283770480</v>
      </c>
      <c r="DB27" s="566">
        <f t="shared" si="13"/>
        <v>295204624</v>
      </c>
      <c r="DC27" s="566">
        <f t="shared" si="13"/>
        <v>231070646</v>
      </c>
      <c r="DD27" s="566">
        <f t="shared" si="13"/>
        <v>213817325</v>
      </c>
      <c r="DE27" s="566">
        <f t="shared" si="13"/>
        <v>231475562</v>
      </c>
      <c r="DF27" s="566">
        <f t="shared" si="13"/>
        <v>250816685</v>
      </c>
      <c r="DG27" s="566">
        <f t="shared" si="13"/>
        <v>266035091</v>
      </c>
      <c r="DH27" s="566">
        <f t="shared" si="13"/>
        <v>257630815</v>
      </c>
      <c r="DI27" s="566">
        <f t="shared" si="13"/>
        <v>268031223</v>
      </c>
      <c r="DJ27" s="566">
        <f t="shared" si="13"/>
        <v>263494006</v>
      </c>
      <c r="DK27" s="566">
        <f>+DK12+DK25</f>
        <v>240300146</v>
      </c>
      <c r="DL27" s="566">
        <f>+DL12+DL25</f>
        <v>292523295</v>
      </c>
      <c r="DM27" s="566">
        <f>+DM12+DM25</f>
        <v>288754460</v>
      </c>
      <c r="DN27" s="566">
        <f>+DN12+DN25</f>
        <v>287025132</v>
      </c>
      <c r="DO27" s="566">
        <f>DO12+DO25</f>
        <v>273460068</v>
      </c>
      <c r="DP27" s="566">
        <f>+DP12+DP25</f>
        <v>278422696</v>
      </c>
      <c r="DQ27" s="566">
        <f>+DQ12+DQ25</f>
        <v>274961080</v>
      </c>
      <c r="DR27" s="566">
        <f>+DR12+DR25</f>
        <v>248945356</v>
      </c>
      <c r="DS27" s="566">
        <f>+DS12+DS25</f>
        <v>296070927</v>
      </c>
      <c r="DT27" s="566">
        <f>+DT12+DT25</f>
        <v>266563943</v>
      </c>
      <c r="DU27" s="566">
        <f>DU12+DU25</f>
        <v>269430973</v>
      </c>
      <c r="DV27" s="569">
        <f>DV12+DV25</f>
        <v>274735906</v>
      </c>
      <c r="DW27" s="569">
        <f t="shared" ref="DW27:EG27" si="14">DW12+DW25</f>
        <v>262071303</v>
      </c>
      <c r="DX27" s="569">
        <f t="shared" si="14"/>
        <v>299592279</v>
      </c>
      <c r="DY27" s="569">
        <f t="shared" si="14"/>
        <v>288168877</v>
      </c>
      <c r="DZ27" s="569">
        <f t="shared" si="14"/>
        <v>313305018</v>
      </c>
      <c r="EA27" s="569">
        <f t="shared" si="14"/>
        <v>299530413</v>
      </c>
      <c r="EB27" s="569">
        <f t="shared" si="14"/>
        <v>308437475</v>
      </c>
      <c r="EC27" s="569">
        <f t="shared" si="14"/>
        <v>320156354</v>
      </c>
      <c r="ED27" s="569">
        <f t="shared" si="14"/>
        <v>309394120</v>
      </c>
      <c r="EE27" s="569">
        <f t="shared" si="14"/>
        <v>326703670</v>
      </c>
      <c r="EF27" s="569">
        <f t="shared" si="14"/>
        <v>327442125</v>
      </c>
      <c r="EG27" s="569">
        <f t="shared" si="14"/>
        <v>295821109</v>
      </c>
      <c r="EH27" s="569"/>
      <c r="EI27" s="569"/>
      <c r="EJ27" s="569"/>
      <c r="EK27" s="569"/>
      <c r="EL27" s="569"/>
      <c r="EM27" s="569"/>
      <c r="EN27" s="570"/>
      <c r="EO27" s="570"/>
      <c r="EP27" s="570"/>
      <c r="EQ27" s="570"/>
      <c r="ER27" s="570"/>
      <c r="ES27" s="570"/>
      <c r="ET27" s="569">
        <f t="shared" ref="ET27:FE27" si="15">ET25+ET12</f>
        <v>245300222</v>
      </c>
      <c r="EU27" s="569">
        <f t="shared" si="15"/>
        <v>209742562</v>
      </c>
      <c r="EV27" s="569">
        <f t="shared" si="15"/>
        <v>275950832</v>
      </c>
      <c r="EW27" s="569">
        <f t="shared" si="15"/>
        <v>283675422</v>
      </c>
      <c r="EX27" s="569">
        <f t="shared" si="15"/>
        <v>287013392</v>
      </c>
      <c r="EY27" s="569">
        <f t="shared" si="15"/>
        <v>263529692</v>
      </c>
      <c r="EZ27" s="569">
        <f t="shared" si="15"/>
        <v>192908944</v>
      </c>
      <c r="FA27" s="569">
        <f t="shared" si="15"/>
        <v>244691272</v>
      </c>
      <c r="FB27" s="569">
        <f t="shared" si="15"/>
        <v>222358842</v>
      </c>
      <c r="FC27" s="569">
        <f t="shared" si="15"/>
        <v>242428172</v>
      </c>
      <c r="FD27" s="569">
        <f t="shared" si="15"/>
        <v>218874592</v>
      </c>
      <c r="FE27" s="569">
        <f t="shared" si="15"/>
        <v>221641842</v>
      </c>
      <c r="FF27" s="570"/>
      <c r="FG27" s="570"/>
      <c r="FH27" s="570"/>
      <c r="FI27" s="571"/>
      <c r="FJ27" s="571"/>
      <c r="FK27" s="571"/>
      <c r="FL27" s="571"/>
      <c r="FM27" s="571"/>
      <c r="FN27" s="571"/>
      <c r="FO27" s="571"/>
      <c r="FP27" s="571"/>
      <c r="FQ27" s="571"/>
      <c r="FR27" s="571"/>
      <c r="FS27" s="571"/>
      <c r="FT27" s="571"/>
      <c r="FU27" s="571"/>
      <c r="FV27" s="571"/>
      <c r="FW27" s="571"/>
      <c r="FX27" s="571"/>
      <c r="FY27" s="571"/>
      <c r="FZ27" s="571"/>
      <c r="GA27" s="571"/>
      <c r="GB27" s="571"/>
      <c r="GC27" s="571"/>
    </row>
    <row r="28" spans="4:185" x14ac:dyDescent="0.2">
      <c r="D28" s="542"/>
      <c r="E28" s="542"/>
      <c r="F28" s="570"/>
      <c r="G28" s="570"/>
      <c r="H28" s="570"/>
      <c r="I28" s="570"/>
      <c r="J28" s="570"/>
      <c r="K28" s="570"/>
      <c r="L28" s="570"/>
      <c r="M28" s="570"/>
      <c r="N28" s="570"/>
      <c r="O28" s="570"/>
      <c r="P28" s="570"/>
      <c r="Q28" s="570"/>
      <c r="R28" s="570"/>
      <c r="S28" s="570"/>
      <c r="T28" s="570"/>
      <c r="U28" s="570"/>
      <c r="V28" s="570"/>
      <c r="W28" s="570"/>
      <c r="X28" s="570"/>
      <c r="Y28" s="570"/>
      <c r="Z28" s="570"/>
      <c r="AA28" s="570"/>
      <c r="AB28" s="570"/>
      <c r="AC28" s="570"/>
      <c r="AD28" s="570"/>
      <c r="AE28" s="570"/>
      <c r="AF28" s="570"/>
      <c r="AG28" s="570"/>
      <c r="AH28" s="570"/>
      <c r="AI28" s="570"/>
      <c r="AJ28" s="570"/>
      <c r="AK28" s="570"/>
      <c r="AL28" s="570"/>
      <c r="AM28" s="570"/>
      <c r="AN28" s="570"/>
      <c r="AO28" s="570"/>
      <c r="AP28" s="570"/>
      <c r="AQ28" s="570"/>
      <c r="AR28" s="570"/>
      <c r="AS28" s="570"/>
      <c r="AT28" s="570"/>
      <c r="AU28" s="570"/>
      <c r="AV28" s="570"/>
      <c r="AW28" s="570"/>
      <c r="AX28" s="570"/>
      <c r="AY28" s="570"/>
      <c r="AZ28" s="570"/>
      <c r="BA28" s="570"/>
      <c r="BB28" s="570"/>
      <c r="BC28" s="570"/>
      <c r="BD28" s="570"/>
      <c r="BE28" s="570"/>
      <c r="BF28" s="570"/>
      <c r="BG28" s="570"/>
      <c r="BH28" s="570"/>
      <c r="BI28" s="570"/>
      <c r="BJ28" s="570"/>
      <c r="BK28" s="570"/>
      <c r="BL28" s="570"/>
      <c r="BM28" s="570"/>
      <c r="BN28" s="570"/>
      <c r="BO28" s="570"/>
      <c r="BP28" s="570"/>
      <c r="BQ28" s="570"/>
      <c r="BR28" s="570"/>
      <c r="BS28" s="570"/>
      <c r="BT28" s="570"/>
      <c r="BU28" s="570"/>
      <c r="BV28" s="570"/>
      <c r="BW28" s="570"/>
      <c r="BX28" s="570"/>
      <c r="BY28" s="570"/>
      <c r="BZ28" s="570"/>
      <c r="CA28" s="570"/>
      <c r="CB28" s="570"/>
      <c r="CC28" s="570"/>
      <c r="CD28" s="570"/>
      <c r="CE28" s="570"/>
      <c r="CF28" s="570"/>
      <c r="CG28" s="570"/>
      <c r="CH28" s="570"/>
      <c r="CI28" s="570"/>
      <c r="CJ28" s="570"/>
      <c r="CK28" s="570"/>
      <c r="CL28" s="570"/>
      <c r="CM28" s="570"/>
      <c r="CN28" s="570"/>
      <c r="CO28" s="570"/>
      <c r="CP28" s="570"/>
      <c r="CQ28" s="570"/>
      <c r="CR28" s="570"/>
      <c r="CS28" s="570"/>
      <c r="CT28" s="570"/>
      <c r="CU28" s="570"/>
      <c r="CV28" s="570"/>
      <c r="CW28" s="570"/>
      <c r="CX28" s="570"/>
      <c r="CY28" s="570"/>
      <c r="CZ28" s="570"/>
      <c r="DA28" s="570"/>
      <c r="DB28" s="570"/>
      <c r="DC28" s="570"/>
      <c r="DD28" s="570"/>
      <c r="DE28" s="570"/>
      <c r="DF28" s="570"/>
      <c r="DG28" s="570"/>
      <c r="DH28" s="570"/>
      <c r="DI28" s="570"/>
      <c r="DJ28" s="570"/>
      <c r="DK28" s="570"/>
      <c r="DL28" s="570"/>
      <c r="DM28" s="570"/>
      <c r="DN28" s="570"/>
      <c r="DO28" s="570"/>
      <c r="DP28" s="570"/>
      <c r="DQ28" s="570"/>
      <c r="DR28" s="570"/>
      <c r="DS28" s="570"/>
      <c r="DT28" s="570"/>
      <c r="DU28" s="570"/>
      <c r="DV28" s="570"/>
      <c r="DW28" s="570"/>
      <c r="DX28" s="570"/>
      <c r="DY28" s="570"/>
      <c r="DZ28" s="570"/>
      <c r="EA28" s="570"/>
      <c r="EB28" s="570"/>
      <c r="EC28" s="570"/>
      <c r="ED28" s="570"/>
      <c r="EE28" s="570"/>
      <c r="EF28" s="570"/>
      <c r="EG28" s="570"/>
      <c r="EH28" s="569">
        <v>313437192</v>
      </c>
      <c r="EI28" s="569">
        <v>265428944</v>
      </c>
      <c r="EJ28" s="569">
        <v>304838734</v>
      </c>
      <c r="EK28" s="569">
        <v>306929540</v>
      </c>
      <c r="EL28" s="569">
        <v>308977673</v>
      </c>
      <c r="EM28" s="569">
        <v>241003673</v>
      </c>
      <c r="EN28" s="570"/>
      <c r="EO28" s="570"/>
      <c r="EP28" s="570"/>
      <c r="EQ28" s="570"/>
      <c r="ER28" s="570"/>
      <c r="ES28" s="570"/>
      <c r="ET28" s="571"/>
      <c r="EU28" s="571"/>
      <c r="EV28" s="571"/>
      <c r="EW28" s="571"/>
      <c r="EX28" s="571"/>
      <c r="EY28" s="571"/>
      <c r="EZ28" s="571"/>
      <c r="FA28" s="571"/>
      <c r="FB28" s="571"/>
      <c r="FC28" s="571"/>
      <c r="FD28" s="571"/>
      <c r="FE28" s="571"/>
      <c r="FF28" s="570"/>
      <c r="FG28" s="570"/>
      <c r="FH28" s="570"/>
      <c r="FI28" s="571"/>
      <c r="FJ28" s="571"/>
      <c r="FK28" s="571"/>
      <c r="FL28" s="571"/>
      <c r="FM28" s="571"/>
      <c r="FN28" s="571"/>
      <c r="FO28" s="571"/>
      <c r="FP28" s="571"/>
      <c r="FQ28" s="571"/>
      <c r="FR28" s="571"/>
      <c r="FS28" s="571"/>
      <c r="FT28" s="571"/>
      <c r="FU28" s="571"/>
      <c r="FV28" s="571"/>
      <c r="FW28" s="571"/>
      <c r="FX28" s="571"/>
      <c r="FY28" s="571"/>
      <c r="FZ28" s="571"/>
      <c r="GA28" s="571"/>
      <c r="GB28" s="571"/>
      <c r="GC28" s="571"/>
    </row>
    <row r="29" spans="4:185" x14ac:dyDescent="0.2">
      <c r="D29" s="542"/>
      <c r="E29" s="202" t="s">
        <v>470</v>
      </c>
      <c r="F29" s="570">
        <v>6287639</v>
      </c>
      <c r="G29" s="570">
        <v>5914639</v>
      </c>
      <c r="H29" s="570">
        <v>5871123</v>
      </c>
      <c r="I29" s="570">
        <v>6432398</v>
      </c>
      <c r="J29" s="570">
        <v>6513436</v>
      </c>
      <c r="K29" s="570">
        <v>6414358</v>
      </c>
      <c r="L29" s="570">
        <v>6535747</v>
      </c>
      <c r="M29" s="570">
        <v>6121871</v>
      </c>
      <c r="N29" s="570">
        <v>6355320</v>
      </c>
      <c r="O29" s="570">
        <v>6761109</v>
      </c>
      <c r="P29" s="570">
        <v>6302329</v>
      </c>
      <c r="Q29" s="570">
        <v>6685928</v>
      </c>
      <c r="R29" s="570">
        <v>6787682</v>
      </c>
      <c r="S29" s="570">
        <v>6002371</v>
      </c>
      <c r="T29" s="570">
        <v>6866026</v>
      </c>
      <c r="U29" s="570">
        <v>6757623</v>
      </c>
      <c r="V29" s="570">
        <v>6775037</v>
      </c>
      <c r="W29" s="570">
        <v>7033071</v>
      </c>
      <c r="X29" s="570">
        <v>6936566</v>
      </c>
      <c r="Y29" s="570">
        <v>6509642</v>
      </c>
      <c r="Z29" s="570">
        <v>6629311</v>
      </c>
      <c r="AA29" s="570">
        <v>6854309</v>
      </c>
      <c r="AB29" s="570">
        <v>6565133</v>
      </c>
      <c r="AC29" s="570">
        <v>6152658</v>
      </c>
      <c r="AD29" s="570">
        <v>5730323</v>
      </c>
      <c r="AE29" s="570">
        <v>5499093</v>
      </c>
      <c r="AF29" s="570">
        <v>6291661</v>
      </c>
      <c r="AG29" s="570">
        <v>5857940</v>
      </c>
      <c r="AH29" s="570">
        <v>5771747</v>
      </c>
      <c r="AI29" s="570">
        <v>5898003</v>
      </c>
      <c r="AJ29" s="570">
        <v>6092959</v>
      </c>
      <c r="AK29" s="570">
        <v>6144357</v>
      </c>
      <c r="AL29" s="570">
        <v>5596968</v>
      </c>
      <c r="AM29" s="570">
        <v>5653897</v>
      </c>
      <c r="AN29" s="570">
        <v>5870280</v>
      </c>
      <c r="AO29" s="570">
        <v>5894755</v>
      </c>
      <c r="AP29" s="570">
        <v>6305490</v>
      </c>
      <c r="AQ29" s="570">
        <v>5703088</v>
      </c>
      <c r="AR29" s="570">
        <v>6230057</v>
      </c>
      <c r="AS29" s="570">
        <v>6457587</v>
      </c>
      <c r="AT29" s="570">
        <v>6450366</v>
      </c>
      <c r="AU29" s="570">
        <v>6553542</v>
      </c>
      <c r="AV29" s="570">
        <v>6384501</v>
      </c>
      <c r="AW29" s="570">
        <v>6519476</v>
      </c>
      <c r="AX29" s="570">
        <v>6319952</v>
      </c>
      <c r="AY29" s="570">
        <v>6651492</v>
      </c>
      <c r="AZ29" s="570">
        <v>6569967</v>
      </c>
      <c r="BA29" s="570">
        <v>6369632</v>
      </c>
      <c r="BB29" s="565">
        <v>6380250</v>
      </c>
      <c r="BC29" s="565">
        <v>6501061</v>
      </c>
      <c r="BD29" s="562">
        <v>6921101</v>
      </c>
      <c r="BE29" s="565">
        <v>6857826</v>
      </c>
      <c r="BF29" s="565">
        <v>7028112</v>
      </c>
      <c r="BG29" s="565">
        <v>6904297</v>
      </c>
      <c r="BH29" s="565">
        <v>7015711</v>
      </c>
      <c r="BI29" s="565">
        <v>6835233</v>
      </c>
      <c r="BJ29" s="565">
        <v>6473726</v>
      </c>
      <c r="BK29" s="565">
        <v>6441458</v>
      </c>
      <c r="BL29" s="565">
        <v>6204734</v>
      </c>
      <c r="BM29" s="565">
        <v>6349000</v>
      </c>
      <c r="BN29" s="565">
        <v>6813911</v>
      </c>
      <c r="BO29" s="565">
        <v>6291996</v>
      </c>
      <c r="BP29" s="565">
        <v>6880725</v>
      </c>
      <c r="BQ29" s="565">
        <v>7313039</v>
      </c>
      <c r="BR29" s="565">
        <v>7496869</v>
      </c>
      <c r="BS29" s="565">
        <v>7520562</v>
      </c>
      <c r="BT29" s="565">
        <v>7977603</v>
      </c>
      <c r="BU29" s="565">
        <v>7864189</v>
      </c>
      <c r="BV29" s="565">
        <v>7582618</v>
      </c>
      <c r="BW29" s="565">
        <v>8512945</v>
      </c>
      <c r="BX29" s="565">
        <v>8094714</v>
      </c>
      <c r="BY29" s="565">
        <v>8144587</v>
      </c>
      <c r="BZ29" s="565">
        <v>7872326</v>
      </c>
      <c r="CA29" s="565">
        <v>7425391</v>
      </c>
      <c r="CB29" s="565">
        <v>7959688</v>
      </c>
      <c r="CC29" s="565">
        <v>7719121</v>
      </c>
      <c r="CD29" s="565">
        <v>8326545</v>
      </c>
      <c r="CE29" s="565">
        <v>7985679</v>
      </c>
      <c r="CF29" s="565">
        <v>8138111</v>
      </c>
      <c r="CG29" s="565">
        <v>8366186</v>
      </c>
      <c r="CH29" s="565">
        <v>7600604</v>
      </c>
      <c r="CI29" s="565">
        <v>7789475</v>
      </c>
      <c r="CJ29" s="565">
        <v>7342613</v>
      </c>
      <c r="CK29" s="565">
        <v>7586075</v>
      </c>
      <c r="CL29" s="565">
        <v>6470179</v>
      </c>
      <c r="CM29" s="565">
        <v>5921896</v>
      </c>
      <c r="CN29" s="565">
        <v>5979684</v>
      </c>
      <c r="CO29" s="565">
        <v>4881501</v>
      </c>
      <c r="CP29" s="565">
        <v>5492750</v>
      </c>
      <c r="CQ29" s="565">
        <v>5512983</v>
      </c>
      <c r="CR29" s="565">
        <v>6421900</v>
      </c>
      <c r="CS29" s="565">
        <v>6640393</v>
      </c>
      <c r="CT29" s="565">
        <v>6332368</v>
      </c>
      <c r="CU29" s="565">
        <v>5686264</v>
      </c>
      <c r="CV29" s="565">
        <v>5221419</v>
      </c>
      <c r="CW29" s="565">
        <v>5671716</v>
      </c>
      <c r="CX29" s="565">
        <v>5731522</v>
      </c>
      <c r="CY29" s="565">
        <v>5480969</v>
      </c>
      <c r="CZ29" s="565">
        <v>5918940</v>
      </c>
      <c r="DA29" s="565">
        <v>5572808</v>
      </c>
      <c r="DB29" s="565">
        <v>5397756</v>
      </c>
      <c r="DC29" s="565">
        <v>5109915</v>
      </c>
      <c r="DD29" s="565">
        <v>6022279</v>
      </c>
      <c r="DE29" s="565">
        <v>6077973</v>
      </c>
      <c r="DF29" s="565">
        <v>5940484</v>
      </c>
      <c r="DG29" s="565">
        <v>6109140</v>
      </c>
      <c r="DH29" s="565">
        <v>5375829</v>
      </c>
      <c r="DI29" s="565">
        <v>5470009</v>
      </c>
      <c r="DJ29" s="565">
        <v>5281839</v>
      </c>
      <c r="DK29" s="565">
        <v>4656146</v>
      </c>
      <c r="DL29" s="565">
        <v>5572885</v>
      </c>
      <c r="DM29" s="565">
        <v>4992453</v>
      </c>
      <c r="DN29" s="565">
        <v>5401392</v>
      </c>
      <c r="DO29" s="565">
        <v>5519173</v>
      </c>
      <c r="DP29" s="565">
        <v>5643912</v>
      </c>
      <c r="DQ29" s="565">
        <v>5932703</v>
      </c>
      <c r="DR29" s="565">
        <v>6119371</v>
      </c>
      <c r="DS29" s="565">
        <v>6662366</v>
      </c>
      <c r="DT29" s="565">
        <v>6489459</v>
      </c>
      <c r="DU29" s="565">
        <v>6264452</v>
      </c>
      <c r="DV29" s="570">
        <v>6339774</v>
      </c>
      <c r="DW29" s="570">
        <v>5929721</v>
      </c>
      <c r="DX29" s="570">
        <v>6381581</v>
      </c>
      <c r="DY29" s="570">
        <v>6453426</v>
      </c>
      <c r="DZ29" s="570">
        <v>6683055</v>
      </c>
      <c r="EA29" s="570">
        <v>6772647</v>
      </c>
      <c r="EB29" s="570">
        <v>7190242</v>
      </c>
      <c r="EC29" s="570">
        <v>7263224</v>
      </c>
      <c r="ED29" s="570">
        <v>7244157</v>
      </c>
      <c r="EE29" s="570">
        <v>6404418</v>
      </c>
      <c r="EF29" s="570">
        <v>6118712</v>
      </c>
      <c r="EG29" s="570">
        <v>6076625</v>
      </c>
      <c r="EH29" s="570">
        <v>6654092</v>
      </c>
      <c r="EI29" s="570">
        <v>6062745</v>
      </c>
      <c r="EJ29" s="570">
        <v>6508001</v>
      </c>
      <c r="EK29" s="570">
        <v>6361236</v>
      </c>
      <c r="EL29" s="570">
        <v>7026476</v>
      </c>
      <c r="EM29" s="570">
        <v>6952540</v>
      </c>
      <c r="EN29" s="570">
        <v>7160786</v>
      </c>
      <c r="EO29" s="570">
        <v>7249649</v>
      </c>
      <c r="EP29" s="570">
        <v>7025328</v>
      </c>
      <c r="EQ29" s="570">
        <v>7104002</v>
      </c>
      <c r="ER29" s="570">
        <v>7646307</v>
      </c>
      <c r="ES29" s="570">
        <v>7861214</v>
      </c>
      <c r="ET29" s="570">
        <v>12271205</v>
      </c>
      <c r="EU29" s="570">
        <v>12348554</v>
      </c>
      <c r="EV29" s="570">
        <v>12825083</v>
      </c>
      <c r="EW29" s="570">
        <v>12501976</v>
      </c>
      <c r="EX29" s="570">
        <v>12957141</v>
      </c>
      <c r="EY29" s="570">
        <v>13299706</v>
      </c>
      <c r="EZ29" s="570">
        <v>13842363</v>
      </c>
      <c r="FA29" s="570">
        <v>14576767</v>
      </c>
      <c r="FB29" s="570">
        <v>14399766</v>
      </c>
      <c r="FC29" s="570">
        <v>15463777</v>
      </c>
      <c r="FD29" s="570">
        <v>14758560</v>
      </c>
      <c r="FE29" s="570">
        <v>14783523</v>
      </c>
      <c r="FF29" s="570"/>
      <c r="FG29" s="570"/>
      <c r="FH29" s="570"/>
      <c r="FI29" s="571"/>
      <c r="FJ29" s="571"/>
      <c r="FK29" s="571"/>
      <c r="FL29" s="571"/>
      <c r="FM29" s="571"/>
      <c r="FN29" s="571"/>
      <c r="FO29" s="571"/>
      <c r="FP29" s="571"/>
      <c r="FQ29" s="571"/>
      <c r="FR29" s="571"/>
      <c r="FS29" s="571"/>
      <c r="FT29" s="571"/>
      <c r="FU29" s="571"/>
      <c r="FV29" s="571"/>
      <c r="FW29" s="571"/>
      <c r="FX29" s="571"/>
      <c r="FY29" s="571"/>
      <c r="FZ29" s="571"/>
      <c r="GA29" s="571"/>
      <c r="GB29" s="571"/>
      <c r="GC29" s="571"/>
    </row>
    <row r="30" spans="4:185" x14ac:dyDescent="0.2">
      <c r="F30" s="571"/>
      <c r="G30" s="571"/>
      <c r="H30" s="571"/>
      <c r="I30" s="571"/>
      <c r="J30" s="571"/>
      <c r="K30" s="571"/>
      <c r="L30" s="571"/>
      <c r="M30" s="571"/>
      <c r="N30" s="571"/>
      <c r="O30" s="571"/>
      <c r="P30" s="571"/>
      <c r="Q30" s="571"/>
      <c r="R30" s="571"/>
      <c r="S30" s="571"/>
      <c r="T30" s="571"/>
      <c r="U30" s="571"/>
      <c r="V30" s="571"/>
      <c r="W30" s="571"/>
      <c r="X30" s="571"/>
      <c r="Y30" s="571"/>
      <c r="Z30" s="571"/>
      <c r="AA30" s="571"/>
      <c r="AB30" s="571"/>
      <c r="AC30" s="571"/>
      <c r="AD30" s="571"/>
      <c r="AE30" s="571"/>
      <c r="AF30" s="571"/>
      <c r="AG30" s="571"/>
      <c r="AH30" s="571"/>
      <c r="AI30" s="571"/>
      <c r="AJ30" s="571"/>
      <c r="AK30" s="571"/>
      <c r="AL30" s="571"/>
      <c r="AM30" s="571"/>
      <c r="AN30" s="571"/>
      <c r="AO30" s="571"/>
      <c r="AP30" s="571"/>
      <c r="AQ30" s="571"/>
      <c r="AR30" s="571"/>
      <c r="AS30" s="571"/>
      <c r="AT30" s="571"/>
      <c r="AU30" s="571"/>
      <c r="AV30" s="571"/>
      <c r="AW30" s="571"/>
      <c r="AX30" s="571"/>
      <c r="AY30" s="571"/>
      <c r="AZ30" s="571"/>
      <c r="BA30" s="571"/>
      <c r="BB30" s="571"/>
      <c r="BC30" s="571"/>
      <c r="BD30" s="571"/>
      <c r="BE30" s="571"/>
      <c r="BF30" s="571"/>
      <c r="BG30" s="571"/>
      <c r="BH30" s="571"/>
      <c r="BI30" s="571"/>
      <c r="BJ30" s="571"/>
      <c r="BK30" s="571"/>
      <c r="BL30" s="571"/>
      <c r="BM30" s="571"/>
      <c r="BN30" s="571"/>
      <c r="BO30" s="571"/>
      <c r="BP30" s="571"/>
      <c r="BQ30" s="571"/>
      <c r="BR30" s="571"/>
      <c r="BS30" s="571"/>
      <c r="BT30" s="571"/>
      <c r="BU30" s="571"/>
      <c r="BV30" s="571"/>
      <c r="BW30" s="571"/>
      <c r="BX30" s="571"/>
      <c r="BY30" s="571"/>
      <c r="BZ30" s="571"/>
      <c r="CA30" s="571"/>
      <c r="CB30" s="571"/>
      <c r="CC30" s="571"/>
      <c r="CD30" s="571"/>
      <c r="CE30" s="571"/>
      <c r="CF30" s="571"/>
      <c r="CG30" s="571"/>
      <c r="CH30" s="571"/>
      <c r="CI30" s="571"/>
      <c r="CJ30" s="571"/>
      <c r="CK30" s="571"/>
      <c r="CL30" s="571"/>
      <c r="CM30" s="571"/>
      <c r="CN30" s="571"/>
      <c r="CO30" s="571"/>
      <c r="CP30" s="571"/>
      <c r="CQ30" s="571"/>
      <c r="CR30" s="571"/>
      <c r="CS30" s="571"/>
      <c r="CT30" s="571"/>
      <c r="CU30" s="571"/>
      <c r="CV30" s="571"/>
      <c r="CW30" s="571"/>
      <c r="CX30" s="571"/>
      <c r="CY30" s="571"/>
      <c r="CZ30" s="571"/>
      <c r="DA30" s="571"/>
      <c r="DB30" s="571"/>
      <c r="DC30" s="571"/>
      <c r="DD30" s="571"/>
      <c r="DE30" s="571"/>
      <c r="DF30" s="571"/>
      <c r="DG30" s="571"/>
      <c r="DH30" s="571"/>
      <c r="DI30" s="571"/>
      <c r="DJ30" s="571"/>
      <c r="DK30" s="571"/>
      <c r="DL30" s="571"/>
      <c r="DM30" s="571"/>
      <c r="DN30" s="571"/>
      <c r="DO30" s="571"/>
      <c r="DP30" s="571"/>
      <c r="DQ30" s="571"/>
      <c r="DR30" s="571"/>
      <c r="DS30" s="571"/>
      <c r="DT30" s="571"/>
      <c r="DU30" s="571"/>
      <c r="DV30" s="571"/>
      <c r="DW30" s="571"/>
      <c r="DX30" s="571"/>
      <c r="DY30" s="571"/>
      <c r="DZ30" s="571"/>
      <c r="EA30" s="571"/>
      <c r="EB30" s="571"/>
      <c r="EC30" s="571"/>
      <c r="ED30" s="571"/>
      <c r="EE30" s="571"/>
      <c r="EF30" s="571"/>
      <c r="EG30" s="571"/>
      <c r="EH30" s="571"/>
      <c r="EI30" s="571"/>
      <c r="EJ30" s="571"/>
      <c r="EK30" s="571"/>
      <c r="EL30" s="571"/>
      <c r="EM30" s="571"/>
      <c r="EN30" s="571"/>
      <c r="EO30" s="571"/>
      <c r="EP30" s="571"/>
      <c r="EQ30" s="571"/>
      <c r="ER30" s="571"/>
      <c r="ES30" s="571"/>
      <c r="ET30" s="571"/>
      <c r="EU30" s="571"/>
      <c r="EV30" s="571"/>
      <c r="EW30" s="571"/>
      <c r="EX30" s="571"/>
      <c r="EY30" s="571"/>
      <c r="EZ30" s="571"/>
      <c r="FA30" s="571"/>
      <c r="FB30" s="571"/>
      <c r="FC30" s="571"/>
      <c r="FD30" s="571"/>
      <c r="FE30" s="571"/>
      <c r="FF30" s="571"/>
      <c r="FG30" s="571"/>
      <c r="FH30" s="571"/>
      <c r="FI30" s="571"/>
      <c r="FJ30" s="571"/>
      <c r="FK30" s="571"/>
      <c r="FL30" s="571"/>
      <c r="FM30" s="571"/>
      <c r="FN30" s="571"/>
      <c r="FO30" s="571"/>
      <c r="FP30" s="571"/>
      <c r="FQ30" s="571"/>
      <c r="FR30" s="571"/>
      <c r="FS30" s="571"/>
      <c r="FT30" s="571"/>
      <c r="FU30" s="571"/>
      <c r="FV30" s="571"/>
      <c r="FW30" s="571"/>
      <c r="FX30" s="571"/>
      <c r="FY30" s="571"/>
      <c r="FZ30" s="571"/>
      <c r="GA30" s="571"/>
      <c r="GB30" s="571"/>
      <c r="GC30" s="571"/>
    </row>
    <row r="31" spans="4:185" ht="15.75" x14ac:dyDescent="0.25">
      <c r="E31" s="563" t="s">
        <v>482</v>
      </c>
      <c r="F31" s="577">
        <f>F27+F29</f>
        <v>206503359</v>
      </c>
      <c r="G31" s="577">
        <f t="shared" ref="G31:BR31" si="16">G27+G29</f>
        <v>201451759</v>
      </c>
      <c r="H31" s="577">
        <f t="shared" si="16"/>
        <v>212270283</v>
      </c>
      <c r="I31" s="577">
        <f t="shared" si="16"/>
        <v>199042308</v>
      </c>
      <c r="J31" s="577">
        <f t="shared" si="16"/>
        <v>207346646</v>
      </c>
      <c r="K31" s="577">
        <f t="shared" si="16"/>
        <v>202964608</v>
      </c>
      <c r="L31" s="577">
        <f t="shared" si="16"/>
        <v>209635097</v>
      </c>
      <c r="M31" s="577">
        <f t="shared" si="16"/>
        <v>214457781</v>
      </c>
      <c r="N31" s="577">
        <f t="shared" si="16"/>
        <v>212447330</v>
      </c>
      <c r="O31" s="577">
        <f t="shared" si="16"/>
        <v>217727139</v>
      </c>
      <c r="P31" s="577">
        <f t="shared" si="16"/>
        <v>206527759</v>
      </c>
      <c r="Q31" s="577">
        <f t="shared" si="16"/>
        <v>198019488</v>
      </c>
      <c r="R31" s="577">
        <f t="shared" si="16"/>
        <v>222638002</v>
      </c>
      <c r="S31" s="577">
        <f t="shared" si="16"/>
        <v>206462201</v>
      </c>
      <c r="T31" s="577">
        <f t="shared" si="16"/>
        <v>232084006</v>
      </c>
      <c r="U31" s="577">
        <f t="shared" si="16"/>
        <v>216434683</v>
      </c>
      <c r="V31" s="577">
        <f t="shared" si="16"/>
        <v>229849927</v>
      </c>
      <c r="W31" s="577">
        <f t="shared" si="16"/>
        <v>225354921</v>
      </c>
      <c r="X31" s="577">
        <f t="shared" si="16"/>
        <v>230647346</v>
      </c>
      <c r="Y31" s="577">
        <f t="shared" si="16"/>
        <v>233674782</v>
      </c>
      <c r="Z31" s="577">
        <f t="shared" si="16"/>
        <v>229060171</v>
      </c>
      <c r="AA31" s="577">
        <f t="shared" si="16"/>
        <v>243381899</v>
      </c>
      <c r="AB31" s="577">
        <f t="shared" si="16"/>
        <v>240329723</v>
      </c>
      <c r="AC31" s="577">
        <f t="shared" si="16"/>
        <v>238465508</v>
      </c>
      <c r="AD31" s="577">
        <f t="shared" si="16"/>
        <v>218664473</v>
      </c>
      <c r="AE31" s="577">
        <f t="shared" si="16"/>
        <v>204938943</v>
      </c>
      <c r="AF31" s="577">
        <f t="shared" si="16"/>
        <v>237046241</v>
      </c>
      <c r="AG31" s="577">
        <f t="shared" si="16"/>
        <v>220432110</v>
      </c>
      <c r="AH31" s="577">
        <f t="shared" si="16"/>
        <v>236285657</v>
      </c>
      <c r="AI31" s="577">
        <f t="shared" si="16"/>
        <v>228774373</v>
      </c>
      <c r="AJ31" s="577">
        <f t="shared" si="16"/>
        <v>238149509</v>
      </c>
      <c r="AK31" s="577">
        <f t="shared" si="16"/>
        <v>240181317</v>
      </c>
      <c r="AL31" s="577">
        <f t="shared" si="16"/>
        <v>233126658</v>
      </c>
      <c r="AM31" s="577">
        <f t="shared" si="16"/>
        <v>244243047</v>
      </c>
      <c r="AN31" s="577">
        <f t="shared" si="16"/>
        <v>241847850</v>
      </c>
      <c r="AO31" s="577">
        <f t="shared" si="16"/>
        <v>246754168</v>
      </c>
      <c r="AP31" s="577">
        <f t="shared" si="16"/>
        <v>253754976</v>
      </c>
      <c r="AQ31" s="577">
        <f t="shared" si="16"/>
        <v>218941274</v>
      </c>
      <c r="AR31" s="577">
        <f t="shared" si="16"/>
        <v>243901832</v>
      </c>
      <c r="AS31" s="577">
        <f t="shared" si="16"/>
        <v>256135262</v>
      </c>
      <c r="AT31" s="577">
        <f t="shared" si="16"/>
        <v>254673148</v>
      </c>
      <c r="AU31" s="577">
        <f t="shared" si="16"/>
        <v>239572187</v>
      </c>
      <c r="AV31" s="577">
        <f t="shared" si="16"/>
        <v>190294401</v>
      </c>
      <c r="AW31" s="577">
        <f t="shared" si="16"/>
        <v>193435959</v>
      </c>
      <c r="AX31" s="577">
        <f t="shared" si="16"/>
        <v>196055874</v>
      </c>
      <c r="AY31" s="577">
        <f t="shared" si="16"/>
        <v>206552125</v>
      </c>
      <c r="AZ31" s="577">
        <f t="shared" si="16"/>
        <v>201473792</v>
      </c>
      <c r="BA31" s="577">
        <f t="shared" si="16"/>
        <v>208886962</v>
      </c>
      <c r="BB31" s="577">
        <f t="shared" si="16"/>
        <v>210659420</v>
      </c>
      <c r="BC31" s="577">
        <f t="shared" si="16"/>
        <v>195132801</v>
      </c>
      <c r="BD31" s="577">
        <f t="shared" si="16"/>
        <v>215390181</v>
      </c>
      <c r="BE31" s="577">
        <f t="shared" si="16"/>
        <v>227391866</v>
      </c>
      <c r="BF31" s="577">
        <f t="shared" si="16"/>
        <v>247593442</v>
      </c>
      <c r="BG31" s="577">
        <f t="shared" si="16"/>
        <v>200169997</v>
      </c>
      <c r="BH31" s="577">
        <f t="shared" si="16"/>
        <v>177200181</v>
      </c>
      <c r="BI31" s="577">
        <f t="shared" si="16"/>
        <v>153572633</v>
      </c>
      <c r="BJ31" s="577">
        <f t="shared" si="16"/>
        <v>160414966</v>
      </c>
      <c r="BK31" s="577">
        <f t="shared" si="16"/>
        <v>144489758</v>
      </c>
      <c r="BL31" s="577">
        <f t="shared" si="16"/>
        <v>141888834</v>
      </c>
      <c r="BM31" s="577">
        <f t="shared" si="16"/>
        <v>153702349</v>
      </c>
      <c r="BN31" s="577">
        <f t="shared" si="16"/>
        <v>188921891</v>
      </c>
      <c r="BO31" s="577">
        <f t="shared" si="16"/>
        <v>174185546</v>
      </c>
      <c r="BP31" s="577">
        <f t="shared" si="16"/>
        <v>153695225</v>
      </c>
      <c r="BQ31" s="577">
        <f t="shared" si="16"/>
        <v>172233219</v>
      </c>
      <c r="BR31" s="577">
        <f t="shared" si="16"/>
        <v>168047989</v>
      </c>
      <c r="BS31" s="577">
        <f t="shared" ref="BS31:ED31" si="17">BS27+BS29</f>
        <v>161558102</v>
      </c>
      <c r="BT31" s="577">
        <f t="shared" si="17"/>
        <v>139762943</v>
      </c>
      <c r="BU31" s="577">
        <f t="shared" si="17"/>
        <v>142186529</v>
      </c>
      <c r="BV31" s="577">
        <f t="shared" si="17"/>
        <v>141978428</v>
      </c>
      <c r="BW31" s="577">
        <f t="shared" si="17"/>
        <v>147727855</v>
      </c>
      <c r="BX31" s="577">
        <f t="shared" si="17"/>
        <v>151142334</v>
      </c>
      <c r="BY31" s="577">
        <f t="shared" si="17"/>
        <v>136479267</v>
      </c>
      <c r="BZ31" s="577">
        <f t="shared" si="17"/>
        <v>126141766</v>
      </c>
      <c r="CA31" s="577">
        <f t="shared" si="17"/>
        <v>107020251</v>
      </c>
      <c r="CB31" s="577">
        <f t="shared" si="17"/>
        <v>107301378</v>
      </c>
      <c r="CC31" s="577">
        <f t="shared" si="17"/>
        <v>137021791</v>
      </c>
      <c r="CD31" s="577">
        <f t="shared" si="17"/>
        <v>194688625</v>
      </c>
      <c r="CE31" s="577">
        <f t="shared" si="17"/>
        <v>129867269</v>
      </c>
      <c r="CF31" s="577">
        <f t="shared" si="17"/>
        <v>118141941</v>
      </c>
      <c r="CG31" s="577">
        <f t="shared" si="17"/>
        <v>118171846</v>
      </c>
      <c r="CH31" s="577">
        <f t="shared" si="17"/>
        <v>117923884</v>
      </c>
      <c r="CI31" s="577">
        <f t="shared" si="17"/>
        <v>107405635</v>
      </c>
      <c r="CJ31" s="577">
        <f t="shared" si="17"/>
        <v>102849506</v>
      </c>
      <c r="CK31" s="577">
        <f t="shared" si="17"/>
        <v>184009945</v>
      </c>
      <c r="CL31" s="577">
        <f t="shared" si="17"/>
        <v>191958375</v>
      </c>
      <c r="CM31" s="577">
        <f t="shared" si="17"/>
        <v>234097452</v>
      </c>
      <c r="CN31" s="577">
        <f t="shared" si="17"/>
        <v>253944078</v>
      </c>
      <c r="CO31" s="577">
        <f t="shared" si="17"/>
        <v>270746705</v>
      </c>
      <c r="CP31" s="577">
        <f t="shared" si="17"/>
        <v>260602167</v>
      </c>
      <c r="CQ31" s="577">
        <f t="shared" si="17"/>
        <v>212242888</v>
      </c>
      <c r="CR31" s="577">
        <f t="shared" si="17"/>
        <v>180698449</v>
      </c>
      <c r="CS31" s="577">
        <f t="shared" si="17"/>
        <v>196450717</v>
      </c>
      <c r="CT31" s="577">
        <f t="shared" si="17"/>
        <v>197200542</v>
      </c>
      <c r="CU31" s="577">
        <f t="shared" si="17"/>
        <v>205240886</v>
      </c>
      <c r="CV31" s="577">
        <f t="shared" si="17"/>
        <v>187883292</v>
      </c>
      <c r="CW31" s="577">
        <f t="shared" si="17"/>
        <v>204513722</v>
      </c>
      <c r="CX31" s="577">
        <f t="shared" si="17"/>
        <v>207518983</v>
      </c>
      <c r="CY31" s="577">
        <f t="shared" si="17"/>
        <v>215397374</v>
      </c>
      <c r="CZ31" s="577">
        <f t="shared" si="17"/>
        <v>213432642</v>
      </c>
      <c r="DA31" s="577">
        <f t="shared" si="17"/>
        <v>289343288</v>
      </c>
      <c r="DB31" s="577">
        <f t="shared" si="17"/>
        <v>300602380</v>
      </c>
      <c r="DC31" s="577">
        <f t="shared" si="17"/>
        <v>236180561</v>
      </c>
      <c r="DD31" s="577">
        <f t="shared" si="17"/>
        <v>219839604</v>
      </c>
      <c r="DE31" s="577">
        <f t="shared" si="17"/>
        <v>237553535</v>
      </c>
      <c r="DF31" s="577">
        <f t="shared" si="17"/>
        <v>256757169</v>
      </c>
      <c r="DG31" s="577">
        <f t="shared" si="17"/>
        <v>272144231</v>
      </c>
      <c r="DH31" s="577">
        <f t="shared" si="17"/>
        <v>263006644</v>
      </c>
      <c r="DI31" s="577">
        <f t="shared" si="17"/>
        <v>273501232</v>
      </c>
      <c r="DJ31" s="577">
        <f t="shared" si="17"/>
        <v>268775845</v>
      </c>
      <c r="DK31" s="577">
        <f t="shared" si="17"/>
        <v>244956292</v>
      </c>
      <c r="DL31" s="577">
        <f t="shared" si="17"/>
        <v>298096180</v>
      </c>
      <c r="DM31" s="577">
        <f t="shared" si="17"/>
        <v>293746913</v>
      </c>
      <c r="DN31" s="577">
        <f t="shared" si="17"/>
        <v>292426524</v>
      </c>
      <c r="DO31" s="577">
        <f t="shared" si="17"/>
        <v>278979241</v>
      </c>
      <c r="DP31" s="577">
        <f t="shared" si="17"/>
        <v>284066608</v>
      </c>
      <c r="DQ31" s="577">
        <f t="shared" si="17"/>
        <v>280893783</v>
      </c>
      <c r="DR31" s="577">
        <f t="shared" si="17"/>
        <v>255064727</v>
      </c>
      <c r="DS31" s="577">
        <f t="shared" si="17"/>
        <v>302733293</v>
      </c>
      <c r="DT31" s="577">
        <f t="shared" si="17"/>
        <v>273053402</v>
      </c>
      <c r="DU31" s="577">
        <f t="shared" si="17"/>
        <v>275695425</v>
      </c>
      <c r="DV31" s="577">
        <f t="shared" si="17"/>
        <v>281075680</v>
      </c>
      <c r="DW31" s="577">
        <f t="shared" si="17"/>
        <v>268001024</v>
      </c>
      <c r="DX31" s="577">
        <f t="shared" si="17"/>
        <v>305973860</v>
      </c>
      <c r="DY31" s="577">
        <f t="shared" si="17"/>
        <v>294622303</v>
      </c>
      <c r="DZ31" s="577">
        <f t="shared" si="17"/>
        <v>319988073</v>
      </c>
      <c r="EA31" s="577">
        <f t="shared" si="17"/>
        <v>306303060</v>
      </c>
      <c r="EB31" s="577">
        <f t="shared" si="17"/>
        <v>315627717</v>
      </c>
      <c r="EC31" s="577">
        <f t="shared" si="17"/>
        <v>327419578</v>
      </c>
      <c r="ED31" s="577">
        <f t="shared" si="17"/>
        <v>316638277</v>
      </c>
      <c r="EE31" s="577">
        <f t="shared" ref="EE31:FT31" si="18">EE27+EE29</f>
        <v>333108088</v>
      </c>
      <c r="EF31" s="577">
        <f t="shared" si="18"/>
        <v>333560837</v>
      </c>
      <c r="EG31" s="577">
        <f t="shared" si="18"/>
        <v>301897734</v>
      </c>
      <c r="EH31" s="577">
        <f t="shared" si="18"/>
        <v>6654092</v>
      </c>
      <c r="EI31" s="577">
        <f t="shared" si="18"/>
        <v>6062745</v>
      </c>
      <c r="EJ31" s="577">
        <f t="shared" si="18"/>
        <v>6508001</v>
      </c>
      <c r="EK31" s="577">
        <f t="shared" si="18"/>
        <v>6361236</v>
      </c>
      <c r="EL31" s="577">
        <f t="shared" si="18"/>
        <v>7026476</v>
      </c>
      <c r="EM31" s="577">
        <f t="shared" si="18"/>
        <v>6952540</v>
      </c>
      <c r="EN31" s="577">
        <f t="shared" si="18"/>
        <v>7160786</v>
      </c>
      <c r="EO31" s="577">
        <f t="shared" si="18"/>
        <v>7249649</v>
      </c>
      <c r="EP31" s="577">
        <f t="shared" si="18"/>
        <v>7025328</v>
      </c>
      <c r="EQ31" s="577">
        <f t="shared" si="18"/>
        <v>7104002</v>
      </c>
      <c r="ER31" s="577">
        <f t="shared" si="18"/>
        <v>7646307</v>
      </c>
      <c r="ES31" s="577">
        <f t="shared" si="18"/>
        <v>7861214</v>
      </c>
      <c r="ET31" s="577">
        <f t="shared" si="18"/>
        <v>257571427</v>
      </c>
      <c r="EU31" s="577">
        <f t="shared" si="18"/>
        <v>222091116</v>
      </c>
      <c r="EV31" s="577">
        <f t="shared" si="18"/>
        <v>288775915</v>
      </c>
      <c r="EW31" s="577">
        <f t="shared" si="18"/>
        <v>296177398</v>
      </c>
      <c r="EX31" s="577">
        <f t="shared" si="18"/>
        <v>299970533</v>
      </c>
      <c r="EY31" s="577">
        <f t="shared" si="18"/>
        <v>276829398</v>
      </c>
      <c r="EZ31" s="577">
        <f t="shared" si="18"/>
        <v>206751307</v>
      </c>
      <c r="FA31" s="577">
        <f t="shared" si="18"/>
        <v>259268039</v>
      </c>
      <c r="FB31" s="577">
        <f t="shared" si="18"/>
        <v>236758608</v>
      </c>
      <c r="FC31" s="577">
        <f t="shared" si="18"/>
        <v>257891949</v>
      </c>
      <c r="FD31" s="577">
        <f t="shared" si="18"/>
        <v>233633152</v>
      </c>
      <c r="FE31" s="577">
        <f t="shared" si="18"/>
        <v>236425365</v>
      </c>
      <c r="FF31" s="577">
        <f t="shared" si="18"/>
        <v>0</v>
      </c>
      <c r="FG31" s="577">
        <f t="shared" si="18"/>
        <v>0</v>
      </c>
      <c r="FH31" s="577">
        <f t="shared" si="18"/>
        <v>0</v>
      </c>
      <c r="FI31" s="577">
        <f t="shared" si="18"/>
        <v>0</v>
      </c>
      <c r="FJ31" s="577">
        <f t="shared" si="18"/>
        <v>0</v>
      </c>
      <c r="FK31" s="577">
        <f t="shared" si="18"/>
        <v>0</v>
      </c>
      <c r="FL31" s="577">
        <f t="shared" si="18"/>
        <v>0</v>
      </c>
      <c r="FM31" s="577">
        <f t="shared" si="18"/>
        <v>0</v>
      </c>
      <c r="FN31" s="577">
        <f t="shared" si="18"/>
        <v>0</v>
      </c>
      <c r="FO31" s="577">
        <f t="shared" si="18"/>
        <v>0</v>
      </c>
      <c r="FP31" s="577">
        <f t="shared" si="18"/>
        <v>0</v>
      </c>
      <c r="FQ31" s="577">
        <f t="shared" si="18"/>
        <v>0</v>
      </c>
      <c r="FR31" s="577">
        <f t="shared" si="18"/>
        <v>0</v>
      </c>
      <c r="FS31" s="577">
        <f t="shared" si="18"/>
        <v>0</v>
      </c>
      <c r="FT31" s="577">
        <f t="shared" si="18"/>
        <v>0</v>
      </c>
      <c r="FU31" s="578"/>
      <c r="FV31" s="571"/>
      <c r="FW31" s="571"/>
      <c r="FX31" s="571"/>
      <c r="FY31" s="571"/>
      <c r="FZ31" s="571"/>
      <c r="GA31" s="571"/>
      <c r="GB31" s="571"/>
      <c r="GC31" s="571"/>
    </row>
    <row r="34" spans="4:149" x14ac:dyDescent="0.2">
      <c r="DK34" s="197"/>
      <c r="DL34" s="197"/>
      <c r="DM34" s="197"/>
      <c r="DN34" s="197"/>
      <c r="DO34" s="197"/>
      <c r="DP34" s="197"/>
      <c r="DQ34" s="197"/>
      <c r="DR34" s="197"/>
      <c r="DS34" s="197"/>
      <c r="DT34" s="197"/>
      <c r="DU34" s="197"/>
      <c r="DV34" s="197"/>
    </row>
    <row r="35" spans="4:149" x14ac:dyDescent="0.2">
      <c r="F35" s="197"/>
      <c r="G35" s="197"/>
      <c r="H35" s="197"/>
      <c r="I35" s="197"/>
      <c r="J35" s="197"/>
      <c r="K35" s="197"/>
      <c r="L35" s="197"/>
      <c r="M35" s="197"/>
      <c r="N35" s="197"/>
      <c r="O35" s="197"/>
      <c r="P35" s="197"/>
      <c r="Q35" s="197"/>
      <c r="DK35" s="197"/>
      <c r="DL35" s="197"/>
      <c r="DM35" s="197"/>
      <c r="DN35" s="197"/>
      <c r="DO35" s="197"/>
      <c r="DP35" s="197"/>
      <c r="DQ35" s="197"/>
      <c r="DR35" s="197"/>
      <c r="DS35" s="197"/>
      <c r="DT35" s="197"/>
      <c r="DU35" s="197"/>
      <c r="DV35" s="197"/>
      <c r="EH35" s="197"/>
      <c r="EI35" s="197"/>
      <c r="EJ35" s="197"/>
      <c r="EK35" s="197"/>
      <c r="EL35" s="197"/>
      <c r="EM35" s="197"/>
      <c r="EN35" s="197"/>
      <c r="EO35" s="197"/>
      <c r="EP35" s="197"/>
      <c r="EQ35" s="197"/>
      <c r="ER35" s="197"/>
      <c r="ES35" s="197"/>
    </row>
    <row r="36" spans="4:149" x14ac:dyDescent="0.2">
      <c r="F36" s="197"/>
      <c r="G36" s="197"/>
      <c r="H36" s="197"/>
      <c r="I36" s="197"/>
      <c r="J36" s="197"/>
      <c r="K36" s="197"/>
      <c r="L36" s="197"/>
      <c r="M36" s="197"/>
      <c r="N36" s="197"/>
      <c r="O36" s="197"/>
      <c r="P36" s="197"/>
      <c r="Q36" s="197"/>
      <c r="CG36" s="197"/>
      <c r="CH36" s="197"/>
      <c r="CI36" s="197"/>
      <c r="CJ36" s="197"/>
      <c r="CK36" s="197"/>
      <c r="CL36" s="197"/>
      <c r="CM36" s="197"/>
      <c r="CN36" s="197"/>
      <c r="CO36" s="197"/>
      <c r="CP36" s="197"/>
      <c r="CQ36" s="197"/>
      <c r="CR36" s="197"/>
      <c r="DK36" s="197"/>
      <c r="DL36" s="197"/>
      <c r="DM36" s="197"/>
      <c r="DN36" s="197"/>
      <c r="DO36" s="197"/>
      <c r="DP36" s="197"/>
      <c r="DQ36" s="197"/>
      <c r="DR36" s="197"/>
      <c r="DS36" s="197"/>
      <c r="DT36" s="197"/>
      <c r="DU36" s="197"/>
      <c r="DV36" s="197"/>
      <c r="EH36" s="197"/>
      <c r="EI36" s="197"/>
      <c r="EJ36" s="197"/>
      <c r="EK36" s="197"/>
      <c r="EL36" s="197"/>
      <c r="EM36" s="197"/>
      <c r="EN36" s="197"/>
      <c r="EO36" s="197"/>
      <c r="EP36" s="197"/>
      <c r="EQ36" s="197"/>
      <c r="ER36" s="197"/>
      <c r="ES36" s="197"/>
    </row>
    <row r="37" spans="4:149" x14ac:dyDescent="0.2">
      <c r="F37" s="197"/>
      <c r="G37" s="197"/>
      <c r="H37" s="197"/>
      <c r="I37" s="197"/>
      <c r="J37" s="197"/>
      <c r="K37" s="197"/>
      <c r="L37" s="197"/>
      <c r="M37" s="197"/>
      <c r="N37" s="197"/>
      <c r="O37" s="197"/>
      <c r="P37" s="197"/>
      <c r="Q37" s="197"/>
      <c r="CG37" s="197"/>
      <c r="CH37" s="197"/>
      <c r="CI37" s="197"/>
      <c r="CJ37" s="197"/>
      <c r="CK37" s="197"/>
      <c r="CL37" s="197"/>
      <c r="CM37" s="197"/>
      <c r="CN37" s="197"/>
      <c r="CO37" s="197"/>
      <c r="CP37" s="197"/>
      <c r="CQ37" s="197"/>
      <c r="CR37" s="197"/>
      <c r="DK37" s="197"/>
      <c r="DL37" s="197"/>
      <c r="DM37" s="197"/>
      <c r="DN37" s="197"/>
      <c r="DO37" s="197"/>
      <c r="DP37" s="197"/>
      <c r="DQ37" s="197"/>
      <c r="DR37" s="197"/>
      <c r="DS37" s="197"/>
      <c r="DT37" s="197"/>
      <c r="DU37" s="197"/>
      <c r="DV37" s="197"/>
      <c r="EH37" s="197"/>
      <c r="EI37" s="197"/>
      <c r="EJ37" s="197"/>
      <c r="EK37" s="197"/>
      <c r="EL37" s="197"/>
      <c r="EM37" s="197"/>
      <c r="EN37" s="197"/>
      <c r="EO37" s="197"/>
      <c r="EP37" s="197"/>
      <c r="EQ37" s="197"/>
      <c r="ER37" s="197"/>
      <c r="ES37" s="197"/>
    </row>
    <row r="38" spans="4:149" x14ac:dyDescent="0.2">
      <c r="F38" s="197"/>
      <c r="G38" s="197"/>
      <c r="H38" s="197"/>
      <c r="I38" s="197"/>
      <c r="J38" s="197"/>
      <c r="K38" s="197"/>
      <c r="L38" s="197"/>
      <c r="M38" s="197"/>
      <c r="N38" s="197"/>
      <c r="O38" s="197"/>
      <c r="P38" s="197"/>
      <c r="Q38" s="197"/>
      <c r="CG38" s="197"/>
      <c r="CH38" s="197"/>
      <c r="CI38" s="197"/>
      <c r="CJ38" s="197"/>
      <c r="CK38" s="197"/>
      <c r="CL38" s="197"/>
      <c r="CM38" s="197"/>
      <c r="CN38" s="197"/>
      <c r="CO38" s="197"/>
      <c r="CP38" s="197"/>
      <c r="CQ38" s="197"/>
      <c r="CR38" s="197"/>
      <c r="DK38" s="197"/>
      <c r="DL38" s="197"/>
      <c r="DM38" s="197"/>
      <c r="DN38" s="197"/>
      <c r="DO38" s="197"/>
      <c r="DP38" s="197"/>
      <c r="DQ38" s="197"/>
      <c r="DR38" s="197"/>
      <c r="DS38" s="197"/>
      <c r="DT38" s="197"/>
      <c r="DU38" s="197"/>
      <c r="DV38" s="197"/>
      <c r="EH38" s="197"/>
      <c r="EI38" s="197"/>
      <c r="EJ38" s="197"/>
      <c r="EK38" s="197"/>
      <c r="EL38" s="197"/>
      <c r="EM38" s="197"/>
      <c r="EN38" s="197"/>
      <c r="EO38" s="197"/>
      <c r="EP38" s="197"/>
      <c r="EQ38" s="197"/>
      <c r="ER38" s="197"/>
      <c r="ES38" s="197"/>
    </row>
    <row r="39" spans="4:149" x14ac:dyDescent="0.2">
      <c r="F39" s="197"/>
      <c r="G39" s="197"/>
      <c r="H39" s="197"/>
      <c r="I39" s="197"/>
      <c r="J39" s="197"/>
      <c r="K39" s="197"/>
      <c r="L39" s="197"/>
      <c r="M39" s="197"/>
      <c r="N39" s="197"/>
      <c r="O39" s="197"/>
      <c r="P39" s="197"/>
      <c r="Q39" s="197"/>
      <c r="CG39" s="197"/>
      <c r="CH39" s="197"/>
      <c r="CI39" s="197"/>
      <c r="CJ39" s="197"/>
      <c r="CK39" s="197"/>
      <c r="CL39" s="197"/>
      <c r="CM39" s="197"/>
      <c r="CN39" s="197"/>
      <c r="CO39" s="197"/>
      <c r="CP39" s="197"/>
      <c r="CQ39" s="197"/>
      <c r="CR39" s="197"/>
      <c r="DK39" s="197"/>
      <c r="DL39" s="197"/>
      <c r="DM39" s="564"/>
      <c r="DN39" s="197"/>
      <c r="DO39" s="197"/>
      <c r="DP39" s="197"/>
      <c r="DQ39" s="197"/>
      <c r="DR39" s="197"/>
      <c r="DS39" s="197"/>
      <c r="DT39" s="197"/>
      <c r="DU39" s="197"/>
      <c r="DV39" s="197"/>
      <c r="EH39" s="197"/>
      <c r="EI39" s="197"/>
      <c r="EJ39" s="197"/>
      <c r="EK39" s="197"/>
      <c r="EL39" s="197"/>
      <c r="EM39" s="197"/>
      <c r="EN39" s="197"/>
      <c r="EO39" s="197"/>
      <c r="EP39" s="197"/>
      <c r="EQ39" s="197"/>
      <c r="ER39" s="197"/>
      <c r="ES39" s="197"/>
    </row>
    <row r="40" spans="4:149" x14ac:dyDescent="0.2">
      <c r="F40" s="197"/>
      <c r="G40" s="197"/>
      <c r="H40" s="564"/>
      <c r="I40" s="197"/>
      <c r="J40" s="197"/>
      <c r="K40" s="197"/>
      <c r="L40" s="197"/>
      <c r="M40" s="197"/>
      <c r="N40" s="197"/>
      <c r="O40" s="197"/>
      <c r="P40" s="197"/>
      <c r="Q40" s="197"/>
      <c r="CG40" s="197"/>
      <c r="CH40" s="197"/>
      <c r="CI40" s="564"/>
      <c r="CJ40" s="197"/>
      <c r="CK40" s="197"/>
      <c r="CL40" s="197"/>
      <c r="CM40" s="197"/>
      <c r="CN40" s="197"/>
      <c r="CO40" s="197"/>
      <c r="CP40" s="197"/>
      <c r="CQ40" s="197"/>
      <c r="CR40" s="197"/>
      <c r="DK40" s="542"/>
      <c r="DL40" s="542"/>
      <c r="DM40" s="542"/>
      <c r="DN40" s="542"/>
      <c r="DO40" s="542"/>
      <c r="DP40" s="542"/>
      <c r="DQ40" s="542"/>
      <c r="DR40" s="542"/>
      <c r="DS40" s="542"/>
      <c r="DT40" s="542"/>
      <c r="DU40" s="542"/>
      <c r="DV40" s="542"/>
      <c r="EH40" s="197"/>
      <c r="EI40" s="197"/>
      <c r="EJ40" s="564"/>
      <c r="EK40" s="197"/>
      <c r="EL40" s="197"/>
      <c r="EM40" s="197"/>
      <c r="EN40" s="197"/>
      <c r="EO40" s="197"/>
      <c r="EP40" s="197"/>
      <c r="EQ40" s="197"/>
      <c r="ER40" s="197"/>
      <c r="ES40" s="197"/>
    </row>
    <row r="41" spans="4:149" x14ac:dyDescent="0.2">
      <c r="F41" s="542"/>
      <c r="G41" s="542"/>
      <c r="H41" s="542"/>
      <c r="I41" s="542"/>
      <c r="J41" s="542"/>
      <c r="K41" s="542"/>
      <c r="L41" s="542"/>
      <c r="M41" s="542"/>
      <c r="N41" s="542"/>
      <c r="O41" s="542"/>
      <c r="P41" s="542"/>
      <c r="Q41" s="542"/>
      <c r="CG41" s="542"/>
      <c r="CH41" s="542"/>
      <c r="CI41" s="542"/>
      <c r="CJ41" s="542"/>
      <c r="CK41" s="542"/>
      <c r="CL41" s="542"/>
      <c r="CM41" s="542"/>
      <c r="CN41" s="542"/>
      <c r="CO41" s="542"/>
      <c r="CP41" s="542"/>
      <c r="CQ41" s="542"/>
      <c r="CR41" s="542"/>
      <c r="EH41" s="542"/>
      <c r="EI41" s="542"/>
      <c r="EJ41" s="542"/>
      <c r="EK41" s="542"/>
      <c r="EL41" s="542"/>
      <c r="EM41" s="542"/>
      <c r="EN41" s="542"/>
      <c r="EO41" s="542"/>
      <c r="EP41" s="542"/>
      <c r="EQ41" s="542"/>
      <c r="ER41" s="542"/>
      <c r="ES41" s="542"/>
    </row>
    <row r="43" spans="4:149" x14ac:dyDescent="0.2">
      <c r="DK43" s="550"/>
      <c r="DL43" s="549"/>
      <c r="DM43" s="549"/>
      <c r="DN43" s="549"/>
      <c r="DO43" s="549"/>
      <c r="DP43" s="549"/>
      <c r="DQ43" s="549"/>
      <c r="DR43" s="549"/>
      <c r="DS43" s="549"/>
      <c r="DT43" s="549"/>
      <c r="DU43" s="549"/>
      <c r="DV43" s="549"/>
    </row>
    <row r="44" spans="4:149" x14ac:dyDescent="0.2">
      <c r="D44" s="551"/>
      <c r="F44" s="550"/>
      <c r="G44" s="549"/>
      <c r="H44" s="549"/>
      <c r="I44" s="549"/>
      <c r="J44" s="549"/>
      <c r="K44" s="549"/>
      <c r="L44" s="549"/>
      <c r="M44" s="549"/>
      <c r="N44" s="549"/>
      <c r="O44" s="549"/>
      <c r="P44" s="549"/>
      <c r="Q44" s="549"/>
      <c r="R44" s="550"/>
      <c r="S44" s="549"/>
      <c r="T44" s="549"/>
      <c r="U44" s="549"/>
      <c r="V44" s="549"/>
      <c r="W44" s="549"/>
      <c r="X44" s="549"/>
      <c r="Y44" s="549"/>
      <c r="Z44" s="549"/>
      <c r="AA44" s="549"/>
      <c r="AB44" s="549"/>
      <c r="AC44" s="549"/>
      <c r="CG44" s="550"/>
      <c r="CH44" s="549"/>
      <c r="CI44" s="549"/>
      <c r="CJ44" s="549"/>
      <c r="CK44" s="549"/>
      <c r="CL44" s="549"/>
      <c r="CM44" s="549"/>
      <c r="CN44" s="549"/>
      <c r="CO44" s="549"/>
      <c r="CP44" s="549"/>
      <c r="CQ44" s="549"/>
      <c r="CR44" s="549"/>
      <c r="EH44" s="550"/>
      <c r="EI44" s="549"/>
      <c r="EJ44" s="549"/>
      <c r="EK44" s="549"/>
      <c r="EL44" s="549"/>
      <c r="EM44" s="549"/>
      <c r="EN44" s="549"/>
      <c r="EO44" s="549"/>
      <c r="EP44" s="549"/>
      <c r="EQ44" s="549"/>
      <c r="ER44" s="549"/>
      <c r="ES44" s="549"/>
    </row>
    <row r="45" spans="4:149" x14ac:dyDescent="0.2">
      <c r="D45" s="551"/>
      <c r="E45" s="551"/>
      <c r="F45" s="550"/>
      <c r="G45" s="549"/>
      <c r="H45" s="549"/>
      <c r="I45" s="549"/>
      <c r="J45" s="549"/>
      <c r="K45" s="549"/>
      <c r="L45" s="549"/>
      <c r="M45" s="549"/>
      <c r="N45" s="549"/>
      <c r="O45" s="549"/>
      <c r="P45" s="549"/>
      <c r="Q45" s="549"/>
      <c r="R45" s="550"/>
      <c r="S45" s="549"/>
      <c r="T45" s="549"/>
      <c r="U45" s="549"/>
      <c r="V45" s="549"/>
      <c r="W45" s="549"/>
      <c r="X45" s="549"/>
      <c r="Y45" s="549"/>
      <c r="Z45" s="549"/>
      <c r="AA45" s="549"/>
      <c r="AB45" s="549"/>
      <c r="AC45" s="549"/>
    </row>
    <row r="46" spans="4:149" x14ac:dyDescent="0.2">
      <c r="D46" s="551"/>
      <c r="E46" s="551"/>
      <c r="F46" s="550"/>
      <c r="G46" s="549"/>
      <c r="H46" s="549"/>
      <c r="I46" s="549"/>
      <c r="J46" s="549"/>
      <c r="K46" s="549"/>
      <c r="L46" s="549"/>
      <c r="M46" s="549"/>
      <c r="N46" s="549"/>
      <c r="O46" s="549"/>
      <c r="P46" s="549"/>
      <c r="Q46" s="549"/>
      <c r="R46" s="550"/>
      <c r="S46" s="549"/>
      <c r="T46" s="549"/>
      <c r="U46" s="549"/>
      <c r="V46" s="549"/>
      <c r="W46" s="549"/>
      <c r="X46" s="549"/>
      <c r="Y46" s="549"/>
      <c r="Z46" s="549"/>
      <c r="AA46" s="549"/>
      <c r="AB46" s="549"/>
      <c r="AC46" s="549"/>
    </row>
    <row r="47" spans="4:149" x14ac:dyDescent="0.2">
      <c r="D47" s="551"/>
      <c r="E47" s="551"/>
      <c r="F47" s="550"/>
      <c r="G47" s="549"/>
      <c r="H47" s="549"/>
      <c r="I47" s="549"/>
      <c r="J47" s="549"/>
      <c r="K47" s="549"/>
      <c r="L47" s="549"/>
      <c r="M47" s="549"/>
      <c r="N47" s="549"/>
      <c r="O47" s="549"/>
      <c r="P47" s="549"/>
      <c r="Q47" s="549"/>
      <c r="R47" s="550"/>
      <c r="S47" s="549"/>
      <c r="T47" s="549"/>
      <c r="U47" s="549"/>
      <c r="V47" s="549"/>
      <c r="W47" s="549"/>
      <c r="X47" s="549"/>
      <c r="Y47" s="549"/>
      <c r="Z47" s="549"/>
      <c r="AA47" s="549"/>
      <c r="AB47" s="549"/>
      <c r="AC47" s="549"/>
    </row>
    <row r="48" spans="4:149" x14ac:dyDescent="0.2">
      <c r="D48" s="551"/>
      <c r="E48" s="551"/>
      <c r="F48" s="550"/>
      <c r="G48" s="549"/>
      <c r="H48" s="549"/>
      <c r="I48" s="549"/>
      <c r="J48" s="549"/>
      <c r="K48" s="549"/>
      <c r="L48" s="549"/>
      <c r="M48" s="549"/>
      <c r="N48" s="549"/>
      <c r="O48" s="549"/>
      <c r="P48" s="549"/>
      <c r="Q48" s="549"/>
      <c r="R48" s="550"/>
      <c r="S48" s="549"/>
      <c r="T48" s="549"/>
      <c r="U48" s="549"/>
      <c r="V48" s="549"/>
      <c r="W48" s="549"/>
      <c r="X48" s="549"/>
      <c r="Y48" s="549"/>
      <c r="Z48" s="549"/>
      <c r="AA48" s="549"/>
      <c r="AB48" s="549"/>
      <c r="AC48" s="549"/>
    </row>
    <row r="49" spans="4:29" x14ac:dyDescent="0.2">
      <c r="D49" s="551"/>
      <c r="E49" s="551"/>
      <c r="F49" s="550"/>
      <c r="G49" s="549"/>
      <c r="H49" s="549"/>
      <c r="I49" s="549"/>
      <c r="J49" s="549"/>
      <c r="K49" s="549"/>
      <c r="L49" s="549"/>
      <c r="M49" s="549"/>
      <c r="N49" s="549"/>
      <c r="O49" s="549"/>
      <c r="P49" s="549"/>
      <c r="Q49" s="549"/>
      <c r="R49" s="550"/>
      <c r="S49" s="549"/>
      <c r="T49" s="549"/>
      <c r="U49" s="549"/>
      <c r="V49" s="549"/>
      <c r="W49" s="549"/>
      <c r="X49" s="549"/>
      <c r="Y49" s="549"/>
      <c r="Z49" s="549"/>
      <c r="AA49" s="549"/>
      <c r="AB49" s="549"/>
      <c r="AC49" s="549"/>
    </row>
    <row r="50" spans="4:29" x14ac:dyDescent="0.2">
      <c r="D50" s="542"/>
      <c r="E50" s="560"/>
      <c r="F50" s="552"/>
      <c r="G50" s="552"/>
      <c r="H50" s="552"/>
      <c r="I50" s="552"/>
      <c r="J50" s="552"/>
      <c r="K50" s="552"/>
      <c r="L50" s="552"/>
      <c r="M50" s="552"/>
      <c r="N50" s="552"/>
      <c r="O50" s="552"/>
      <c r="P50" s="552"/>
      <c r="Q50" s="552"/>
      <c r="R50" s="552"/>
      <c r="S50" s="552"/>
      <c r="T50" s="552"/>
      <c r="U50" s="552"/>
      <c r="V50" s="552"/>
      <c r="W50" s="552"/>
      <c r="X50" s="552"/>
      <c r="Y50" s="552"/>
      <c r="Z50" s="552"/>
      <c r="AA50" s="552"/>
      <c r="AB50" s="552"/>
      <c r="AC50" s="552"/>
    </row>
    <row r="51" spans="4:29" x14ac:dyDescent="0.2">
      <c r="D51" s="542"/>
      <c r="E51" s="551"/>
      <c r="F51" s="549"/>
      <c r="G51" s="549"/>
      <c r="H51" s="549"/>
      <c r="I51" s="549"/>
      <c r="J51" s="549"/>
      <c r="K51" s="549"/>
      <c r="L51" s="549"/>
      <c r="M51" s="549"/>
      <c r="N51" s="549"/>
      <c r="O51" s="549"/>
      <c r="P51" s="549"/>
      <c r="Q51" s="549"/>
      <c r="R51" s="542"/>
      <c r="S51" s="542"/>
      <c r="T51" s="542"/>
      <c r="U51" s="542"/>
      <c r="V51" s="542"/>
      <c r="W51" s="542"/>
      <c r="X51" s="542"/>
      <c r="Y51" s="542"/>
      <c r="Z51" s="542"/>
      <c r="AA51" s="542"/>
      <c r="AB51" s="542"/>
      <c r="AC51" s="542"/>
    </row>
    <row r="52" spans="4:29" x14ac:dyDescent="0.2">
      <c r="D52" s="542"/>
      <c r="E52" s="202"/>
      <c r="F52" s="549"/>
      <c r="G52" s="549"/>
      <c r="H52" s="549"/>
      <c r="I52" s="549"/>
      <c r="J52" s="549"/>
      <c r="K52" s="549"/>
      <c r="L52" s="549"/>
      <c r="M52" s="549"/>
      <c r="N52" s="549"/>
      <c r="O52" s="549"/>
      <c r="P52" s="549"/>
      <c r="Q52" s="549"/>
      <c r="R52" s="542"/>
      <c r="S52" s="542"/>
      <c r="T52" s="542"/>
      <c r="U52" s="542"/>
      <c r="V52" s="542"/>
      <c r="W52" s="542"/>
      <c r="X52" s="542"/>
      <c r="Y52" s="542"/>
      <c r="Z52" s="542"/>
      <c r="AA52" s="542"/>
      <c r="AB52" s="542"/>
      <c r="AC52" s="542"/>
    </row>
    <row r="53" spans="4:29" x14ac:dyDescent="0.2">
      <c r="D53" s="542"/>
      <c r="E53" s="551"/>
      <c r="F53" s="550"/>
      <c r="G53" s="549"/>
      <c r="H53" s="549"/>
      <c r="I53" s="549"/>
      <c r="J53" s="549"/>
      <c r="K53" s="549"/>
      <c r="L53" s="549"/>
      <c r="M53" s="549"/>
      <c r="N53" s="549"/>
      <c r="O53" s="549"/>
      <c r="P53" s="549"/>
      <c r="Q53" s="549"/>
      <c r="R53" s="542"/>
      <c r="S53" s="542"/>
      <c r="T53" s="542"/>
      <c r="U53" s="542"/>
      <c r="V53" s="542"/>
      <c r="W53" s="542"/>
      <c r="X53" s="542"/>
      <c r="Y53" s="542"/>
      <c r="Z53" s="542"/>
      <c r="AA53" s="542"/>
      <c r="AB53" s="542"/>
      <c r="AC53" s="542"/>
    </row>
    <row r="54" spans="4:29" x14ac:dyDescent="0.2">
      <c r="D54" s="542"/>
      <c r="E54" s="551"/>
      <c r="F54" s="550"/>
      <c r="G54" s="549"/>
      <c r="H54" s="549"/>
      <c r="I54" s="549"/>
      <c r="J54" s="549"/>
      <c r="K54" s="549"/>
      <c r="L54" s="549"/>
      <c r="M54" s="549"/>
      <c r="N54" s="549"/>
      <c r="O54" s="549"/>
      <c r="P54" s="549"/>
      <c r="Q54" s="549"/>
      <c r="R54" s="542"/>
      <c r="S54" s="542"/>
      <c r="T54" s="542"/>
      <c r="U54" s="542"/>
      <c r="V54" s="542"/>
      <c r="W54" s="542"/>
      <c r="X54" s="542"/>
      <c r="Y54" s="542"/>
      <c r="Z54" s="542"/>
      <c r="AA54" s="542"/>
      <c r="AB54" s="542"/>
      <c r="AC54" s="542"/>
    </row>
    <row r="55" spans="4:29" x14ac:dyDescent="0.2">
      <c r="D55" s="542"/>
      <c r="E55" s="551"/>
      <c r="F55" s="550"/>
      <c r="G55" s="549"/>
      <c r="H55" s="549"/>
      <c r="I55" s="549"/>
      <c r="J55" s="549"/>
      <c r="K55" s="549"/>
      <c r="L55" s="549"/>
      <c r="M55" s="549"/>
      <c r="N55" s="549"/>
      <c r="O55" s="549"/>
      <c r="P55" s="549"/>
      <c r="Q55" s="549"/>
      <c r="R55" s="542"/>
      <c r="S55" s="542"/>
      <c r="T55" s="542"/>
      <c r="U55" s="542"/>
      <c r="V55" s="542"/>
      <c r="W55" s="542"/>
      <c r="X55" s="542"/>
      <c r="Y55" s="542"/>
      <c r="Z55" s="542"/>
      <c r="AA55" s="542"/>
      <c r="AB55" s="542"/>
      <c r="AC55" s="542"/>
    </row>
    <row r="56" spans="4:29" x14ac:dyDescent="0.2">
      <c r="D56" s="542"/>
      <c r="E56" s="551"/>
      <c r="F56" s="550"/>
      <c r="G56" s="549"/>
      <c r="H56" s="549"/>
      <c r="I56" s="549"/>
      <c r="J56" s="549"/>
      <c r="K56" s="549"/>
      <c r="L56" s="549"/>
      <c r="M56" s="549"/>
      <c r="N56" s="549"/>
      <c r="O56" s="549"/>
      <c r="P56" s="549"/>
      <c r="Q56" s="549"/>
      <c r="R56" s="542"/>
      <c r="S56" s="542"/>
      <c r="T56" s="542"/>
      <c r="U56" s="542"/>
      <c r="V56" s="542"/>
      <c r="W56" s="542"/>
      <c r="X56" s="542"/>
      <c r="Y56" s="542"/>
      <c r="Z56" s="542"/>
      <c r="AA56" s="542"/>
      <c r="AB56" s="542"/>
      <c r="AC56" s="542"/>
    </row>
    <row r="57" spans="4:29" x14ac:dyDescent="0.2">
      <c r="D57" s="542"/>
      <c r="E57" s="551"/>
      <c r="F57" s="550"/>
      <c r="G57" s="549"/>
      <c r="H57" s="549"/>
      <c r="I57" s="549"/>
      <c r="J57" s="549"/>
      <c r="K57" s="549"/>
      <c r="L57" s="549"/>
      <c r="M57" s="549"/>
      <c r="N57" s="549"/>
      <c r="O57" s="549"/>
      <c r="P57" s="549"/>
      <c r="Q57" s="549"/>
      <c r="R57" s="542"/>
      <c r="S57" s="542"/>
      <c r="T57" s="542"/>
      <c r="U57" s="542"/>
      <c r="V57" s="542"/>
      <c r="W57" s="542"/>
      <c r="X57" s="542"/>
      <c r="Y57" s="542"/>
      <c r="Z57" s="542"/>
      <c r="AA57" s="542"/>
      <c r="AB57" s="542"/>
      <c r="AC57" s="542"/>
    </row>
    <row r="58" spans="4:29" x14ac:dyDescent="0.2">
      <c r="D58" s="542"/>
      <c r="E58" s="551"/>
      <c r="F58" s="550"/>
      <c r="G58" s="549"/>
      <c r="H58" s="549"/>
      <c r="I58" s="549"/>
      <c r="J58" s="549"/>
      <c r="K58" s="549"/>
      <c r="L58" s="549"/>
      <c r="M58" s="549"/>
      <c r="N58" s="549"/>
      <c r="O58" s="549"/>
      <c r="P58" s="549"/>
      <c r="Q58" s="549"/>
      <c r="R58" s="542"/>
      <c r="S58" s="542"/>
      <c r="T58" s="542"/>
      <c r="U58" s="542"/>
      <c r="V58" s="542"/>
      <c r="W58" s="542"/>
      <c r="X58" s="542"/>
      <c r="Y58" s="542"/>
      <c r="Z58" s="542"/>
      <c r="AA58" s="542"/>
      <c r="AB58" s="542"/>
      <c r="AC58" s="542"/>
    </row>
    <row r="59" spans="4:29" x14ac:dyDescent="0.2">
      <c r="D59" s="542"/>
      <c r="E59" s="551"/>
      <c r="F59" s="550"/>
      <c r="G59" s="549"/>
      <c r="H59" s="549"/>
      <c r="I59" s="549"/>
      <c r="J59" s="549"/>
      <c r="K59" s="549"/>
      <c r="L59" s="549"/>
      <c r="M59" s="549"/>
      <c r="N59" s="549"/>
      <c r="O59" s="549"/>
      <c r="P59" s="549"/>
      <c r="Q59" s="549"/>
      <c r="R59" s="542"/>
      <c r="S59" s="542"/>
      <c r="T59" s="542"/>
      <c r="U59" s="542"/>
      <c r="V59" s="542"/>
      <c r="W59" s="542"/>
      <c r="X59" s="542"/>
      <c r="Y59" s="542"/>
      <c r="Z59" s="542"/>
      <c r="AA59" s="542"/>
      <c r="AB59" s="542"/>
      <c r="AC59" s="542"/>
    </row>
    <row r="60" spans="4:29" x14ac:dyDescent="0.2">
      <c r="D60" s="542"/>
      <c r="E60" s="551"/>
      <c r="F60" s="550"/>
      <c r="G60" s="549"/>
      <c r="H60" s="549"/>
      <c r="I60" s="549"/>
      <c r="J60" s="549"/>
      <c r="K60" s="549"/>
      <c r="L60" s="549"/>
      <c r="M60" s="549"/>
      <c r="N60" s="549"/>
      <c r="O60" s="549"/>
      <c r="P60" s="549"/>
      <c r="Q60" s="549"/>
      <c r="R60" s="542"/>
      <c r="S60" s="542"/>
      <c r="T60" s="542"/>
      <c r="U60" s="542"/>
      <c r="V60" s="542"/>
      <c r="W60" s="542"/>
      <c r="X60" s="542"/>
      <c r="Y60" s="542"/>
      <c r="Z60" s="542"/>
      <c r="AA60" s="542"/>
      <c r="AB60" s="542"/>
      <c r="AC60" s="542"/>
    </row>
    <row r="61" spans="4:29" x14ac:dyDescent="0.2">
      <c r="D61" s="542"/>
      <c r="E61" s="551"/>
      <c r="F61" s="550"/>
      <c r="G61" s="549"/>
      <c r="H61" s="549"/>
      <c r="I61" s="549"/>
      <c r="J61" s="549"/>
      <c r="K61" s="549"/>
      <c r="L61" s="549"/>
      <c r="M61" s="549"/>
      <c r="N61" s="549"/>
      <c r="O61" s="549"/>
      <c r="P61" s="549"/>
      <c r="Q61" s="549"/>
      <c r="R61" s="542"/>
      <c r="S61" s="542"/>
      <c r="T61" s="542"/>
      <c r="U61" s="542"/>
      <c r="V61" s="542"/>
      <c r="W61" s="542"/>
      <c r="X61" s="542"/>
      <c r="Y61" s="542"/>
      <c r="Z61" s="542"/>
      <c r="AA61" s="542"/>
      <c r="AB61" s="542"/>
      <c r="AC61" s="542"/>
    </row>
    <row r="62" spans="4:29" x14ac:dyDescent="0.2">
      <c r="D62" s="542"/>
      <c r="E62" s="560"/>
      <c r="F62" s="552"/>
      <c r="G62" s="552"/>
      <c r="H62" s="552"/>
      <c r="I62" s="552"/>
      <c r="J62" s="552"/>
      <c r="K62" s="552"/>
      <c r="L62" s="552"/>
      <c r="M62" s="552"/>
      <c r="N62" s="552"/>
      <c r="O62" s="552"/>
      <c r="P62" s="552"/>
      <c r="Q62" s="552"/>
      <c r="R62" s="542"/>
      <c r="S62" s="542"/>
      <c r="T62" s="542"/>
      <c r="U62" s="542"/>
      <c r="V62" s="542"/>
      <c r="W62" s="542"/>
      <c r="X62" s="542"/>
      <c r="Y62" s="542"/>
      <c r="Z62" s="542"/>
      <c r="AA62" s="542"/>
      <c r="AB62" s="542"/>
      <c r="AC62" s="542"/>
    </row>
    <row r="63" spans="4:29" x14ac:dyDescent="0.2">
      <c r="D63" s="542"/>
      <c r="E63" s="542"/>
      <c r="F63" s="549"/>
      <c r="G63" s="549"/>
      <c r="H63" s="549"/>
      <c r="I63" s="549"/>
      <c r="J63" s="549"/>
      <c r="K63" s="549"/>
      <c r="L63" s="549"/>
      <c r="M63" s="549"/>
      <c r="N63" s="549"/>
      <c r="O63" s="549"/>
      <c r="P63" s="549"/>
      <c r="Q63" s="549"/>
      <c r="R63" s="542"/>
      <c r="S63" s="542"/>
      <c r="T63" s="542"/>
      <c r="U63" s="542"/>
      <c r="V63" s="542"/>
      <c r="W63" s="542"/>
      <c r="X63" s="542"/>
      <c r="Y63" s="542"/>
      <c r="Z63" s="542"/>
      <c r="AA63" s="542"/>
      <c r="AB63" s="542"/>
      <c r="AC63" s="542"/>
    </row>
    <row r="64" spans="4:29" x14ac:dyDescent="0.2">
      <c r="D64" s="542"/>
      <c r="E64" s="560"/>
      <c r="F64" s="552"/>
      <c r="G64" s="552"/>
      <c r="H64" s="552"/>
      <c r="I64" s="552"/>
      <c r="J64" s="552"/>
      <c r="K64" s="552"/>
      <c r="L64" s="552"/>
      <c r="M64" s="552"/>
      <c r="N64" s="552"/>
      <c r="O64" s="552"/>
      <c r="P64" s="552"/>
      <c r="Q64" s="552"/>
      <c r="R64" s="542"/>
      <c r="S64" s="542"/>
      <c r="T64" s="542"/>
      <c r="U64" s="542"/>
      <c r="V64" s="542"/>
      <c r="W64" s="542"/>
      <c r="X64" s="542"/>
      <c r="Y64" s="542"/>
      <c r="Z64" s="542"/>
      <c r="AA64" s="542"/>
      <c r="AB64" s="542"/>
      <c r="AC64" s="542"/>
    </row>
    <row r="65" spans="4:29" x14ac:dyDescent="0.2">
      <c r="D65" s="542"/>
      <c r="E65" s="542"/>
      <c r="F65" s="542"/>
      <c r="G65" s="542"/>
      <c r="H65" s="542"/>
      <c r="I65" s="542"/>
      <c r="J65" s="542"/>
      <c r="K65" s="542"/>
      <c r="L65" s="542"/>
      <c r="M65" s="542"/>
      <c r="N65" s="542"/>
      <c r="O65" s="542"/>
      <c r="P65" s="542"/>
      <c r="Q65" s="542"/>
      <c r="R65" s="542"/>
      <c r="S65" s="542"/>
      <c r="T65" s="542"/>
      <c r="U65" s="542"/>
      <c r="V65" s="542"/>
      <c r="W65" s="542"/>
      <c r="X65" s="542"/>
      <c r="Y65" s="542"/>
      <c r="Z65" s="542"/>
      <c r="AA65" s="542"/>
      <c r="AB65" s="542"/>
      <c r="AC65" s="542"/>
    </row>
    <row r="66" spans="4:29" x14ac:dyDescent="0.2">
      <c r="D66" s="542"/>
      <c r="E66" s="542"/>
      <c r="F66" s="542"/>
      <c r="G66" s="542"/>
      <c r="H66" s="542"/>
      <c r="I66" s="542"/>
      <c r="J66" s="542"/>
      <c r="K66" s="542"/>
      <c r="L66" s="542"/>
      <c r="M66" s="542"/>
      <c r="N66" s="542"/>
      <c r="O66" s="542"/>
      <c r="P66" s="542"/>
      <c r="Q66" s="542"/>
      <c r="R66" s="542"/>
      <c r="S66" s="542"/>
      <c r="T66" s="542"/>
      <c r="U66" s="542"/>
      <c r="V66" s="542"/>
      <c r="W66" s="542"/>
      <c r="X66" s="542"/>
      <c r="Y66" s="542"/>
      <c r="Z66" s="542"/>
      <c r="AA66" s="542"/>
      <c r="AB66" s="542"/>
      <c r="AC66" s="5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NA Input</vt:lpstr>
      <vt:lpstr>Prices</vt:lpstr>
      <vt:lpstr>NA</vt:lpstr>
      <vt:lpstr>NA ASSUMPTIONS</vt:lpstr>
      <vt:lpstr>NA Indicators</vt:lpstr>
      <vt:lpstr>CPI_link</vt:lpstr>
      <vt:lpstr>Zanzibar</vt:lpstr>
      <vt:lpstr>CPI-Zanzibar</vt:lpstr>
      <vt:lpstr>Electricity</vt:lpstr>
      <vt:lpstr>NA!Print_Area</vt:lpstr>
      <vt:lpstr>'NA ASSUMPTIONS'!Print_Area</vt:lpstr>
      <vt:lpstr>Prices!Print_Area</vt:lpstr>
      <vt:lpstr>NA!Print_Titles</vt:lpstr>
      <vt:lpstr>Prices!Print_Titles</vt:lpstr>
    </vt:vector>
  </TitlesOfParts>
  <Company>Bank of Tanzania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 Nyella</dc:creator>
  <cp:lastModifiedBy>user</cp:lastModifiedBy>
  <cp:lastPrinted>2012-09-11T07:41:35Z</cp:lastPrinted>
  <dcterms:created xsi:type="dcterms:W3CDTF">2004-07-31T19:32:03Z</dcterms:created>
  <dcterms:modified xsi:type="dcterms:W3CDTF">2015-11-06T11:20:48Z</dcterms:modified>
</cp:coreProperties>
</file>