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14"/>
  </bookViews>
  <sheets>
    <sheet name="Summ" sheetId="5" r:id="rId1"/>
    <sheet name="Fatsi br" sheetId="2" r:id="rId2"/>
    <sheet name="Soloda Br" sheetId="3" r:id="rId3"/>
    <sheet name="Shiraro " sheetId="6" r:id="rId4"/>
    <sheet name="Melese Zenawi " sheetId="7" r:id="rId5"/>
    <sheet name="Soloda Br Expired " sheetId="4" r:id="rId6"/>
    <sheet name="Shire Branch(1)" sheetId="1" r:id="rId7"/>
    <sheet name="shire Branch (2)" sheetId="8" r:id="rId8"/>
    <sheet name="Adi-Nebried" sheetId="9" r:id="rId9"/>
    <sheet name="Maray" sheetId="10" r:id="rId10"/>
    <sheet name="Naedier Adet" sheetId="11" r:id="rId11"/>
    <sheet name="Additional zana branch " sheetId="12" r:id="rId12"/>
    <sheet name="Tahtay adyabo Expaired" sheetId="14" r:id="rId13"/>
    <sheet name="Tahtay adyabo 1 (2)" sheetId="15" r:id="rId14"/>
    <sheet name="Edaga-hamus" sheetId="17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7" l="1"/>
  <c r="E4" i="17"/>
  <c r="F5" i="17"/>
  <c r="E6" i="17"/>
  <c r="E5" i="17"/>
  <c r="G49" i="17"/>
  <c r="O46" i="17"/>
  <c r="L37" i="17"/>
  <c r="D37" i="17"/>
  <c r="E47" i="17" s="1"/>
  <c r="I36" i="17"/>
  <c r="L32" i="17"/>
  <c r="J29" i="17"/>
  <c r="J28" i="17"/>
  <c r="P26" i="17" s="1"/>
  <c r="E28" i="17"/>
  <c r="J27" i="17"/>
  <c r="P25" i="17" s="1"/>
  <c r="E27" i="17"/>
  <c r="J26" i="17"/>
  <c r="P24" i="17" s="1"/>
  <c r="E26" i="17"/>
  <c r="J25" i="17"/>
  <c r="P23" i="17" s="1"/>
  <c r="E25" i="17"/>
  <c r="J24" i="17"/>
  <c r="P22" i="17" s="1"/>
  <c r="E24" i="17"/>
  <c r="J23" i="17"/>
  <c r="P21" i="17" s="1"/>
  <c r="O52" i="17" s="1"/>
  <c r="E23" i="17"/>
  <c r="J22" i="17"/>
  <c r="E22" i="17"/>
  <c r="E21" i="17"/>
  <c r="J20" i="17"/>
  <c r="N8" i="17" s="1"/>
  <c r="E20" i="17"/>
  <c r="P19" i="17"/>
  <c r="O50" i="17" s="1"/>
  <c r="D19" i="17"/>
  <c r="J19" i="17" s="1"/>
  <c r="N7" i="17" s="1"/>
  <c r="P18" i="17"/>
  <c r="O49" i="17" s="1"/>
  <c r="J18" i="17"/>
  <c r="H18" i="17"/>
  <c r="H19" i="17" s="1"/>
  <c r="E18" i="17"/>
  <c r="E17" i="17"/>
  <c r="P16" i="17"/>
  <c r="O47" i="17" s="1"/>
  <c r="E16" i="17"/>
  <c r="P15" i="17"/>
  <c r="C15" i="17"/>
  <c r="P14" i="17"/>
  <c r="N9" i="17"/>
  <c r="D8" i="17"/>
  <c r="C16" i="17" s="1"/>
  <c r="C17" i="17" s="1"/>
  <c r="N6" i="17"/>
  <c r="N5" i="17"/>
  <c r="L4" i="17"/>
  <c r="E3" i="17"/>
  <c r="P20" i="17" l="1"/>
  <c r="O51" i="17" s="1"/>
  <c r="N10" i="17"/>
  <c r="L38" i="17"/>
  <c r="P17" i="17"/>
  <c r="O48" i="17" s="1"/>
  <c r="C18" i="17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D30" i="17"/>
  <c r="E19" i="17"/>
  <c r="O45" i="17"/>
  <c r="G36" i="12"/>
  <c r="G35" i="12"/>
  <c r="L33" i="12"/>
  <c r="N17" i="11"/>
  <c r="N18" i="11" s="1"/>
  <c r="N16" i="11"/>
  <c r="L39" i="17" l="1"/>
  <c r="P31" i="17"/>
  <c r="D35" i="17"/>
  <c r="L16" i="17"/>
  <c r="P27" i="17"/>
  <c r="F4" i="14"/>
  <c r="E4" i="14"/>
  <c r="E3" i="14"/>
  <c r="K17" i="17" l="1"/>
  <c r="E46" i="17"/>
  <c r="D34" i="17"/>
  <c r="S31" i="17"/>
  <c r="L40" i="17"/>
  <c r="L32" i="14"/>
  <c r="L37" i="14"/>
  <c r="I36" i="14"/>
  <c r="F3" i="15"/>
  <c r="F5" i="15"/>
  <c r="F4" i="15"/>
  <c r="E5" i="15"/>
  <c r="E4" i="15"/>
  <c r="E3" i="15"/>
  <c r="O50" i="15"/>
  <c r="G49" i="15"/>
  <c r="O47" i="15"/>
  <c r="D37" i="15"/>
  <c r="E47" i="15" s="1"/>
  <c r="I36" i="15"/>
  <c r="L37" i="15" s="1"/>
  <c r="L32" i="15"/>
  <c r="J29" i="15"/>
  <c r="J28" i="15"/>
  <c r="P26" i="15" s="1"/>
  <c r="E28" i="15"/>
  <c r="J27" i="15"/>
  <c r="P25" i="15" s="1"/>
  <c r="E27" i="15"/>
  <c r="J26" i="15"/>
  <c r="P24" i="15" s="1"/>
  <c r="E26" i="15"/>
  <c r="J25" i="15"/>
  <c r="P23" i="15" s="1"/>
  <c r="E25" i="15"/>
  <c r="J24" i="15"/>
  <c r="P22" i="15" s="1"/>
  <c r="E24" i="15"/>
  <c r="J23" i="15"/>
  <c r="P21" i="15" s="1"/>
  <c r="O52" i="15" s="1"/>
  <c r="E23" i="15"/>
  <c r="J22" i="15"/>
  <c r="P20" i="15" s="1"/>
  <c r="O51" i="15" s="1"/>
  <c r="E22" i="15"/>
  <c r="E21" i="15"/>
  <c r="J20" i="15"/>
  <c r="E20" i="15"/>
  <c r="P19" i="15"/>
  <c r="H19" i="15"/>
  <c r="D19" i="15"/>
  <c r="E19" i="15" s="1"/>
  <c r="P18" i="15"/>
  <c r="O49" i="15" s="1"/>
  <c r="J18" i="15"/>
  <c r="H18" i="15"/>
  <c r="E18" i="15"/>
  <c r="E17" i="15"/>
  <c r="P16" i="15"/>
  <c r="E16" i="15"/>
  <c r="P15" i="15"/>
  <c r="O46" i="15" s="1"/>
  <c r="C15" i="15"/>
  <c r="P14" i="15"/>
  <c r="N9" i="15"/>
  <c r="D8" i="15"/>
  <c r="C16" i="15" s="1"/>
  <c r="N6" i="15"/>
  <c r="N5" i="15"/>
  <c r="L4" i="15"/>
  <c r="C16" i="14"/>
  <c r="F3" i="14"/>
  <c r="G49" i="14"/>
  <c r="D37" i="14"/>
  <c r="E47" i="14" s="1"/>
  <c r="J29" i="14"/>
  <c r="J28" i="14"/>
  <c r="P26" i="14" s="1"/>
  <c r="E28" i="14"/>
  <c r="J27" i="14"/>
  <c r="P25" i="14" s="1"/>
  <c r="E27" i="14"/>
  <c r="J26" i="14"/>
  <c r="P24" i="14" s="1"/>
  <c r="E26" i="14"/>
  <c r="J25" i="14"/>
  <c r="E25" i="14"/>
  <c r="J24" i="14"/>
  <c r="P22" i="14" s="1"/>
  <c r="E24" i="14"/>
  <c r="P23" i="14"/>
  <c r="J23" i="14"/>
  <c r="E23" i="14"/>
  <c r="J22" i="14"/>
  <c r="N10" i="14" s="1"/>
  <c r="E22" i="14"/>
  <c r="P21" i="14"/>
  <c r="O52" i="14" s="1"/>
  <c r="E21" i="14"/>
  <c r="J20" i="14"/>
  <c r="P18" i="14" s="1"/>
  <c r="O49" i="14" s="1"/>
  <c r="E20" i="14"/>
  <c r="P19" i="14"/>
  <c r="O50" i="14" s="1"/>
  <c r="D19" i="14"/>
  <c r="J19" i="14" s="1"/>
  <c r="J18" i="14"/>
  <c r="P16" i="14" s="1"/>
  <c r="H18" i="14"/>
  <c r="H19" i="14" s="1"/>
  <c r="E18" i="14"/>
  <c r="E17" i="14"/>
  <c r="E16" i="14"/>
  <c r="P15" i="14"/>
  <c r="O46" i="14" s="1"/>
  <c r="C15" i="14"/>
  <c r="P14" i="14"/>
  <c r="O45" i="14" s="1"/>
  <c r="N9" i="14"/>
  <c r="D8" i="14"/>
  <c r="C17" i="14" s="1"/>
  <c r="C18" i="14" s="1"/>
  <c r="N5" i="14"/>
  <c r="L4" i="14"/>
  <c r="J36" i="17" l="1"/>
  <c r="S14" i="17"/>
  <c r="D45" i="17"/>
  <c r="L33" i="17"/>
  <c r="K40" i="17" s="1"/>
  <c r="O31" i="17"/>
  <c r="P32" i="17" s="1"/>
  <c r="S45" i="17"/>
  <c r="M17" i="17"/>
  <c r="M5" i="17"/>
  <c r="L41" i="17"/>
  <c r="L17" i="17"/>
  <c r="L38" i="14"/>
  <c r="C17" i="15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D30" i="15"/>
  <c r="L38" i="15"/>
  <c r="N10" i="15"/>
  <c r="O45" i="15"/>
  <c r="N8" i="15"/>
  <c r="J19" i="15"/>
  <c r="N6" i="14"/>
  <c r="O47" i="14"/>
  <c r="N7" i="14"/>
  <c r="P17" i="14"/>
  <c r="O48" i="14" s="1"/>
  <c r="D30" i="14"/>
  <c r="C19" i="14"/>
  <c r="C20" i="14" s="1"/>
  <c r="C21" i="14" s="1"/>
  <c r="C22" i="14" s="1"/>
  <c r="C23" i="14" s="1"/>
  <c r="C24" i="14" s="1"/>
  <c r="C25" i="14" s="1"/>
  <c r="C26" i="14" s="1"/>
  <c r="C27" i="14" s="1"/>
  <c r="C28" i="14" s="1"/>
  <c r="P20" i="14"/>
  <c r="O51" i="14" s="1"/>
  <c r="E19" i="14"/>
  <c r="N8" i="14"/>
  <c r="K17" i="12"/>
  <c r="K15" i="11"/>
  <c r="D28" i="2"/>
  <c r="D28" i="3"/>
  <c r="D28" i="6"/>
  <c r="D28" i="7"/>
  <c r="D28" i="4"/>
  <c r="D28" i="1"/>
  <c r="D28" i="8"/>
  <c r="D28" i="9"/>
  <c r="D28" i="10"/>
  <c r="D28" i="11"/>
  <c r="D30" i="12"/>
  <c r="F3" i="12"/>
  <c r="D19" i="12"/>
  <c r="E5" i="12"/>
  <c r="E4" i="12"/>
  <c r="W48" i="17" l="1"/>
  <c r="T17" i="17"/>
  <c r="L8" i="17"/>
  <c r="K41" i="17"/>
  <c r="L42" i="17"/>
  <c r="P6" i="17"/>
  <c r="P7" i="17"/>
  <c r="K37" i="17"/>
  <c r="K38" i="17"/>
  <c r="K39" i="17"/>
  <c r="T31" i="17"/>
  <c r="T32" i="17" s="1"/>
  <c r="K5" i="17"/>
  <c r="K18" i="17"/>
  <c r="L18" i="17" s="1"/>
  <c r="P17" i="15"/>
  <c r="N7" i="15"/>
  <c r="L16" i="15"/>
  <c r="P31" i="15"/>
  <c r="D35" i="15"/>
  <c r="L39" i="15"/>
  <c r="L16" i="14"/>
  <c r="P31" i="14"/>
  <c r="D35" i="14"/>
  <c r="L39" i="14"/>
  <c r="P27" i="14"/>
  <c r="F5" i="12"/>
  <c r="W47" i="17" l="1"/>
  <c r="T16" i="17"/>
  <c r="L7" i="17"/>
  <c r="T15" i="17"/>
  <c r="L6" i="17"/>
  <c r="W46" i="17"/>
  <c r="K42" i="17"/>
  <c r="L9" i="17"/>
  <c r="T18" i="17"/>
  <c r="W49" i="17"/>
  <c r="L5" i="17"/>
  <c r="W45" i="17"/>
  <c r="T14" i="17"/>
  <c r="S15" i="17" s="1"/>
  <c r="P8" i="17"/>
  <c r="K6" i="17"/>
  <c r="K19" i="17"/>
  <c r="S46" i="17"/>
  <c r="O32" i="17"/>
  <c r="P33" i="17" s="1"/>
  <c r="M6" i="17"/>
  <c r="M18" i="17"/>
  <c r="J37" i="17"/>
  <c r="L43" i="17"/>
  <c r="D34" i="15"/>
  <c r="E46" i="15"/>
  <c r="S31" i="15"/>
  <c r="K17" i="15"/>
  <c r="O48" i="15"/>
  <c r="P27" i="15"/>
  <c r="L40" i="15"/>
  <c r="L41" i="15" s="1"/>
  <c r="D34" i="14"/>
  <c r="J36" i="14" s="1"/>
  <c r="E46" i="14"/>
  <c r="S31" i="14"/>
  <c r="L40" i="14"/>
  <c r="K17" i="14"/>
  <c r="E3" i="12"/>
  <c r="C15" i="12"/>
  <c r="P15" i="12"/>
  <c r="S16" i="17" l="1"/>
  <c r="S17" i="17" s="1"/>
  <c r="S18" i="17" s="1"/>
  <c r="S19" i="17" s="1"/>
  <c r="K43" i="17"/>
  <c r="L44" i="17"/>
  <c r="K44" i="17" s="1"/>
  <c r="J38" i="17"/>
  <c r="J5" i="17"/>
  <c r="W50" i="17"/>
  <c r="T19" i="17"/>
  <c r="L10" i="17"/>
  <c r="M19" i="17"/>
  <c r="S47" i="17"/>
  <c r="M7" i="17"/>
  <c r="O33" i="17"/>
  <c r="P34" i="17" s="1"/>
  <c r="L19" i="17"/>
  <c r="M5" i="15"/>
  <c r="M17" i="15"/>
  <c r="O31" i="15"/>
  <c r="P32" i="15" s="1"/>
  <c r="S45" i="15"/>
  <c r="L17" i="15"/>
  <c r="L33" i="15"/>
  <c r="D45" i="15"/>
  <c r="S14" i="15"/>
  <c r="J36" i="15"/>
  <c r="K41" i="15"/>
  <c r="L42" i="15"/>
  <c r="L43" i="15" s="1"/>
  <c r="K40" i="15"/>
  <c r="S45" i="14"/>
  <c r="M17" i="14"/>
  <c r="M5" i="14"/>
  <c r="O31" i="14"/>
  <c r="P32" i="14" s="1"/>
  <c r="L17" i="14"/>
  <c r="L41" i="14"/>
  <c r="L33" i="14"/>
  <c r="K37" i="14" s="1"/>
  <c r="J37" i="14" s="1"/>
  <c r="S14" i="14"/>
  <c r="D45" i="14"/>
  <c r="F4" i="12"/>
  <c r="G49" i="12"/>
  <c r="O46" i="12"/>
  <c r="D37" i="12"/>
  <c r="E47" i="12" s="1"/>
  <c r="I36" i="12"/>
  <c r="L37" i="12" s="1"/>
  <c r="L32" i="12"/>
  <c r="J29" i="12"/>
  <c r="J28" i="12"/>
  <c r="P26" i="12" s="1"/>
  <c r="E28" i="12"/>
  <c r="J27" i="12"/>
  <c r="P25" i="12" s="1"/>
  <c r="E27" i="12"/>
  <c r="J26" i="12"/>
  <c r="P24" i="12" s="1"/>
  <c r="E26" i="12"/>
  <c r="J25" i="12"/>
  <c r="P23" i="12" s="1"/>
  <c r="E25" i="12"/>
  <c r="J24" i="12"/>
  <c r="P22" i="12" s="1"/>
  <c r="E24" i="12"/>
  <c r="J23" i="12"/>
  <c r="P21" i="12" s="1"/>
  <c r="O52" i="12" s="1"/>
  <c r="E23" i="12"/>
  <c r="J22" i="12"/>
  <c r="N10" i="12" s="1"/>
  <c r="E22" i="12"/>
  <c r="E21" i="12"/>
  <c r="J20" i="12"/>
  <c r="P18" i="12" s="1"/>
  <c r="O49" i="12" s="1"/>
  <c r="E20" i="12"/>
  <c r="P19" i="12"/>
  <c r="O50" i="12" s="1"/>
  <c r="E19" i="12"/>
  <c r="J18" i="12"/>
  <c r="P16" i="12" s="1"/>
  <c r="O47" i="12" s="1"/>
  <c r="H18" i="12"/>
  <c r="H19" i="12" s="1"/>
  <c r="E18" i="12"/>
  <c r="E17" i="12"/>
  <c r="E16" i="12"/>
  <c r="P14" i="12"/>
  <c r="N9" i="12"/>
  <c r="D8" i="12"/>
  <c r="C16" i="12" s="1"/>
  <c r="C17" i="12" s="1"/>
  <c r="C18" i="12" s="1"/>
  <c r="N5" i="12"/>
  <c r="L4" i="12"/>
  <c r="L45" i="17" l="1"/>
  <c r="S20" i="17"/>
  <c r="K45" i="17"/>
  <c r="L46" i="17"/>
  <c r="T20" i="17"/>
  <c r="W51" i="17"/>
  <c r="J6" i="17"/>
  <c r="J39" i="17"/>
  <c r="T21" i="17"/>
  <c r="W52" i="17"/>
  <c r="K7" i="17"/>
  <c r="K20" i="17"/>
  <c r="K38" i="14"/>
  <c r="L6" i="14" s="1"/>
  <c r="K43" i="15"/>
  <c r="K42" i="15"/>
  <c r="L44" i="15"/>
  <c r="K44" i="15" s="1"/>
  <c r="P6" i="15"/>
  <c r="W48" i="15"/>
  <c r="L8" i="15"/>
  <c r="T17" i="15"/>
  <c r="W49" i="15"/>
  <c r="L9" i="15"/>
  <c r="T18" i="15"/>
  <c r="T31" i="15"/>
  <c r="T32" i="15" s="1"/>
  <c r="K37" i="15"/>
  <c r="J37" i="15" s="1"/>
  <c r="K38" i="15"/>
  <c r="K39" i="15"/>
  <c r="K18" i="15"/>
  <c r="K5" i="15"/>
  <c r="K41" i="14"/>
  <c r="L9" i="14" s="1"/>
  <c r="K39" i="14"/>
  <c r="K40" i="14"/>
  <c r="L42" i="14"/>
  <c r="K42" i="14" s="1"/>
  <c r="K18" i="14"/>
  <c r="L18" i="14" s="1"/>
  <c r="K5" i="14"/>
  <c r="T31" i="14"/>
  <c r="T32" i="14" s="1"/>
  <c r="P6" i="14"/>
  <c r="N6" i="12"/>
  <c r="J19" i="12"/>
  <c r="N7" i="12" s="1"/>
  <c r="L38" i="12"/>
  <c r="M18" i="12" s="1"/>
  <c r="C19" i="12"/>
  <c r="C20" i="12" s="1"/>
  <c r="C21" i="12" s="1"/>
  <c r="C22" i="12" s="1"/>
  <c r="C23" i="12" s="1"/>
  <c r="C24" i="12" s="1"/>
  <c r="C25" i="12" s="1"/>
  <c r="C26" i="12" s="1"/>
  <c r="C27" i="12" s="1"/>
  <c r="C28" i="12" s="1"/>
  <c r="P20" i="12"/>
  <c r="O51" i="12" s="1"/>
  <c r="O45" i="12"/>
  <c r="N8" i="12"/>
  <c r="D32" i="6"/>
  <c r="S21" i="17" l="1"/>
  <c r="S22" i="17" s="1"/>
  <c r="S48" i="17"/>
  <c r="M8" i="17"/>
  <c r="O34" i="17"/>
  <c r="P35" i="17" s="1"/>
  <c r="L20" i="17"/>
  <c r="J40" i="17"/>
  <c r="J7" i="17"/>
  <c r="K46" i="17"/>
  <c r="L47" i="17"/>
  <c r="T22" i="17"/>
  <c r="W53" i="17"/>
  <c r="L5" i="14"/>
  <c r="J5" i="14"/>
  <c r="L46" i="15"/>
  <c r="K46" i="15" s="1"/>
  <c r="T23" i="15" s="1"/>
  <c r="L45" i="15"/>
  <c r="K45" i="15" s="1"/>
  <c r="S46" i="15"/>
  <c r="M6" i="15"/>
  <c r="O32" i="15"/>
  <c r="P33" i="15" s="1"/>
  <c r="M18" i="15"/>
  <c r="L47" i="15"/>
  <c r="W53" i="15"/>
  <c r="T22" i="15"/>
  <c r="W47" i="15"/>
  <c r="T16" i="15"/>
  <c r="L7" i="15"/>
  <c r="W46" i="15"/>
  <c r="T15" i="15"/>
  <c r="L6" i="15"/>
  <c r="T19" i="15"/>
  <c r="W50" i="15"/>
  <c r="L10" i="15"/>
  <c r="J5" i="15"/>
  <c r="J38" i="15"/>
  <c r="L18" i="15"/>
  <c r="T21" i="15"/>
  <c r="W52" i="15"/>
  <c r="W45" i="15"/>
  <c r="T14" i="15"/>
  <c r="S15" i="15" s="1"/>
  <c r="L5" i="15"/>
  <c r="T20" i="15"/>
  <c r="W51" i="15"/>
  <c r="T18" i="14"/>
  <c r="W49" i="14"/>
  <c r="W48" i="14"/>
  <c r="T17" i="14"/>
  <c r="L8" i="14"/>
  <c r="K6" i="14"/>
  <c r="K19" i="14"/>
  <c r="T16" i="14"/>
  <c r="L7" i="14"/>
  <c r="W47" i="14"/>
  <c r="T19" i="14"/>
  <c r="W50" i="14"/>
  <c r="L10" i="14"/>
  <c r="J38" i="14"/>
  <c r="M6" i="14"/>
  <c r="O32" i="14"/>
  <c r="P33" i="14" s="1"/>
  <c r="S46" i="14"/>
  <c r="L43" i="14"/>
  <c r="K43" i="14" s="1"/>
  <c r="W46" i="14"/>
  <c r="T15" i="14"/>
  <c r="W45" i="14"/>
  <c r="T14" i="14"/>
  <c r="S15" i="14" s="1"/>
  <c r="P17" i="12"/>
  <c r="L16" i="12"/>
  <c r="P31" i="12"/>
  <c r="D35" i="12"/>
  <c r="L39" i="12"/>
  <c r="M19" i="12" s="1"/>
  <c r="D46" i="11"/>
  <c r="E46" i="11"/>
  <c r="F6" i="11"/>
  <c r="E6" i="11"/>
  <c r="F5" i="11"/>
  <c r="E5" i="11"/>
  <c r="E4" i="11"/>
  <c r="E3" i="11"/>
  <c r="O50" i="11"/>
  <c r="G47" i="11"/>
  <c r="D35" i="11"/>
  <c r="E45" i="11" s="1"/>
  <c r="I34" i="11"/>
  <c r="L35" i="11" s="1"/>
  <c r="L30" i="11"/>
  <c r="J27" i="11"/>
  <c r="J26" i="11"/>
  <c r="P24" i="11" s="1"/>
  <c r="E26" i="11"/>
  <c r="J25" i="11"/>
  <c r="E25" i="11"/>
  <c r="J24" i="11"/>
  <c r="P22" i="11" s="1"/>
  <c r="E24" i="11"/>
  <c r="P23" i="11"/>
  <c r="J23" i="11"/>
  <c r="E23" i="11"/>
  <c r="J22" i="11"/>
  <c r="P20" i="11" s="1"/>
  <c r="E22" i="11"/>
  <c r="P21" i="11"/>
  <c r="J21" i="11"/>
  <c r="E21" i="11"/>
  <c r="J20" i="11"/>
  <c r="P18" i="11" s="1"/>
  <c r="O49" i="11" s="1"/>
  <c r="E20" i="11"/>
  <c r="P19" i="11"/>
  <c r="E19" i="11"/>
  <c r="J18" i="11"/>
  <c r="N8" i="11" s="1"/>
  <c r="E18" i="11"/>
  <c r="P17" i="11"/>
  <c r="O48" i="11" s="1"/>
  <c r="D17" i="11"/>
  <c r="J17" i="11" s="1"/>
  <c r="J16" i="11"/>
  <c r="H16" i="11"/>
  <c r="H17" i="11" s="1"/>
  <c r="E16" i="11"/>
  <c r="E15" i="11"/>
  <c r="P14" i="11"/>
  <c r="O45" i="11" s="1"/>
  <c r="E14" i="11"/>
  <c r="P13" i="11"/>
  <c r="O44" i="11" s="1"/>
  <c r="C13" i="11"/>
  <c r="P12" i="11"/>
  <c r="N9" i="11"/>
  <c r="D8" i="11"/>
  <c r="C14" i="11" s="1"/>
  <c r="N6" i="11"/>
  <c r="N5" i="11"/>
  <c r="L4" i="11"/>
  <c r="S23" i="17" l="1"/>
  <c r="K47" i="17"/>
  <c r="L48" i="17"/>
  <c r="T23" i="17"/>
  <c r="W54" i="17"/>
  <c r="J8" i="17"/>
  <c r="J41" i="17"/>
  <c r="K21" i="17"/>
  <c r="K8" i="17"/>
  <c r="W54" i="15"/>
  <c r="S16" i="15"/>
  <c r="S17" i="15" s="1"/>
  <c r="S18" i="15" s="1"/>
  <c r="S19" i="15" s="1"/>
  <c r="S20" i="15" s="1"/>
  <c r="S21" i="15" s="1"/>
  <c r="S22" i="15" s="1"/>
  <c r="S23" i="15" s="1"/>
  <c r="S24" i="15" s="1"/>
  <c r="K6" i="15"/>
  <c r="K19" i="15"/>
  <c r="L19" i="15" s="1"/>
  <c r="J6" i="15"/>
  <c r="J39" i="15"/>
  <c r="K47" i="15"/>
  <c r="L48" i="15"/>
  <c r="T20" i="14"/>
  <c r="W51" i="14"/>
  <c r="O33" i="14"/>
  <c r="P34" i="14" s="1"/>
  <c r="S47" i="14"/>
  <c r="M7" i="14"/>
  <c r="L19" i="14"/>
  <c r="L44" i="14"/>
  <c r="J6" i="14"/>
  <c r="J39" i="14"/>
  <c r="S16" i="14"/>
  <c r="S17" i="14" s="1"/>
  <c r="S18" i="14" s="1"/>
  <c r="S19" i="14" s="1"/>
  <c r="S20" i="14" s="1"/>
  <c r="O48" i="12"/>
  <c r="P27" i="12"/>
  <c r="S31" i="12"/>
  <c r="E46" i="12"/>
  <c r="E48" i="12" s="1"/>
  <c r="D34" i="12"/>
  <c r="L40" i="12"/>
  <c r="N7" i="11"/>
  <c r="P15" i="11"/>
  <c r="O46" i="11" s="1"/>
  <c r="C15" i="1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P25" i="11"/>
  <c r="L36" i="11"/>
  <c r="P16" i="11"/>
  <c r="O47" i="11" s="1"/>
  <c r="N10" i="11"/>
  <c r="O43" i="11"/>
  <c r="E17" i="11"/>
  <c r="P6" i="10"/>
  <c r="G16" i="10"/>
  <c r="G31" i="9"/>
  <c r="S24" i="17" l="1"/>
  <c r="O35" i="17"/>
  <c r="P36" i="17" s="1"/>
  <c r="M9" i="17"/>
  <c r="S49" i="17"/>
  <c r="L21" i="17"/>
  <c r="J9" i="17"/>
  <c r="J42" i="17"/>
  <c r="K48" i="17"/>
  <c r="L49" i="17"/>
  <c r="T24" i="17"/>
  <c r="S25" i="17" s="1"/>
  <c r="W55" i="17"/>
  <c r="K7" i="15"/>
  <c r="K20" i="15"/>
  <c r="W55" i="15"/>
  <c r="T24" i="15"/>
  <c r="S25" i="15" s="1"/>
  <c r="K48" i="15"/>
  <c r="L49" i="15"/>
  <c r="J7" i="15"/>
  <c r="J40" i="15"/>
  <c r="M19" i="15"/>
  <c r="M7" i="15"/>
  <c r="O33" i="15"/>
  <c r="P34" i="15" s="1"/>
  <c r="S47" i="15"/>
  <c r="S21" i="14"/>
  <c r="K44" i="14"/>
  <c r="L45" i="14"/>
  <c r="K7" i="14"/>
  <c r="K20" i="14"/>
  <c r="J7" i="14"/>
  <c r="J40" i="14"/>
  <c r="L17" i="12"/>
  <c r="K18" i="12"/>
  <c r="K5" i="12"/>
  <c r="O31" i="12"/>
  <c r="P32" i="12" s="1"/>
  <c r="M17" i="12"/>
  <c r="S45" i="12"/>
  <c r="M5" i="12"/>
  <c r="K40" i="12"/>
  <c r="D45" i="12"/>
  <c r="D48" i="12" s="1"/>
  <c r="J36" i="12"/>
  <c r="S14" i="12"/>
  <c r="L41" i="12"/>
  <c r="L37" i="11"/>
  <c r="L38" i="11" s="1"/>
  <c r="E6" i="10"/>
  <c r="E3" i="10"/>
  <c r="E5" i="10"/>
  <c r="E4" i="10"/>
  <c r="F5" i="10"/>
  <c r="F4" i="10"/>
  <c r="K49" i="17" l="1"/>
  <c r="L50" i="17"/>
  <c r="T25" i="17"/>
  <c r="S26" i="17" s="1"/>
  <c r="W56" i="17"/>
  <c r="J43" i="17"/>
  <c r="J44" i="17" s="1"/>
  <c r="J45" i="17" s="1"/>
  <c r="J46" i="17" s="1"/>
  <c r="J47" i="17" s="1"/>
  <c r="J48" i="17" s="1"/>
  <c r="J10" i="17"/>
  <c r="K9" i="17"/>
  <c r="K22" i="17"/>
  <c r="J8" i="15"/>
  <c r="J41" i="15"/>
  <c r="K49" i="15"/>
  <c r="L50" i="15"/>
  <c r="T25" i="15"/>
  <c r="S26" i="15" s="1"/>
  <c r="W56" i="15"/>
  <c r="M8" i="15"/>
  <c r="S48" i="15"/>
  <c r="O34" i="15"/>
  <c r="P35" i="15" s="1"/>
  <c r="L20" i="15"/>
  <c r="J41" i="14"/>
  <c r="J8" i="14"/>
  <c r="S48" i="14"/>
  <c r="M8" i="14"/>
  <c r="O34" i="14"/>
  <c r="P35" i="14" s="1"/>
  <c r="L20" i="14"/>
  <c r="K45" i="14"/>
  <c r="L46" i="14"/>
  <c r="T21" i="14"/>
  <c r="S22" i="14" s="1"/>
  <c r="W52" i="14"/>
  <c r="K41" i="12"/>
  <c r="L42" i="12"/>
  <c r="K42" i="12" s="1"/>
  <c r="W48" i="12"/>
  <c r="T17" i="12"/>
  <c r="L8" i="12"/>
  <c r="T31" i="12"/>
  <c r="T32" i="12" s="1"/>
  <c r="K37" i="12"/>
  <c r="J37" i="12" s="1"/>
  <c r="K38" i="12"/>
  <c r="T15" i="12" s="1"/>
  <c r="K39" i="12"/>
  <c r="P6" i="12"/>
  <c r="S46" i="12"/>
  <c r="M6" i="12"/>
  <c r="O32" i="12"/>
  <c r="P33" i="12" s="1"/>
  <c r="L18" i="12"/>
  <c r="L14" i="11"/>
  <c r="P29" i="11"/>
  <c r="D33" i="11"/>
  <c r="L39" i="11"/>
  <c r="O50" i="10"/>
  <c r="G47" i="10"/>
  <c r="D35" i="10"/>
  <c r="E45" i="10" s="1"/>
  <c r="I34" i="10"/>
  <c r="L35" i="10" s="1"/>
  <c r="L30" i="10"/>
  <c r="J27" i="10"/>
  <c r="J26" i="10"/>
  <c r="P24" i="10" s="1"/>
  <c r="E26" i="10"/>
  <c r="J25" i="10"/>
  <c r="E25" i="10"/>
  <c r="J24" i="10"/>
  <c r="P22" i="10" s="1"/>
  <c r="E24" i="10"/>
  <c r="P23" i="10"/>
  <c r="J23" i="10"/>
  <c r="E23" i="10"/>
  <c r="J22" i="10"/>
  <c r="P20" i="10" s="1"/>
  <c r="E22" i="10"/>
  <c r="P21" i="10"/>
  <c r="J21" i="10"/>
  <c r="E21" i="10"/>
  <c r="J20" i="10"/>
  <c r="P18" i="10" s="1"/>
  <c r="O49" i="10" s="1"/>
  <c r="E20" i="10"/>
  <c r="P19" i="10"/>
  <c r="E19" i="10"/>
  <c r="J18" i="10"/>
  <c r="N8" i="10" s="1"/>
  <c r="E18" i="10"/>
  <c r="P17" i="10"/>
  <c r="O48" i="10" s="1"/>
  <c r="D17" i="10"/>
  <c r="E17" i="10" s="1"/>
  <c r="J16" i="10"/>
  <c r="H16" i="10"/>
  <c r="H17" i="10" s="1"/>
  <c r="E16" i="10"/>
  <c r="E15" i="10"/>
  <c r="P14" i="10"/>
  <c r="O45" i="10" s="1"/>
  <c r="E14" i="10"/>
  <c r="P13" i="10"/>
  <c r="O44" i="10" s="1"/>
  <c r="C13" i="10"/>
  <c r="P12" i="10"/>
  <c r="O43" i="10" s="1"/>
  <c r="N9" i="10"/>
  <c r="D8" i="10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N6" i="10"/>
  <c r="N5" i="10"/>
  <c r="L4" i="10"/>
  <c r="O48" i="9"/>
  <c r="G47" i="9"/>
  <c r="E45" i="9"/>
  <c r="O43" i="9"/>
  <c r="L35" i="9"/>
  <c r="D35" i="9"/>
  <c r="I34" i="9"/>
  <c r="L30" i="9"/>
  <c r="J27" i="9"/>
  <c r="J26" i="9"/>
  <c r="P24" i="9" s="1"/>
  <c r="E26" i="9"/>
  <c r="J25" i="9"/>
  <c r="P23" i="9" s="1"/>
  <c r="E25" i="9"/>
  <c r="J24" i="9"/>
  <c r="P22" i="9" s="1"/>
  <c r="E24" i="9"/>
  <c r="J23" i="9"/>
  <c r="P21" i="9" s="1"/>
  <c r="E23" i="9"/>
  <c r="J22" i="9"/>
  <c r="P20" i="9" s="1"/>
  <c r="E22" i="9"/>
  <c r="J21" i="9"/>
  <c r="P19" i="9" s="1"/>
  <c r="O50" i="9" s="1"/>
  <c r="E21" i="9"/>
  <c r="J20" i="9"/>
  <c r="N10" i="9" s="1"/>
  <c r="E20" i="9"/>
  <c r="E19" i="9"/>
  <c r="J18" i="9"/>
  <c r="E18" i="9"/>
  <c r="P17" i="9"/>
  <c r="H17" i="9"/>
  <c r="D17" i="9"/>
  <c r="E17" i="9" s="1"/>
  <c r="J16" i="9"/>
  <c r="H16" i="9"/>
  <c r="E16" i="9"/>
  <c r="E15" i="9"/>
  <c r="P14" i="9"/>
  <c r="O45" i="9" s="1"/>
  <c r="E14" i="9"/>
  <c r="P13" i="9"/>
  <c r="O44" i="9" s="1"/>
  <c r="C13" i="9"/>
  <c r="P12" i="9"/>
  <c r="N9" i="9"/>
  <c r="D8" i="9"/>
  <c r="C14" i="9" s="1"/>
  <c r="N6" i="9"/>
  <c r="N5" i="9"/>
  <c r="L4" i="9"/>
  <c r="E3" i="9"/>
  <c r="F4" i="9" s="1"/>
  <c r="F5" i="9" s="1"/>
  <c r="G2" i="9"/>
  <c r="O50" i="8"/>
  <c r="E44" i="8"/>
  <c r="O43" i="8"/>
  <c r="D35" i="8"/>
  <c r="I34" i="8"/>
  <c r="L34" i="8" s="1"/>
  <c r="I33" i="8"/>
  <c r="L29" i="8"/>
  <c r="J26" i="8"/>
  <c r="E26" i="8"/>
  <c r="T25" i="8"/>
  <c r="J25" i="8"/>
  <c r="E25" i="8"/>
  <c r="P24" i="8"/>
  <c r="J24" i="8"/>
  <c r="E24" i="8"/>
  <c r="P23" i="8"/>
  <c r="J23" i="8"/>
  <c r="E23" i="8"/>
  <c r="P22" i="8"/>
  <c r="J22" i="8"/>
  <c r="E22" i="8"/>
  <c r="P21" i="8"/>
  <c r="J21" i="8"/>
  <c r="E21" i="8"/>
  <c r="P20" i="8"/>
  <c r="J20" i="8"/>
  <c r="E20" i="8"/>
  <c r="P19" i="8"/>
  <c r="J19" i="8"/>
  <c r="E19" i="8"/>
  <c r="P18" i="8"/>
  <c r="O49" i="8" s="1"/>
  <c r="E18" i="8"/>
  <c r="P17" i="8"/>
  <c r="O48" i="8" s="1"/>
  <c r="E17" i="8"/>
  <c r="P16" i="8"/>
  <c r="O47" i="8" s="1"/>
  <c r="J16" i="8"/>
  <c r="P15" i="8" s="1"/>
  <c r="O46" i="8" s="1"/>
  <c r="H16" i="8"/>
  <c r="E16" i="8"/>
  <c r="H15" i="8"/>
  <c r="E15" i="8"/>
  <c r="P14" i="8"/>
  <c r="O45" i="8" s="1"/>
  <c r="E14" i="8"/>
  <c r="P13" i="8"/>
  <c r="O44" i="8" s="1"/>
  <c r="C13" i="8"/>
  <c r="P12" i="8"/>
  <c r="P25" i="8" s="1"/>
  <c r="D8" i="8"/>
  <c r="C14" i="8" s="1"/>
  <c r="P5" i="8"/>
  <c r="E3" i="8"/>
  <c r="F4" i="8" s="1"/>
  <c r="F5" i="8" s="1"/>
  <c r="O43" i="1"/>
  <c r="D35" i="1"/>
  <c r="E44" i="1" s="1"/>
  <c r="I34" i="1"/>
  <c r="L34" i="1" s="1"/>
  <c r="I33" i="1"/>
  <c r="L29" i="1"/>
  <c r="J26" i="1"/>
  <c r="E26" i="1"/>
  <c r="T25" i="1"/>
  <c r="J25" i="1"/>
  <c r="P24" i="1" s="1"/>
  <c r="E25" i="1"/>
  <c r="J24" i="1"/>
  <c r="P23" i="1" s="1"/>
  <c r="E24" i="1"/>
  <c r="J23" i="1"/>
  <c r="P22" i="1" s="1"/>
  <c r="E23" i="1"/>
  <c r="J22" i="1"/>
  <c r="P21" i="1" s="1"/>
  <c r="E22" i="1"/>
  <c r="J21" i="1"/>
  <c r="P20" i="1" s="1"/>
  <c r="E21" i="1"/>
  <c r="J20" i="1"/>
  <c r="P19" i="1" s="1"/>
  <c r="O50" i="1" s="1"/>
  <c r="E20" i="1"/>
  <c r="J19" i="1"/>
  <c r="P18" i="1" s="1"/>
  <c r="O49" i="1" s="1"/>
  <c r="E19" i="1"/>
  <c r="E18" i="1"/>
  <c r="P17" i="1"/>
  <c r="O48" i="1" s="1"/>
  <c r="E17" i="1"/>
  <c r="P16" i="1"/>
  <c r="O47" i="1" s="1"/>
  <c r="J16" i="1"/>
  <c r="E16" i="1"/>
  <c r="P15" i="1"/>
  <c r="O46" i="1" s="1"/>
  <c r="H15" i="1"/>
  <c r="H16" i="1" s="1"/>
  <c r="E15" i="1"/>
  <c r="C15" i="1"/>
  <c r="C16" i="1" s="1"/>
  <c r="P14" i="1"/>
  <c r="O45" i="1" s="1"/>
  <c r="E14" i="1"/>
  <c r="C14" i="1"/>
  <c r="P13" i="1"/>
  <c r="O44" i="1" s="1"/>
  <c r="C13" i="1"/>
  <c r="P12" i="1"/>
  <c r="D8" i="1"/>
  <c r="P5" i="1"/>
  <c r="E3" i="1"/>
  <c r="F4" i="1" s="1"/>
  <c r="F5" i="1" s="1"/>
  <c r="J49" i="17" l="1"/>
  <c r="O36" i="17"/>
  <c r="P37" i="17" s="1"/>
  <c r="M10" i="17"/>
  <c r="S50" i="17"/>
  <c r="K50" i="17"/>
  <c r="T27" i="17" s="1"/>
  <c r="L51" i="17"/>
  <c r="K51" i="17" s="1"/>
  <c r="L22" i="17"/>
  <c r="W57" i="17"/>
  <c r="W58" i="17" s="1"/>
  <c r="T26" i="17"/>
  <c r="S27" i="17" s="1"/>
  <c r="W57" i="15"/>
  <c r="W58" i="15" s="1"/>
  <c r="T26" i="15"/>
  <c r="S27" i="15" s="1"/>
  <c r="J9" i="15"/>
  <c r="J42" i="15"/>
  <c r="K21" i="15"/>
  <c r="K8" i="15"/>
  <c r="K50" i="15"/>
  <c r="T27" i="15" s="1"/>
  <c r="L51" i="15"/>
  <c r="K51" i="15" s="1"/>
  <c r="K46" i="14"/>
  <c r="L47" i="14"/>
  <c r="W53" i="14"/>
  <c r="T22" i="14"/>
  <c r="S23" i="14" s="1"/>
  <c r="K21" i="14"/>
  <c r="K8" i="14"/>
  <c r="J9" i="14"/>
  <c r="J42" i="14"/>
  <c r="J38" i="12"/>
  <c r="J5" i="12"/>
  <c r="W46" i="12"/>
  <c r="L6" i="12"/>
  <c r="T14" i="12"/>
  <c r="S15" i="12" s="1"/>
  <c r="W45" i="12"/>
  <c r="L5" i="12"/>
  <c r="K6" i="12"/>
  <c r="K19" i="12"/>
  <c r="L7" i="12"/>
  <c r="T16" i="12"/>
  <c r="W47" i="12"/>
  <c r="L9" i="12"/>
  <c r="W49" i="12"/>
  <c r="T18" i="12"/>
  <c r="T19" i="12"/>
  <c r="W50" i="12"/>
  <c r="L10" i="12"/>
  <c r="L43" i="12"/>
  <c r="L40" i="11"/>
  <c r="D32" i="11"/>
  <c r="E44" i="11"/>
  <c r="S29" i="11"/>
  <c r="L15" i="11"/>
  <c r="J17" i="10"/>
  <c r="P15" i="10" s="1"/>
  <c r="O46" i="10" s="1"/>
  <c r="L14" i="10"/>
  <c r="L36" i="10"/>
  <c r="L37" i="10" s="1"/>
  <c r="N10" i="10"/>
  <c r="P16" i="10"/>
  <c r="O47" i="10" s="1"/>
  <c r="C15" i="9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E4" i="9"/>
  <c r="P18" i="9"/>
  <c r="O49" i="9" s="1"/>
  <c r="P16" i="9"/>
  <c r="O47" i="9" s="1"/>
  <c r="F3" i="9"/>
  <c r="J17" i="9"/>
  <c r="L36" i="9"/>
  <c r="N8" i="9"/>
  <c r="C15" i="8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F3" i="8"/>
  <c r="E4" i="8"/>
  <c r="L35" i="8"/>
  <c r="C17" i="1"/>
  <c r="C18" i="1" s="1"/>
  <c r="C19" i="1" s="1"/>
  <c r="C20" i="1" s="1"/>
  <c r="C21" i="1" s="1"/>
  <c r="C22" i="1" s="1"/>
  <c r="C23" i="1" s="1"/>
  <c r="C24" i="1" s="1"/>
  <c r="C25" i="1" s="1"/>
  <c r="C26" i="1" s="1"/>
  <c r="P25" i="1"/>
  <c r="F3" i="1"/>
  <c r="E4" i="1"/>
  <c r="L35" i="1"/>
  <c r="C2" i="5"/>
  <c r="K23" i="17" l="1"/>
  <c r="J50" i="17"/>
  <c r="J51" i="17" s="1"/>
  <c r="M9" i="15"/>
  <c r="O35" i="15"/>
  <c r="P36" i="15" s="1"/>
  <c r="S49" i="15"/>
  <c r="L21" i="15"/>
  <c r="J43" i="15"/>
  <c r="J44" i="15" s="1"/>
  <c r="J45" i="15" s="1"/>
  <c r="J46" i="15" s="1"/>
  <c r="J47" i="15" s="1"/>
  <c r="J48" i="15" s="1"/>
  <c r="J49" i="15" s="1"/>
  <c r="J50" i="15" s="1"/>
  <c r="J51" i="15" s="1"/>
  <c r="J10" i="15"/>
  <c r="J43" i="14"/>
  <c r="J44" i="14" s="1"/>
  <c r="J45" i="14" s="1"/>
  <c r="J46" i="14" s="1"/>
  <c r="J10" i="14"/>
  <c r="M9" i="14"/>
  <c r="O35" i="14"/>
  <c r="P36" i="14" s="1"/>
  <c r="S49" i="14"/>
  <c r="L21" i="14"/>
  <c r="K47" i="14"/>
  <c r="L48" i="14"/>
  <c r="T23" i="14"/>
  <c r="S24" i="14" s="1"/>
  <c r="W54" i="14"/>
  <c r="S16" i="12"/>
  <c r="S17" i="12" s="1"/>
  <c r="S18" i="12" s="1"/>
  <c r="S19" i="12" s="1"/>
  <c r="S20" i="12" s="1"/>
  <c r="M7" i="12"/>
  <c r="S47" i="12"/>
  <c r="O33" i="12"/>
  <c r="P34" i="12" s="1"/>
  <c r="K43" i="12"/>
  <c r="L44" i="12"/>
  <c r="J6" i="12"/>
  <c r="J39" i="12"/>
  <c r="L19" i="12"/>
  <c r="K5" i="11"/>
  <c r="K16" i="11"/>
  <c r="M5" i="11"/>
  <c r="G16" i="11" s="1"/>
  <c r="S43" i="11"/>
  <c r="O29" i="11"/>
  <c r="P30" i="11" s="1"/>
  <c r="M15" i="11"/>
  <c r="L31" i="11"/>
  <c r="J34" i="11"/>
  <c r="S12" i="11"/>
  <c r="D43" i="11"/>
  <c r="K40" i="11"/>
  <c r="L41" i="11"/>
  <c r="P25" i="10"/>
  <c r="N7" i="10"/>
  <c r="D33" i="10"/>
  <c r="E44" i="10" s="1"/>
  <c r="E46" i="10" s="1"/>
  <c r="P29" i="10"/>
  <c r="S29" i="10" s="1"/>
  <c r="K15" i="10"/>
  <c r="L38" i="10"/>
  <c r="L39" i="10" s="1"/>
  <c r="D32" i="10"/>
  <c r="P29" i="9"/>
  <c r="D33" i="9"/>
  <c r="L14" i="9"/>
  <c r="N7" i="9"/>
  <c r="P15" i="9"/>
  <c r="L37" i="9"/>
  <c r="L36" i="8"/>
  <c r="D33" i="8"/>
  <c r="D32" i="8" s="1"/>
  <c r="P29" i="8"/>
  <c r="L13" i="8"/>
  <c r="L36" i="1"/>
  <c r="D33" i="1"/>
  <c r="D32" i="1" s="1"/>
  <c r="L13" i="1"/>
  <c r="P29" i="1"/>
  <c r="S51" i="17" l="1"/>
  <c r="O37" i="17"/>
  <c r="P38" i="17" s="1"/>
  <c r="L23" i="17"/>
  <c r="K9" i="15"/>
  <c r="K22" i="15"/>
  <c r="K9" i="14"/>
  <c r="K22" i="14"/>
  <c r="L22" i="14" s="1"/>
  <c r="K48" i="14"/>
  <c r="L49" i="14"/>
  <c r="W55" i="14"/>
  <c r="T24" i="14"/>
  <c r="S25" i="14" s="1"/>
  <c r="J47" i="14"/>
  <c r="K44" i="12"/>
  <c r="L45" i="12"/>
  <c r="T20" i="12"/>
  <c r="S21" i="12" s="1"/>
  <c r="W51" i="12"/>
  <c r="K7" i="12"/>
  <c r="K20" i="12"/>
  <c r="J7" i="12"/>
  <c r="J40" i="12"/>
  <c r="S44" i="11"/>
  <c r="M6" i="11"/>
  <c r="O30" i="11"/>
  <c r="P31" i="11" s="1"/>
  <c r="K41" i="11"/>
  <c r="L42" i="11"/>
  <c r="K42" i="11" s="1"/>
  <c r="T17" i="11"/>
  <c r="W48" i="11"/>
  <c r="L10" i="11"/>
  <c r="T29" i="11"/>
  <c r="T30" i="11" s="1"/>
  <c r="K35" i="11"/>
  <c r="J35" i="11" s="1"/>
  <c r="K36" i="11"/>
  <c r="K38" i="11"/>
  <c r="K37" i="11"/>
  <c r="K39" i="11"/>
  <c r="L16" i="11"/>
  <c r="P6" i="11"/>
  <c r="M5" i="10"/>
  <c r="M15" i="10"/>
  <c r="O29" i="10"/>
  <c r="P30" i="10" s="1"/>
  <c r="S43" i="10"/>
  <c r="L15" i="10"/>
  <c r="L31" i="10"/>
  <c r="J34" i="10"/>
  <c r="D43" i="10"/>
  <c r="D46" i="10" s="1"/>
  <c r="S12" i="10"/>
  <c r="K39" i="10"/>
  <c r="K38" i="10"/>
  <c r="L40" i="10"/>
  <c r="S29" i="9"/>
  <c r="O46" i="9"/>
  <c r="P25" i="9"/>
  <c r="L38" i="9"/>
  <c r="K15" i="9"/>
  <c r="L15" i="9"/>
  <c r="E44" i="9"/>
  <c r="E46" i="9" s="1"/>
  <c r="D32" i="9"/>
  <c r="K14" i="8"/>
  <c r="L14" i="8"/>
  <c r="S29" i="8"/>
  <c r="D43" i="8"/>
  <c r="S12" i="8"/>
  <c r="L30" i="8"/>
  <c r="J33" i="8"/>
  <c r="K36" i="8"/>
  <c r="L37" i="8"/>
  <c r="L38" i="8"/>
  <c r="K38" i="8" s="1"/>
  <c r="S29" i="1"/>
  <c r="K14" i="1"/>
  <c r="L14" i="1" s="1"/>
  <c r="D43" i="1"/>
  <c r="L30" i="1"/>
  <c r="S12" i="1"/>
  <c r="J33" i="1"/>
  <c r="K36" i="1"/>
  <c r="L38" i="1"/>
  <c r="K38" i="1" s="1"/>
  <c r="L37" i="1"/>
  <c r="M15" i="6"/>
  <c r="K24" i="17" l="1"/>
  <c r="K10" i="17"/>
  <c r="J48" i="14"/>
  <c r="O36" i="15"/>
  <c r="P37" i="15" s="1"/>
  <c r="M10" i="15"/>
  <c r="S50" i="15"/>
  <c r="L22" i="15"/>
  <c r="K49" i="14"/>
  <c r="J49" i="14" s="1"/>
  <c r="L50" i="14"/>
  <c r="W56" i="14"/>
  <c r="T25" i="14"/>
  <c r="K23" i="14"/>
  <c r="S26" i="14"/>
  <c r="O36" i="14"/>
  <c r="P37" i="14" s="1"/>
  <c r="S50" i="14"/>
  <c r="M10" i="14"/>
  <c r="J8" i="12"/>
  <c r="J41" i="12"/>
  <c r="S48" i="12"/>
  <c r="M8" i="12"/>
  <c r="O34" i="12"/>
  <c r="P35" i="12" s="1"/>
  <c r="L20" i="12"/>
  <c r="K45" i="12"/>
  <c r="L46" i="12"/>
  <c r="T21" i="12"/>
  <c r="S22" i="12" s="1"/>
  <c r="W52" i="12"/>
  <c r="L43" i="11"/>
  <c r="L44" i="11" s="1"/>
  <c r="J5" i="11"/>
  <c r="J36" i="11"/>
  <c r="W46" i="11"/>
  <c r="T15" i="11"/>
  <c r="L8" i="11"/>
  <c r="W44" i="11"/>
  <c r="T13" i="11"/>
  <c r="L6" i="11"/>
  <c r="T14" i="11"/>
  <c r="L7" i="11"/>
  <c r="W45" i="11"/>
  <c r="L5" i="11"/>
  <c r="T12" i="11"/>
  <c r="S13" i="11" s="1"/>
  <c r="S14" i="11" s="1"/>
  <c r="S15" i="11" s="1"/>
  <c r="W43" i="11"/>
  <c r="T19" i="11"/>
  <c r="W50" i="11"/>
  <c r="L9" i="11"/>
  <c r="W47" i="11"/>
  <c r="T16" i="11"/>
  <c r="W49" i="11"/>
  <c r="T18" i="11"/>
  <c r="K6" i="11"/>
  <c r="K17" i="11"/>
  <c r="L17" i="11" s="1"/>
  <c r="T29" i="10"/>
  <c r="T30" i="10" s="1"/>
  <c r="K40" i="10"/>
  <c r="L41" i="10"/>
  <c r="K41" i="10" s="1"/>
  <c r="W46" i="10"/>
  <c r="T15" i="10"/>
  <c r="L8" i="10"/>
  <c r="L9" i="10"/>
  <c r="W47" i="10"/>
  <c r="T16" i="10"/>
  <c r="K35" i="10"/>
  <c r="K37" i="10"/>
  <c r="K36" i="10"/>
  <c r="K5" i="10"/>
  <c r="K16" i="10"/>
  <c r="L16" i="10" s="1"/>
  <c r="L31" i="9"/>
  <c r="S12" i="9"/>
  <c r="J34" i="9"/>
  <c r="D43" i="9"/>
  <c r="D46" i="9" s="1"/>
  <c r="K5" i="9"/>
  <c r="K16" i="9"/>
  <c r="M5" i="9"/>
  <c r="M15" i="9"/>
  <c r="O29" i="9"/>
  <c r="P30" i="9" s="1"/>
  <c r="S43" i="9"/>
  <c r="K38" i="9"/>
  <c r="L39" i="9"/>
  <c r="K37" i="8"/>
  <c r="L39" i="8"/>
  <c r="K39" i="8" s="1"/>
  <c r="T14" i="8"/>
  <c r="L7" i="8"/>
  <c r="W45" i="8"/>
  <c r="K34" i="8"/>
  <c r="K35" i="8"/>
  <c r="T29" i="8"/>
  <c r="T30" i="8" s="1"/>
  <c r="W47" i="8"/>
  <c r="T16" i="8"/>
  <c r="K15" i="8"/>
  <c r="M13" i="8"/>
  <c r="S43" i="8"/>
  <c r="O29" i="8"/>
  <c r="P30" i="8" s="1"/>
  <c r="K15" i="1"/>
  <c r="W47" i="1"/>
  <c r="T16" i="1"/>
  <c r="T14" i="1"/>
  <c r="W45" i="1"/>
  <c r="L7" i="1"/>
  <c r="T29" i="1"/>
  <c r="T30" i="1" s="1"/>
  <c r="L39" i="1"/>
  <c r="K39" i="1" s="1"/>
  <c r="J34" i="1"/>
  <c r="K34" i="1"/>
  <c r="K35" i="1"/>
  <c r="M13" i="1"/>
  <c r="S43" i="1"/>
  <c r="O29" i="1"/>
  <c r="P30" i="1" s="1"/>
  <c r="K37" i="1"/>
  <c r="E4" i="7"/>
  <c r="O48" i="7"/>
  <c r="D35" i="7"/>
  <c r="E46" i="7" s="1"/>
  <c r="I34" i="7"/>
  <c r="L35" i="7" s="1"/>
  <c r="L30" i="7"/>
  <c r="J27" i="7"/>
  <c r="J26" i="7"/>
  <c r="E26" i="7"/>
  <c r="J25" i="7"/>
  <c r="P23" i="7" s="1"/>
  <c r="E25" i="7"/>
  <c r="P24" i="7"/>
  <c r="J24" i="7"/>
  <c r="P22" i="7" s="1"/>
  <c r="E24" i="7"/>
  <c r="J23" i="7"/>
  <c r="P21" i="7" s="1"/>
  <c r="E23" i="7"/>
  <c r="J22" i="7"/>
  <c r="E22" i="7"/>
  <c r="J21" i="7"/>
  <c r="P19" i="7" s="1"/>
  <c r="O50" i="7" s="1"/>
  <c r="E21" i="7"/>
  <c r="P20" i="7"/>
  <c r="J20" i="7"/>
  <c r="E20" i="7"/>
  <c r="E19" i="7"/>
  <c r="J18" i="7"/>
  <c r="N8" i="7" s="1"/>
  <c r="E18" i="7"/>
  <c r="P17" i="7"/>
  <c r="D17" i="7"/>
  <c r="E17" i="7" s="1"/>
  <c r="J16" i="7"/>
  <c r="P14" i="7" s="1"/>
  <c r="O45" i="7" s="1"/>
  <c r="H16" i="7"/>
  <c r="H17" i="7" s="1"/>
  <c r="E16" i="7"/>
  <c r="E15" i="7"/>
  <c r="E14" i="7"/>
  <c r="P13" i="7"/>
  <c r="O44" i="7" s="1"/>
  <c r="C13" i="7"/>
  <c r="P12" i="7"/>
  <c r="O43" i="7" s="1"/>
  <c r="N9" i="7"/>
  <c r="D8" i="7"/>
  <c r="C14" i="7" s="1"/>
  <c r="N5" i="7"/>
  <c r="L4" i="7"/>
  <c r="E3" i="7"/>
  <c r="O38" i="17" l="1"/>
  <c r="P39" i="17" s="1"/>
  <c r="S52" i="17"/>
  <c r="L24" i="17"/>
  <c r="K23" i="15"/>
  <c r="S51" i="14"/>
  <c r="O37" i="14"/>
  <c r="P38" i="14" s="1"/>
  <c r="L23" i="14"/>
  <c r="K50" i="14"/>
  <c r="T27" i="14" s="1"/>
  <c r="L51" i="14"/>
  <c r="K51" i="14" s="1"/>
  <c r="W57" i="14"/>
  <c r="W58" i="14" s="1"/>
  <c r="T26" i="14"/>
  <c r="S27" i="14" s="1"/>
  <c r="W53" i="12"/>
  <c r="T22" i="12"/>
  <c r="S23" i="12" s="1"/>
  <c r="K21" i="12"/>
  <c r="L21" i="12" s="1"/>
  <c r="K8" i="12"/>
  <c r="J9" i="12"/>
  <c r="J42" i="12"/>
  <c r="K46" i="12"/>
  <c r="L47" i="12"/>
  <c r="K43" i="11"/>
  <c r="W51" i="11" s="1"/>
  <c r="S16" i="11"/>
  <c r="S17" i="11" s="1"/>
  <c r="S18" i="11" s="1"/>
  <c r="S19" i="11" s="1"/>
  <c r="K7" i="11"/>
  <c r="K18" i="11"/>
  <c r="J6" i="11"/>
  <c r="J37" i="11"/>
  <c r="S20" i="11"/>
  <c r="K44" i="11"/>
  <c r="L45" i="11"/>
  <c r="S45" i="11"/>
  <c r="M7" i="11"/>
  <c r="O31" i="11"/>
  <c r="P32" i="11" s="1"/>
  <c r="K6" i="10"/>
  <c r="K17" i="10"/>
  <c r="W49" i="10"/>
  <c r="T18" i="10"/>
  <c r="S44" i="10"/>
  <c r="O30" i="10"/>
  <c r="P31" i="10" s="1"/>
  <c r="M6" i="10"/>
  <c r="L6" i="10"/>
  <c r="W44" i="10"/>
  <c r="T13" i="10"/>
  <c r="L42" i="10"/>
  <c r="L7" i="10"/>
  <c r="W45" i="10"/>
  <c r="T14" i="10"/>
  <c r="T17" i="10"/>
  <c r="W48" i="10"/>
  <c r="L10" i="10"/>
  <c r="L5" i="10"/>
  <c r="T12" i="10"/>
  <c r="S13" i="10" s="1"/>
  <c r="W43" i="10"/>
  <c r="J35" i="10"/>
  <c r="T15" i="9"/>
  <c r="L8" i="9"/>
  <c r="W46" i="9"/>
  <c r="L40" i="9"/>
  <c r="K40" i="9" s="1"/>
  <c r="K39" i="9"/>
  <c r="S44" i="9"/>
  <c r="O30" i="9"/>
  <c r="P31" i="9" s="1"/>
  <c r="M6" i="9"/>
  <c r="L16" i="9"/>
  <c r="T29" i="9"/>
  <c r="T30" i="9" s="1"/>
  <c r="K35" i="9"/>
  <c r="K36" i="9"/>
  <c r="K37" i="9"/>
  <c r="L5" i="8"/>
  <c r="T12" i="8"/>
  <c r="S13" i="8" s="1"/>
  <c r="W43" i="8"/>
  <c r="W48" i="8"/>
  <c r="T17" i="8"/>
  <c r="S44" i="8"/>
  <c r="O30" i="8"/>
  <c r="L15" i="8"/>
  <c r="L40" i="8"/>
  <c r="K40" i="8" s="1"/>
  <c r="W44" i="8"/>
  <c r="T13" i="8"/>
  <c r="L6" i="8"/>
  <c r="J34" i="8"/>
  <c r="P31" i="8"/>
  <c r="T15" i="8"/>
  <c r="W46" i="8"/>
  <c r="L8" i="8"/>
  <c r="W48" i="1"/>
  <c r="T17" i="1"/>
  <c r="L40" i="1"/>
  <c r="K40" i="1" s="1"/>
  <c r="J5" i="1"/>
  <c r="J35" i="1"/>
  <c r="L41" i="1"/>
  <c r="K41" i="1" s="1"/>
  <c r="W46" i="1"/>
  <c r="L8" i="1"/>
  <c r="T15" i="1"/>
  <c r="P31" i="1"/>
  <c r="W44" i="1"/>
  <c r="T13" i="1"/>
  <c r="L6" i="1"/>
  <c r="O30" i="1"/>
  <c r="S44" i="1"/>
  <c r="L5" i="1"/>
  <c r="T12" i="1"/>
  <c r="S13" i="1" s="1"/>
  <c r="S14" i="1" s="1"/>
  <c r="S15" i="1" s="1"/>
  <c r="W43" i="1"/>
  <c r="L15" i="1"/>
  <c r="P16" i="7"/>
  <c r="O47" i="7" s="1"/>
  <c r="E5" i="7"/>
  <c r="C15" i="7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N10" i="7"/>
  <c r="P18" i="7"/>
  <c r="O49" i="7" s="1"/>
  <c r="L36" i="7"/>
  <c r="N6" i="7"/>
  <c r="J17" i="7"/>
  <c r="D17" i="6"/>
  <c r="E5" i="6"/>
  <c r="E4" i="6"/>
  <c r="K25" i="17" l="1"/>
  <c r="S51" i="15"/>
  <c r="O37" i="15"/>
  <c r="P38" i="15" s="1"/>
  <c r="L23" i="15"/>
  <c r="J50" i="14"/>
  <c r="J51" i="14" s="1"/>
  <c r="K10" i="14"/>
  <c r="K24" i="14"/>
  <c r="L24" i="14" s="1"/>
  <c r="K47" i="12"/>
  <c r="L48" i="12"/>
  <c r="T23" i="12"/>
  <c r="S24" i="12" s="1"/>
  <c r="W54" i="12"/>
  <c r="J43" i="12"/>
  <c r="J44" i="12" s="1"/>
  <c r="J45" i="12" s="1"/>
  <c r="J46" i="12" s="1"/>
  <c r="J10" i="12"/>
  <c r="K9" i="12"/>
  <c r="K22" i="12"/>
  <c r="L22" i="12" s="1"/>
  <c r="M9" i="12"/>
  <c r="O35" i="12"/>
  <c r="P36" i="12" s="1"/>
  <c r="S49" i="12"/>
  <c r="T20" i="11"/>
  <c r="S21" i="11" s="1"/>
  <c r="S46" i="11"/>
  <c r="M8" i="11"/>
  <c r="O32" i="11"/>
  <c r="P33" i="11" s="1"/>
  <c r="L18" i="11"/>
  <c r="K45" i="11"/>
  <c r="L46" i="11"/>
  <c r="T21" i="11"/>
  <c r="W52" i="11"/>
  <c r="J7" i="11"/>
  <c r="J38" i="11"/>
  <c r="S14" i="10"/>
  <c r="S15" i="10" s="1"/>
  <c r="S16" i="10" s="1"/>
  <c r="S17" i="10" s="1"/>
  <c r="S18" i="10" s="1"/>
  <c r="S19" i="10" s="1"/>
  <c r="K42" i="10"/>
  <c r="L43" i="10"/>
  <c r="K43" i="10" s="1"/>
  <c r="J5" i="10"/>
  <c r="J36" i="10"/>
  <c r="O31" i="10"/>
  <c r="P32" i="10" s="1"/>
  <c r="M7" i="10"/>
  <c r="S45" i="10"/>
  <c r="L17" i="10"/>
  <c r="W43" i="9"/>
  <c r="L5" i="9"/>
  <c r="T12" i="9"/>
  <c r="S13" i="9" s="1"/>
  <c r="L41" i="9"/>
  <c r="W45" i="9"/>
  <c r="L7" i="9"/>
  <c r="T14" i="9"/>
  <c r="L9" i="9"/>
  <c r="W47" i="9"/>
  <c r="T16" i="9"/>
  <c r="T17" i="9"/>
  <c r="W48" i="9"/>
  <c r="L10" i="9"/>
  <c r="K6" i="9"/>
  <c r="K17" i="9"/>
  <c r="L6" i="9"/>
  <c r="W44" i="9"/>
  <c r="T13" i="9"/>
  <c r="J35" i="9"/>
  <c r="K16" i="8"/>
  <c r="L16" i="8" s="1"/>
  <c r="L41" i="8"/>
  <c r="K41" i="8" s="1"/>
  <c r="W49" i="8"/>
  <c r="T18" i="8"/>
  <c r="J5" i="8"/>
  <c r="J35" i="8"/>
  <c r="L42" i="8"/>
  <c r="S14" i="8"/>
  <c r="S15" i="8" s="1"/>
  <c r="S16" i="8" s="1"/>
  <c r="S17" i="8" s="1"/>
  <c r="S18" i="8" s="1"/>
  <c r="S19" i="8" s="1"/>
  <c r="S16" i="1"/>
  <c r="S17" i="1" s="1"/>
  <c r="S18" i="1" s="1"/>
  <c r="T19" i="1"/>
  <c r="W50" i="1"/>
  <c r="K16" i="1"/>
  <c r="L16" i="1" s="1"/>
  <c r="L42" i="1"/>
  <c r="J36" i="1"/>
  <c r="J6" i="1"/>
  <c r="T18" i="1"/>
  <c r="W49" i="1"/>
  <c r="L37" i="7"/>
  <c r="L38" i="7" s="1"/>
  <c r="D33" i="7"/>
  <c r="P29" i="7"/>
  <c r="L14" i="7"/>
  <c r="P15" i="7"/>
  <c r="N7" i="7"/>
  <c r="O48" i="6"/>
  <c r="L35" i="6"/>
  <c r="D35" i="6"/>
  <c r="E46" i="6" s="1"/>
  <c r="I34" i="6"/>
  <c r="L30" i="6"/>
  <c r="J27" i="6"/>
  <c r="J26" i="6"/>
  <c r="P24" i="6" s="1"/>
  <c r="E26" i="6"/>
  <c r="J25" i="6"/>
  <c r="P23" i="6" s="1"/>
  <c r="E25" i="6"/>
  <c r="J24" i="6"/>
  <c r="P22" i="6" s="1"/>
  <c r="E24" i="6"/>
  <c r="J23" i="6"/>
  <c r="P21" i="6" s="1"/>
  <c r="E23" i="6"/>
  <c r="J22" i="6"/>
  <c r="P20" i="6" s="1"/>
  <c r="E22" i="6"/>
  <c r="J21" i="6"/>
  <c r="P19" i="6" s="1"/>
  <c r="O50" i="6" s="1"/>
  <c r="E21" i="6"/>
  <c r="J20" i="6"/>
  <c r="N10" i="6" s="1"/>
  <c r="E20" i="6"/>
  <c r="E19" i="6"/>
  <c r="J18" i="6"/>
  <c r="N8" i="6" s="1"/>
  <c r="E18" i="6"/>
  <c r="P17" i="6"/>
  <c r="J17" i="6"/>
  <c r="J16" i="6"/>
  <c r="P14" i="6" s="1"/>
  <c r="O45" i="6" s="1"/>
  <c r="H16" i="6"/>
  <c r="H17" i="6" s="1"/>
  <c r="E16" i="6"/>
  <c r="E15" i="6"/>
  <c r="E14" i="6"/>
  <c r="C14" i="6"/>
  <c r="P13" i="6"/>
  <c r="O44" i="6" s="1"/>
  <c r="C13" i="6"/>
  <c r="P12" i="6"/>
  <c r="N9" i="6"/>
  <c r="D8" i="6"/>
  <c r="N5" i="6"/>
  <c r="L4" i="6"/>
  <c r="E3" i="6"/>
  <c r="O39" i="17" l="1"/>
  <c r="P40" i="17" s="1"/>
  <c r="S53" i="17"/>
  <c r="L25" i="17"/>
  <c r="K10" i="15"/>
  <c r="K24" i="15"/>
  <c r="L24" i="15" s="1"/>
  <c r="S52" i="14"/>
  <c r="O38" i="14"/>
  <c r="P39" i="14" s="1"/>
  <c r="K25" i="14"/>
  <c r="J47" i="12"/>
  <c r="K23" i="12"/>
  <c r="O36" i="12"/>
  <c r="P37" i="12" s="1"/>
  <c r="S50" i="12"/>
  <c r="M10" i="12"/>
  <c r="K48" i="12"/>
  <c r="L49" i="12"/>
  <c r="W55" i="12"/>
  <c r="T24" i="12"/>
  <c r="S25" i="12" s="1"/>
  <c r="S22" i="11"/>
  <c r="K46" i="11"/>
  <c r="L47" i="11"/>
  <c r="J8" i="11"/>
  <c r="J39" i="11"/>
  <c r="T22" i="11"/>
  <c r="S23" i="11" s="1"/>
  <c r="W53" i="11"/>
  <c r="K19" i="11"/>
  <c r="K8" i="11"/>
  <c r="K7" i="10"/>
  <c r="K18" i="10"/>
  <c r="W51" i="10"/>
  <c r="T20" i="10"/>
  <c r="T19" i="10"/>
  <c r="S20" i="10" s="1"/>
  <c r="S21" i="10" s="1"/>
  <c r="W50" i="10"/>
  <c r="J6" i="10"/>
  <c r="J37" i="10"/>
  <c r="L44" i="10"/>
  <c r="J5" i="9"/>
  <c r="J36" i="9"/>
  <c r="K41" i="9"/>
  <c r="L42" i="9"/>
  <c r="S14" i="9"/>
  <c r="S15" i="9" s="1"/>
  <c r="S16" i="9" s="1"/>
  <c r="S17" i="9" s="1"/>
  <c r="S18" i="9" s="1"/>
  <c r="O31" i="9"/>
  <c r="P32" i="9" s="1"/>
  <c r="S45" i="9"/>
  <c r="M7" i="9"/>
  <c r="L17" i="9"/>
  <c r="L17" i="8"/>
  <c r="K17" i="8"/>
  <c r="J36" i="8"/>
  <c r="J6" i="8"/>
  <c r="T19" i="8"/>
  <c r="S20" i="8" s="1"/>
  <c r="W50" i="8"/>
  <c r="K42" i="8"/>
  <c r="L43" i="8"/>
  <c r="O31" i="8"/>
  <c r="P32" i="8" s="1"/>
  <c r="S45" i="8"/>
  <c r="K17" i="1"/>
  <c r="J37" i="1"/>
  <c r="J7" i="1"/>
  <c r="K42" i="1"/>
  <c r="L43" i="1"/>
  <c r="S19" i="1"/>
  <c r="S20" i="1" s="1"/>
  <c r="O31" i="1"/>
  <c r="P32" i="1" s="1"/>
  <c r="S45" i="1"/>
  <c r="O46" i="7"/>
  <c r="P25" i="7"/>
  <c r="K15" i="7"/>
  <c r="L15" i="7"/>
  <c r="S29" i="7"/>
  <c r="E45" i="7"/>
  <c r="E47" i="7" s="1"/>
  <c r="D32" i="7"/>
  <c r="L39" i="7"/>
  <c r="C15" i="6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P15" i="6"/>
  <c r="O46" i="6" s="1"/>
  <c r="N7" i="6"/>
  <c r="N6" i="6"/>
  <c r="P16" i="6"/>
  <c r="O47" i="6" s="1"/>
  <c r="P18" i="6"/>
  <c r="O49" i="6" s="1"/>
  <c r="L36" i="6"/>
  <c r="O43" i="6"/>
  <c r="E17" i="6"/>
  <c r="K26" i="17" l="1"/>
  <c r="K25" i="15"/>
  <c r="S52" i="15"/>
  <c r="O38" i="15"/>
  <c r="P39" i="15" s="1"/>
  <c r="O39" i="14"/>
  <c r="S53" i="14"/>
  <c r="L25" i="14"/>
  <c r="P40" i="14"/>
  <c r="K49" i="12"/>
  <c r="L50" i="12"/>
  <c r="T25" i="12"/>
  <c r="S26" i="12" s="1"/>
  <c r="W56" i="12"/>
  <c r="J48" i="12"/>
  <c r="S51" i="12"/>
  <c r="O37" i="12"/>
  <c r="P38" i="12" s="1"/>
  <c r="L23" i="12"/>
  <c r="M9" i="11"/>
  <c r="S47" i="11"/>
  <c r="O33" i="11"/>
  <c r="P34" i="11" s="1"/>
  <c r="T23" i="11"/>
  <c r="S24" i="11" s="1"/>
  <c r="W54" i="11"/>
  <c r="L19" i="11"/>
  <c r="J9" i="11"/>
  <c r="J40" i="11"/>
  <c r="K47" i="11"/>
  <c r="L48" i="11"/>
  <c r="K44" i="10"/>
  <c r="L45" i="10"/>
  <c r="J38" i="10"/>
  <c r="J7" i="10"/>
  <c r="S46" i="10"/>
  <c r="M8" i="10"/>
  <c r="O32" i="10"/>
  <c r="P33" i="10" s="1"/>
  <c r="L18" i="10"/>
  <c r="K7" i="9"/>
  <c r="K18" i="9"/>
  <c r="K42" i="9"/>
  <c r="L43" i="9"/>
  <c r="T18" i="9"/>
  <c r="S19" i="9" s="1"/>
  <c r="W49" i="9"/>
  <c r="J6" i="9"/>
  <c r="J37" i="9"/>
  <c r="S21" i="8"/>
  <c r="K18" i="8"/>
  <c r="K43" i="8"/>
  <c r="L44" i="8"/>
  <c r="W51" i="8"/>
  <c r="T20" i="8"/>
  <c r="J7" i="8"/>
  <c r="J37" i="8"/>
  <c r="O32" i="8"/>
  <c r="P33" i="8" s="1"/>
  <c r="S46" i="8"/>
  <c r="O32" i="1"/>
  <c r="P33" i="1" s="1"/>
  <c r="S46" i="1"/>
  <c r="K43" i="1"/>
  <c r="L44" i="1"/>
  <c r="T20" i="1"/>
  <c r="S21" i="1" s="1"/>
  <c r="W51" i="1"/>
  <c r="J38" i="1"/>
  <c r="J39" i="1" s="1"/>
  <c r="J40" i="1" s="1"/>
  <c r="J41" i="1" s="1"/>
  <c r="J42" i="1" s="1"/>
  <c r="J43" i="1" s="1"/>
  <c r="J8" i="1"/>
  <c r="L17" i="1"/>
  <c r="J34" i="7"/>
  <c r="S12" i="7"/>
  <c r="D44" i="7"/>
  <c r="D47" i="7" s="1"/>
  <c r="L31" i="7"/>
  <c r="K39" i="7" s="1"/>
  <c r="L40" i="7"/>
  <c r="L41" i="7" s="1"/>
  <c r="K5" i="7"/>
  <c r="K16" i="7"/>
  <c r="L16" i="7"/>
  <c r="S43" i="7"/>
  <c r="M5" i="7"/>
  <c r="M15" i="7"/>
  <c r="O29" i="7"/>
  <c r="P30" i="7" s="1"/>
  <c r="L37" i="6"/>
  <c r="P25" i="6"/>
  <c r="P29" i="6"/>
  <c r="D33" i="6"/>
  <c r="L14" i="6"/>
  <c r="S54" i="17" l="1"/>
  <c r="O40" i="17"/>
  <c r="P41" i="17" s="1"/>
  <c r="L26" i="17"/>
  <c r="O39" i="15"/>
  <c r="P40" i="15" s="1"/>
  <c r="S53" i="15"/>
  <c r="L25" i="15"/>
  <c r="K26" i="14"/>
  <c r="J49" i="12"/>
  <c r="K10" i="12"/>
  <c r="K24" i="12"/>
  <c r="K50" i="12"/>
  <c r="T27" i="12" s="1"/>
  <c r="L51" i="12"/>
  <c r="K51" i="12" s="1"/>
  <c r="W57" i="12"/>
  <c r="W58" i="12" s="1"/>
  <c r="T26" i="12"/>
  <c r="S27" i="12" s="1"/>
  <c r="T24" i="11"/>
  <c r="S25" i="11" s="1"/>
  <c r="W55" i="11"/>
  <c r="W56" i="11" s="1"/>
  <c r="K48" i="11"/>
  <c r="T25" i="11" s="1"/>
  <c r="L49" i="11"/>
  <c r="K49" i="11" s="1"/>
  <c r="J41" i="11"/>
  <c r="J42" i="11" s="1"/>
  <c r="J43" i="11" s="1"/>
  <c r="J44" i="11" s="1"/>
  <c r="J45" i="11" s="1"/>
  <c r="J46" i="11" s="1"/>
  <c r="J47" i="11" s="1"/>
  <c r="J48" i="11" s="1"/>
  <c r="J10" i="11"/>
  <c r="K9" i="11"/>
  <c r="K20" i="11"/>
  <c r="L20" i="11" s="1"/>
  <c r="J39" i="10"/>
  <c r="J8" i="10"/>
  <c r="K19" i="10"/>
  <c r="K8" i="10"/>
  <c r="K45" i="10"/>
  <c r="L46" i="10"/>
  <c r="T21" i="10"/>
  <c r="S22" i="10" s="1"/>
  <c r="W52" i="10"/>
  <c r="T19" i="9"/>
  <c r="S20" i="9" s="1"/>
  <c r="W50" i="9"/>
  <c r="J38" i="9"/>
  <c r="J7" i="9"/>
  <c r="K43" i="9"/>
  <c r="L44" i="9"/>
  <c r="M8" i="9"/>
  <c r="S46" i="9"/>
  <c r="O32" i="9"/>
  <c r="P33" i="9" s="1"/>
  <c r="L18" i="9"/>
  <c r="T21" i="8"/>
  <c r="S22" i="8" s="1"/>
  <c r="W52" i="8"/>
  <c r="S47" i="8"/>
  <c r="O33" i="8"/>
  <c r="P34" i="8" s="1"/>
  <c r="J38" i="8"/>
  <c r="J39" i="8" s="1"/>
  <c r="J40" i="8" s="1"/>
  <c r="J41" i="8" s="1"/>
  <c r="J42" i="8" s="1"/>
  <c r="J43" i="8" s="1"/>
  <c r="J8" i="8"/>
  <c r="K44" i="8"/>
  <c r="L45" i="8"/>
  <c r="L18" i="8"/>
  <c r="S22" i="1"/>
  <c r="K18" i="1"/>
  <c r="K44" i="1"/>
  <c r="L45" i="1"/>
  <c r="W52" i="1"/>
  <c r="T21" i="1"/>
  <c r="L42" i="7"/>
  <c r="K42" i="7" s="1"/>
  <c r="T19" i="7" s="1"/>
  <c r="T16" i="7"/>
  <c r="L9" i="7"/>
  <c r="W47" i="7"/>
  <c r="K41" i="7"/>
  <c r="K6" i="7"/>
  <c r="K17" i="7"/>
  <c r="S44" i="7"/>
  <c r="O30" i="7"/>
  <c r="P31" i="7" s="1"/>
  <c r="M6" i="7"/>
  <c r="K40" i="7"/>
  <c r="T29" i="7"/>
  <c r="T30" i="7" s="1"/>
  <c r="K35" i="7"/>
  <c r="K36" i="7"/>
  <c r="K38" i="7"/>
  <c r="K37" i="7"/>
  <c r="E45" i="6"/>
  <c r="E47" i="6" s="1"/>
  <c r="S29" i="6"/>
  <c r="L39" i="6"/>
  <c r="L38" i="6"/>
  <c r="K15" i="6"/>
  <c r="K27" i="17" l="1"/>
  <c r="K26" i="15"/>
  <c r="O40" i="14"/>
  <c r="P41" i="14" s="1"/>
  <c r="S54" i="14"/>
  <c r="L26" i="14"/>
  <c r="O38" i="12"/>
  <c r="P39" i="12" s="1"/>
  <c r="S52" i="12"/>
  <c r="J50" i="12"/>
  <c r="J51" i="12" s="1"/>
  <c r="L24" i="12"/>
  <c r="K21" i="11"/>
  <c r="O34" i="11"/>
  <c r="P35" i="11" s="1"/>
  <c r="S48" i="11"/>
  <c r="M10" i="11"/>
  <c r="J49" i="11"/>
  <c r="W53" i="10"/>
  <c r="T22" i="10"/>
  <c r="S23" i="10" s="1"/>
  <c r="K46" i="10"/>
  <c r="L47" i="10"/>
  <c r="M9" i="10"/>
  <c r="S47" i="10"/>
  <c r="O33" i="10"/>
  <c r="P34" i="10" s="1"/>
  <c r="L19" i="10"/>
  <c r="J9" i="10"/>
  <c r="J40" i="10"/>
  <c r="W51" i="9"/>
  <c r="T20" i="9"/>
  <c r="S21" i="9" s="1"/>
  <c r="K19" i="9"/>
  <c r="K8" i="9"/>
  <c r="K44" i="9"/>
  <c r="L45" i="9"/>
  <c r="J8" i="9"/>
  <c r="J39" i="9"/>
  <c r="S23" i="8"/>
  <c r="W53" i="8"/>
  <c r="T22" i="8"/>
  <c r="K19" i="8"/>
  <c r="K45" i="8"/>
  <c r="L46" i="8"/>
  <c r="K46" i="8" s="1"/>
  <c r="J44" i="8"/>
  <c r="J45" i="8" s="1"/>
  <c r="J46" i="8" s="1"/>
  <c r="K45" i="1"/>
  <c r="L46" i="1"/>
  <c r="K46" i="1" s="1"/>
  <c r="T22" i="1"/>
  <c r="S23" i="1" s="1"/>
  <c r="W53" i="1"/>
  <c r="J44" i="1"/>
  <c r="J45" i="1" s="1"/>
  <c r="J46" i="1" s="1"/>
  <c r="O33" i="1"/>
  <c r="P34" i="1" s="1"/>
  <c r="S47" i="1"/>
  <c r="L18" i="1"/>
  <c r="W50" i="7"/>
  <c r="L43" i="7"/>
  <c r="T18" i="7"/>
  <c r="W49" i="7"/>
  <c r="W48" i="7"/>
  <c r="L10" i="7"/>
  <c r="T17" i="7"/>
  <c r="W45" i="7"/>
  <c r="L7" i="7"/>
  <c r="T14" i="7"/>
  <c r="M7" i="7"/>
  <c r="S45" i="7"/>
  <c r="O31" i="7"/>
  <c r="P32" i="7" s="1"/>
  <c r="W46" i="7"/>
  <c r="T15" i="7"/>
  <c r="L8" i="7"/>
  <c r="W44" i="7"/>
  <c r="T13" i="7"/>
  <c r="L6" i="7"/>
  <c r="L17" i="7"/>
  <c r="L5" i="7"/>
  <c r="W43" i="7"/>
  <c r="T12" i="7"/>
  <c r="S13" i="7" s="1"/>
  <c r="S14" i="7" s="1"/>
  <c r="J35" i="7"/>
  <c r="K43" i="7"/>
  <c r="J34" i="6"/>
  <c r="S12" i="6"/>
  <c r="D44" i="6"/>
  <c r="D47" i="6" s="1"/>
  <c r="L31" i="6"/>
  <c r="K39" i="6" s="1"/>
  <c r="L40" i="6"/>
  <c r="M5" i="6"/>
  <c r="O29" i="6"/>
  <c r="P30" i="6" s="1"/>
  <c r="S43" i="6"/>
  <c r="L15" i="6"/>
  <c r="O41" i="17" l="1"/>
  <c r="P42" i="17" s="1"/>
  <c r="S55" i="17"/>
  <c r="L27" i="17"/>
  <c r="O40" i="15"/>
  <c r="P41" i="15" s="1"/>
  <c r="S54" i="15"/>
  <c r="L26" i="15"/>
  <c r="K27" i="14"/>
  <c r="L27" i="14" s="1"/>
  <c r="K25" i="12"/>
  <c r="S49" i="11"/>
  <c r="O35" i="11"/>
  <c r="P36" i="11" s="1"/>
  <c r="L21" i="11"/>
  <c r="T23" i="10"/>
  <c r="S24" i="10" s="1"/>
  <c r="W54" i="10"/>
  <c r="J41" i="10"/>
  <c r="J42" i="10" s="1"/>
  <c r="J43" i="10" s="1"/>
  <c r="J44" i="10" s="1"/>
  <c r="J45" i="10" s="1"/>
  <c r="J46" i="10" s="1"/>
  <c r="J10" i="10"/>
  <c r="K9" i="10"/>
  <c r="K20" i="10"/>
  <c r="L20" i="10"/>
  <c r="K47" i="10"/>
  <c r="L48" i="10"/>
  <c r="K45" i="9"/>
  <c r="L46" i="9"/>
  <c r="J9" i="9"/>
  <c r="J40" i="9"/>
  <c r="T21" i="9"/>
  <c r="S22" i="9" s="1"/>
  <c r="W52" i="9"/>
  <c r="O33" i="9"/>
  <c r="P34" i="9" s="1"/>
  <c r="M9" i="9"/>
  <c r="S47" i="9"/>
  <c r="L19" i="9"/>
  <c r="W55" i="8"/>
  <c r="T24" i="8"/>
  <c r="T23" i="8"/>
  <c r="W54" i="8"/>
  <c r="S48" i="8"/>
  <c r="O34" i="8"/>
  <c r="P35" i="8" s="1"/>
  <c r="L19" i="8"/>
  <c r="S24" i="8"/>
  <c r="S25" i="8" s="1"/>
  <c r="K19" i="1"/>
  <c r="W55" i="1"/>
  <c r="T24" i="1"/>
  <c r="T23" i="1"/>
  <c r="S24" i="1" s="1"/>
  <c r="S25" i="1" s="1"/>
  <c r="W54" i="1"/>
  <c r="L44" i="7"/>
  <c r="L45" i="7"/>
  <c r="K45" i="7" s="1"/>
  <c r="T22" i="7" s="1"/>
  <c r="T20" i="7"/>
  <c r="W51" i="7"/>
  <c r="S15" i="7"/>
  <c r="S16" i="7" s="1"/>
  <c r="S17" i="7" s="1"/>
  <c r="S18" i="7" s="1"/>
  <c r="S19" i="7" s="1"/>
  <c r="S20" i="7" s="1"/>
  <c r="S21" i="7" s="1"/>
  <c r="J5" i="7"/>
  <c r="J36" i="7"/>
  <c r="K18" i="7"/>
  <c r="L18" i="7" s="1"/>
  <c r="K7" i="7"/>
  <c r="K40" i="6"/>
  <c r="T16" i="6"/>
  <c r="W47" i="6"/>
  <c r="L9" i="6"/>
  <c r="K35" i="6"/>
  <c r="K36" i="6"/>
  <c r="K37" i="6"/>
  <c r="T29" i="6"/>
  <c r="T30" i="6" s="1"/>
  <c r="J35" i="6"/>
  <c r="L42" i="6"/>
  <c r="K42" i="6" s="1"/>
  <c r="K38" i="6"/>
  <c r="K5" i="6"/>
  <c r="K16" i="6"/>
  <c r="L41" i="6"/>
  <c r="K28" i="17" l="1"/>
  <c r="L28" i="17"/>
  <c r="K27" i="15"/>
  <c r="O41" i="14"/>
  <c r="P42" i="14" s="1"/>
  <c r="S55" i="14"/>
  <c r="K28" i="14"/>
  <c r="O39" i="12"/>
  <c r="P40" i="12" s="1"/>
  <c r="S53" i="12"/>
  <c r="L25" i="12"/>
  <c r="K22" i="11"/>
  <c r="K10" i="11"/>
  <c r="L22" i="11"/>
  <c r="K21" i="10"/>
  <c r="K48" i="10"/>
  <c r="T25" i="10" s="1"/>
  <c r="L49" i="10"/>
  <c r="K49" i="10" s="1"/>
  <c r="W55" i="10"/>
  <c r="W56" i="10" s="1"/>
  <c r="T24" i="10"/>
  <c r="S25" i="10" s="1"/>
  <c r="O34" i="10"/>
  <c r="P35" i="10" s="1"/>
  <c r="S48" i="10"/>
  <c r="M10" i="10"/>
  <c r="J47" i="10"/>
  <c r="J48" i="10" s="1"/>
  <c r="J49" i="10" s="1"/>
  <c r="K9" i="9"/>
  <c r="K20" i="9"/>
  <c r="J41" i="9"/>
  <c r="J42" i="9" s="1"/>
  <c r="J43" i="9" s="1"/>
  <c r="J44" i="9" s="1"/>
  <c r="J45" i="9" s="1"/>
  <c r="J10" i="9"/>
  <c r="K46" i="9"/>
  <c r="L47" i="9"/>
  <c r="T22" i="9"/>
  <c r="S23" i="9" s="1"/>
  <c r="W53" i="9"/>
  <c r="K20" i="8"/>
  <c r="W56" i="8"/>
  <c r="W56" i="1"/>
  <c r="S48" i="1"/>
  <c r="O34" i="1"/>
  <c r="P35" i="1" s="1"/>
  <c r="L19" i="1"/>
  <c r="W53" i="7"/>
  <c r="K44" i="7"/>
  <c r="L46" i="7"/>
  <c r="L47" i="7"/>
  <c r="K47" i="7" s="1"/>
  <c r="J6" i="7"/>
  <c r="J37" i="7"/>
  <c r="K8" i="7"/>
  <c r="K19" i="7"/>
  <c r="M8" i="7"/>
  <c r="S46" i="7"/>
  <c r="O32" i="7"/>
  <c r="P33" i="7" s="1"/>
  <c r="W46" i="6"/>
  <c r="T15" i="6"/>
  <c r="L8" i="6"/>
  <c r="W45" i="6"/>
  <c r="L7" i="6"/>
  <c r="T14" i="6"/>
  <c r="K41" i="6"/>
  <c r="L43" i="6"/>
  <c r="S44" i="6"/>
  <c r="O30" i="6"/>
  <c r="P31" i="6" s="1"/>
  <c r="M6" i="6"/>
  <c r="W50" i="6"/>
  <c r="T19" i="6"/>
  <c r="L6" i="6"/>
  <c r="W44" i="6"/>
  <c r="T13" i="6"/>
  <c r="L16" i="6"/>
  <c r="J5" i="6"/>
  <c r="J36" i="6"/>
  <c r="L5" i="6"/>
  <c r="T12" i="6"/>
  <c r="S13" i="6" s="1"/>
  <c r="W43" i="6"/>
  <c r="W48" i="6"/>
  <c r="T17" i="6"/>
  <c r="L10" i="6"/>
  <c r="K29" i="17" l="1"/>
  <c r="S57" i="17" s="1"/>
  <c r="O42" i="17"/>
  <c r="S56" i="17"/>
  <c r="O41" i="15"/>
  <c r="P42" i="15" s="1"/>
  <c r="S55" i="15"/>
  <c r="L27" i="15"/>
  <c r="S56" i="14"/>
  <c r="O42" i="14"/>
  <c r="L28" i="14"/>
  <c r="K26" i="12"/>
  <c r="K23" i="11"/>
  <c r="O36" i="11"/>
  <c r="P37" i="11" s="1"/>
  <c r="S50" i="11"/>
  <c r="S49" i="10"/>
  <c r="O35" i="10"/>
  <c r="P36" i="10" s="1"/>
  <c r="L21" i="10"/>
  <c r="T23" i="9"/>
  <c r="S24" i="9" s="1"/>
  <c r="W54" i="9"/>
  <c r="K47" i="9"/>
  <c r="L48" i="9"/>
  <c r="J46" i="9"/>
  <c r="J47" i="9" s="1"/>
  <c r="O34" i="9"/>
  <c r="P35" i="9" s="1"/>
  <c r="M10" i="9"/>
  <c r="S48" i="9"/>
  <c r="L20" i="9"/>
  <c r="S49" i="8"/>
  <c r="O35" i="8"/>
  <c r="P36" i="8" s="1"/>
  <c r="L20" i="8"/>
  <c r="K20" i="1"/>
  <c r="T24" i="7"/>
  <c r="W55" i="7"/>
  <c r="L48" i="7"/>
  <c r="K48" i="7" s="1"/>
  <c r="T25" i="7" s="1"/>
  <c r="K46" i="7"/>
  <c r="T21" i="7"/>
  <c r="S22" i="7" s="1"/>
  <c r="S23" i="7" s="1"/>
  <c r="W52" i="7"/>
  <c r="O33" i="7"/>
  <c r="P34" i="7" s="1"/>
  <c r="M9" i="7"/>
  <c r="S47" i="7"/>
  <c r="L19" i="7"/>
  <c r="J38" i="7"/>
  <c r="J7" i="7"/>
  <c r="S14" i="6"/>
  <c r="S15" i="6" s="1"/>
  <c r="S16" i="6" s="1"/>
  <c r="S17" i="6" s="1"/>
  <c r="K43" i="6"/>
  <c r="L44" i="6"/>
  <c r="S18" i="6"/>
  <c r="J37" i="6"/>
  <c r="J6" i="6"/>
  <c r="T18" i="6"/>
  <c r="W49" i="6"/>
  <c r="K6" i="6"/>
  <c r="K17" i="6"/>
  <c r="S58" i="17" l="1"/>
  <c r="L29" i="17"/>
  <c r="K28" i="15"/>
  <c r="K29" i="14"/>
  <c r="S57" i="14" s="1"/>
  <c r="S58" i="14" s="1"/>
  <c r="O40" i="12"/>
  <c r="P41" i="12" s="1"/>
  <c r="S54" i="12"/>
  <c r="L26" i="12"/>
  <c r="O37" i="11"/>
  <c r="P38" i="11" s="1"/>
  <c r="S51" i="11"/>
  <c r="L23" i="11"/>
  <c r="K10" i="10"/>
  <c r="K22" i="10"/>
  <c r="L22" i="10"/>
  <c r="K21" i="9"/>
  <c r="K48" i="9"/>
  <c r="T25" i="9" s="1"/>
  <c r="L49" i="9"/>
  <c r="K49" i="9" s="1"/>
  <c r="W55" i="9"/>
  <c r="W56" i="9" s="1"/>
  <c r="T24" i="9"/>
  <c r="S25" i="9" s="1"/>
  <c r="K21" i="8"/>
  <c r="S49" i="1"/>
  <c r="O35" i="1"/>
  <c r="P36" i="1" s="1"/>
  <c r="L20" i="1"/>
  <c r="L49" i="7"/>
  <c r="K49" i="7" s="1"/>
  <c r="W54" i="7"/>
  <c r="T23" i="7"/>
  <c r="W56" i="7"/>
  <c r="S24" i="7"/>
  <c r="S25" i="7" s="1"/>
  <c r="J8" i="7"/>
  <c r="J39" i="7"/>
  <c r="K9" i="7"/>
  <c r="K20" i="7"/>
  <c r="M7" i="6"/>
  <c r="S45" i="6"/>
  <c r="O31" i="6"/>
  <c r="P32" i="6" s="1"/>
  <c r="L17" i="6"/>
  <c r="J38" i="6"/>
  <c r="J7" i="6"/>
  <c r="S19" i="6"/>
  <c r="S20" i="6" s="1"/>
  <c r="K44" i="6"/>
  <c r="L45" i="6"/>
  <c r="T20" i="6"/>
  <c r="W51" i="6"/>
  <c r="S56" i="15" l="1"/>
  <c r="O42" i="15"/>
  <c r="L28" i="15"/>
  <c r="L29" i="14"/>
  <c r="K27" i="12"/>
  <c r="K24" i="11"/>
  <c r="L24" i="11" s="1"/>
  <c r="K23" i="10"/>
  <c r="O36" i="10"/>
  <c r="P37" i="10" s="1"/>
  <c r="S50" i="10"/>
  <c r="J48" i="9"/>
  <c r="J49" i="9" s="1"/>
  <c r="S49" i="9"/>
  <c r="O35" i="9"/>
  <c r="P36" i="9" s="1"/>
  <c r="L21" i="9"/>
  <c r="S50" i="8"/>
  <c r="O36" i="8"/>
  <c r="P37" i="8" s="1"/>
  <c r="L21" i="8"/>
  <c r="L21" i="1"/>
  <c r="K21" i="1"/>
  <c r="S48" i="7"/>
  <c r="M10" i="7"/>
  <c r="O34" i="7"/>
  <c r="P35" i="7" s="1"/>
  <c r="L20" i="7"/>
  <c r="J9" i="7"/>
  <c r="J40" i="7"/>
  <c r="K45" i="6"/>
  <c r="L46" i="6"/>
  <c r="W52" i="6"/>
  <c r="T21" i="6"/>
  <c r="S21" i="6"/>
  <c r="S22" i="6" s="1"/>
  <c r="J8" i="6"/>
  <c r="J39" i="6"/>
  <c r="K7" i="6"/>
  <c r="K18" i="6"/>
  <c r="K29" i="15" l="1"/>
  <c r="S57" i="15" s="1"/>
  <c r="S58" i="15" s="1"/>
  <c r="S55" i="12"/>
  <c r="O41" i="12"/>
  <c r="P42" i="12" s="1"/>
  <c r="L27" i="12"/>
  <c r="K25" i="11"/>
  <c r="L25" i="11" s="1"/>
  <c r="O38" i="11"/>
  <c r="P39" i="11" s="1"/>
  <c r="S52" i="11"/>
  <c r="O37" i="10"/>
  <c r="P38" i="10" s="1"/>
  <c r="S51" i="10"/>
  <c r="L23" i="10"/>
  <c r="K10" i="9"/>
  <c r="K22" i="9"/>
  <c r="K22" i="8"/>
  <c r="O36" i="1"/>
  <c r="P37" i="1" s="1"/>
  <c r="S50" i="1"/>
  <c r="K22" i="1"/>
  <c r="J41" i="7"/>
  <c r="J42" i="7" s="1"/>
  <c r="J43" i="7" s="1"/>
  <c r="J44" i="7" s="1"/>
  <c r="J45" i="7" s="1"/>
  <c r="J46" i="7" s="1"/>
  <c r="J47" i="7" s="1"/>
  <c r="J48" i="7" s="1"/>
  <c r="J49" i="7" s="1"/>
  <c r="J10" i="7"/>
  <c r="K21" i="7"/>
  <c r="L21" i="7"/>
  <c r="M8" i="6"/>
  <c r="S46" i="6"/>
  <c r="O32" i="6"/>
  <c r="P33" i="6" s="1"/>
  <c r="L18" i="6"/>
  <c r="J40" i="6"/>
  <c r="J9" i="6"/>
  <c r="K46" i="6"/>
  <c r="L47" i="6"/>
  <c r="W53" i="6"/>
  <c r="T22" i="6"/>
  <c r="S23" i="6" s="1"/>
  <c r="L29" i="15" l="1"/>
  <c r="K28" i="12"/>
  <c r="L28" i="12" s="1"/>
  <c r="K26" i="11"/>
  <c r="L26" i="11" s="1"/>
  <c r="O39" i="11"/>
  <c r="P40" i="11" s="1"/>
  <c r="S53" i="11"/>
  <c r="K24" i="10"/>
  <c r="O36" i="9"/>
  <c r="P37" i="9" s="1"/>
  <c r="S50" i="9"/>
  <c r="L22" i="9"/>
  <c r="S51" i="8"/>
  <c r="O37" i="8"/>
  <c r="P38" i="8" s="1"/>
  <c r="L22" i="8"/>
  <c r="P38" i="1"/>
  <c r="O37" i="1"/>
  <c r="S51" i="1"/>
  <c r="L22" i="1"/>
  <c r="K22" i="7"/>
  <c r="K10" i="7"/>
  <c r="O35" i="7"/>
  <c r="P36" i="7" s="1"/>
  <c r="S49" i="7"/>
  <c r="K47" i="6"/>
  <c r="L48" i="6"/>
  <c r="W54" i="6"/>
  <c r="T23" i="6"/>
  <c r="S24" i="6" s="1"/>
  <c r="J41" i="6"/>
  <c r="J42" i="6" s="1"/>
  <c r="J43" i="6" s="1"/>
  <c r="J44" i="6" s="1"/>
  <c r="J45" i="6" s="1"/>
  <c r="J46" i="6" s="1"/>
  <c r="J47" i="6" s="1"/>
  <c r="J10" i="6"/>
  <c r="K19" i="6"/>
  <c r="K8" i="6"/>
  <c r="K29" i="12" l="1"/>
  <c r="S57" i="12" s="1"/>
  <c r="S56" i="12"/>
  <c r="O42" i="12"/>
  <c r="K27" i="11"/>
  <c r="S55" i="11" s="1"/>
  <c r="S54" i="11"/>
  <c r="O40" i="11"/>
  <c r="O38" i="10"/>
  <c r="P39" i="10" s="1"/>
  <c r="S52" i="10"/>
  <c r="L24" i="10"/>
  <c r="K23" i="9"/>
  <c r="K23" i="8"/>
  <c r="L23" i="8"/>
  <c r="K23" i="1"/>
  <c r="O36" i="7"/>
  <c r="P37" i="7" s="1"/>
  <c r="S50" i="7"/>
  <c r="L22" i="7"/>
  <c r="O33" i="6"/>
  <c r="P34" i="6" s="1"/>
  <c r="S47" i="6"/>
  <c r="M9" i="6"/>
  <c r="L19" i="6"/>
  <c r="K48" i="6"/>
  <c r="T25" i="6" s="1"/>
  <c r="L49" i="6"/>
  <c r="K49" i="6" s="1"/>
  <c r="W55" i="6"/>
  <c r="W56" i="6" s="1"/>
  <c r="T24" i="6"/>
  <c r="S25" i="6" s="1"/>
  <c r="S58" i="12" l="1"/>
  <c r="L29" i="12"/>
  <c r="S56" i="11"/>
  <c r="L27" i="11"/>
  <c r="K25" i="10"/>
  <c r="O37" i="9"/>
  <c r="P38" i="9" s="1"/>
  <c r="S51" i="9"/>
  <c r="L23" i="9"/>
  <c r="K24" i="8"/>
  <c r="O38" i="8"/>
  <c r="P39" i="8" s="1"/>
  <c r="S52" i="8"/>
  <c r="O38" i="1"/>
  <c r="P39" i="1" s="1"/>
  <c r="S52" i="1"/>
  <c r="L23" i="1"/>
  <c r="K23" i="7"/>
  <c r="J48" i="6"/>
  <c r="J49" i="6" s="1"/>
  <c r="K9" i="6"/>
  <c r="K20" i="6"/>
  <c r="S53" i="10" l="1"/>
  <c r="O39" i="10"/>
  <c r="P40" i="10" s="1"/>
  <c r="L25" i="10"/>
  <c r="K24" i="9"/>
  <c r="S53" i="8"/>
  <c r="O39" i="8"/>
  <c r="P40" i="8" s="1"/>
  <c r="L24" i="8"/>
  <c r="L24" i="1"/>
  <c r="K24" i="1"/>
  <c r="O37" i="7"/>
  <c r="P38" i="7" s="1"/>
  <c r="S51" i="7"/>
  <c r="L23" i="7"/>
  <c r="O34" i="6"/>
  <c r="P35" i="6" s="1"/>
  <c r="S48" i="6"/>
  <c r="M10" i="6"/>
  <c r="L20" i="6"/>
  <c r="K26" i="10" l="1"/>
  <c r="L26" i="10"/>
  <c r="O38" i="9"/>
  <c r="P39" i="9" s="1"/>
  <c r="S52" i="9"/>
  <c r="L24" i="9"/>
  <c r="K25" i="8"/>
  <c r="K25" i="1"/>
  <c r="S53" i="1"/>
  <c r="O39" i="1"/>
  <c r="P40" i="1" s="1"/>
  <c r="K24" i="7"/>
  <c r="K21" i="6"/>
  <c r="K27" i="10" l="1"/>
  <c r="S55" i="10" s="1"/>
  <c r="S54" i="10"/>
  <c r="O40" i="10"/>
  <c r="K25" i="9"/>
  <c r="S54" i="8"/>
  <c r="O40" i="8"/>
  <c r="L25" i="8"/>
  <c r="S54" i="1"/>
  <c r="O40" i="1"/>
  <c r="L25" i="1"/>
  <c r="S52" i="7"/>
  <c r="O38" i="7"/>
  <c r="P39" i="7" s="1"/>
  <c r="L24" i="7"/>
  <c r="O35" i="6"/>
  <c r="P36" i="6" s="1"/>
  <c r="S49" i="6"/>
  <c r="L21" i="6"/>
  <c r="S56" i="10" l="1"/>
  <c r="L27" i="10"/>
  <c r="S53" i="9"/>
  <c r="O39" i="9"/>
  <c r="P40" i="9" s="1"/>
  <c r="L25" i="9"/>
  <c r="K26" i="8"/>
  <c r="S55" i="8" s="1"/>
  <c r="S56" i="8" s="1"/>
  <c r="K26" i="1"/>
  <c r="S55" i="1" s="1"/>
  <c r="S56" i="1" s="1"/>
  <c r="K25" i="7"/>
  <c r="K10" i="6"/>
  <c r="K22" i="6"/>
  <c r="K26" i="9" l="1"/>
  <c r="L26" i="8"/>
  <c r="L26" i="1"/>
  <c r="O39" i="7"/>
  <c r="P40" i="7" s="1"/>
  <c r="S53" i="7"/>
  <c r="L25" i="7"/>
  <c r="O36" i="6"/>
  <c r="P37" i="6" s="1"/>
  <c r="S50" i="6"/>
  <c r="L22" i="6"/>
  <c r="S54" i="9" l="1"/>
  <c r="O40" i="9"/>
  <c r="L26" i="9"/>
  <c r="K26" i="7"/>
  <c r="K23" i="6"/>
  <c r="K27" i="9" l="1"/>
  <c r="S55" i="9" s="1"/>
  <c r="S56" i="9" s="1"/>
  <c r="S54" i="7"/>
  <c r="O40" i="7"/>
  <c r="L26" i="7"/>
  <c r="O37" i="6"/>
  <c r="P38" i="6" s="1"/>
  <c r="S51" i="6"/>
  <c r="L23" i="6"/>
  <c r="L27" i="9" l="1"/>
  <c r="K27" i="7"/>
  <c r="S55" i="7" s="1"/>
  <c r="S56" i="7" s="1"/>
  <c r="K24" i="6"/>
  <c r="L27" i="7" l="1"/>
  <c r="S52" i="6"/>
  <c r="O38" i="6"/>
  <c r="P39" i="6" s="1"/>
  <c r="L24" i="6"/>
  <c r="K25" i="6" l="1"/>
  <c r="S53" i="6" l="1"/>
  <c r="O39" i="6"/>
  <c r="P40" i="6" s="1"/>
  <c r="L25" i="6"/>
  <c r="K26" i="6" l="1"/>
  <c r="S54" i="6" l="1"/>
  <c r="O40" i="6"/>
  <c r="L26" i="6"/>
  <c r="K27" i="6" l="1"/>
  <c r="S55" i="6" s="1"/>
  <c r="S56" i="6" s="1"/>
  <c r="L27" i="6" l="1"/>
  <c r="C3" i="5" l="1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D2" i="5"/>
  <c r="E2" i="5"/>
  <c r="F2" i="5"/>
  <c r="G2" i="5"/>
  <c r="H2" i="5"/>
  <c r="I2" i="5"/>
  <c r="E5" i="3" l="1"/>
  <c r="L30" i="4"/>
  <c r="I35" i="4"/>
  <c r="E4" i="4"/>
  <c r="O44" i="4" l="1"/>
  <c r="D35" i="4"/>
  <c r="E46" i="4" s="1"/>
  <c r="I34" i="4"/>
  <c r="L35" i="4" s="1"/>
  <c r="J27" i="4"/>
  <c r="J26" i="4"/>
  <c r="P24" i="4" s="1"/>
  <c r="E26" i="4"/>
  <c r="J25" i="4"/>
  <c r="E25" i="4"/>
  <c r="J24" i="4"/>
  <c r="P22" i="4" s="1"/>
  <c r="E24" i="4"/>
  <c r="P23" i="4"/>
  <c r="J23" i="4"/>
  <c r="E23" i="4"/>
  <c r="J22" i="4"/>
  <c r="P20" i="4" s="1"/>
  <c r="E22" i="4"/>
  <c r="P21" i="4"/>
  <c r="J21" i="4"/>
  <c r="E21" i="4"/>
  <c r="J20" i="4"/>
  <c r="P18" i="4" s="1"/>
  <c r="O49" i="4" s="1"/>
  <c r="E20" i="4"/>
  <c r="P19" i="4"/>
  <c r="O50" i="4" s="1"/>
  <c r="E19" i="4"/>
  <c r="J18" i="4"/>
  <c r="E18" i="4"/>
  <c r="P17" i="4"/>
  <c r="O48" i="4" s="1"/>
  <c r="J16" i="4"/>
  <c r="P14" i="4" s="1"/>
  <c r="O45" i="4" s="1"/>
  <c r="H16" i="4"/>
  <c r="H17" i="4" s="1"/>
  <c r="E16" i="4"/>
  <c r="E15" i="4"/>
  <c r="E14" i="4"/>
  <c r="P13" i="4"/>
  <c r="C13" i="4"/>
  <c r="P12" i="4"/>
  <c r="O43" i="4" s="1"/>
  <c r="N10" i="4"/>
  <c r="N9" i="4"/>
  <c r="N8" i="4"/>
  <c r="D8" i="4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N5" i="4"/>
  <c r="L4" i="4"/>
  <c r="E3" i="4"/>
  <c r="J6" i="3"/>
  <c r="J5" i="3"/>
  <c r="N7" i="3"/>
  <c r="K17" i="3"/>
  <c r="J16" i="3"/>
  <c r="J16" i="2"/>
  <c r="J17" i="3"/>
  <c r="M5" i="3"/>
  <c r="M6" i="3"/>
  <c r="K6" i="3"/>
  <c r="K5" i="3"/>
  <c r="L15" i="3"/>
  <c r="D17" i="3"/>
  <c r="P17" i="3" s="1"/>
  <c r="O48" i="3" s="1"/>
  <c r="E3" i="3"/>
  <c r="E4" i="3" s="1"/>
  <c r="E46" i="3"/>
  <c r="O45" i="3"/>
  <c r="O44" i="3"/>
  <c r="D35" i="3"/>
  <c r="I34" i="3"/>
  <c r="L35" i="3" s="1"/>
  <c r="L30" i="3"/>
  <c r="J27" i="3"/>
  <c r="J26" i="3"/>
  <c r="E26" i="3"/>
  <c r="J25" i="3"/>
  <c r="P23" i="3" s="1"/>
  <c r="E25" i="3"/>
  <c r="P24" i="3"/>
  <c r="J24" i="3"/>
  <c r="P22" i="3" s="1"/>
  <c r="E24" i="3"/>
  <c r="J23" i="3"/>
  <c r="P21" i="3" s="1"/>
  <c r="E23" i="3"/>
  <c r="J22" i="3"/>
  <c r="P20" i="3" s="1"/>
  <c r="E22" i="3"/>
  <c r="J21" i="3"/>
  <c r="P19" i="3" s="1"/>
  <c r="O50" i="3" s="1"/>
  <c r="E21" i="3"/>
  <c r="J20" i="3"/>
  <c r="E20" i="3"/>
  <c r="E19" i="3"/>
  <c r="P18" i="3"/>
  <c r="O49" i="3" s="1"/>
  <c r="J18" i="3"/>
  <c r="N8" i="3" s="1"/>
  <c r="E18" i="3"/>
  <c r="H17" i="3"/>
  <c r="H16" i="3"/>
  <c r="E16" i="3"/>
  <c r="P15" i="3"/>
  <c r="O46" i="3" s="1"/>
  <c r="E15" i="3"/>
  <c r="P14" i="3"/>
  <c r="E14" i="3"/>
  <c r="P13" i="3"/>
  <c r="C13" i="3"/>
  <c r="P12" i="3"/>
  <c r="O43" i="3" s="1"/>
  <c r="N10" i="3"/>
  <c r="D8" i="3"/>
  <c r="C14" i="3" s="1"/>
  <c r="C15" i="3" s="1"/>
  <c r="N6" i="3"/>
  <c r="N5" i="3"/>
  <c r="L4" i="3"/>
  <c r="L36" i="4" l="1"/>
  <c r="J17" i="4"/>
  <c r="E17" i="4"/>
  <c r="N6" i="4"/>
  <c r="P16" i="4"/>
  <c r="O47" i="4" s="1"/>
  <c r="E17" i="3"/>
  <c r="C16" i="3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L36" i="3"/>
  <c r="P16" i="3"/>
  <c r="O47" i="3" s="1"/>
  <c r="P25" i="3"/>
  <c r="N9" i="3"/>
  <c r="L5" i="2"/>
  <c r="J5" i="2"/>
  <c r="L37" i="4" l="1"/>
  <c r="L38" i="4" s="1"/>
  <c r="P29" i="4"/>
  <c r="L14" i="4"/>
  <c r="D33" i="4"/>
  <c r="P15" i="4"/>
  <c r="N7" i="4"/>
  <c r="L37" i="3"/>
  <c r="L38" i="3" s="1"/>
  <c r="O50" i="2"/>
  <c r="O48" i="2"/>
  <c r="O43" i="2"/>
  <c r="D35" i="2"/>
  <c r="E46" i="2" s="1"/>
  <c r="I34" i="2"/>
  <c r="L35" i="2" s="1"/>
  <c r="L30" i="2"/>
  <c r="J27" i="2"/>
  <c r="J26" i="2"/>
  <c r="P24" i="2" s="1"/>
  <c r="E26" i="2"/>
  <c r="J25" i="2"/>
  <c r="E25" i="2"/>
  <c r="J24" i="2"/>
  <c r="P22" i="2" s="1"/>
  <c r="E24" i="2"/>
  <c r="P23" i="2"/>
  <c r="J23" i="2"/>
  <c r="E23" i="2"/>
  <c r="J22" i="2"/>
  <c r="P20" i="2" s="1"/>
  <c r="E22" i="2"/>
  <c r="P21" i="2"/>
  <c r="J21" i="2"/>
  <c r="E21" i="2"/>
  <c r="J20" i="2"/>
  <c r="N10" i="2" s="1"/>
  <c r="E20" i="2"/>
  <c r="P19" i="2"/>
  <c r="J19" i="2"/>
  <c r="E19" i="2"/>
  <c r="J18" i="2"/>
  <c r="P16" i="2" s="1"/>
  <c r="O47" i="2" s="1"/>
  <c r="E18" i="2"/>
  <c r="P17" i="2"/>
  <c r="J17" i="2"/>
  <c r="E17" i="2"/>
  <c r="N6" i="2"/>
  <c r="H16" i="2"/>
  <c r="H17" i="2" s="1"/>
  <c r="E16" i="2"/>
  <c r="P15" i="2"/>
  <c r="O46" i="2" s="1"/>
  <c r="E15" i="2"/>
  <c r="E14" i="2"/>
  <c r="P13" i="2"/>
  <c r="O44" i="2" s="1"/>
  <c r="C13" i="2"/>
  <c r="P12" i="2"/>
  <c r="N9" i="2"/>
  <c r="D8" i="2"/>
  <c r="C14" i="2" s="1"/>
  <c r="C15" i="2" s="1"/>
  <c r="N7" i="2"/>
  <c r="N5" i="2"/>
  <c r="L4" i="2"/>
  <c r="E3" i="2"/>
  <c r="E4" i="2" s="1"/>
  <c r="O46" i="4" l="1"/>
  <c r="P25" i="4"/>
  <c r="K15" i="4"/>
  <c r="S29" i="4"/>
  <c r="D32" i="4"/>
  <c r="L31" i="4" s="1"/>
  <c r="E45" i="4"/>
  <c r="E47" i="4" s="1"/>
  <c r="L39" i="3"/>
  <c r="L40" i="3"/>
  <c r="L41" i="3"/>
  <c r="D33" i="3"/>
  <c r="D32" i="3" s="1"/>
  <c r="L14" i="3"/>
  <c r="P29" i="3"/>
  <c r="C16" i="2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L36" i="2"/>
  <c r="P14" i="2"/>
  <c r="O45" i="2" s="1"/>
  <c r="P18" i="2"/>
  <c r="O49" i="2" s="1"/>
  <c r="N8" i="2"/>
  <c r="L39" i="4" l="1"/>
  <c r="L40" i="4" s="1"/>
  <c r="O29" i="4"/>
  <c r="P30" i="4" s="1"/>
  <c r="M5" i="4"/>
  <c r="S43" i="4"/>
  <c r="L15" i="4"/>
  <c r="J34" i="4"/>
  <c r="S12" i="4"/>
  <c r="D44" i="4"/>
  <c r="D47" i="4" s="1"/>
  <c r="L42" i="3"/>
  <c r="L43" i="3"/>
  <c r="S29" i="3"/>
  <c r="K15" i="3"/>
  <c r="E45" i="3"/>
  <c r="E47" i="3" s="1"/>
  <c r="P29" i="2"/>
  <c r="D33" i="2"/>
  <c r="L14" i="2"/>
  <c r="L37" i="2"/>
  <c r="P25" i="2"/>
  <c r="K35" i="4" l="1"/>
  <c r="J35" i="4" s="1"/>
  <c r="K36" i="4"/>
  <c r="K38" i="4"/>
  <c r="L41" i="4"/>
  <c r="L42" i="4" s="1"/>
  <c r="K42" i="4" s="1"/>
  <c r="W46" i="4"/>
  <c r="L8" i="4"/>
  <c r="T15" i="4"/>
  <c r="T29" i="4"/>
  <c r="T30" i="4" s="1"/>
  <c r="K37" i="4"/>
  <c r="K5" i="4"/>
  <c r="K16" i="4"/>
  <c r="K39" i="4"/>
  <c r="K40" i="4"/>
  <c r="K16" i="3"/>
  <c r="L16" i="3" s="1"/>
  <c r="S43" i="3"/>
  <c r="O29" i="3"/>
  <c r="P30" i="3" s="1"/>
  <c r="L44" i="3"/>
  <c r="L31" i="3"/>
  <c r="D44" i="3"/>
  <c r="D47" i="3" s="1"/>
  <c r="J34" i="3"/>
  <c r="S12" i="3"/>
  <c r="K15" i="2"/>
  <c r="L15" i="2"/>
  <c r="E45" i="2"/>
  <c r="E47" i="2" s="1"/>
  <c r="D32" i="2"/>
  <c r="S29" i="2"/>
  <c r="L38" i="2"/>
  <c r="L39" i="2"/>
  <c r="K41" i="4" l="1"/>
  <c r="W49" i="4" s="1"/>
  <c r="L43" i="4"/>
  <c r="K43" i="4" s="1"/>
  <c r="J5" i="4"/>
  <c r="J36" i="4"/>
  <c r="L6" i="4"/>
  <c r="T13" i="4"/>
  <c r="W44" i="4"/>
  <c r="W48" i="4"/>
  <c r="T17" i="4"/>
  <c r="L10" i="4"/>
  <c r="M6" i="4"/>
  <c r="S44" i="4"/>
  <c r="O30" i="4"/>
  <c r="P31" i="4" s="1"/>
  <c r="L16" i="4"/>
  <c r="W45" i="4"/>
  <c r="T14" i="4"/>
  <c r="L7" i="4"/>
  <c r="T12" i="4"/>
  <c r="S13" i="4" s="1"/>
  <c r="W43" i="4"/>
  <c r="L5" i="4"/>
  <c r="W50" i="4"/>
  <c r="T19" i="4"/>
  <c r="T16" i="4"/>
  <c r="W47" i="4"/>
  <c r="L9" i="4"/>
  <c r="K44" i="3"/>
  <c r="L45" i="3"/>
  <c r="T29" i="3"/>
  <c r="T30" i="3" s="1"/>
  <c r="K35" i="3"/>
  <c r="L5" i="3" s="1"/>
  <c r="K36" i="3"/>
  <c r="K37" i="3"/>
  <c r="K38" i="3"/>
  <c r="K39" i="3"/>
  <c r="K41" i="3"/>
  <c r="K40" i="3"/>
  <c r="K42" i="3"/>
  <c r="K43" i="3"/>
  <c r="S44" i="3"/>
  <c r="O30" i="3"/>
  <c r="P31" i="3" s="1"/>
  <c r="L40" i="2"/>
  <c r="L41" i="2" s="1"/>
  <c r="J34" i="2"/>
  <c r="S12" i="2"/>
  <c r="D44" i="2"/>
  <c r="D47" i="2" s="1"/>
  <c r="L31" i="2"/>
  <c r="K39" i="2" s="1"/>
  <c r="K4" i="2"/>
  <c r="K16" i="2"/>
  <c r="L16" i="2" s="1"/>
  <c r="S43" i="2"/>
  <c r="M4" i="2"/>
  <c r="O29" i="2"/>
  <c r="P30" i="2" s="1"/>
  <c r="T18" i="4" l="1"/>
  <c r="L44" i="4"/>
  <c r="K44" i="4" s="1"/>
  <c r="W51" i="4"/>
  <c r="T20" i="4"/>
  <c r="S14" i="4"/>
  <c r="S15" i="4" s="1"/>
  <c r="S16" i="4" s="1"/>
  <c r="S17" i="4" s="1"/>
  <c r="S18" i="4" s="1"/>
  <c r="J37" i="4"/>
  <c r="J38" i="4" s="1"/>
  <c r="J6" i="4"/>
  <c r="K6" i="4"/>
  <c r="K17" i="4"/>
  <c r="L17" i="4" s="1"/>
  <c r="L17" i="3"/>
  <c r="K7" i="3" s="1"/>
  <c r="M7" i="3"/>
  <c r="W50" i="3"/>
  <c r="T19" i="3"/>
  <c r="W49" i="3"/>
  <c r="T18" i="3"/>
  <c r="T14" i="3"/>
  <c r="L7" i="3"/>
  <c r="W45" i="3"/>
  <c r="T12" i="3"/>
  <c r="S13" i="3" s="1"/>
  <c r="W43" i="3"/>
  <c r="J35" i="3"/>
  <c r="P32" i="3"/>
  <c r="K18" i="3"/>
  <c r="T17" i="3"/>
  <c r="L10" i="3"/>
  <c r="W48" i="3"/>
  <c r="W47" i="3"/>
  <c r="L9" i="3"/>
  <c r="T16" i="3"/>
  <c r="W46" i="3"/>
  <c r="T15" i="3"/>
  <c r="L8" i="3"/>
  <c r="T13" i="3"/>
  <c r="W44" i="3"/>
  <c r="L6" i="3"/>
  <c r="K45" i="3"/>
  <c r="L46" i="3"/>
  <c r="T21" i="3"/>
  <c r="W52" i="3"/>
  <c r="W51" i="3"/>
  <c r="T20" i="3"/>
  <c r="O31" i="3"/>
  <c r="S45" i="3"/>
  <c r="L17" i="2"/>
  <c r="K5" i="2"/>
  <c r="K17" i="2"/>
  <c r="K35" i="2"/>
  <c r="J35" i="2" s="1"/>
  <c r="K36" i="2"/>
  <c r="K37" i="2"/>
  <c r="T29" i="2"/>
  <c r="T30" i="2" s="1"/>
  <c r="W47" i="2"/>
  <c r="L9" i="2"/>
  <c r="T16" i="2"/>
  <c r="S44" i="2"/>
  <c r="O30" i="2"/>
  <c r="P31" i="2" s="1"/>
  <c r="M5" i="2"/>
  <c r="K41" i="2"/>
  <c r="L42" i="2"/>
  <c r="K42" i="2" s="1"/>
  <c r="K38" i="2"/>
  <c r="K40" i="2"/>
  <c r="S19" i="4" l="1"/>
  <c r="S20" i="4" s="1"/>
  <c r="S21" i="4" s="1"/>
  <c r="L45" i="4"/>
  <c r="L46" i="4" s="1"/>
  <c r="L47" i="4" s="1"/>
  <c r="K47" i="4" s="1"/>
  <c r="W52" i="4"/>
  <c r="T21" i="4"/>
  <c r="S22" i="4" s="1"/>
  <c r="K7" i="4"/>
  <c r="K18" i="4"/>
  <c r="J7" i="4"/>
  <c r="S45" i="4"/>
  <c r="O31" i="4"/>
  <c r="P32" i="4" s="1"/>
  <c r="M7" i="4"/>
  <c r="L18" i="3"/>
  <c r="K8" i="3" s="1"/>
  <c r="M8" i="3"/>
  <c r="K46" i="3"/>
  <c r="L47" i="3"/>
  <c r="T22" i="3"/>
  <c r="W53" i="3"/>
  <c r="S46" i="3"/>
  <c r="O32" i="3"/>
  <c r="P33" i="3" s="1"/>
  <c r="J36" i="3"/>
  <c r="S14" i="3"/>
  <c r="S15" i="3" s="1"/>
  <c r="S16" i="3" s="1"/>
  <c r="S17" i="3" s="1"/>
  <c r="S18" i="3" s="1"/>
  <c r="S19" i="3" s="1"/>
  <c r="S20" i="3" s="1"/>
  <c r="S21" i="3" s="1"/>
  <c r="S22" i="3" s="1"/>
  <c r="L43" i="2"/>
  <c r="K43" i="2" s="1"/>
  <c r="T20" i="2" s="1"/>
  <c r="K6" i="2"/>
  <c r="K18" i="2"/>
  <c r="T13" i="2"/>
  <c r="W44" i="2"/>
  <c r="L6" i="2"/>
  <c r="T17" i="2"/>
  <c r="W48" i="2"/>
  <c r="L10" i="2"/>
  <c r="J36" i="2"/>
  <c r="L7" i="2"/>
  <c r="T14" i="2"/>
  <c r="W45" i="2"/>
  <c r="T12" i="2"/>
  <c r="S13" i="2" s="1"/>
  <c r="W43" i="2"/>
  <c r="W46" i="2"/>
  <c r="T15" i="2"/>
  <c r="L8" i="2"/>
  <c r="W50" i="2"/>
  <c r="T19" i="2"/>
  <c r="M6" i="2"/>
  <c r="O31" i="2"/>
  <c r="P32" i="2" s="1"/>
  <c r="S45" i="2"/>
  <c r="T18" i="2"/>
  <c r="W49" i="2"/>
  <c r="K46" i="4" l="1"/>
  <c r="W54" i="4" s="1"/>
  <c r="L48" i="4"/>
  <c r="K48" i="4" s="1"/>
  <c r="T25" i="4" s="1"/>
  <c r="K45" i="4"/>
  <c r="J8" i="4"/>
  <c r="J39" i="4"/>
  <c r="W55" i="4"/>
  <c r="T24" i="4"/>
  <c r="S46" i="4"/>
  <c r="O32" i="4"/>
  <c r="P33" i="4" s="1"/>
  <c r="M8" i="4"/>
  <c r="L18" i="4"/>
  <c r="K19" i="3"/>
  <c r="M9" i="3" s="1"/>
  <c r="S23" i="3"/>
  <c r="K47" i="3"/>
  <c r="L48" i="3"/>
  <c r="T23" i="3"/>
  <c r="W54" i="3"/>
  <c r="J37" i="3"/>
  <c r="W51" i="2"/>
  <c r="L44" i="2"/>
  <c r="J6" i="2"/>
  <c r="J37" i="2"/>
  <c r="S14" i="2"/>
  <c r="S15" i="2" s="1"/>
  <c r="S16" i="2" s="1"/>
  <c r="S17" i="2" s="1"/>
  <c r="S18" i="2" s="1"/>
  <c r="S19" i="2" s="1"/>
  <c r="S20" i="2" s="1"/>
  <c r="S21" i="2" s="1"/>
  <c r="S46" i="2"/>
  <c r="M7" i="2"/>
  <c r="O32" i="2"/>
  <c r="P33" i="2" s="1"/>
  <c r="L18" i="2"/>
  <c r="K44" i="2"/>
  <c r="L45" i="2"/>
  <c r="T23" i="4" l="1"/>
  <c r="T22" i="4"/>
  <c r="S23" i="4" s="1"/>
  <c r="W53" i="4"/>
  <c r="L49" i="4"/>
  <c r="K49" i="4" s="1"/>
  <c r="S24" i="4"/>
  <c r="S25" i="4" s="1"/>
  <c r="W56" i="4"/>
  <c r="K8" i="4"/>
  <c r="K19" i="4"/>
  <c r="J40" i="4"/>
  <c r="J9" i="4"/>
  <c r="L19" i="3"/>
  <c r="K9" i="3" s="1"/>
  <c r="O33" i="3"/>
  <c r="P34" i="3" s="1"/>
  <c r="S47" i="3"/>
  <c r="S24" i="3"/>
  <c r="J38" i="3"/>
  <c r="J7" i="3"/>
  <c r="K48" i="3"/>
  <c r="T25" i="3" s="1"/>
  <c r="L49" i="3"/>
  <c r="K49" i="3" s="1"/>
  <c r="W55" i="3"/>
  <c r="W56" i="3" s="1"/>
  <c r="T24" i="3"/>
  <c r="K7" i="2"/>
  <c r="K19" i="2"/>
  <c r="K45" i="2"/>
  <c r="L46" i="2"/>
  <c r="T21" i="2"/>
  <c r="W52" i="2"/>
  <c r="S22" i="2"/>
  <c r="J38" i="2"/>
  <c r="J7" i="2"/>
  <c r="J10" i="4" l="1"/>
  <c r="J41" i="4"/>
  <c r="J42" i="4" s="1"/>
  <c r="J43" i="4" s="1"/>
  <c r="J44" i="4" s="1"/>
  <c r="J45" i="4" s="1"/>
  <c r="J46" i="4" s="1"/>
  <c r="J47" i="4" s="1"/>
  <c r="J48" i="4" s="1"/>
  <c r="J49" i="4" s="1"/>
  <c r="O33" i="4"/>
  <c r="P34" i="4" s="1"/>
  <c r="S47" i="4"/>
  <c r="M9" i="4"/>
  <c r="L19" i="4"/>
  <c r="K20" i="3"/>
  <c r="M10" i="3" s="1"/>
  <c r="S25" i="3"/>
  <c r="J39" i="3"/>
  <c r="J8" i="3"/>
  <c r="J8" i="2"/>
  <c r="J39" i="2"/>
  <c r="K46" i="2"/>
  <c r="L47" i="2"/>
  <c r="W53" i="2"/>
  <c r="T22" i="2"/>
  <c r="S23" i="2" s="1"/>
  <c r="M8" i="2"/>
  <c r="O33" i="2"/>
  <c r="P34" i="2" s="1"/>
  <c r="S47" i="2"/>
  <c r="L19" i="2"/>
  <c r="K20" i="4" l="1"/>
  <c r="K9" i="4"/>
  <c r="L20" i="3"/>
  <c r="K21" i="3" s="1"/>
  <c r="S48" i="3"/>
  <c r="O34" i="3"/>
  <c r="P35" i="3" s="1"/>
  <c r="J9" i="3"/>
  <c r="J40" i="3"/>
  <c r="K8" i="2"/>
  <c r="K20" i="2"/>
  <c r="K47" i="2"/>
  <c r="L48" i="2"/>
  <c r="T23" i="2"/>
  <c r="S24" i="2" s="1"/>
  <c r="W54" i="2"/>
  <c r="J9" i="2"/>
  <c r="J40" i="2"/>
  <c r="O34" i="4" l="1"/>
  <c r="P35" i="4" s="1"/>
  <c r="S48" i="4"/>
  <c r="M10" i="4"/>
  <c r="L20" i="4"/>
  <c r="J41" i="3"/>
  <c r="J42" i="3" s="1"/>
  <c r="J43" i="3" s="1"/>
  <c r="J44" i="3" s="1"/>
  <c r="J45" i="3" s="1"/>
  <c r="J46" i="3" s="1"/>
  <c r="J47" i="3" s="1"/>
  <c r="J48" i="3" s="1"/>
  <c r="J49" i="3" s="1"/>
  <c r="J10" i="3"/>
  <c r="S49" i="3"/>
  <c r="O35" i="3"/>
  <c r="P36" i="3" s="1"/>
  <c r="L21" i="3"/>
  <c r="J41" i="2"/>
  <c r="J42" i="2" s="1"/>
  <c r="J43" i="2" s="1"/>
  <c r="J44" i="2" s="1"/>
  <c r="J45" i="2" s="1"/>
  <c r="J46" i="2" s="1"/>
  <c r="J47" i="2" s="1"/>
  <c r="J10" i="2"/>
  <c r="K48" i="2"/>
  <c r="T25" i="2" s="1"/>
  <c r="L49" i="2"/>
  <c r="K49" i="2" s="1"/>
  <c r="W55" i="2"/>
  <c r="W56" i="2" s="1"/>
  <c r="T24" i="2"/>
  <c r="S25" i="2" s="1"/>
  <c r="O34" i="2"/>
  <c r="P35" i="2" s="1"/>
  <c r="M9" i="2"/>
  <c r="S48" i="2"/>
  <c r="L20" i="2"/>
  <c r="K21" i="4" l="1"/>
  <c r="K10" i="3"/>
  <c r="K22" i="3"/>
  <c r="K9" i="2"/>
  <c r="K21" i="2"/>
  <c r="J48" i="2"/>
  <c r="J49" i="2" s="1"/>
  <c r="O35" i="4" l="1"/>
  <c r="P36" i="4" s="1"/>
  <c r="S49" i="4"/>
  <c r="L21" i="4"/>
  <c r="S50" i="3"/>
  <c r="O36" i="3"/>
  <c r="P37" i="3" s="1"/>
  <c r="L22" i="3"/>
  <c r="S49" i="2"/>
  <c r="O35" i="2"/>
  <c r="P36" i="2" s="1"/>
  <c r="M10" i="2"/>
  <c r="L21" i="2"/>
  <c r="K10" i="4" l="1"/>
  <c r="K22" i="4"/>
  <c r="K23" i="3"/>
  <c r="K10" i="2"/>
  <c r="K22" i="2"/>
  <c r="S50" i="4" l="1"/>
  <c r="O36" i="4"/>
  <c r="P37" i="4" s="1"/>
  <c r="L22" i="4"/>
  <c r="S51" i="3"/>
  <c r="O37" i="3"/>
  <c r="P38" i="3" s="1"/>
  <c r="L23" i="3"/>
  <c r="S50" i="2"/>
  <c r="O36" i="2"/>
  <c r="P37" i="2" s="1"/>
  <c r="L22" i="2"/>
  <c r="K23" i="4" l="1"/>
  <c r="L23" i="4" s="1"/>
  <c r="K24" i="3"/>
  <c r="L24" i="3"/>
  <c r="K23" i="2"/>
  <c r="K24" i="4" l="1"/>
  <c r="O37" i="4"/>
  <c r="P38" i="4" s="1"/>
  <c r="S51" i="4"/>
  <c r="K25" i="3"/>
  <c r="O38" i="3"/>
  <c r="P39" i="3" s="1"/>
  <c r="S52" i="3"/>
  <c r="O37" i="2"/>
  <c r="P38" i="2" s="1"/>
  <c r="S51" i="2"/>
  <c r="L23" i="2"/>
  <c r="O38" i="4" l="1"/>
  <c r="P39" i="4" s="1"/>
  <c r="S52" i="4"/>
  <c r="L24" i="4"/>
  <c r="S53" i="3"/>
  <c r="O39" i="3"/>
  <c r="P40" i="3" s="1"/>
  <c r="L25" i="3"/>
  <c r="K24" i="2"/>
  <c r="L24" i="2"/>
  <c r="K25" i="4" l="1"/>
  <c r="K26" i="3"/>
  <c r="K25" i="2"/>
  <c r="S52" i="2"/>
  <c r="O38" i="2"/>
  <c r="P39" i="2" s="1"/>
  <c r="S53" i="4" l="1"/>
  <c r="O39" i="4"/>
  <c r="P40" i="4" s="1"/>
  <c r="L25" i="4"/>
  <c r="O40" i="3"/>
  <c r="S54" i="3"/>
  <c r="L26" i="3"/>
  <c r="S53" i="2"/>
  <c r="O39" i="2"/>
  <c r="P40" i="2" s="1"/>
  <c r="L25" i="2"/>
  <c r="K26" i="4" l="1"/>
  <c r="K27" i="3"/>
  <c r="S55" i="3" s="1"/>
  <c r="S56" i="3" s="1"/>
  <c r="K26" i="2"/>
  <c r="S54" i="4" l="1"/>
  <c r="O40" i="4"/>
  <c r="L26" i="4"/>
  <c r="L27" i="3"/>
  <c r="S54" i="2"/>
  <c r="O40" i="2"/>
  <c r="L26" i="2"/>
  <c r="K27" i="4" l="1"/>
  <c r="S55" i="4" s="1"/>
  <c r="S56" i="4" s="1"/>
  <c r="L27" i="4"/>
  <c r="K27" i="2"/>
  <c r="S55" i="2" s="1"/>
  <c r="S56" i="2" s="1"/>
  <c r="L27" i="2" l="1"/>
  <c r="G32" i="9" l="1"/>
  <c r="G33" i="9" s="1"/>
  <c r="P7" i="15" l="1"/>
  <c r="P8" i="15" s="1"/>
  <c r="P7" i="14"/>
  <c r="P8" i="14" s="1"/>
  <c r="P7" i="10"/>
  <c r="P8" i="10" s="1"/>
  <c r="P7" i="12"/>
  <c r="P8" i="12" s="1"/>
  <c r="P7" i="11"/>
  <c r="P8" i="11" s="1"/>
</calcChain>
</file>

<file path=xl/sharedStrings.xml><?xml version="1.0" encoding="utf-8"?>
<sst xmlns="http://schemas.openxmlformats.org/spreadsheetml/2006/main" count="1247" uniqueCount="110">
  <si>
    <t xml:space="preserve">Year </t>
  </si>
  <si>
    <t>ROU</t>
  </si>
  <si>
    <t>Lease liability</t>
  </si>
  <si>
    <t>Dep expense</t>
  </si>
  <si>
    <t>Finance charges</t>
  </si>
  <si>
    <t>Payment</t>
  </si>
  <si>
    <t>Retained earnings</t>
  </si>
  <si>
    <t>Non interest expense</t>
  </si>
  <si>
    <t>Transition date</t>
  </si>
  <si>
    <t>Discount rate</t>
  </si>
  <si>
    <t>Contract start date</t>
  </si>
  <si>
    <t>Contract end date</t>
  </si>
  <si>
    <t>Advanced payment</t>
  </si>
  <si>
    <t>Total contract price</t>
  </si>
  <si>
    <t>First instalment date</t>
  </si>
  <si>
    <t>No. of instalments</t>
  </si>
  <si>
    <t>Contrat Sign Date</t>
  </si>
  <si>
    <t>Cash</t>
  </si>
  <si>
    <t>Right of use</t>
  </si>
  <si>
    <t>Period</t>
  </si>
  <si>
    <t>Date</t>
  </si>
  <si>
    <t>Principal</t>
  </si>
  <si>
    <t>Principal plus interests</t>
  </si>
  <si>
    <t>Amortization Chart</t>
  </si>
  <si>
    <t>(1</t>
  </si>
  <si>
    <t>6)</t>
  </si>
  <si>
    <t>(7</t>
  </si>
  <si>
    <t>Year</t>
  </si>
  <si>
    <t>Payments</t>
  </si>
  <si>
    <t>Interest</t>
  </si>
  <si>
    <t>Balance</t>
  </si>
  <si>
    <t>(2</t>
  </si>
  <si>
    <t>B)</t>
  </si>
  <si>
    <t>(8</t>
  </si>
  <si>
    <t>(3</t>
  </si>
  <si>
    <t>(9</t>
  </si>
  <si>
    <t>(4</t>
  </si>
  <si>
    <t>(10</t>
  </si>
  <si>
    <t>(5</t>
  </si>
  <si>
    <t>2)</t>
  </si>
  <si>
    <t>(6</t>
  </si>
  <si>
    <t>Contract months</t>
  </si>
  <si>
    <t>(B</t>
  </si>
  <si>
    <t>Depreciation per month</t>
  </si>
  <si>
    <t>3)</t>
  </si>
  <si>
    <t>ROU asset (=)</t>
  </si>
  <si>
    <t>4)</t>
  </si>
  <si>
    <t>Lease liabilty (+)</t>
  </si>
  <si>
    <t>Depreciation</t>
  </si>
  <si>
    <t>Months</t>
  </si>
  <si>
    <t>5)</t>
  </si>
  <si>
    <t>Initial direct costs (+)</t>
  </si>
  <si>
    <t>Prepaid lease payments (+)</t>
  </si>
  <si>
    <t>Costs to dismantle or restore (+)</t>
  </si>
  <si>
    <t>Lease incentives (-)</t>
  </si>
  <si>
    <t>Reference: IFRS 16 Paragraph 23 and 24</t>
  </si>
  <si>
    <t>Finance charges (interest)</t>
  </si>
  <si>
    <t>Non-interest expense (depreciation)</t>
  </si>
  <si>
    <t>26.7.23</t>
  </si>
  <si>
    <t>Non-interest expense</t>
  </si>
  <si>
    <t>DR</t>
  </si>
  <si>
    <t>CR</t>
  </si>
  <si>
    <t>1)</t>
  </si>
  <si>
    <t>7)</t>
  </si>
  <si>
    <t>8)</t>
  </si>
  <si>
    <t>9)</t>
  </si>
  <si>
    <t>10)</t>
  </si>
  <si>
    <t>TOTAL</t>
  </si>
  <si>
    <t>Fatsi  Branch</t>
  </si>
  <si>
    <t>ROU(ETB1210300310001)</t>
  </si>
  <si>
    <t>LIABILITY(ETB1702000310001</t>
  </si>
  <si>
    <t>CLAIM(ETB1260400010603</t>
  </si>
  <si>
    <t>Soloda  Branch</t>
  </si>
  <si>
    <t>Soloda  Branch Back Pyt</t>
  </si>
  <si>
    <t>Shiraro   Branch</t>
  </si>
  <si>
    <t>Melese Zenawi Branch</t>
  </si>
  <si>
    <t>CLAIM(ETB1260400011217</t>
  </si>
  <si>
    <t>25.8.23</t>
  </si>
  <si>
    <t xml:space="preserve">SHIRE BR TELE TSEGA </t>
  </si>
  <si>
    <t>WITH HOLDING</t>
  </si>
  <si>
    <t>VAT</t>
  </si>
  <si>
    <t>HALF</t>
  </si>
  <si>
    <t>......</t>
  </si>
  <si>
    <t>*</t>
  </si>
  <si>
    <t>ROA ETB1210300310001</t>
  </si>
  <si>
    <t>CLAIM ETB 1260400010187</t>
  </si>
  <si>
    <t>SHIRE BR EBRAHIM</t>
  </si>
  <si>
    <t xml:space="preserve"> </t>
  </si>
  <si>
    <t xml:space="preserve">                                                        \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</si>
  <si>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</si>
  <si>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CLAIM  ETB1260400010187</t>
  </si>
  <si>
    <t>Adi-Nebried</t>
  </si>
  <si>
    <t>WITH OUT VAT</t>
  </si>
  <si>
    <t>ROU ETB1210300310001</t>
  </si>
  <si>
    <t>CLAIM ETB 1260400011217</t>
  </si>
  <si>
    <t>Maray</t>
  </si>
  <si>
    <t>CLAIM ETB 1260400010574</t>
  </si>
  <si>
    <t>ETB1210300310001</t>
  </si>
  <si>
    <t>KARI</t>
  </si>
  <si>
    <t>CLAIM ETB 1260400010680</t>
  </si>
  <si>
    <t>s</t>
  </si>
  <si>
    <t>Naedier adet</t>
  </si>
  <si>
    <t>Zana</t>
  </si>
  <si>
    <t>PER MONTH</t>
  </si>
  <si>
    <t>CLAIM ETB 1260400010975</t>
  </si>
  <si>
    <t>Tahtay Adyabo</t>
  </si>
  <si>
    <t>with holding</t>
  </si>
  <si>
    <t>vot</t>
  </si>
  <si>
    <t>CLAIM ETB 1260400011328</t>
  </si>
  <si>
    <t xml:space="preserve">Edaga hamus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</si>
</sst>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  <numFmt numFmtId="166" formatCode="_(* #,##0.000_);_(* \(#,##0.000\);_(* &quot;-&quot;??_);_(@_)"/>
    <numFmt numFmtId="167" formatCode="_(* #,##0.00_);_(* \(#,##0.00\);_(* &quot;-&quot;??_);_(@_)"/>
    <numFmt numFmtId="168" formatCode="[$-409]dd\-mmm\-yy;@"/>
    <numFmt numFmtId="169" formatCode="_(&quot;$&quot;* #,##0.00_);_(&quot;$&quot;* \(#,##0.00\);_(&quot;$&quot;* &quot;-&quot;??_);_(@_)"/>
    <numFmt numFmtId="170" formatCode="_(&quot;$&quot;* #,##0_);_(&quot;$&quot;* \(#,##0\);_(&quot;$&quot;* &quot;-&quot;??_);_(@_)"/>
    <numFmt numFmtId="171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theme="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15" fontId="2" fillId="0" borderId="0" xfId="0" applyNumberFormat="1" applyFont="1"/>
    <xf numFmtId="8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0" fontId="2" fillId="0" borderId="0" xfId="0" applyNumberFormat="1" applyFont="1" applyBorder="1"/>
    <xf numFmtId="43" fontId="2" fillId="0" borderId="0" xfId="1" applyNumberFormat="1" applyFont="1"/>
    <xf numFmtId="43" fontId="2" fillId="0" borderId="0" xfId="0" applyNumberFormat="1" applyFont="1"/>
    <xf numFmtId="168" fontId="2" fillId="0" borderId="0" xfId="0" applyNumberFormat="1" applyFont="1" applyFill="1" applyBorder="1" applyAlignment="1"/>
    <xf numFmtId="0" fontId="2" fillId="4" borderId="0" xfId="0" applyFont="1" applyFill="1"/>
    <xf numFmtId="167" fontId="2" fillId="0" borderId="0" xfId="1" applyFont="1"/>
    <xf numFmtId="43" fontId="5" fillId="0" borderId="0" xfId="0" applyNumberFormat="1" applyFont="1"/>
    <xf numFmtId="0" fontId="2" fillId="0" borderId="0" xfId="1" applyNumberFormat="1" applyFont="1"/>
    <xf numFmtId="168" fontId="2" fillId="4" borderId="0" xfId="0" applyNumberFormat="1" applyFont="1" applyFill="1" applyBorder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5" xfId="0" applyFont="1" applyBorder="1"/>
    <xf numFmtId="164" fontId="2" fillId="5" borderId="0" xfId="0" applyNumberFormat="1" applyFont="1" applyFill="1"/>
    <xf numFmtId="0" fontId="7" fillId="0" borderId="0" xfId="0" applyFont="1"/>
    <xf numFmtId="164" fontId="2" fillId="0" borderId="5" xfId="0" applyNumberFormat="1" applyFont="1" applyBorder="1"/>
    <xf numFmtId="0" fontId="8" fillId="0" borderId="0" xfId="0" applyFont="1"/>
    <xf numFmtId="0" fontId="2" fillId="0" borderId="0" xfId="0" applyFont="1" applyAlignment="1">
      <alignment horizontal="center"/>
    </xf>
    <xf numFmtId="170" fontId="2" fillId="0" borderId="0" xfId="2" applyNumberFormat="1" applyFont="1"/>
    <xf numFmtId="0" fontId="6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8" xfId="0" applyFont="1" applyBorder="1"/>
    <xf numFmtId="165" fontId="2" fillId="0" borderId="9" xfId="0" applyNumberFormat="1" applyFont="1" applyBorder="1"/>
    <xf numFmtId="164" fontId="2" fillId="0" borderId="10" xfId="0" applyNumberFormat="1" applyFont="1" applyBorder="1"/>
    <xf numFmtId="0" fontId="2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43" fontId="2" fillId="0" borderId="0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7" fontId="2" fillId="0" borderId="0" xfId="0" applyNumberFormat="1" applyFont="1"/>
    <xf numFmtId="165" fontId="9" fillId="0" borderId="0" xfId="1" quotePrefix="1" applyNumberFormat="1" applyFont="1" applyBorder="1" applyAlignment="1">
      <alignment horizontal="center"/>
    </xf>
    <xf numFmtId="164" fontId="2" fillId="0" borderId="7" xfId="0" applyNumberFormat="1" applyFont="1" applyBorder="1"/>
    <xf numFmtId="165" fontId="2" fillId="0" borderId="9" xfId="1" applyNumberFormat="1" applyFont="1" applyBorder="1"/>
    <xf numFmtId="165" fontId="2" fillId="0" borderId="11" xfId="0" applyNumberFormat="1" applyFont="1" applyBorder="1"/>
    <xf numFmtId="0" fontId="2" fillId="0" borderId="0" xfId="0" applyFont="1" applyBorder="1"/>
    <xf numFmtId="165" fontId="2" fillId="0" borderId="0" xfId="0" applyNumberFormat="1" applyFont="1" applyBorder="1"/>
    <xf numFmtId="164" fontId="2" fillId="0" borderId="0" xfId="0" applyNumberFormat="1" applyFont="1" applyBorder="1"/>
    <xf numFmtId="0" fontId="2" fillId="0" borderId="12" xfId="0" applyFont="1" applyBorder="1" applyAlignment="1">
      <alignment horizontal="center"/>
    </xf>
    <xf numFmtId="164" fontId="2" fillId="0" borderId="13" xfId="0" applyNumberFormat="1" applyFont="1" applyBorder="1"/>
    <xf numFmtId="0" fontId="5" fillId="0" borderId="0" xfId="0" applyFont="1"/>
    <xf numFmtId="8" fontId="2" fillId="0" borderId="14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9" xfId="0" applyNumberFormat="1" applyFont="1" applyBorder="1"/>
    <xf numFmtId="0" fontId="9" fillId="0" borderId="0" xfId="0" applyFont="1" applyAlignment="1">
      <alignment horizontal="center"/>
    </xf>
    <xf numFmtId="165" fontId="9" fillId="0" borderId="0" xfId="1" quotePrefix="1" applyNumberFormat="1" applyFont="1" applyAlignment="1">
      <alignment horizontal="center"/>
    </xf>
    <xf numFmtId="9" fontId="2" fillId="0" borderId="0" xfId="0" applyNumberFormat="1" applyFont="1"/>
    <xf numFmtId="169" fontId="2" fillId="0" borderId="0" xfId="2" applyNumberFormat="1" applyFont="1" applyFill="1"/>
    <xf numFmtId="167" fontId="2" fillId="0" borderId="0" xfId="0" applyNumberFormat="1" applyFont="1"/>
    <xf numFmtId="0" fontId="6" fillId="0" borderId="4" xfId="0" applyFont="1" applyFill="1" applyBorder="1" applyAlignment="1">
      <alignment horizontal="center"/>
    </xf>
    <xf numFmtId="15" fontId="2" fillId="0" borderId="6" xfId="0" applyNumberFormat="1" applyFont="1" applyBorder="1"/>
    <xf numFmtId="167" fontId="2" fillId="0" borderId="0" xfId="0" applyNumberFormat="1" applyFont="1" applyBorder="1"/>
    <xf numFmtId="1" fontId="2" fillId="0" borderId="7" xfId="0" applyNumberFormat="1" applyFont="1" applyBorder="1"/>
    <xf numFmtId="169" fontId="2" fillId="0" borderId="0" xfId="2" applyNumberFormat="1" applyFont="1"/>
    <xf numFmtId="2" fontId="2" fillId="0" borderId="7" xfId="0" applyNumberFormat="1" applyFont="1" applyBorder="1"/>
    <xf numFmtId="1" fontId="10" fillId="0" borderId="7" xfId="0" applyNumberFormat="1" applyFont="1" applyBorder="1"/>
    <xf numFmtId="2" fontId="10" fillId="0" borderId="7" xfId="0" applyNumberFormat="1" applyFont="1" applyBorder="1"/>
    <xf numFmtId="0" fontId="2" fillId="2" borderId="0" xfId="0" applyFont="1" applyFill="1"/>
    <xf numFmtId="0" fontId="2" fillId="2" borderId="15" xfId="0" applyFont="1" applyFill="1" applyBorder="1"/>
    <xf numFmtId="0" fontId="5" fillId="2" borderId="15" xfId="0" applyFont="1" applyFill="1" applyBorder="1"/>
    <xf numFmtId="164" fontId="2" fillId="0" borderId="5" xfId="0" applyNumberFormat="1" applyFont="1" applyFill="1" applyBorder="1"/>
    <xf numFmtId="0" fontId="2" fillId="0" borderId="16" xfId="0" applyFont="1" applyBorder="1"/>
    <xf numFmtId="165" fontId="2" fillId="0" borderId="5" xfId="0" applyNumberFormat="1" applyFont="1" applyBorder="1"/>
    <xf numFmtId="0" fontId="2" fillId="0" borderId="11" xfId="0" applyFont="1" applyBorder="1"/>
    <xf numFmtId="167" fontId="2" fillId="2" borderId="15" xfId="1" applyFont="1" applyFill="1" applyBorder="1"/>
    <xf numFmtId="165" fontId="2" fillId="0" borderId="8" xfId="0" applyNumberFormat="1" applyFont="1" applyBorder="1"/>
    <xf numFmtId="164" fontId="2" fillId="0" borderId="8" xfId="0" applyNumberFormat="1" applyFont="1" applyBorder="1"/>
    <xf numFmtId="167" fontId="5" fillId="2" borderId="15" xfId="1" applyFont="1" applyFill="1" applyBorder="1"/>
    <xf numFmtId="169" fontId="2" fillId="0" borderId="0" xfId="0" applyNumberFormat="1" applyFont="1"/>
    <xf numFmtId="164" fontId="2" fillId="0" borderId="17" xfId="0" applyNumberFormat="1" applyFont="1" applyBorder="1"/>
    <xf numFmtId="1" fontId="10" fillId="0" borderId="13" xfId="0" applyNumberFormat="1" applyFont="1" applyBorder="1"/>
    <xf numFmtId="164" fontId="2" fillId="0" borderId="9" xfId="0" applyNumberFormat="1" applyFont="1" applyFill="1" applyBorder="1"/>
    <xf numFmtId="43" fontId="2" fillId="0" borderId="0" xfId="1" applyNumberFormat="1" applyFont="1" applyFill="1"/>
    <xf numFmtId="0" fontId="2" fillId="0" borderId="0" xfId="0" applyFont="1" applyFill="1"/>
    <xf numFmtId="43" fontId="2" fillId="0" borderId="0" xfId="0" applyNumberFormat="1" applyFont="1" applyFill="1"/>
    <xf numFmtId="0" fontId="4" fillId="3" borderId="15" xfId="0" applyFont="1" applyFill="1" applyBorder="1"/>
    <xf numFmtId="15" fontId="2" fillId="0" borderId="15" xfId="0" applyNumberFormat="1" applyFont="1" applyBorder="1"/>
    <xf numFmtId="164" fontId="2" fillId="0" borderId="15" xfId="0" applyNumberFormat="1" applyFont="1" applyBorder="1"/>
    <xf numFmtId="0" fontId="4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164" fontId="2" fillId="0" borderId="0" xfId="0" applyNumberFormat="1" applyFont="1" applyAlignment="1">
      <alignment horizontal="center"/>
    </xf>
    <xf numFmtId="0" fontId="2" fillId="0" borderId="15" xfId="0" applyFont="1" applyFill="1" applyBorder="1"/>
    <xf numFmtId="10" fontId="2" fillId="0" borderId="15" xfId="0" applyNumberFormat="1" applyFont="1" applyFill="1" applyBorder="1" applyAlignment="1">
      <alignment horizontal="center"/>
    </xf>
    <xf numFmtId="43" fontId="2" fillId="0" borderId="0" xfId="3" applyFont="1" applyFill="1"/>
    <xf numFmtId="171" fontId="11" fillId="0" borderId="1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/>
    <xf numFmtId="171" fontId="12" fillId="0" borderId="15" xfId="0" applyNumberFormat="1" applyFont="1" applyFill="1" applyBorder="1" applyAlignment="1">
      <alignment horizontal="center"/>
    </xf>
    <xf numFmtId="43" fontId="2" fillId="0" borderId="0" xfId="3" applyFont="1"/>
    <xf numFmtId="164" fontId="13" fillId="0" borderId="15" xfId="3" applyNumberFormat="1" applyFont="1" applyFill="1" applyBorder="1" applyAlignment="1">
      <alignment horizontal="center"/>
    </xf>
    <xf numFmtId="170" fontId="2" fillId="0" borderId="0" xfId="0" applyNumberFormat="1" applyFont="1"/>
    <xf numFmtId="15" fontId="2" fillId="0" borderId="15" xfId="0" applyNumberFormat="1" applyFont="1" applyFill="1" applyBorder="1" applyAlignment="1">
      <alignment horizontal="center"/>
    </xf>
    <xf numFmtId="167" fontId="13" fillId="0" borderId="0" xfId="3" applyNumberFormat="1" applyFont="1" applyFill="1" applyAlignment="1"/>
    <xf numFmtId="0" fontId="2" fillId="0" borderId="15" xfId="0" applyFont="1" applyFill="1" applyBorder="1" applyAlignment="1">
      <alignment horizontal="center"/>
    </xf>
    <xf numFmtId="170" fontId="2" fillId="0" borderId="0" xfId="4" applyNumberFormat="1" applyFont="1" applyAlignment="1">
      <alignment horizontal="center"/>
    </xf>
    <xf numFmtId="170" fontId="2" fillId="0" borderId="0" xfId="4" applyNumberFormat="1" applyFont="1"/>
    <xf numFmtId="165" fontId="2" fillId="0" borderId="0" xfId="3" applyNumberFormat="1" applyFont="1" applyBorder="1" applyAlignment="1">
      <alignment horizontal="center"/>
    </xf>
    <xf numFmtId="43" fontId="2" fillId="0" borderId="0" xfId="3" applyFont="1" applyBorder="1" applyAlignment="1">
      <alignment horizontal="center"/>
    </xf>
    <xf numFmtId="165" fontId="9" fillId="0" borderId="0" xfId="3" quotePrefix="1" applyNumberFormat="1" applyFont="1" applyBorder="1" applyAlignment="1">
      <alignment horizontal="center"/>
    </xf>
    <xf numFmtId="165" fontId="2" fillId="0" borderId="9" xfId="3" applyNumberFormat="1" applyFont="1" applyBorder="1"/>
    <xf numFmtId="165" fontId="9" fillId="0" borderId="17" xfId="3" quotePrefix="1" applyNumberFormat="1" applyFont="1" applyBorder="1" applyAlignment="1">
      <alignment horizontal="center"/>
    </xf>
    <xf numFmtId="2" fontId="2" fillId="0" borderId="14" xfId="3" applyNumberFormat="1" applyFont="1" applyBorder="1" applyAlignment="1">
      <alignment horizontal="center"/>
    </xf>
    <xf numFmtId="165" fontId="9" fillId="0" borderId="0" xfId="3" quotePrefix="1" applyNumberFormat="1" applyFont="1" applyAlignment="1">
      <alignment horizontal="center"/>
    </xf>
    <xf numFmtId="165" fontId="2" fillId="0" borderId="0" xfId="3" applyNumberFormat="1" applyFont="1"/>
    <xf numFmtId="169" fontId="2" fillId="0" borderId="0" xfId="4" applyNumberFormat="1" applyFont="1" applyFill="1" applyAlignment="1">
      <alignment horizontal="center"/>
    </xf>
    <xf numFmtId="169" fontId="2" fillId="0" borderId="0" xfId="4" applyNumberFormat="1" applyFont="1" applyAlignment="1">
      <alignment horizontal="center"/>
    </xf>
    <xf numFmtId="165" fontId="2" fillId="0" borderId="7" xfId="3" applyNumberFormat="1" applyFont="1" applyBorder="1"/>
    <xf numFmtId="17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4" fillId="0" borderId="15" xfId="0" applyFont="1" applyBorder="1" applyAlignment="1">
      <alignment horizontal="left"/>
    </xf>
    <xf numFmtId="43" fontId="2" fillId="0" borderId="15" xfId="3" applyFont="1" applyBorder="1"/>
    <xf numFmtId="0" fontId="2" fillId="0" borderId="15" xfId="0" applyFont="1" applyBorder="1"/>
    <xf numFmtId="2" fontId="2" fillId="0" borderId="0" xfId="0" applyNumberFormat="1" applyFont="1"/>
    <xf numFmtId="43" fontId="2" fillId="0" borderId="0" xfId="5" applyNumberFormat="1" applyFont="1"/>
    <xf numFmtId="43" fontId="2" fillId="0" borderId="0" xfId="5" applyNumberFormat="1" applyFont="1" applyFill="1"/>
    <xf numFmtId="167" fontId="2" fillId="0" borderId="0" xfId="5" applyFont="1"/>
    <xf numFmtId="0" fontId="2" fillId="0" borderId="0" xfId="5" applyNumberFormat="1" applyFont="1"/>
    <xf numFmtId="165" fontId="2" fillId="0" borderId="0" xfId="5" applyNumberFormat="1" applyFont="1" applyBorder="1" applyAlignment="1">
      <alignment horizontal="center"/>
    </xf>
    <xf numFmtId="43" fontId="2" fillId="0" borderId="0" xfId="5" applyNumberFormat="1" applyFont="1" applyBorder="1" applyAlignment="1">
      <alignment horizontal="center"/>
    </xf>
    <xf numFmtId="165" fontId="9" fillId="0" borderId="0" xfId="5" quotePrefix="1" applyNumberFormat="1" applyFont="1" applyBorder="1" applyAlignment="1">
      <alignment horizontal="center"/>
    </xf>
    <xf numFmtId="165" fontId="2" fillId="0" borderId="9" xfId="5" applyNumberFormat="1" applyFont="1" applyBorder="1"/>
    <xf numFmtId="8" fontId="2" fillId="0" borderId="14" xfId="5" applyNumberFormat="1" applyFont="1" applyBorder="1"/>
    <xf numFmtId="165" fontId="9" fillId="0" borderId="0" xfId="5" quotePrefix="1" applyNumberFormat="1" applyFont="1" applyAlignment="1">
      <alignment horizontal="center"/>
    </xf>
    <xf numFmtId="167" fontId="2" fillId="2" borderId="15" xfId="5" applyFont="1" applyFill="1" applyBorder="1"/>
    <xf numFmtId="167" fontId="5" fillId="2" borderId="15" xfId="5" applyFont="1" applyFill="1" applyBorder="1"/>
    <xf numFmtId="0" fontId="15" fillId="0" borderId="15" xfId="0" applyFont="1" applyBorder="1" applyAlignment="1">
      <alignment horizontal="center"/>
    </xf>
    <xf numFmtId="0" fontId="2" fillId="6" borderId="0" xfId="0" applyFont="1" applyFill="1"/>
    <xf numFmtId="168" fontId="2" fillId="6" borderId="0" xfId="0" applyNumberFormat="1" applyFont="1" applyFill="1" applyBorder="1" applyAlignment="1"/>
    <xf numFmtId="0" fontId="5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6">
    <cellStyle name="Comma" xfId="3" builtinId="3"/>
    <cellStyle name="Comma 2" xfId="1"/>
    <cellStyle name="Comma 2 2" xfId="5"/>
    <cellStyle name="Currency" xfId="4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mazHabebe\Desktop\ALMAZ\ALMI%20LESAE%20DATA%202023-%2024\Shire%20dist%20YID\Shire%20Indesilasie%20expense%20-2024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re 2024 "/>
      <sheetName val="Sheet1"/>
      <sheetName val="Sheet2"/>
      <sheetName val="Shire 2023  (2)"/>
      <sheetName val="Shire 2021"/>
    </sheetNames>
    <sheetDataSet>
      <sheetData sheetId="0">
        <row r="55">
          <cell r="H55">
            <v>0.72876712328767113</v>
          </cell>
          <cell r="M55">
            <v>34499.999999999993</v>
          </cell>
        </row>
        <row r="56">
          <cell r="W56">
            <v>13.742465753424657</v>
          </cell>
          <cell r="X56">
            <v>0.74246575342465704</v>
          </cell>
        </row>
        <row r="57">
          <cell r="H57">
            <v>0.60000000000000142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zoomScaleNormal="100" workbookViewId="0">
      <selection activeCell="C2" sqref="C2"/>
    </sheetView>
  </sheetViews>
  <sheetFormatPr defaultRowHeight="15" x14ac:dyDescent="0.25"/>
  <cols>
    <col min="3" max="3" width="11.42578125" customWidth="1"/>
    <col min="4" max="4" width="10.42578125" customWidth="1"/>
    <col min="5" max="5" width="11.85546875" customWidth="1"/>
    <col min="7" max="7" width="12.140625" customWidth="1"/>
  </cols>
  <sheetData>
    <row r="1" spans="2:9" x14ac:dyDescent="0.25">
      <c r="B1" s="87" t="s">
        <v>0</v>
      </c>
      <c r="C1" s="87" t="s">
        <v>1</v>
      </c>
      <c r="D1" s="87" t="s">
        <v>2</v>
      </c>
      <c r="E1" s="87" t="s">
        <v>3</v>
      </c>
      <c r="F1" s="87" t="s">
        <v>4</v>
      </c>
      <c r="G1" s="87" t="s">
        <v>5</v>
      </c>
      <c r="H1" s="87" t="s">
        <v>6</v>
      </c>
      <c r="I1" s="87" t="s">
        <v>7</v>
      </c>
    </row>
    <row r="2" spans="2:9" x14ac:dyDescent="0.25">
      <c r="B2" s="88">
        <v>44377</v>
      </c>
      <c r="C2" s="89">
        <f>SUM('Fatsi br:Soloda Br Expired '!J2)</f>
        <v>0</v>
      </c>
      <c r="D2" s="89">
        <f>SUM('Fatsi br:Soloda Br Expired '!K2)</f>
        <v>0</v>
      </c>
      <c r="E2" s="89">
        <f>SUM('Fatsi br:Soloda Br Expired '!L2)</f>
        <v>0</v>
      </c>
      <c r="F2" s="89">
        <f>SUM('Fatsi br:Soloda Br Expired '!M2)</f>
        <v>0</v>
      </c>
      <c r="G2" s="89">
        <f>SUM('Fatsi br:Soloda Br Expired '!N2)</f>
        <v>0</v>
      </c>
      <c r="H2" s="89">
        <f>SUM('Fatsi br:Soloda Br Expired '!O2)</f>
        <v>0</v>
      </c>
      <c r="I2" s="89">
        <f>SUM('Fatsi br:Soloda Br Expired '!P2)</f>
        <v>0</v>
      </c>
    </row>
    <row r="3" spans="2:9" x14ac:dyDescent="0.25">
      <c r="B3" s="88">
        <v>44742</v>
      </c>
      <c r="C3" s="89">
        <f>SUM('Fatsi br:Soloda Br Expired '!J3)</f>
        <v>0</v>
      </c>
      <c r="D3" s="89">
        <f>SUM('Fatsi br:Soloda Br Expired '!K3)</f>
        <v>0</v>
      </c>
      <c r="E3" s="89">
        <f>SUM('Fatsi br:Soloda Br Expired '!L3)</f>
        <v>0</v>
      </c>
      <c r="F3" s="89">
        <f>SUM('Fatsi br:Soloda Br Expired '!M3)</f>
        <v>0</v>
      </c>
      <c r="G3" s="89">
        <f>SUM('Fatsi br:Soloda Br Expired '!N3)</f>
        <v>0</v>
      </c>
      <c r="H3" s="89">
        <f>SUM('Fatsi br:Soloda Br Expired '!O3)</f>
        <v>0</v>
      </c>
      <c r="I3" s="89">
        <f>SUM('Fatsi br:Soloda Br Expired '!P3)</f>
        <v>0</v>
      </c>
    </row>
    <row r="4" spans="2:9" x14ac:dyDescent="0.25">
      <c r="B4" s="88">
        <v>45107</v>
      </c>
      <c r="C4" s="89">
        <f>SUM('Fatsi br:Soloda Br Expired '!J4)</f>
        <v>0</v>
      </c>
      <c r="D4" s="89">
        <f>SUM('Fatsi br:Soloda Br Expired '!K4)</f>
        <v>0</v>
      </c>
      <c r="E4" s="89">
        <f>SUM('Fatsi br:Soloda Br Expired '!L4)</f>
        <v>0</v>
      </c>
      <c r="F4" s="89">
        <f>SUM('Fatsi br:Soloda Br Expired '!M4)</f>
        <v>0</v>
      </c>
      <c r="G4" s="89">
        <f>SUM('Fatsi br:Soloda Br Expired '!N4)</f>
        <v>0</v>
      </c>
      <c r="H4" s="89">
        <f>SUM('Fatsi br:Soloda Br Expired '!O4)</f>
        <v>0</v>
      </c>
      <c r="I4" s="89">
        <f>SUM('Fatsi br:Soloda Br Expired '!P4)</f>
        <v>0</v>
      </c>
    </row>
    <row r="5" spans="2:9" x14ac:dyDescent="0.25">
      <c r="B5" s="88">
        <v>45473</v>
      </c>
      <c r="C5" s="89">
        <f>SUM('Fatsi br:Soloda Br Expired '!J5)</f>
        <v>7932424.7645285549</v>
      </c>
      <c r="D5" s="89">
        <f>SUM('Fatsi br:Soloda Br Expired '!K5)</f>
        <v>2172393.2654208397</v>
      </c>
      <c r="E5" s="89">
        <f>SUM('Fatsi br:Soloda Br Expired '!L5)</f>
        <v>3408968.5515915654</v>
      </c>
      <c r="F5" s="89">
        <f>SUM('Fatsi br:Soloda Br Expired '!M5)</f>
        <v>103999.94930072024</v>
      </c>
      <c r="G5" s="89">
        <f>SUM('Fatsi br:Soloda Br Expired '!N5)</f>
        <v>0</v>
      </c>
      <c r="H5" s="89">
        <f>SUM('Fatsi br:Soloda Br Expired '!O5)</f>
        <v>0</v>
      </c>
      <c r="I5" s="89">
        <f>SUM('Fatsi br:Soloda Br Expired '!P5)</f>
        <v>0</v>
      </c>
    </row>
    <row r="6" spans="2:9" x14ac:dyDescent="0.25">
      <c r="B6" s="88">
        <v>45838</v>
      </c>
      <c r="C6" s="89">
        <f>SUM('Fatsi br:Soloda Br Expired '!J6)</f>
        <v>5842346.1013045311</v>
      </c>
      <c r="D6" s="89">
        <f>SUM('Fatsi br:Soloda Br Expired '!K6)</f>
        <v>2275147.4668752453</v>
      </c>
      <c r="E6" s="89">
        <f>SUM('Fatsi br:Soloda Br Expired '!L6)</f>
        <v>2090078.6632240238</v>
      </c>
      <c r="F6" s="89">
        <f>SUM('Fatsi br:Soloda Br Expired '!M6)</f>
        <v>102754.20145440572</v>
      </c>
      <c r="G6" s="89">
        <f>SUM('Fatsi br:Soloda Br Expired '!N6)</f>
        <v>0</v>
      </c>
      <c r="H6" s="89">
        <f>SUM('Fatsi br:Soloda Br Expired '!O6)</f>
        <v>0</v>
      </c>
      <c r="I6" s="89">
        <f>SUM('Fatsi br:Soloda Br Expired '!P6)</f>
        <v>0</v>
      </c>
    </row>
    <row r="7" spans="2:9" x14ac:dyDescent="0.25">
      <c r="B7" s="88">
        <v>46203</v>
      </c>
      <c r="C7" s="89">
        <f>SUM('Fatsi br:Soloda Br Expired '!J7)</f>
        <v>3752267.4380805069</v>
      </c>
      <c r="D7" s="89">
        <f>SUM('Fatsi br:Soloda Br Expired '!K7)</f>
        <v>0</v>
      </c>
      <c r="E7" s="89">
        <f>SUM('Fatsi br:Soloda Br Expired '!L7)</f>
        <v>2090078.6632240238</v>
      </c>
      <c r="F7" s="89">
        <f>SUM('Fatsi br:Soloda Br Expired '!M7)</f>
        <v>100852.5331247549</v>
      </c>
      <c r="G7" s="89">
        <f>SUM('Fatsi br:Soloda Br Expired '!N7)</f>
        <v>2376000</v>
      </c>
      <c r="H7" s="89">
        <f>SUM('Fatsi br:Soloda Br Expired '!O7)</f>
        <v>0</v>
      </c>
      <c r="I7" s="89">
        <f>SUM('Fatsi br:Soloda Br Expired '!P7)</f>
        <v>0</v>
      </c>
    </row>
    <row r="8" spans="2:9" x14ac:dyDescent="0.25">
      <c r="B8" s="88">
        <v>46568</v>
      </c>
      <c r="C8" s="89">
        <f>SUM('Fatsi br:Soloda Br Expired '!J8)</f>
        <v>1662188.7748564826</v>
      </c>
      <c r="D8" s="89">
        <f>SUM('Fatsi br:Soloda Br Expired '!K8)</f>
        <v>0</v>
      </c>
      <c r="E8" s="89">
        <f>SUM('Fatsi br:Soloda Br Expired '!L8)</f>
        <v>2090078.6632240238</v>
      </c>
      <c r="F8" s="89">
        <f>SUM('Fatsi br:Soloda Br Expired '!M8)</f>
        <v>0</v>
      </c>
      <c r="G8" s="89">
        <f>SUM('Fatsi br:Soloda Br Expired '!N8)</f>
        <v>0</v>
      </c>
      <c r="H8" s="89">
        <f>SUM('Fatsi br:Soloda Br Expired '!O8)</f>
        <v>0</v>
      </c>
      <c r="I8" s="89">
        <f>SUM('Fatsi br:Soloda Br Expired '!P8)</f>
        <v>0</v>
      </c>
    </row>
    <row r="9" spans="2:9" x14ac:dyDescent="0.25">
      <c r="B9" s="88">
        <v>46934</v>
      </c>
      <c r="C9" s="89">
        <f>SUM('Fatsi br:Soloda Br Expired '!J9)</f>
        <v>0</v>
      </c>
      <c r="D9" s="89">
        <f>SUM('Fatsi br:Soloda Br Expired '!K9)</f>
        <v>0</v>
      </c>
      <c r="E9" s="89">
        <f>SUM('Fatsi br:Soloda Br Expired '!L9)</f>
        <v>1662188.7748564826</v>
      </c>
      <c r="F9" s="89">
        <f>SUM('Fatsi br:Soloda Br Expired '!M9)</f>
        <v>0</v>
      </c>
      <c r="G9" s="89">
        <f>SUM('Fatsi br:Soloda Br Expired '!N9)</f>
        <v>0</v>
      </c>
      <c r="H9" s="89">
        <f>SUM('Fatsi br:Soloda Br Expired '!O9)</f>
        <v>0</v>
      </c>
      <c r="I9" s="89">
        <f>SUM('Fatsi br:Soloda Br Expired '!P9)</f>
        <v>0</v>
      </c>
    </row>
    <row r="10" spans="2:9" x14ac:dyDescent="0.25">
      <c r="B10" s="88">
        <v>47299</v>
      </c>
      <c r="C10" s="89">
        <f>SUM('Fatsi br:Soloda Br Expired '!J10)</f>
        <v>0</v>
      </c>
      <c r="D10" s="89">
        <f>SUM('Fatsi br:Soloda Br Expired '!K10)</f>
        <v>0</v>
      </c>
      <c r="E10" s="89">
        <f>SUM('Fatsi br:Soloda Br Expired '!L10)</f>
        <v>0</v>
      </c>
      <c r="F10" s="89">
        <f>SUM('Fatsi br:Soloda Br Expired '!M10)</f>
        <v>0</v>
      </c>
      <c r="G10" s="89">
        <f>SUM('Fatsi br:Soloda Br Expired '!N10)</f>
        <v>0</v>
      </c>
      <c r="H10" s="89">
        <f>SUM('Fatsi br:Soloda Br Expired '!O10)</f>
        <v>0</v>
      </c>
      <c r="I10" s="89">
        <f>SUM('Fatsi br:Soloda Br Expired '!P10)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workbookViewId="0">
      <selection activeCell="D29" sqref="D29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13.140625" style="1" customWidth="1"/>
    <col min="7" max="7" width="17" style="1" customWidth="1"/>
    <col min="8" max="8" width="13.140625" style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0.710937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95</v>
      </c>
      <c r="E1" s="1">
        <v>124.18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126">
        <v>30000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27">
        <f>E2*60*1.1</f>
        <v>1980000.0000000002</v>
      </c>
      <c r="F3" s="11"/>
      <c r="G3" s="11"/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45055</v>
      </c>
      <c r="E4" s="127">
        <f>E2*36</f>
        <v>1080000</v>
      </c>
      <c r="F4" s="11">
        <f>E4*0.02</f>
        <v>21600</v>
      </c>
      <c r="G4" s="11"/>
      <c r="I4" s="4">
        <v>45107</v>
      </c>
      <c r="J4" s="6">
        <v>0</v>
      </c>
      <c r="K4" s="7">
        <v>0</v>
      </c>
      <c r="L4" s="8">
        <f t="shared" ref="L4" si="0">K34</f>
        <v>0</v>
      </c>
      <c r="M4" s="7">
        <v>0</v>
      </c>
      <c r="O4" s="6">
        <v>0</v>
      </c>
      <c r="P4" s="6">
        <v>0</v>
      </c>
      <c r="S4" s="11"/>
    </row>
    <row r="5" spans="2:22" x14ac:dyDescent="0.2">
      <c r="C5" s="1" t="s">
        <v>11</v>
      </c>
      <c r="D5" s="12">
        <v>46880</v>
      </c>
      <c r="E5" s="128">
        <f>E4*1.1</f>
        <v>1188000</v>
      </c>
      <c r="F5" s="86">
        <f>E4*0.1</f>
        <v>108000</v>
      </c>
      <c r="G5" s="85"/>
      <c r="H5" s="85"/>
      <c r="I5" s="4">
        <v>45473</v>
      </c>
      <c r="J5" s="6">
        <f>J35</f>
        <v>1447447.9261700469</v>
      </c>
      <c r="K5" s="7">
        <f>L15</f>
        <v>726811.4995380647</v>
      </c>
      <c r="L5" s="8">
        <f>K35</f>
        <v>430016.51253665925</v>
      </c>
      <c r="M5" s="7">
        <f>K15</f>
        <v>37347.060831358285</v>
      </c>
      <c r="N5" s="7">
        <f>J15</f>
        <v>0</v>
      </c>
      <c r="O5" s="127">
        <v>0</v>
      </c>
      <c r="P5" s="6"/>
    </row>
    <row r="6" spans="2:22" x14ac:dyDescent="0.2">
      <c r="C6" s="1" t="s">
        <v>12</v>
      </c>
      <c r="D6" s="127">
        <v>1188000</v>
      </c>
      <c r="E6" s="86">
        <f>E2*24*1.1</f>
        <v>792000.00000000012</v>
      </c>
      <c r="F6" s="85"/>
      <c r="G6" s="86"/>
      <c r="H6" s="85"/>
      <c r="I6" s="4">
        <v>45838</v>
      </c>
      <c r="J6" s="6">
        <f>J36</f>
        <v>1071955.0384287057</v>
      </c>
      <c r="K6" s="7">
        <f t="shared" ref="K6:K9" si="1">L16</f>
        <v>761189.68346621515</v>
      </c>
      <c r="L6" s="8">
        <f t="shared" ref="L6:L10" si="2">K36</f>
        <v>375492.88774134126</v>
      </c>
      <c r="M6" s="7">
        <f t="shared" ref="M6:M10" si="3">K16</f>
        <v>34378.183928150458</v>
      </c>
      <c r="N6" s="7">
        <f t="shared" ref="N6:N10" si="4">J16</f>
        <v>0</v>
      </c>
      <c r="O6" s="127">
        <v>0</v>
      </c>
      <c r="P6" s="11">
        <f>M15*5</f>
        <v>13588.194979511338</v>
      </c>
    </row>
    <row r="7" spans="2:22" x14ac:dyDescent="0.2">
      <c r="C7" s="1" t="s">
        <v>13</v>
      </c>
      <c r="D7" s="127">
        <v>1980000</v>
      </c>
      <c r="E7" s="129"/>
      <c r="G7" s="11"/>
      <c r="I7" s="4">
        <v>46203</v>
      </c>
      <c r="J7" s="6">
        <f t="shared" ref="J7:J10" si="5">J37</f>
        <v>696462.1506873644</v>
      </c>
      <c r="K7" s="7">
        <f t="shared" si="1"/>
        <v>0</v>
      </c>
      <c r="L7" s="8">
        <f t="shared" si="2"/>
        <v>375492.88774134126</v>
      </c>
      <c r="M7" s="7">
        <f t="shared" si="3"/>
        <v>30810.316533784848</v>
      </c>
      <c r="N7" s="7">
        <f>J17</f>
        <v>792000</v>
      </c>
      <c r="P7" s="11">
        <f>M15*'[1]Shire 2024 '!$X$56</f>
        <v>2017.7538846288055</v>
      </c>
    </row>
    <row r="8" spans="2:22" x14ac:dyDescent="0.2">
      <c r="C8" s="1" t="s">
        <v>14</v>
      </c>
      <c r="D8" s="12">
        <f>D4</f>
        <v>45055</v>
      </c>
      <c r="E8" s="15"/>
      <c r="I8" s="4">
        <v>46568</v>
      </c>
      <c r="J8" s="6">
        <f t="shared" si="5"/>
        <v>320969.26294602314</v>
      </c>
      <c r="K8" s="7">
        <f t="shared" si="1"/>
        <v>0</v>
      </c>
      <c r="L8" s="8">
        <f t="shared" si="2"/>
        <v>375492.88774134126</v>
      </c>
      <c r="M8" s="7">
        <f t="shared" si="3"/>
        <v>0</v>
      </c>
      <c r="N8" s="7">
        <f t="shared" si="4"/>
        <v>0</v>
      </c>
      <c r="P8" s="11">
        <f>P6+P7</f>
        <v>15605.948864140144</v>
      </c>
    </row>
    <row r="9" spans="2:22" x14ac:dyDescent="0.2">
      <c r="C9" s="1" t="s">
        <v>15</v>
      </c>
      <c r="D9" s="130">
        <v>0</v>
      </c>
      <c r="E9" s="11"/>
      <c r="I9" s="4">
        <v>46934</v>
      </c>
      <c r="J9" s="6">
        <f t="shared" si="5"/>
        <v>0</v>
      </c>
      <c r="K9" s="7">
        <f t="shared" si="1"/>
        <v>0</v>
      </c>
      <c r="L9" s="8">
        <f t="shared" si="2"/>
        <v>320969.26294602331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5"/>
        <v>0</v>
      </c>
      <c r="K10" s="7">
        <f t="shared" ref="K10" si="6">L21</f>
        <v>0</v>
      </c>
      <c r="L10" s="8">
        <f t="shared" si="2"/>
        <v>0</v>
      </c>
      <c r="M10" s="7">
        <f t="shared" si="3"/>
        <v>0</v>
      </c>
      <c r="N10" s="7">
        <f t="shared" si="4"/>
        <v>0</v>
      </c>
    </row>
    <row r="11" spans="2:22" ht="13.5" thickBot="1" x14ac:dyDescent="0.25"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21" t="s">
        <v>23</v>
      </c>
      <c r="I12" s="22"/>
      <c r="J12" s="22"/>
      <c r="K12" s="22"/>
      <c r="L12" s="23"/>
      <c r="O12" s="24"/>
      <c r="P12" s="25">
        <f>+D6</f>
        <v>1188000</v>
      </c>
      <c r="Q12" s="26" t="s">
        <v>24</v>
      </c>
      <c r="R12" s="26" t="s">
        <v>25</v>
      </c>
      <c r="S12" s="27">
        <f>+D32</f>
        <v>1877464.4387067063</v>
      </c>
      <c r="T12" s="6">
        <f t="shared" ref="T12:T25" si="7">+K35</f>
        <v>430016.51253665925</v>
      </c>
      <c r="U12" s="26" t="s">
        <v>26</v>
      </c>
      <c r="V12" s="28"/>
    </row>
    <row r="13" spans="2:22" x14ac:dyDescent="0.2">
      <c r="B13" s="29">
        <v>0</v>
      </c>
      <c r="C13" s="4">
        <f>D4</f>
        <v>45055</v>
      </c>
      <c r="D13" s="30">
        <v>0</v>
      </c>
      <c r="E13" s="30"/>
      <c r="H13" s="31" t="s">
        <v>19</v>
      </c>
      <c r="I13" s="32" t="s">
        <v>27</v>
      </c>
      <c r="J13" s="32" t="s">
        <v>28</v>
      </c>
      <c r="K13" s="32" t="s">
        <v>29</v>
      </c>
      <c r="L13" s="33" t="s">
        <v>30</v>
      </c>
      <c r="O13" s="34"/>
      <c r="P13" s="7">
        <f t="shared" ref="P13:P24" si="8">J15</f>
        <v>0</v>
      </c>
      <c r="Q13" s="26" t="s">
        <v>31</v>
      </c>
      <c r="R13" s="26" t="s">
        <v>32</v>
      </c>
      <c r="S13" s="35">
        <f t="shared" ref="S13:S25" si="9">+S12-T12</f>
        <v>1447447.9261700469</v>
      </c>
      <c r="T13" s="36">
        <f t="shared" si="7"/>
        <v>375492.88774134126</v>
      </c>
      <c r="U13" s="26" t="s">
        <v>33</v>
      </c>
      <c r="V13" s="28">
        <v>2021</v>
      </c>
    </row>
    <row r="14" spans="2:22" x14ac:dyDescent="0.2">
      <c r="B14" s="29">
        <v>1</v>
      </c>
      <c r="C14" s="4">
        <f>D8</f>
        <v>45055</v>
      </c>
      <c r="D14" s="30">
        <v>0</v>
      </c>
      <c r="E14" s="30">
        <f t="shared" ref="E14:E26" si="10">+D14*(1+$D$3)</f>
        <v>0</v>
      </c>
      <c r="H14" s="37">
        <v>0</v>
      </c>
      <c r="I14" s="38"/>
      <c r="J14" s="131"/>
      <c r="K14" s="132"/>
      <c r="L14" s="41">
        <f>D28</f>
        <v>689464.43870670639</v>
      </c>
      <c r="N14" s="42"/>
      <c r="O14" s="34"/>
      <c r="P14" s="7">
        <f t="shared" si="8"/>
        <v>0</v>
      </c>
      <c r="Q14" s="26" t="s">
        <v>34</v>
      </c>
      <c r="R14" s="26" t="s">
        <v>32</v>
      </c>
      <c r="S14" s="35">
        <f t="shared" si="9"/>
        <v>1071955.0384287057</v>
      </c>
      <c r="T14" s="36">
        <f t="shared" si="7"/>
        <v>375492.88774134126</v>
      </c>
      <c r="U14" s="26" t="s">
        <v>35</v>
      </c>
      <c r="V14" s="28">
        <v>2022</v>
      </c>
    </row>
    <row r="15" spans="2:22" x14ac:dyDescent="0.2">
      <c r="B15" s="29">
        <v>2</v>
      </c>
      <c r="C15" s="4">
        <f t="shared" ref="C15:C26" si="11">C14+365</f>
        <v>45420</v>
      </c>
      <c r="D15" s="30">
        <v>0</v>
      </c>
      <c r="E15" s="30">
        <f t="shared" si="10"/>
        <v>0</v>
      </c>
      <c r="H15" s="37">
        <v>1</v>
      </c>
      <c r="I15" s="38">
        <v>2024</v>
      </c>
      <c r="J15" s="133"/>
      <c r="K15" s="133">
        <f>(L14-J15)*D$3*L35/12</f>
        <v>37347.060831358285</v>
      </c>
      <c r="L15" s="44">
        <f>L14-J15+K15</f>
        <v>726811.4995380647</v>
      </c>
      <c r="M15" s="11">
        <f>K15/L35</f>
        <v>2717.6389959022677</v>
      </c>
      <c r="O15" s="34"/>
      <c r="P15" s="7">
        <f t="shared" si="8"/>
        <v>792000</v>
      </c>
      <c r="Q15" s="26" t="s">
        <v>36</v>
      </c>
      <c r="R15" s="26" t="s">
        <v>32</v>
      </c>
      <c r="S15" s="35">
        <f t="shared" si="9"/>
        <v>696462.1506873644</v>
      </c>
      <c r="T15" s="36">
        <f t="shared" si="7"/>
        <v>375492.88774134126</v>
      </c>
      <c r="U15" s="26" t="s">
        <v>37</v>
      </c>
      <c r="V15" s="28">
        <v>2023</v>
      </c>
    </row>
    <row r="16" spans="2:22" x14ac:dyDescent="0.2">
      <c r="B16" s="29">
        <v>3</v>
      </c>
      <c r="C16" s="4">
        <f t="shared" si="11"/>
        <v>45785</v>
      </c>
      <c r="D16" s="30">
        <v>0</v>
      </c>
      <c r="E16" s="30">
        <f t="shared" si="10"/>
        <v>0</v>
      </c>
      <c r="G16" s="1" t="b">
        <f>S4=M5/'[1]Shire 2024 '!$W$56</f>
        <v>0</v>
      </c>
      <c r="H16" s="37">
        <f>+H15+1</f>
        <v>2</v>
      </c>
      <c r="I16" s="38">
        <v>2025</v>
      </c>
      <c r="J16" s="133">
        <f>D14</f>
        <v>0</v>
      </c>
      <c r="K16" s="133">
        <f>(L15-J16)*D$3</f>
        <v>34378.183928150458</v>
      </c>
      <c r="L16" s="44">
        <f t="shared" ref="L16:L27" si="12">L15-J16+K16</f>
        <v>761189.68346621515</v>
      </c>
      <c r="O16" s="34"/>
      <c r="P16" s="7">
        <f t="shared" si="8"/>
        <v>0</v>
      </c>
      <c r="Q16" s="26" t="s">
        <v>38</v>
      </c>
      <c r="R16" s="26"/>
      <c r="S16" s="35">
        <f t="shared" si="9"/>
        <v>320969.26294602314</v>
      </c>
      <c r="T16" s="36">
        <f t="shared" si="7"/>
        <v>320969.26294602331</v>
      </c>
      <c r="V16" s="28">
        <v>2024</v>
      </c>
    </row>
    <row r="17" spans="2:22" x14ac:dyDescent="0.2">
      <c r="B17" s="29">
        <v>4</v>
      </c>
      <c r="C17" s="4">
        <f t="shared" si="11"/>
        <v>46150</v>
      </c>
      <c r="D17" s="30">
        <f>D7-D6</f>
        <v>792000</v>
      </c>
      <c r="E17" s="30">
        <f t="shared" si="10"/>
        <v>829461.6</v>
      </c>
      <c r="H17" s="37">
        <f>+H16+1</f>
        <v>3</v>
      </c>
      <c r="I17" s="38">
        <v>2026</v>
      </c>
      <c r="J17" s="133">
        <f>D17</f>
        <v>792000</v>
      </c>
      <c r="K17" s="133">
        <f>J17-L16</f>
        <v>30810.316533784848</v>
      </c>
      <c r="L17" s="44">
        <f t="shared" si="12"/>
        <v>0</v>
      </c>
      <c r="O17" s="34"/>
      <c r="P17" s="7">
        <f t="shared" si="8"/>
        <v>0</v>
      </c>
      <c r="S17" s="35">
        <f t="shared" si="9"/>
        <v>0</v>
      </c>
      <c r="T17" s="36">
        <f t="shared" si="7"/>
        <v>0</v>
      </c>
      <c r="V17" s="28">
        <v>2025</v>
      </c>
    </row>
    <row r="18" spans="2:22" x14ac:dyDescent="0.2">
      <c r="B18" s="29">
        <v>5</v>
      </c>
      <c r="C18" s="4">
        <f t="shared" si="11"/>
        <v>46515</v>
      </c>
      <c r="D18" s="30">
        <v>0</v>
      </c>
      <c r="E18" s="30">
        <f t="shared" si="10"/>
        <v>0</v>
      </c>
      <c r="F18" s="127"/>
      <c r="H18" s="37">
        <v>4</v>
      </c>
      <c r="I18" s="38">
        <v>2027</v>
      </c>
      <c r="J18" s="133">
        <f t="shared" ref="J18:J27" si="13">D16</f>
        <v>0</v>
      </c>
      <c r="K18" s="133">
        <f>J18-L17</f>
        <v>0</v>
      </c>
      <c r="L18" s="44">
        <f t="shared" si="12"/>
        <v>0</v>
      </c>
      <c r="O18" s="34"/>
      <c r="P18" s="7">
        <f t="shared" si="8"/>
        <v>0</v>
      </c>
      <c r="S18" s="134">
        <f t="shared" si="9"/>
        <v>0</v>
      </c>
      <c r="T18" s="36">
        <f t="shared" si="7"/>
        <v>0</v>
      </c>
      <c r="V18" s="28">
        <v>2026</v>
      </c>
    </row>
    <row r="19" spans="2:22" x14ac:dyDescent="0.2">
      <c r="B19" s="29">
        <v>6</v>
      </c>
      <c r="C19" s="4">
        <f t="shared" si="11"/>
        <v>46880</v>
      </c>
      <c r="D19" s="30">
        <v>0</v>
      </c>
      <c r="E19" s="30">
        <f t="shared" si="10"/>
        <v>0</v>
      </c>
      <c r="H19" s="37">
        <v>5</v>
      </c>
      <c r="I19" s="38">
        <v>2028</v>
      </c>
      <c r="J19" s="133">
        <v>0</v>
      </c>
      <c r="K19" s="133">
        <f>J19-L18</f>
        <v>0</v>
      </c>
      <c r="L19" s="44">
        <f t="shared" si="12"/>
        <v>0</v>
      </c>
      <c r="O19" s="34"/>
      <c r="P19" s="7">
        <f t="shared" si="8"/>
        <v>0</v>
      </c>
      <c r="S19" s="134">
        <f t="shared" si="9"/>
        <v>0</v>
      </c>
      <c r="T19" s="36">
        <f t="shared" si="7"/>
        <v>0</v>
      </c>
      <c r="V19" s="28">
        <v>2027</v>
      </c>
    </row>
    <row r="20" spans="2:22" x14ac:dyDescent="0.2">
      <c r="B20" s="29">
        <v>7</v>
      </c>
      <c r="C20" s="4">
        <f t="shared" si="11"/>
        <v>47245</v>
      </c>
      <c r="D20" s="30">
        <v>0</v>
      </c>
      <c r="E20" s="30">
        <f t="shared" si="10"/>
        <v>0</v>
      </c>
      <c r="H20" s="37">
        <v>6</v>
      </c>
      <c r="I20" s="38">
        <v>2029</v>
      </c>
      <c r="J20" s="133">
        <f t="shared" si="13"/>
        <v>0</v>
      </c>
      <c r="K20" s="133">
        <f t="shared" ref="K20:K27" si="14">L19-J20</f>
        <v>0</v>
      </c>
      <c r="L20" s="44">
        <f t="shared" si="12"/>
        <v>0</v>
      </c>
      <c r="O20" s="34"/>
      <c r="P20" s="7">
        <f t="shared" si="8"/>
        <v>0</v>
      </c>
      <c r="S20" s="134">
        <f t="shared" si="9"/>
        <v>0</v>
      </c>
      <c r="T20" s="36">
        <f t="shared" si="7"/>
        <v>0</v>
      </c>
      <c r="V20" s="28">
        <v>2028</v>
      </c>
    </row>
    <row r="21" spans="2:22" x14ac:dyDescent="0.2">
      <c r="B21" s="29">
        <v>8</v>
      </c>
      <c r="C21" s="4">
        <f t="shared" si="11"/>
        <v>47610</v>
      </c>
      <c r="D21" s="30">
        <v>0</v>
      </c>
      <c r="E21" s="30">
        <f t="shared" si="10"/>
        <v>0</v>
      </c>
      <c r="H21" s="37">
        <v>7</v>
      </c>
      <c r="I21" s="38">
        <v>2030</v>
      </c>
      <c r="J21" s="133">
        <f t="shared" si="13"/>
        <v>0</v>
      </c>
      <c r="K21" s="133">
        <f t="shared" si="14"/>
        <v>0</v>
      </c>
      <c r="L21" s="44">
        <f t="shared" si="12"/>
        <v>0</v>
      </c>
      <c r="O21" s="34"/>
      <c r="P21" s="7">
        <f t="shared" si="8"/>
        <v>0</v>
      </c>
      <c r="S21" s="134">
        <f t="shared" si="9"/>
        <v>0</v>
      </c>
      <c r="T21" s="36">
        <f t="shared" si="7"/>
        <v>0</v>
      </c>
      <c r="V21" s="28">
        <v>2029</v>
      </c>
    </row>
    <row r="22" spans="2:22" x14ac:dyDescent="0.2">
      <c r="B22" s="29">
        <v>9</v>
      </c>
      <c r="C22" s="4">
        <f t="shared" si="11"/>
        <v>47975</v>
      </c>
      <c r="D22" s="30">
        <v>0</v>
      </c>
      <c r="E22" s="30">
        <f t="shared" si="10"/>
        <v>0</v>
      </c>
      <c r="H22" s="37">
        <v>8</v>
      </c>
      <c r="I22" s="38">
        <v>2031</v>
      </c>
      <c r="J22" s="133">
        <f t="shared" si="13"/>
        <v>0</v>
      </c>
      <c r="K22" s="133">
        <f t="shared" si="14"/>
        <v>0</v>
      </c>
      <c r="L22" s="44">
        <f t="shared" si="12"/>
        <v>0</v>
      </c>
      <c r="O22" s="34"/>
      <c r="P22" s="7">
        <f t="shared" si="8"/>
        <v>0</v>
      </c>
      <c r="S22" s="134">
        <f t="shared" si="9"/>
        <v>0</v>
      </c>
      <c r="T22" s="36">
        <f t="shared" si="7"/>
        <v>0</v>
      </c>
      <c r="V22" s="28">
        <v>2030</v>
      </c>
    </row>
    <row r="23" spans="2:22" x14ac:dyDescent="0.2">
      <c r="B23" s="29">
        <v>10</v>
      </c>
      <c r="C23" s="4">
        <f t="shared" si="11"/>
        <v>48340</v>
      </c>
      <c r="D23" s="30">
        <v>0</v>
      </c>
      <c r="E23" s="30">
        <f t="shared" si="10"/>
        <v>0</v>
      </c>
      <c r="H23" s="37">
        <v>9</v>
      </c>
      <c r="I23" s="38">
        <v>2032</v>
      </c>
      <c r="J23" s="133">
        <f t="shared" si="13"/>
        <v>0</v>
      </c>
      <c r="K23" s="133">
        <f t="shared" si="14"/>
        <v>0</v>
      </c>
      <c r="L23" s="44">
        <f t="shared" si="12"/>
        <v>0</v>
      </c>
      <c r="O23" s="34"/>
      <c r="P23" s="7">
        <f t="shared" si="8"/>
        <v>0</v>
      </c>
      <c r="S23" s="134">
        <f t="shared" si="9"/>
        <v>0</v>
      </c>
      <c r="T23" s="36">
        <f t="shared" si="7"/>
        <v>0</v>
      </c>
      <c r="V23" s="28">
        <v>2031</v>
      </c>
    </row>
    <row r="24" spans="2:22" x14ac:dyDescent="0.2">
      <c r="B24" s="29">
        <v>11</v>
      </c>
      <c r="C24" s="4">
        <f t="shared" si="11"/>
        <v>48705</v>
      </c>
      <c r="D24" s="30">
        <v>0</v>
      </c>
      <c r="E24" s="30">
        <f t="shared" si="10"/>
        <v>0</v>
      </c>
      <c r="H24" s="37">
        <v>10</v>
      </c>
      <c r="I24" s="38">
        <v>2033</v>
      </c>
      <c r="J24" s="133">
        <f t="shared" si="13"/>
        <v>0</v>
      </c>
      <c r="K24" s="133">
        <f t="shared" si="14"/>
        <v>0</v>
      </c>
      <c r="L24" s="44">
        <f t="shared" si="12"/>
        <v>0</v>
      </c>
      <c r="O24" s="34"/>
      <c r="P24" s="7">
        <f t="shared" si="8"/>
        <v>0</v>
      </c>
      <c r="S24" s="134">
        <f t="shared" si="9"/>
        <v>0</v>
      </c>
      <c r="T24" s="36">
        <f t="shared" si="7"/>
        <v>0</v>
      </c>
      <c r="V24" s="28">
        <v>2032</v>
      </c>
    </row>
    <row r="25" spans="2:22" x14ac:dyDescent="0.2">
      <c r="B25" s="29">
        <v>12</v>
      </c>
      <c r="C25" s="4">
        <f t="shared" si="11"/>
        <v>49070</v>
      </c>
      <c r="D25" s="30">
        <v>0</v>
      </c>
      <c r="E25" s="30">
        <f t="shared" si="10"/>
        <v>0</v>
      </c>
      <c r="H25" s="37">
        <v>11</v>
      </c>
      <c r="I25" s="38">
        <v>2034</v>
      </c>
      <c r="J25" s="133">
        <f t="shared" si="13"/>
        <v>0</v>
      </c>
      <c r="K25" s="133">
        <f>L24-J25</f>
        <v>0</v>
      </c>
      <c r="L25" s="44">
        <f t="shared" si="12"/>
        <v>0</v>
      </c>
      <c r="O25" s="24"/>
      <c r="P25" s="46">
        <f>SUM(P12:P24)</f>
        <v>1980000</v>
      </c>
      <c r="S25" s="134">
        <f t="shared" si="9"/>
        <v>0</v>
      </c>
      <c r="T25" s="36">
        <f t="shared" si="7"/>
        <v>0</v>
      </c>
      <c r="V25" s="28">
        <v>2033</v>
      </c>
    </row>
    <row r="26" spans="2:22" x14ac:dyDescent="0.2">
      <c r="B26" s="29">
        <v>13</v>
      </c>
      <c r="C26" s="4">
        <f t="shared" si="11"/>
        <v>49435</v>
      </c>
      <c r="D26" s="30">
        <v>0</v>
      </c>
      <c r="E26" s="30">
        <f t="shared" si="10"/>
        <v>0</v>
      </c>
      <c r="H26" s="37">
        <v>12</v>
      </c>
      <c r="I26" s="38">
        <v>2035</v>
      </c>
      <c r="J26" s="133">
        <f t="shared" si="13"/>
        <v>0</v>
      </c>
      <c r="K26" s="133">
        <f t="shared" si="14"/>
        <v>0</v>
      </c>
      <c r="L26" s="44">
        <f t="shared" si="12"/>
        <v>0</v>
      </c>
      <c r="O26" s="47"/>
      <c r="P26" s="48"/>
      <c r="S26" s="48"/>
      <c r="T26" s="49"/>
      <c r="V26" s="28"/>
    </row>
    <row r="27" spans="2:22" ht="13.5" thickBot="1" x14ac:dyDescent="0.25">
      <c r="B27" s="29"/>
      <c r="C27" s="4"/>
      <c r="H27" s="50">
        <v>13</v>
      </c>
      <c r="I27" s="38">
        <v>2036</v>
      </c>
      <c r="J27" s="133">
        <f t="shared" si="13"/>
        <v>0</v>
      </c>
      <c r="K27" s="133">
        <f t="shared" si="14"/>
        <v>0</v>
      </c>
      <c r="L27" s="51">
        <f t="shared" si="12"/>
        <v>0</v>
      </c>
    </row>
    <row r="28" spans="2:22" ht="13.5" thickBot="1" x14ac:dyDescent="0.25">
      <c r="C28" s="52" t="s">
        <v>2</v>
      </c>
      <c r="D28" s="135">
        <f>XNPV(D3,D13:D26,C13:C26)</f>
        <v>689464.43870670639</v>
      </c>
      <c r="E28" s="52"/>
      <c r="H28" s="54"/>
      <c r="I28" s="38"/>
      <c r="J28" s="133"/>
      <c r="K28" s="133"/>
      <c r="L28" s="49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O29" s="35">
        <f t="shared" ref="O29:O40" si="15">-K15+J15</f>
        <v>-37347.060831358285</v>
      </c>
      <c r="P29" s="36">
        <f>+D28</f>
        <v>689464.43870670639</v>
      </c>
      <c r="Q29" s="26" t="s">
        <v>31</v>
      </c>
      <c r="R29" s="26" t="s">
        <v>39</v>
      </c>
      <c r="S29" s="55">
        <f>+P29</f>
        <v>689464.43870670639</v>
      </c>
      <c r="T29" s="36">
        <f>+S12</f>
        <v>1877464.4387067063</v>
      </c>
      <c r="U29" s="26" t="s">
        <v>40</v>
      </c>
      <c r="V29" s="28">
        <v>2021</v>
      </c>
    </row>
    <row r="30" spans="2:22" x14ac:dyDescent="0.2">
      <c r="H30" s="29"/>
      <c r="I30" s="56"/>
      <c r="J30" s="18" t="s">
        <v>41</v>
      </c>
      <c r="K30" s="136"/>
      <c r="L30" s="8">
        <f>(D5-D4) /365*12</f>
        <v>60</v>
      </c>
      <c r="N30" s="26" t="s">
        <v>39</v>
      </c>
      <c r="O30" s="35">
        <f t="shared" si="15"/>
        <v>-34378.183928150458</v>
      </c>
      <c r="P30" s="36">
        <f t="shared" ref="P30:P40" si="16">+P29-O29</f>
        <v>726811.4995380647</v>
      </c>
      <c r="Q30" s="26" t="s">
        <v>42</v>
      </c>
      <c r="S30" s="34"/>
      <c r="T30" s="6">
        <f>+T29-S29</f>
        <v>1188000</v>
      </c>
      <c r="U30" s="26"/>
    </row>
    <row r="31" spans="2:22" x14ac:dyDescent="0.2">
      <c r="G31" s="7"/>
      <c r="J31" s="18" t="s">
        <v>43</v>
      </c>
      <c r="K31" s="58"/>
      <c r="L31" s="11">
        <f>D32/L30</f>
        <v>31291.073978445103</v>
      </c>
      <c r="M31" s="42"/>
      <c r="N31" s="26" t="s">
        <v>44</v>
      </c>
      <c r="O31" s="35">
        <f t="shared" si="15"/>
        <v>761189.68346621515</v>
      </c>
      <c r="P31" s="36">
        <f t="shared" si="16"/>
        <v>761189.68346621515</v>
      </c>
      <c r="Q31" s="26" t="s">
        <v>42</v>
      </c>
      <c r="S31" s="34"/>
    </row>
    <row r="32" spans="2:22" ht="13.5" thickBot="1" x14ac:dyDescent="0.25">
      <c r="C32" s="1" t="s">
        <v>45</v>
      </c>
      <c r="D32" s="59">
        <f>+D33+D34+D35+D36-D37</f>
        <v>1877464.4387067063</v>
      </c>
      <c r="G32" s="60"/>
      <c r="N32" s="26" t="s">
        <v>46</v>
      </c>
      <c r="O32" s="35">
        <f t="shared" si="15"/>
        <v>0</v>
      </c>
      <c r="P32" s="36">
        <f t="shared" si="16"/>
        <v>0</v>
      </c>
      <c r="Q32" s="26" t="s">
        <v>42</v>
      </c>
      <c r="S32" s="34"/>
    </row>
    <row r="33" spans="3:24" x14ac:dyDescent="0.2">
      <c r="C33" s="1" t="s">
        <v>47</v>
      </c>
      <c r="D33" s="102">
        <f>D28</f>
        <v>689464.43870670639</v>
      </c>
      <c r="G33" s="11"/>
      <c r="I33" s="21" t="s">
        <v>27</v>
      </c>
      <c r="J33" s="22" t="s">
        <v>30</v>
      </c>
      <c r="K33" s="22" t="s">
        <v>48</v>
      </c>
      <c r="L33" s="61" t="s">
        <v>49</v>
      </c>
      <c r="N33" s="26" t="s">
        <v>50</v>
      </c>
      <c r="O33" s="35">
        <f t="shared" si="15"/>
        <v>0</v>
      </c>
      <c r="P33" s="36">
        <f t="shared" si="16"/>
        <v>0</v>
      </c>
      <c r="S33" s="34"/>
    </row>
    <row r="34" spans="3:24" x14ac:dyDescent="0.2">
      <c r="C34" s="1" t="s">
        <v>51</v>
      </c>
      <c r="D34" s="30">
        <v>0</v>
      </c>
      <c r="E34" s="11"/>
      <c r="G34" s="11"/>
      <c r="I34" s="62">
        <f>D4</f>
        <v>45055</v>
      </c>
      <c r="J34" s="49">
        <f>+D32</f>
        <v>1877464.4387067063</v>
      </c>
      <c r="K34" s="63">
        <v>0</v>
      </c>
      <c r="L34" s="64">
        <v>0</v>
      </c>
      <c r="N34" s="26"/>
      <c r="O34" s="35">
        <f t="shared" si="15"/>
        <v>0</v>
      </c>
      <c r="P34" s="36">
        <f t="shared" si="16"/>
        <v>0</v>
      </c>
      <c r="S34" s="47"/>
    </row>
    <row r="35" spans="3:24" x14ac:dyDescent="0.2">
      <c r="C35" s="1" t="s">
        <v>52</v>
      </c>
      <c r="D35" s="65">
        <f>D6</f>
        <v>1188000</v>
      </c>
      <c r="E35" s="11"/>
      <c r="G35" s="6"/>
      <c r="I35" s="62">
        <v>45473</v>
      </c>
      <c r="J35" s="49">
        <f t="shared" ref="J35:J49" si="17">J34-K35</f>
        <v>1447447.9261700469</v>
      </c>
      <c r="K35" s="49">
        <f t="shared" ref="K35:K49" si="18">L35*L$31</f>
        <v>430016.51253665925</v>
      </c>
      <c r="L35" s="66">
        <f>(I35-I34) /365*12</f>
        <v>13.742465753424657</v>
      </c>
      <c r="M35" s="127"/>
      <c r="N35" s="26"/>
      <c r="O35" s="35">
        <f t="shared" si="15"/>
        <v>0</v>
      </c>
      <c r="P35" s="36">
        <f t="shared" si="16"/>
        <v>0</v>
      </c>
      <c r="S35" s="47"/>
    </row>
    <row r="36" spans="3:24" x14ac:dyDescent="0.2">
      <c r="C36" s="1" t="s">
        <v>53</v>
      </c>
      <c r="D36" s="30">
        <v>0</v>
      </c>
      <c r="G36" s="126"/>
      <c r="I36" s="62">
        <v>45838</v>
      </c>
      <c r="J36" s="49">
        <f t="shared" si="17"/>
        <v>1071955.0384287057</v>
      </c>
      <c r="K36" s="49">
        <f t="shared" si="18"/>
        <v>375492.88774134126</v>
      </c>
      <c r="L36" s="67">
        <f>IF(L30-SUM(L35)&lt;12,L30-SUM(L35),12)</f>
        <v>12</v>
      </c>
      <c r="N36" s="26"/>
      <c r="O36" s="35">
        <f t="shared" si="15"/>
        <v>0</v>
      </c>
      <c r="P36" s="36">
        <f t="shared" si="16"/>
        <v>0</v>
      </c>
      <c r="S36" s="47"/>
    </row>
    <row r="37" spans="3:24" x14ac:dyDescent="0.2">
      <c r="C37" s="1" t="s">
        <v>54</v>
      </c>
      <c r="D37" s="30">
        <v>0</v>
      </c>
      <c r="I37" s="62">
        <v>46203</v>
      </c>
      <c r="J37" s="49">
        <f t="shared" si="17"/>
        <v>696462.1506873644</v>
      </c>
      <c r="K37" s="49">
        <f t="shared" si="18"/>
        <v>375492.88774134126</v>
      </c>
      <c r="L37" s="67">
        <f>IF(L30-SUM(L35:L36)&lt;12,L30-SUM(L35:L36),12)</f>
        <v>12</v>
      </c>
      <c r="N37" s="26"/>
      <c r="O37" s="35">
        <f t="shared" si="15"/>
        <v>0</v>
      </c>
      <c r="P37" s="36">
        <f t="shared" si="16"/>
        <v>0</v>
      </c>
      <c r="S37" s="47"/>
    </row>
    <row r="38" spans="3:24" x14ac:dyDescent="0.2">
      <c r="C38" s="52" t="s">
        <v>55</v>
      </c>
      <c r="E38" s="11"/>
      <c r="I38" s="62">
        <v>46568</v>
      </c>
      <c r="J38" s="49">
        <f t="shared" si="17"/>
        <v>320969.26294602314</v>
      </c>
      <c r="K38" s="49">
        <f t="shared" si="18"/>
        <v>375492.88774134126</v>
      </c>
      <c r="L38" s="67">
        <f>IF(L30-SUM(L35:L37)&lt;12,L30-SUM(L35:L37),12)</f>
        <v>12</v>
      </c>
      <c r="N38" s="26"/>
      <c r="O38" s="35">
        <f t="shared" si="15"/>
        <v>0</v>
      </c>
      <c r="P38" s="36">
        <f t="shared" si="16"/>
        <v>0</v>
      </c>
      <c r="S38" s="47"/>
    </row>
    <row r="39" spans="3:24" x14ac:dyDescent="0.2">
      <c r="I39" s="62">
        <v>46934</v>
      </c>
      <c r="J39" s="49">
        <f t="shared" si="17"/>
        <v>0</v>
      </c>
      <c r="K39" s="49">
        <f t="shared" si="18"/>
        <v>320969.26294602331</v>
      </c>
      <c r="L39" s="67">
        <f>IF(L30-SUM(L35:L38)&lt;12,L30-SUM(L35:L38),12)</f>
        <v>10.257534246575347</v>
      </c>
      <c r="N39" s="26"/>
      <c r="O39" s="35">
        <f t="shared" si="15"/>
        <v>0</v>
      </c>
      <c r="P39" s="36">
        <f t="shared" si="16"/>
        <v>0</v>
      </c>
      <c r="S39" s="47"/>
    </row>
    <row r="40" spans="3:24" x14ac:dyDescent="0.2">
      <c r="I40" s="62">
        <v>47299</v>
      </c>
      <c r="J40" s="49">
        <f t="shared" si="17"/>
        <v>0</v>
      </c>
      <c r="K40" s="49">
        <f t="shared" si="18"/>
        <v>0</v>
      </c>
      <c r="L40" s="68">
        <f>IF(L30-SUM(L35:L39)&lt;12,L30-SUM(L35:L39),12)</f>
        <v>0</v>
      </c>
      <c r="N40" s="26"/>
      <c r="O40" s="35">
        <f t="shared" si="15"/>
        <v>0</v>
      </c>
      <c r="P40" s="36">
        <f t="shared" si="16"/>
        <v>0</v>
      </c>
    </row>
    <row r="41" spans="3:24" x14ac:dyDescent="0.2">
      <c r="I41" s="62">
        <v>47664</v>
      </c>
      <c r="J41" s="49">
        <f t="shared" si="17"/>
        <v>0</v>
      </c>
      <c r="K41" s="49">
        <f t="shared" si="18"/>
        <v>0</v>
      </c>
      <c r="L41" s="67">
        <f>IF(L30-SUM(L35:L40)&lt;12,L30-SUM(L35:L40),12)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70"/>
      <c r="D42" s="71" t="s">
        <v>60</v>
      </c>
      <c r="E42" s="71" t="s">
        <v>61</v>
      </c>
      <c r="I42" s="62">
        <v>48029</v>
      </c>
      <c r="J42" s="49">
        <f t="shared" si="17"/>
        <v>0</v>
      </c>
      <c r="K42" s="49">
        <f t="shared" si="18"/>
        <v>0</v>
      </c>
      <c r="L42" s="67">
        <f>IF(L30-SUM(L35:L41)&lt;12,L30-SUM(L35:L41),12)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71" t="s">
        <v>93</v>
      </c>
      <c r="D43" s="137">
        <f>D32</f>
        <v>1877464.4387067063</v>
      </c>
      <c r="E43" s="137"/>
      <c r="I43" s="62">
        <v>48395</v>
      </c>
      <c r="J43" s="49">
        <f t="shared" si="17"/>
        <v>0</v>
      </c>
      <c r="K43" s="49">
        <f t="shared" si="18"/>
        <v>0</v>
      </c>
      <c r="L43" s="67">
        <f>IF(L30-SUM(L35:L42)&lt;12,L30-SUM(L35:L42),12)</f>
        <v>0</v>
      </c>
      <c r="N43" s="26" t="s">
        <v>62</v>
      </c>
      <c r="O43" s="72">
        <f t="shared" ref="O43:O50" si="19">+P12</f>
        <v>1188000</v>
      </c>
      <c r="P43" s="73"/>
      <c r="R43" s="26" t="s">
        <v>39</v>
      </c>
      <c r="S43" s="74">
        <f t="shared" ref="S43:S55" si="20">K15</f>
        <v>37347.060831358285</v>
      </c>
      <c r="T43" s="75"/>
      <c r="U43" s="28">
        <v>2021</v>
      </c>
      <c r="V43" s="26" t="s">
        <v>63</v>
      </c>
      <c r="W43" s="27">
        <f t="shared" ref="W43:W55" si="21">K35</f>
        <v>430016.51253665925</v>
      </c>
      <c r="X43" s="6"/>
    </row>
    <row r="44" spans="3:24" x14ac:dyDescent="0.2">
      <c r="C44" s="71" t="s">
        <v>70</v>
      </c>
      <c r="D44" s="137"/>
      <c r="E44" s="137">
        <f>D33</f>
        <v>689464.43870670639</v>
      </c>
      <c r="I44" s="62">
        <v>48760</v>
      </c>
      <c r="J44" s="49">
        <f t="shared" si="17"/>
        <v>0</v>
      </c>
      <c r="K44" s="49">
        <f t="shared" si="18"/>
        <v>0</v>
      </c>
      <c r="L44" s="67">
        <f>IF(L30-SUM(L35:L43)&lt;12,L30-SUM(L35:L43),12)</f>
        <v>0</v>
      </c>
      <c r="O44" s="72">
        <f t="shared" si="19"/>
        <v>0</v>
      </c>
      <c r="P44" s="73"/>
      <c r="R44" s="26" t="s">
        <v>44</v>
      </c>
      <c r="S44" s="77">
        <f t="shared" si="20"/>
        <v>34378.183928150458</v>
      </c>
      <c r="T44" s="47"/>
      <c r="U44" s="28">
        <v>2022</v>
      </c>
      <c r="V44" s="26" t="s">
        <v>64</v>
      </c>
      <c r="W44" s="78">
        <f t="shared" si="21"/>
        <v>375492.88774134126</v>
      </c>
    </row>
    <row r="45" spans="3:24" x14ac:dyDescent="0.2">
      <c r="C45" s="71" t="s">
        <v>96</v>
      </c>
      <c r="D45" s="137"/>
      <c r="E45" s="137">
        <f>D35</f>
        <v>1188000</v>
      </c>
      <c r="I45" s="62">
        <v>49125</v>
      </c>
      <c r="J45" s="49">
        <f t="shared" si="17"/>
        <v>0</v>
      </c>
      <c r="K45" s="49">
        <f t="shared" si="18"/>
        <v>0</v>
      </c>
      <c r="L45" s="67">
        <f>IF(L30-SUM(L35:L44)&lt;12,L30-SUM(L35:L44),12)</f>
        <v>0</v>
      </c>
      <c r="O45" s="72">
        <f t="shared" si="19"/>
        <v>0</v>
      </c>
      <c r="P45" s="73"/>
      <c r="R45" s="26" t="s">
        <v>46</v>
      </c>
      <c r="S45" s="77">
        <f t="shared" si="20"/>
        <v>30810.316533784848</v>
      </c>
      <c r="T45" s="47"/>
      <c r="U45" s="28">
        <v>2023</v>
      </c>
      <c r="V45" s="26" t="s">
        <v>65</v>
      </c>
      <c r="W45" s="78">
        <f t="shared" si="21"/>
        <v>375492.88774134126</v>
      </c>
    </row>
    <row r="46" spans="3:24" x14ac:dyDescent="0.2">
      <c r="C46" s="71" t="s">
        <v>67</v>
      </c>
      <c r="D46" s="138">
        <f>D43+D44+D45</f>
        <v>1877464.4387067063</v>
      </c>
      <c r="E46" s="138">
        <f>E44+E45</f>
        <v>1877464.4387067063</v>
      </c>
      <c r="I46" s="62">
        <v>49490</v>
      </c>
      <c r="J46" s="49">
        <f t="shared" si="17"/>
        <v>0</v>
      </c>
      <c r="K46" s="49">
        <f t="shared" si="18"/>
        <v>0</v>
      </c>
      <c r="L46" s="67">
        <f>IF(L30-SUM(L35:L45)&lt;12,L30-SUM(L35:L45),12)</f>
        <v>0</v>
      </c>
      <c r="O46" s="72">
        <f t="shared" si="19"/>
        <v>792000</v>
      </c>
      <c r="P46" s="73"/>
      <c r="R46" s="26" t="s">
        <v>50</v>
      </c>
      <c r="S46" s="77">
        <f t="shared" si="20"/>
        <v>0</v>
      </c>
      <c r="T46" s="47"/>
      <c r="U46" s="28">
        <v>2024</v>
      </c>
      <c r="V46" s="26" t="s">
        <v>66</v>
      </c>
      <c r="W46" s="78">
        <f t="shared" si="21"/>
        <v>375492.88774134126</v>
      </c>
    </row>
    <row r="47" spans="3:24" x14ac:dyDescent="0.2">
      <c r="E47" s="80"/>
      <c r="G47" s="127">
        <f>G46*1.15</f>
        <v>0</v>
      </c>
      <c r="I47" s="62">
        <v>49856</v>
      </c>
      <c r="J47" s="49">
        <f t="shared" si="17"/>
        <v>0</v>
      </c>
      <c r="K47" s="49">
        <f t="shared" si="18"/>
        <v>0</v>
      </c>
      <c r="L47" s="67">
        <f>IF(L30-SUM(L35:L46)&lt;12,L30-SUM(L35:L46),12)</f>
        <v>0</v>
      </c>
      <c r="O47" s="72">
        <f t="shared" si="19"/>
        <v>0</v>
      </c>
      <c r="P47" s="73"/>
      <c r="S47" s="77">
        <f t="shared" si="20"/>
        <v>0</v>
      </c>
      <c r="T47" s="47"/>
      <c r="U47" s="28">
        <v>2025</v>
      </c>
      <c r="W47" s="78">
        <f t="shared" si="21"/>
        <v>320969.26294602331</v>
      </c>
    </row>
    <row r="48" spans="3:24" x14ac:dyDescent="0.2">
      <c r="E48" s="80"/>
      <c r="I48" s="62">
        <v>50221</v>
      </c>
      <c r="J48" s="49">
        <f t="shared" si="17"/>
        <v>0</v>
      </c>
      <c r="K48" s="49">
        <f t="shared" si="18"/>
        <v>0</v>
      </c>
      <c r="L48" s="67">
        <f>IF(L30-SUM(L35:L47)&lt;12,L30-SUM(L35:L47),12)</f>
        <v>0</v>
      </c>
      <c r="O48" s="72">
        <f t="shared" si="19"/>
        <v>0</v>
      </c>
      <c r="P48" s="73"/>
      <c r="S48" s="77">
        <f t="shared" si="20"/>
        <v>0</v>
      </c>
      <c r="T48" s="47"/>
      <c r="U48" s="28">
        <v>2026</v>
      </c>
      <c r="W48" s="78">
        <f t="shared" si="21"/>
        <v>0</v>
      </c>
      <c r="X48" s="47"/>
    </row>
    <row r="49" spans="5:24" ht="13.5" thickBot="1" x14ac:dyDescent="0.25">
      <c r="E49" s="80"/>
      <c r="I49" s="62">
        <v>50586</v>
      </c>
      <c r="J49" s="81">
        <f t="shared" si="17"/>
        <v>0</v>
      </c>
      <c r="K49" s="81">
        <f t="shared" si="18"/>
        <v>0</v>
      </c>
      <c r="L49" s="82">
        <f>IF(L30-SUM(L35:L48)&lt;12,L30-SUM(L35:L48),12)</f>
        <v>0</v>
      </c>
      <c r="O49" s="72">
        <f t="shared" si="19"/>
        <v>0</v>
      </c>
      <c r="P49" s="73"/>
      <c r="S49" s="77">
        <f t="shared" si="20"/>
        <v>0</v>
      </c>
      <c r="T49" s="47"/>
      <c r="U49" s="28">
        <v>2027</v>
      </c>
      <c r="W49" s="78">
        <f t="shared" si="21"/>
        <v>0</v>
      </c>
      <c r="X49" s="47"/>
    </row>
    <row r="50" spans="5:24" x14ac:dyDescent="0.2">
      <c r="E50" s="80"/>
      <c r="O50" s="83">
        <f t="shared" si="19"/>
        <v>0</v>
      </c>
      <c r="P50" s="73"/>
      <c r="S50" s="77">
        <f t="shared" si="20"/>
        <v>0</v>
      </c>
      <c r="T50" s="47"/>
      <c r="U50" s="28">
        <v>2028</v>
      </c>
      <c r="W50" s="78">
        <f t="shared" si="21"/>
        <v>0</v>
      </c>
      <c r="X50" s="47"/>
    </row>
    <row r="51" spans="5:24" x14ac:dyDescent="0.2">
      <c r="S51" s="77">
        <f t="shared" si="20"/>
        <v>0</v>
      </c>
      <c r="T51" s="47"/>
      <c r="U51" s="28">
        <v>2029</v>
      </c>
      <c r="W51" s="78">
        <f t="shared" si="21"/>
        <v>0</v>
      </c>
      <c r="X51" s="47"/>
    </row>
    <row r="52" spans="5:24" x14ac:dyDescent="0.2">
      <c r="S52" s="77">
        <f t="shared" si="20"/>
        <v>0</v>
      </c>
      <c r="T52" s="47"/>
      <c r="U52" s="28">
        <v>2030</v>
      </c>
      <c r="W52" s="78">
        <f t="shared" si="21"/>
        <v>0</v>
      </c>
      <c r="X52" s="47"/>
    </row>
    <row r="53" spans="5:24" x14ac:dyDescent="0.2">
      <c r="S53" s="77">
        <f t="shared" si="20"/>
        <v>0</v>
      </c>
      <c r="T53" s="47"/>
      <c r="U53" s="28">
        <v>2031</v>
      </c>
      <c r="W53" s="78">
        <f t="shared" si="21"/>
        <v>0</v>
      </c>
      <c r="X53" s="47"/>
    </row>
    <row r="54" spans="5:24" x14ac:dyDescent="0.2">
      <c r="S54" s="77">
        <f t="shared" si="20"/>
        <v>0</v>
      </c>
      <c r="T54" s="47"/>
      <c r="U54" s="28">
        <v>2032</v>
      </c>
      <c r="W54" s="78">
        <f t="shared" si="21"/>
        <v>0</v>
      </c>
      <c r="X54" s="47"/>
    </row>
    <row r="55" spans="5:24" x14ac:dyDescent="0.2">
      <c r="S55" s="77">
        <f t="shared" si="20"/>
        <v>0</v>
      </c>
      <c r="T55" s="47"/>
      <c r="U55" s="28">
        <v>2033</v>
      </c>
      <c r="W55" s="78">
        <f t="shared" si="21"/>
        <v>0</v>
      </c>
      <c r="X55" s="47"/>
    </row>
    <row r="56" spans="5:24" x14ac:dyDescent="0.2">
      <c r="S56" s="46">
        <f>SUM(S43:S55)</f>
        <v>102535.56129329359</v>
      </c>
      <c r="T56" s="75"/>
      <c r="W56" s="74">
        <f>SUM(W43:W55)</f>
        <v>1877464.4387067065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topLeftCell="A13" workbookViewId="0">
      <selection activeCell="M15" sqref="M15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13.140625" style="1" customWidth="1"/>
    <col min="7" max="7" width="17" style="1" customWidth="1"/>
    <col min="8" max="8" width="13.140625" style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0.710937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101</v>
      </c>
      <c r="E1" s="1">
        <v>148.75</v>
      </c>
      <c r="F1" s="1" t="s">
        <v>98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126">
        <v>25000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27">
        <f>E2*60</f>
        <v>1500000</v>
      </c>
      <c r="F3" s="11"/>
      <c r="G3" s="11"/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45181</v>
      </c>
      <c r="E4" s="127">
        <f>E3*1.1</f>
        <v>1650000.0000000002</v>
      </c>
      <c r="F4" s="11"/>
      <c r="G4" s="11"/>
      <c r="I4" s="4">
        <v>45107</v>
      </c>
      <c r="J4" s="6">
        <v>0</v>
      </c>
      <c r="K4" s="7">
        <v>0</v>
      </c>
      <c r="L4" s="8">
        <f t="shared" ref="L4" si="0">K34</f>
        <v>0</v>
      </c>
      <c r="M4" s="7">
        <v>0</v>
      </c>
      <c r="O4" s="6">
        <v>0</v>
      </c>
      <c r="P4" s="6">
        <v>0</v>
      </c>
      <c r="S4" s="11"/>
    </row>
    <row r="5" spans="2:22" x14ac:dyDescent="0.2">
      <c r="C5" s="1" t="s">
        <v>11</v>
      </c>
      <c r="D5" s="12">
        <v>47006</v>
      </c>
      <c r="E5" s="128">
        <f>E2*36</f>
        <v>900000</v>
      </c>
      <c r="F5" s="86">
        <f>E5*0.02</f>
        <v>18000</v>
      </c>
      <c r="G5" s="85"/>
      <c r="H5" s="85"/>
      <c r="I5" s="4">
        <v>45473</v>
      </c>
      <c r="J5" s="6">
        <f>J35</f>
        <v>1314225.1070946946</v>
      </c>
      <c r="K5" s="7">
        <f>L15</f>
        <v>596294.81088947353</v>
      </c>
      <c r="L5" s="8">
        <f>K35</f>
        <v>250328.59182756091</v>
      </c>
      <c r="M5" s="7">
        <f>K15</f>
        <v>21741.111967218148</v>
      </c>
      <c r="N5" s="7">
        <f>J15</f>
        <v>0</v>
      </c>
      <c r="O5" s="127">
        <v>0</v>
      </c>
      <c r="P5" s="6"/>
    </row>
    <row r="6" spans="2:22" x14ac:dyDescent="0.2">
      <c r="C6" s="1" t="s">
        <v>12</v>
      </c>
      <c r="D6" s="127">
        <v>990000.00000000012</v>
      </c>
      <c r="E6" s="86">
        <f>E5*1.1</f>
        <v>990000.00000000012</v>
      </c>
      <c r="F6" s="86">
        <f>E5*0.1</f>
        <v>90000</v>
      </c>
      <c r="G6" s="86"/>
      <c r="H6" s="85"/>
      <c r="I6" s="4">
        <v>45838</v>
      </c>
      <c r="J6" s="6">
        <f>J36</f>
        <v>1001314.3673102435</v>
      </c>
      <c r="K6" s="7">
        <f t="shared" ref="K6:K9" si="1">L16</f>
        <v>624499.55544454558</v>
      </c>
      <c r="L6" s="8">
        <f t="shared" ref="L6:L10" si="2">K36</f>
        <v>312910.73978445109</v>
      </c>
      <c r="M6" s="7">
        <f t="shared" ref="M6:M10" si="3">K16</f>
        <v>28204.744555072099</v>
      </c>
      <c r="N6" s="7">
        <f t="shared" ref="N6:N10" si="4">J16</f>
        <v>0</v>
      </c>
      <c r="O6" s="127">
        <v>0</v>
      </c>
      <c r="P6" s="11">
        <f>M15*5</f>
        <v>11323.495816259452</v>
      </c>
    </row>
    <row r="7" spans="2:22" x14ac:dyDescent="0.2">
      <c r="C7" s="1" t="s">
        <v>13</v>
      </c>
      <c r="D7" s="127">
        <v>1650000.0000000002</v>
      </c>
      <c r="E7" s="129"/>
      <c r="G7" s="11"/>
      <c r="I7" s="4">
        <v>46203</v>
      </c>
      <c r="J7" s="6">
        <f t="shared" ref="J7:J10" si="5">J37</f>
        <v>688403.62752579246</v>
      </c>
      <c r="K7" s="7">
        <f t="shared" si="1"/>
        <v>0</v>
      </c>
      <c r="L7" s="8">
        <f t="shared" si="2"/>
        <v>312910.73978445109</v>
      </c>
      <c r="M7" s="7">
        <f t="shared" si="3"/>
        <v>35500.444555454538</v>
      </c>
      <c r="N7" s="7">
        <f>J17</f>
        <v>660000.00000000012</v>
      </c>
      <c r="P7" s="11">
        <f>M15*'[1]Shire 2024 '!$X$56</f>
        <v>1681.4615705240051</v>
      </c>
    </row>
    <row r="8" spans="2:22" x14ac:dyDescent="0.2">
      <c r="C8" s="1" t="s">
        <v>14</v>
      </c>
      <c r="D8" s="12">
        <f>D4</f>
        <v>45181</v>
      </c>
      <c r="E8" s="15"/>
      <c r="I8" s="4">
        <v>46568</v>
      </c>
      <c r="J8" s="6">
        <f t="shared" si="5"/>
        <v>375492.88774134137</v>
      </c>
      <c r="K8" s="7">
        <f t="shared" si="1"/>
        <v>0</v>
      </c>
      <c r="L8" s="8">
        <f t="shared" si="2"/>
        <v>312910.73978445109</v>
      </c>
      <c r="M8" s="7">
        <f t="shared" si="3"/>
        <v>0</v>
      </c>
      <c r="N8" s="7">
        <f t="shared" si="4"/>
        <v>0</v>
      </c>
      <c r="P8" s="11">
        <f>P6+P7</f>
        <v>13004.957386783457</v>
      </c>
    </row>
    <row r="9" spans="2:22" x14ac:dyDescent="0.2">
      <c r="C9" s="1" t="s">
        <v>15</v>
      </c>
      <c r="D9" s="130">
        <v>0</v>
      </c>
      <c r="E9" s="11"/>
      <c r="I9" s="4">
        <v>46934</v>
      </c>
      <c r="J9" s="6">
        <f t="shared" si="5"/>
        <v>62582.147956890287</v>
      </c>
      <c r="K9" s="7">
        <f t="shared" si="1"/>
        <v>0</v>
      </c>
      <c r="L9" s="8">
        <f t="shared" si="2"/>
        <v>312910.73978445109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5"/>
        <v>1.0186340659856796E-10</v>
      </c>
      <c r="K10" s="7">
        <f t="shared" ref="K10" si="6">L21</f>
        <v>0</v>
      </c>
      <c r="L10" s="8">
        <f t="shared" si="2"/>
        <v>62582.147956890185</v>
      </c>
      <c r="M10" s="7">
        <f t="shared" si="3"/>
        <v>0</v>
      </c>
      <c r="N10" s="7">
        <f t="shared" si="4"/>
        <v>0</v>
      </c>
    </row>
    <row r="11" spans="2:22" ht="13.5" thickBot="1" x14ac:dyDescent="0.25"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21" t="s">
        <v>23</v>
      </c>
      <c r="I12" s="22"/>
      <c r="J12" s="22"/>
      <c r="K12" s="22"/>
      <c r="L12" s="23"/>
      <c r="O12" s="24"/>
      <c r="P12" s="25">
        <f>+D6</f>
        <v>990000.00000000012</v>
      </c>
      <c r="Q12" s="26" t="s">
        <v>24</v>
      </c>
      <c r="R12" s="26" t="s">
        <v>25</v>
      </c>
      <c r="S12" s="27">
        <f>+D32</f>
        <v>1564553.6989222555</v>
      </c>
      <c r="T12" s="6">
        <f t="shared" ref="T12:T25" si="7">+K35</f>
        <v>250328.59182756091</v>
      </c>
      <c r="U12" s="26" t="s">
        <v>26</v>
      </c>
      <c r="V12" s="28"/>
    </row>
    <row r="13" spans="2:22" x14ac:dyDescent="0.2">
      <c r="B13" s="29">
        <v>0</v>
      </c>
      <c r="C13" s="4">
        <f>D4</f>
        <v>45181</v>
      </c>
      <c r="D13" s="30">
        <v>0</v>
      </c>
      <c r="E13" s="30"/>
      <c r="H13" s="31" t="s">
        <v>19</v>
      </c>
      <c r="I13" s="32" t="s">
        <v>27</v>
      </c>
      <c r="J13" s="32" t="s">
        <v>28</v>
      </c>
      <c r="K13" s="32" t="s">
        <v>29</v>
      </c>
      <c r="L13" s="33" t="s">
        <v>30</v>
      </c>
      <c r="O13" s="34"/>
      <c r="P13" s="7">
        <f t="shared" ref="P13:P24" si="8">J15</f>
        <v>0</v>
      </c>
      <c r="Q13" s="26" t="s">
        <v>31</v>
      </c>
      <c r="R13" s="26" t="s">
        <v>32</v>
      </c>
      <c r="S13" s="35">
        <f t="shared" ref="S13:S25" si="9">+S12-T12</f>
        <v>1314225.1070946946</v>
      </c>
      <c r="T13" s="36">
        <f t="shared" si="7"/>
        <v>312910.73978445109</v>
      </c>
      <c r="U13" s="26" t="s">
        <v>33</v>
      </c>
      <c r="V13" s="28">
        <v>2021</v>
      </c>
    </row>
    <row r="14" spans="2:22" x14ac:dyDescent="0.2">
      <c r="B14" s="29">
        <v>1</v>
      </c>
      <c r="C14" s="4">
        <f>D8</f>
        <v>45181</v>
      </c>
      <c r="D14" s="30">
        <v>0</v>
      </c>
      <c r="E14" s="30">
        <f t="shared" ref="E14:E26" si="10">+D14*(1+$D$3)</f>
        <v>0</v>
      </c>
      <c r="H14" s="37">
        <v>0</v>
      </c>
      <c r="I14" s="38"/>
      <c r="J14" s="131"/>
      <c r="K14" s="132"/>
      <c r="L14" s="41">
        <f>D28</f>
        <v>574553.69892225543</v>
      </c>
      <c r="N14" s="42"/>
      <c r="O14" s="34"/>
      <c r="P14" s="7">
        <f t="shared" si="8"/>
        <v>0</v>
      </c>
      <c r="Q14" s="26" t="s">
        <v>34</v>
      </c>
      <c r="R14" s="26" t="s">
        <v>32</v>
      </c>
      <c r="S14" s="35">
        <f t="shared" si="9"/>
        <v>1001314.3673102435</v>
      </c>
      <c r="T14" s="36">
        <f t="shared" si="7"/>
        <v>312910.73978445109</v>
      </c>
      <c r="U14" s="26" t="s">
        <v>35</v>
      </c>
      <c r="V14" s="28">
        <v>2022</v>
      </c>
    </row>
    <row r="15" spans="2:22" x14ac:dyDescent="0.2">
      <c r="B15" s="29">
        <v>2</v>
      </c>
      <c r="C15" s="4">
        <f t="shared" ref="C15:C26" si="11">C14+365</f>
        <v>45546</v>
      </c>
      <c r="D15" s="30">
        <v>0</v>
      </c>
      <c r="E15" s="30">
        <f t="shared" si="10"/>
        <v>0</v>
      </c>
      <c r="H15" s="37">
        <v>1</v>
      </c>
      <c r="I15" s="38">
        <v>2024</v>
      </c>
      <c r="J15" s="133"/>
      <c r="K15" s="133">
        <f>(L14-J15)*D$3*L35/12</f>
        <v>21741.111967218148</v>
      </c>
      <c r="L15" s="44">
        <f>L14-J15+K15</f>
        <v>596294.81088947353</v>
      </c>
      <c r="M15" s="11">
        <f>K15/L35</f>
        <v>2264.6991632518902</v>
      </c>
      <c r="O15" s="34"/>
      <c r="P15" s="7">
        <f t="shared" si="8"/>
        <v>660000.00000000012</v>
      </c>
      <c r="Q15" s="26" t="s">
        <v>36</v>
      </c>
      <c r="R15" s="26" t="s">
        <v>32</v>
      </c>
      <c r="S15" s="35">
        <f t="shared" si="9"/>
        <v>688403.62752579246</v>
      </c>
      <c r="T15" s="36">
        <f t="shared" si="7"/>
        <v>312910.73978445109</v>
      </c>
      <c r="U15" s="26" t="s">
        <v>37</v>
      </c>
      <c r="V15" s="28">
        <v>2023</v>
      </c>
    </row>
    <row r="16" spans="2:22" x14ac:dyDescent="0.2">
      <c r="B16" s="29">
        <v>3</v>
      </c>
      <c r="C16" s="4">
        <f t="shared" si="11"/>
        <v>45911</v>
      </c>
      <c r="D16" s="30">
        <v>0</v>
      </c>
      <c r="E16" s="30">
        <f t="shared" si="10"/>
        <v>0</v>
      </c>
      <c r="G16" s="1" t="b">
        <f>S4=M5/'[1]Shire 2024 '!$W$56</f>
        <v>0</v>
      </c>
      <c r="H16" s="37">
        <f>+H15+1</f>
        <v>2</v>
      </c>
      <c r="I16" s="38">
        <v>2025</v>
      </c>
      <c r="J16" s="133">
        <f>D14</f>
        <v>0</v>
      </c>
      <c r="K16" s="133">
        <f>(L15-J16)*D$3</f>
        <v>28204.744555072099</v>
      </c>
      <c r="L16" s="44">
        <f t="shared" ref="L16:L27" si="12">L15-J16+K16</f>
        <v>624499.55544454558</v>
      </c>
      <c r="N16" s="11">
        <f>M15*2</f>
        <v>4529.3983265037805</v>
      </c>
      <c r="O16" s="34"/>
      <c r="P16" s="7">
        <f t="shared" si="8"/>
        <v>0</v>
      </c>
      <c r="Q16" s="26" t="s">
        <v>38</v>
      </c>
      <c r="R16" s="26"/>
      <c r="S16" s="35">
        <f t="shared" si="9"/>
        <v>375492.88774134137</v>
      </c>
      <c r="T16" s="36">
        <f t="shared" si="7"/>
        <v>312910.73978445109</v>
      </c>
      <c r="V16" s="28">
        <v>2024</v>
      </c>
    </row>
    <row r="17" spans="2:22" x14ac:dyDescent="0.2">
      <c r="B17" s="29">
        <v>4</v>
      </c>
      <c r="C17" s="4">
        <f t="shared" si="11"/>
        <v>46276</v>
      </c>
      <c r="D17" s="30">
        <f>D7-D6</f>
        <v>660000.00000000012</v>
      </c>
      <c r="E17" s="30">
        <f t="shared" si="10"/>
        <v>691218</v>
      </c>
      <c r="H17" s="37">
        <f>+H16+1</f>
        <v>3</v>
      </c>
      <c r="I17" s="38">
        <v>2026</v>
      </c>
      <c r="J17" s="133">
        <f>D17</f>
        <v>660000.00000000012</v>
      </c>
      <c r="K17" s="133">
        <f>J17-L16</f>
        <v>35500.444555454538</v>
      </c>
      <c r="L17" s="44">
        <f t="shared" si="12"/>
        <v>0</v>
      </c>
      <c r="N17" s="11">
        <f>M15*'[1]Shire 2024 '!$H$57</f>
        <v>1358.8194979511375</v>
      </c>
      <c r="O17" s="34"/>
      <c r="P17" s="7">
        <f t="shared" si="8"/>
        <v>0</v>
      </c>
      <c r="S17" s="35">
        <f t="shared" si="9"/>
        <v>62582.147956890287</v>
      </c>
      <c r="T17" s="36">
        <f t="shared" si="7"/>
        <v>62582.147956890185</v>
      </c>
      <c r="V17" s="28">
        <v>2025</v>
      </c>
    </row>
    <row r="18" spans="2:22" x14ac:dyDescent="0.2">
      <c r="B18" s="29">
        <v>5</v>
      </c>
      <c r="C18" s="4">
        <f t="shared" si="11"/>
        <v>46641</v>
      </c>
      <c r="D18" s="30">
        <v>0</v>
      </c>
      <c r="E18" s="30">
        <f t="shared" si="10"/>
        <v>0</v>
      </c>
      <c r="F18" s="127"/>
      <c r="H18" s="37">
        <v>4</v>
      </c>
      <c r="I18" s="38">
        <v>2027</v>
      </c>
      <c r="J18" s="133">
        <f t="shared" ref="J18:J27" si="13">D16</f>
        <v>0</v>
      </c>
      <c r="K18" s="133">
        <f>J18-L17</f>
        <v>0</v>
      </c>
      <c r="L18" s="44">
        <f t="shared" si="12"/>
        <v>0</v>
      </c>
      <c r="N18" s="11">
        <f>N16+N17</f>
        <v>5888.2178244549177</v>
      </c>
      <c r="O18" s="34"/>
      <c r="P18" s="7">
        <f t="shared" si="8"/>
        <v>0</v>
      </c>
      <c r="S18" s="134">
        <f t="shared" si="9"/>
        <v>1.0186340659856796E-10</v>
      </c>
      <c r="T18" s="36">
        <f t="shared" si="7"/>
        <v>0</v>
      </c>
      <c r="V18" s="28">
        <v>2026</v>
      </c>
    </row>
    <row r="19" spans="2:22" x14ac:dyDescent="0.2">
      <c r="B19" s="29">
        <v>6</v>
      </c>
      <c r="C19" s="4">
        <f t="shared" si="11"/>
        <v>47006</v>
      </c>
      <c r="D19" s="30">
        <v>0</v>
      </c>
      <c r="E19" s="30">
        <f t="shared" si="10"/>
        <v>0</v>
      </c>
      <c r="H19" s="37">
        <v>5</v>
      </c>
      <c r="I19" s="38">
        <v>2028</v>
      </c>
      <c r="J19" s="133">
        <v>0</v>
      </c>
      <c r="K19" s="133">
        <f>J19-L18</f>
        <v>0</v>
      </c>
      <c r="L19" s="44">
        <f t="shared" si="12"/>
        <v>0</v>
      </c>
      <c r="O19" s="34"/>
      <c r="P19" s="7">
        <f t="shared" si="8"/>
        <v>0</v>
      </c>
      <c r="S19" s="134">
        <f t="shared" si="9"/>
        <v>1.0186340659856796E-10</v>
      </c>
      <c r="T19" s="36">
        <f t="shared" si="7"/>
        <v>0</v>
      </c>
      <c r="V19" s="28">
        <v>2027</v>
      </c>
    </row>
    <row r="20" spans="2:22" x14ac:dyDescent="0.2">
      <c r="B20" s="29">
        <v>7</v>
      </c>
      <c r="C20" s="4">
        <f t="shared" si="11"/>
        <v>47371</v>
      </c>
      <c r="D20" s="30">
        <v>0</v>
      </c>
      <c r="E20" s="30">
        <f t="shared" si="10"/>
        <v>0</v>
      </c>
      <c r="H20" s="37">
        <v>6</v>
      </c>
      <c r="I20" s="38">
        <v>2029</v>
      </c>
      <c r="J20" s="133">
        <f t="shared" si="13"/>
        <v>0</v>
      </c>
      <c r="K20" s="133">
        <f t="shared" ref="K20:K27" si="14">L19-J20</f>
        <v>0</v>
      </c>
      <c r="L20" s="44">
        <f t="shared" si="12"/>
        <v>0</v>
      </c>
      <c r="O20" s="34"/>
      <c r="P20" s="7">
        <f t="shared" si="8"/>
        <v>0</v>
      </c>
      <c r="S20" s="134">
        <f t="shared" si="9"/>
        <v>1.0186340659856796E-10</v>
      </c>
      <c r="T20" s="36">
        <f t="shared" si="7"/>
        <v>0</v>
      </c>
      <c r="V20" s="28">
        <v>2028</v>
      </c>
    </row>
    <row r="21" spans="2:22" x14ac:dyDescent="0.2">
      <c r="B21" s="29">
        <v>8</v>
      </c>
      <c r="C21" s="4">
        <f t="shared" si="11"/>
        <v>47736</v>
      </c>
      <c r="D21" s="30">
        <v>0</v>
      </c>
      <c r="E21" s="30">
        <f t="shared" si="10"/>
        <v>0</v>
      </c>
      <c r="H21" s="37">
        <v>7</v>
      </c>
      <c r="I21" s="38">
        <v>2030</v>
      </c>
      <c r="J21" s="133">
        <f t="shared" si="13"/>
        <v>0</v>
      </c>
      <c r="K21" s="133">
        <f t="shared" si="14"/>
        <v>0</v>
      </c>
      <c r="L21" s="44">
        <f t="shared" si="12"/>
        <v>0</v>
      </c>
      <c r="O21" s="34"/>
      <c r="P21" s="7">
        <f t="shared" si="8"/>
        <v>0</v>
      </c>
      <c r="S21" s="134">
        <f t="shared" si="9"/>
        <v>1.0186340659856796E-10</v>
      </c>
      <c r="T21" s="36">
        <f t="shared" si="7"/>
        <v>0</v>
      </c>
      <c r="V21" s="28">
        <v>2029</v>
      </c>
    </row>
    <row r="22" spans="2:22" x14ac:dyDescent="0.2">
      <c r="B22" s="29">
        <v>9</v>
      </c>
      <c r="C22" s="4">
        <f t="shared" si="11"/>
        <v>48101</v>
      </c>
      <c r="D22" s="30">
        <v>0</v>
      </c>
      <c r="E22" s="30">
        <f t="shared" si="10"/>
        <v>0</v>
      </c>
      <c r="H22" s="37">
        <v>8</v>
      </c>
      <c r="I22" s="38">
        <v>2031</v>
      </c>
      <c r="J22" s="133">
        <f t="shared" si="13"/>
        <v>0</v>
      </c>
      <c r="K22" s="133">
        <f t="shared" si="14"/>
        <v>0</v>
      </c>
      <c r="L22" s="44">
        <f t="shared" si="12"/>
        <v>0</v>
      </c>
      <c r="O22" s="34"/>
      <c r="P22" s="7">
        <f t="shared" si="8"/>
        <v>0</v>
      </c>
      <c r="S22" s="134">
        <f t="shared" si="9"/>
        <v>1.0186340659856796E-10</v>
      </c>
      <c r="T22" s="36">
        <f t="shared" si="7"/>
        <v>0</v>
      </c>
      <c r="V22" s="28">
        <v>2030</v>
      </c>
    </row>
    <row r="23" spans="2:22" x14ac:dyDescent="0.2">
      <c r="B23" s="29">
        <v>10</v>
      </c>
      <c r="C23" s="4">
        <f t="shared" si="11"/>
        <v>48466</v>
      </c>
      <c r="D23" s="30">
        <v>0</v>
      </c>
      <c r="E23" s="30">
        <f t="shared" si="10"/>
        <v>0</v>
      </c>
      <c r="H23" s="37">
        <v>9</v>
      </c>
      <c r="I23" s="38">
        <v>2032</v>
      </c>
      <c r="J23" s="133">
        <f t="shared" si="13"/>
        <v>0</v>
      </c>
      <c r="K23" s="133">
        <f t="shared" si="14"/>
        <v>0</v>
      </c>
      <c r="L23" s="44">
        <f t="shared" si="12"/>
        <v>0</v>
      </c>
      <c r="O23" s="34"/>
      <c r="P23" s="7">
        <f t="shared" si="8"/>
        <v>0</v>
      </c>
      <c r="S23" s="134">
        <f t="shared" si="9"/>
        <v>1.0186340659856796E-10</v>
      </c>
      <c r="T23" s="36">
        <f t="shared" si="7"/>
        <v>0</v>
      </c>
      <c r="V23" s="28">
        <v>2031</v>
      </c>
    </row>
    <row r="24" spans="2:22" x14ac:dyDescent="0.2">
      <c r="B24" s="29">
        <v>11</v>
      </c>
      <c r="C24" s="4">
        <f t="shared" si="11"/>
        <v>48831</v>
      </c>
      <c r="D24" s="30">
        <v>0</v>
      </c>
      <c r="E24" s="30">
        <f t="shared" si="10"/>
        <v>0</v>
      </c>
      <c r="H24" s="37">
        <v>10</v>
      </c>
      <c r="I24" s="38">
        <v>2033</v>
      </c>
      <c r="J24" s="133">
        <f t="shared" si="13"/>
        <v>0</v>
      </c>
      <c r="K24" s="133">
        <f t="shared" si="14"/>
        <v>0</v>
      </c>
      <c r="L24" s="44">
        <f t="shared" si="12"/>
        <v>0</v>
      </c>
      <c r="O24" s="34"/>
      <c r="P24" s="7">
        <f t="shared" si="8"/>
        <v>0</v>
      </c>
      <c r="S24" s="134">
        <f t="shared" si="9"/>
        <v>1.0186340659856796E-10</v>
      </c>
      <c r="T24" s="36">
        <f t="shared" si="7"/>
        <v>0</v>
      </c>
      <c r="V24" s="28">
        <v>2032</v>
      </c>
    </row>
    <row r="25" spans="2:22" x14ac:dyDescent="0.2">
      <c r="B25" s="29">
        <v>12</v>
      </c>
      <c r="C25" s="4">
        <f t="shared" si="11"/>
        <v>49196</v>
      </c>
      <c r="D25" s="30">
        <v>0</v>
      </c>
      <c r="E25" s="30">
        <f t="shared" si="10"/>
        <v>0</v>
      </c>
      <c r="H25" s="37">
        <v>11</v>
      </c>
      <c r="I25" s="38">
        <v>2034</v>
      </c>
      <c r="J25" s="133">
        <f t="shared" si="13"/>
        <v>0</v>
      </c>
      <c r="K25" s="133">
        <f>L24-J25</f>
        <v>0</v>
      </c>
      <c r="L25" s="44">
        <f t="shared" si="12"/>
        <v>0</v>
      </c>
      <c r="O25" s="24"/>
      <c r="P25" s="46">
        <f>SUM(P12:P24)</f>
        <v>1650000.0000000002</v>
      </c>
      <c r="S25" s="134">
        <f t="shared" si="9"/>
        <v>1.0186340659856796E-10</v>
      </c>
      <c r="T25" s="36">
        <f t="shared" si="7"/>
        <v>0</v>
      </c>
      <c r="V25" s="28">
        <v>2033</v>
      </c>
    </row>
    <row r="26" spans="2:22" x14ac:dyDescent="0.2">
      <c r="B26" s="29">
        <v>13</v>
      </c>
      <c r="C26" s="4">
        <f t="shared" si="11"/>
        <v>49561</v>
      </c>
      <c r="D26" s="30">
        <v>0</v>
      </c>
      <c r="E26" s="30">
        <f t="shared" si="10"/>
        <v>0</v>
      </c>
      <c r="H26" s="37">
        <v>12</v>
      </c>
      <c r="I26" s="38">
        <v>2035</v>
      </c>
      <c r="J26" s="133">
        <f t="shared" si="13"/>
        <v>0</v>
      </c>
      <c r="K26" s="133">
        <f t="shared" si="14"/>
        <v>0</v>
      </c>
      <c r="L26" s="44">
        <f t="shared" si="12"/>
        <v>0</v>
      </c>
      <c r="O26" s="47"/>
      <c r="P26" s="48"/>
      <c r="S26" s="48"/>
      <c r="T26" s="49"/>
      <c r="V26" s="28"/>
    </row>
    <row r="27" spans="2:22" ht="13.5" thickBot="1" x14ac:dyDescent="0.25">
      <c r="B27" s="29"/>
      <c r="C27" s="4"/>
      <c r="F27" s="11"/>
      <c r="H27" s="50">
        <v>13</v>
      </c>
      <c r="I27" s="38">
        <v>2036</v>
      </c>
      <c r="J27" s="133">
        <f t="shared" si="13"/>
        <v>0</v>
      </c>
      <c r="K27" s="133">
        <f t="shared" si="14"/>
        <v>0</v>
      </c>
      <c r="L27" s="51">
        <f t="shared" si="12"/>
        <v>0</v>
      </c>
    </row>
    <row r="28" spans="2:22" ht="13.5" thickBot="1" x14ac:dyDescent="0.25">
      <c r="C28" s="52" t="s">
        <v>2</v>
      </c>
      <c r="D28" s="135">
        <f>XNPV(D3,D13:D26,C13:C26)</f>
        <v>574553.69892225543</v>
      </c>
      <c r="E28" s="52"/>
      <c r="H28" s="54"/>
      <c r="I28" s="38"/>
      <c r="J28" s="133"/>
      <c r="K28" s="133"/>
      <c r="L28" s="49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O29" s="35">
        <f t="shared" ref="O29:O40" si="15">-K15+J15</f>
        <v>-21741.111967218148</v>
      </c>
      <c r="P29" s="36">
        <f>+D28</f>
        <v>574553.69892225543</v>
      </c>
      <c r="Q29" s="26" t="s">
        <v>31</v>
      </c>
      <c r="R29" s="26" t="s">
        <v>39</v>
      </c>
      <c r="S29" s="55">
        <f>+P29</f>
        <v>574553.69892225543</v>
      </c>
      <c r="T29" s="36">
        <f>+S12</f>
        <v>1564553.6989222555</v>
      </c>
      <c r="U29" s="26" t="s">
        <v>40</v>
      </c>
      <c r="V29" s="28">
        <v>2021</v>
      </c>
    </row>
    <row r="30" spans="2:22" x14ac:dyDescent="0.2">
      <c r="H30" s="29"/>
      <c r="I30" s="56"/>
      <c r="J30" s="18" t="s">
        <v>41</v>
      </c>
      <c r="K30" s="136"/>
      <c r="L30" s="8">
        <f>(D5-D4) /365*12</f>
        <v>60</v>
      </c>
      <c r="N30" s="26" t="s">
        <v>39</v>
      </c>
      <c r="O30" s="35">
        <f t="shared" si="15"/>
        <v>-28204.744555072099</v>
      </c>
      <c r="P30" s="36">
        <f t="shared" ref="P30:P40" si="16">+P29-O29</f>
        <v>596294.81088947353</v>
      </c>
      <c r="Q30" s="26" t="s">
        <v>42</v>
      </c>
      <c r="S30" s="34"/>
      <c r="T30" s="6">
        <f>+T29-S29</f>
        <v>990000.00000000012</v>
      </c>
      <c r="U30" s="26"/>
    </row>
    <row r="31" spans="2:22" x14ac:dyDescent="0.2">
      <c r="G31" s="7"/>
      <c r="J31" s="18" t="s">
        <v>43</v>
      </c>
      <c r="K31" s="58"/>
      <c r="L31" s="11">
        <f>D32/L30</f>
        <v>26075.894982037593</v>
      </c>
      <c r="M31" s="42"/>
      <c r="N31" s="26" t="s">
        <v>44</v>
      </c>
      <c r="O31" s="35">
        <f t="shared" si="15"/>
        <v>624499.55544454558</v>
      </c>
      <c r="P31" s="36">
        <f t="shared" si="16"/>
        <v>624499.55544454558</v>
      </c>
      <c r="Q31" s="26" t="s">
        <v>42</v>
      </c>
      <c r="S31" s="34"/>
    </row>
    <row r="32" spans="2:22" ht="13.5" thickBot="1" x14ac:dyDescent="0.25">
      <c r="C32" s="1" t="s">
        <v>45</v>
      </c>
      <c r="D32" s="59">
        <f>+D33+D34+D35+D36-D37</f>
        <v>1564553.6989222555</v>
      </c>
      <c r="G32" s="60"/>
      <c r="N32" s="26" t="s">
        <v>46</v>
      </c>
      <c r="O32" s="35">
        <f t="shared" si="15"/>
        <v>0</v>
      </c>
      <c r="P32" s="36">
        <f t="shared" si="16"/>
        <v>0</v>
      </c>
      <c r="Q32" s="26" t="s">
        <v>42</v>
      </c>
      <c r="S32" s="34"/>
    </row>
    <row r="33" spans="3:24" x14ac:dyDescent="0.2">
      <c r="C33" s="1" t="s">
        <v>47</v>
      </c>
      <c r="D33" s="102">
        <f>D28</f>
        <v>574553.69892225543</v>
      </c>
      <c r="F33" s="11"/>
      <c r="G33" s="11"/>
      <c r="I33" s="21" t="s">
        <v>27</v>
      </c>
      <c r="J33" s="22" t="s">
        <v>30</v>
      </c>
      <c r="K33" s="22" t="s">
        <v>48</v>
      </c>
      <c r="L33" s="61" t="s">
        <v>49</v>
      </c>
      <c r="N33" s="26" t="s">
        <v>50</v>
      </c>
      <c r="O33" s="35">
        <f t="shared" si="15"/>
        <v>0</v>
      </c>
      <c r="P33" s="36">
        <f t="shared" si="16"/>
        <v>0</v>
      </c>
      <c r="S33" s="34"/>
    </row>
    <row r="34" spans="3:24" x14ac:dyDescent="0.2">
      <c r="C34" s="1" t="s">
        <v>51</v>
      </c>
      <c r="D34" s="30">
        <v>0</v>
      </c>
      <c r="E34" s="11"/>
      <c r="G34" s="11"/>
      <c r="I34" s="62">
        <f>D4</f>
        <v>45181</v>
      </c>
      <c r="J34" s="49">
        <f>+D32</f>
        <v>1564553.6989222555</v>
      </c>
      <c r="K34" s="63">
        <v>0</v>
      </c>
      <c r="L34" s="64">
        <v>0</v>
      </c>
      <c r="N34" s="26"/>
      <c r="O34" s="35">
        <f t="shared" si="15"/>
        <v>0</v>
      </c>
      <c r="P34" s="36">
        <f t="shared" si="16"/>
        <v>0</v>
      </c>
      <c r="S34" s="47"/>
    </row>
    <row r="35" spans="3:24" x14ac:dyDescent="0.2">
      <c r="C35" s="1" t="s">
        <v>52</v>
      </c>
      <c r="D35" s="65">
        <f>D6</f>
        <v>990000.00000000012</v>
      </c>
      <c r="E35" s="11"/>
      <c r="F35" s="11"/>
      <c r="G35" s="6"/>
      <c r="I35" s="62">
        <v>45473</v>
      </c>
      <c r="J35" s="49">
        <f t="shared" ref="J35:J49" si="17">J34-K35</f>
        <v>1314225.1070946946</v>
      </c>
      <c r="K35" s="49">
        <f t="shared" ref="K35:K49" si="18">L35*L$31</f>
        <v>250328.59182756091</v>
      </c>
      <c r="L35" s="66">
        <f>(I35-I34) /365*12</f>
        <v>9.6000000000000014</v>
      </c>
      <c r="M35" s="127"/>
      <c r="N35" s="26"/>
      <c r="O35" s="35">
        <f t="shared" si="15"/>
        <v>0</v>
      </c>
      <c r="P35" s="36">
        <f t="shared" si="16"/>
        <v>0</v>
      </c>
      <c r="S35" s="47"/>
    </row>
    <row r="36" spans="3:24" x14ac:dyDescent="0.2">
      <c r="C36" s="1" t="s">
        <v>53</v>
      </c>
      <c r="D36" s="30">
        <v>0</v>
      </c>
      <c r="G36" s="126"/>
      <c r="I36" s="62">
        <v>45838</v>
      </c>
      <c r="J36" s="49">
        <f t="shared" si="17"/>
        <v>1001314.3673102435</v>
      </c>
      <c r="K36" s="49">
        <f t="shared" si="18"/>
        <v>312910.73978445109</v>
      </c>
      <c r="L36" s="67">
        <f>IF(L30-SUM(L35)&lt;12,L30-SUM(L35),12)</f>
        <v>12</v>
      </c>
      <c r="N36" s="26"/>
      <c r="O36" s="35">
        <f t="shared" si="15"/>
        <v>0</v>
      </c>
      <c r="P36" s="36">
        <f t="shared" si="16"/>
        <v>0</v>
      </c>
      <c r="S36" s="47"/>
    </row>
    <row r="37" spans="3:24" x14ac:dyDescent="0.2">
      <c r="C37" s="1" t="s">
        <v>54</v>
      </c>
      <c r="D37" s="30">
        <v>0</v>
      </c>
      <c r="I37" s="62">
        <v>46203</v>
      </c>
      <c r="J37" s="49">
        <f t="shared" si="17"/>
        <v>688403.62752579246</v>
      </c>
      <c r="K37" s="49">
        <f t="shared" si="18"/>
        <v>312910.73978445109</v>
      </c>
      <c r="L37" s="67">
        <f>IF(L30-SUM(L35:L36)&lt;12,L30-SUM(L35:L36),12)</f>
        <v>12</v>
      </c>
      <c r="N37" s="26"/>
      <c r="O37" s="35">
        <f t="shared" si="15"/>
        <v>0</v>
      </c>
      <c r="P37" s="36">
        <f t="shared" si="16"/>
        <v>0</v>
      </c>
      <c r="S37" s="47"/>
    </row>
    <row r="38" spans="3:24" x14ac:dyDescent="0.2">
      <c r="C38" s="52" t="s">
        <v>55</v>
      </c>
      <c r="E38" s="11"/>
      <c r="I38" s="62">
        <v>46568</v>
      </c>
      <c r="J38" s="49">
        <f t="shared" si="17"/>
        <v>375492.88774134137</v>
      </c>
      <c r="K38" s="49">
        <f t="shared" si="18"/>
        <v>312910.73978445109</v>
      </c>
      <c r="L38" s="67">
        <f>IF(L30-SUM(L35:L37)&lt;12,L30-SUM(L35:L37),12)</f>
        <v>12</v>
      </c>
      <c r="N38" s="26"/>
      <c r="O38" s="35">
        <f t="shared" si="15"/>
        <v>0</v>
      </c>
      <c r="P38" s="36">
        <f t="shared" si="16"/>
        <v>0</v>
      </c>
      <c r="S38" s="47"/>
    </row>
    <row r="39" spans="3:24" x14ac:dyDescent="0.2">
      <c r="I39" s="62">
        <v>46934</v>
      </c>
      <c r="J39" s="49">
        <f t="shared" si="17"/>
        <v>62582.147956890287</v>
      </c>
      <c r="K39" s="49">
        <f t="shared" si="18"/>
        <v>312910.73978445109</v>
      </c>
      <c r="L39" s="67">
        <f>IF(L30-SUM(L35:L38)&lt;12,L30-SUM(L35:L38),12)</f>
        <v>12</v>
      </c>
      <c r="N39" s="26"/>
      <c r="O39" s="35">
        <f t="shared" si="15"/>
        <v>0</v>
      </c>
      <c r="P39" s="36">
        <f t="shared" si="16"/>
        <v>0</v>
      </c>
      <c r="S39" s="47"/>
    </row>
    <row r="40" spans="3:24" x14ac:dyDescent="0.2">
      <c r="I40" s="62">
        <v>47299</v>
      </c>
      <c r="J40" s="49">
        <f t="shared" si="17"/>
        <v>1.0186340659856796E-10</v>
      </c>
      <c r="K40" s="49">
        <f t="shared" si="18"/>
        <v>62582.147956890185</v>
      </c>
      <c r="L40" s="68">
        <f>IF(L30-SUM(L35:L39)&lt;12,L30-SUM(L35:L39),12)</f>
        <v>2.3999999999999986</v>
      </c>
      <c r="N40" s="26"/>
      <c r="O40" s="35">
        <f t="shared" si="15"/>
        <v>0</v>
      </c>
      <c r="P40" s="36">
        <f t="shared" si="16"/>
        <v>0</v>
      </c>
    </row>
    <row r="41" spans="3:24" x14ac:dyDescent="0.2">
      <c r="I41" s="62">
        <v>47664</v>
      </c>
      <c r="J41" s="49">
        <f t="shared" si="17"/>
        <v>1.0186340659856796E-10</v>
      </c>
      <c r="K41" s="49">
        <f t="shared" si="18"/>
        <v>0</v>
      </c>
      <c r="L41" s="67">
        <f>IF(L30-SUM(L35:L40)&lt;12,L30-SUM(L35:L40),12)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70"/>
      <c r="D42" s="71" t="s">
        <v>60</v>
      </c>
      <c r="E42" s="71" t="s">
        <v>61</v>
      </c>
      <c r="I42" s="62">
        <v>48029</v>
      </c>
      <c r="J42" s="49">
        <f t="shared" si="17"/>
        <v>1.0186340659856796E-10</v>
      </c>
      <c r="K42" s="49">
        <f t="shared" si="18"/>
        <v>0</v>
      </c>
      <c r="L42" s="67">
        <f>IF(L30-SUM(L35:L41)&lt;12,L30-SUM(L35:L41),12)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71" t="s">
        <v>93</v>
      </c>
      <c r="D43" s="137">
        <f>D32</f>
        <v>1564553.6989222555</v>
      </c>
      <c r="E43" s="137"/>
      <c r="I43" s="62">
        <v>48395</v>
      </c>
      <c r="J43" s="49">
        <f t="shared" si="17"/>
        <v>1.0186340659856796E-10</v>
      </c>
      <c r="K43" s="49">
        <f t="shared" si="18"/>
        <v>0</v>
      </c>
      <c r="L43" s="67">
        <f>IF(L30-SUM(L35:L42)&lt;12,L30-SUM(L35:L42),12)</f>
        <v>0</v>
      </c>
      <c r="N43" s="26" t="s">
        <v>62</v>
      </c>
      <c r="O43" s="72">
        <f t="shared" ref="O43:O50" si="19">+P12</f>
        <v>990000.00000000012</v>
      </c>
      <c r="P43" s="73"/>
      <c r="R43" s="26" t="s">
        <v>39</v>
      </c>
      <c r="S43" s="74">
        <f t="shared" ref="S43:S55" si="20">K15</f>
        <v>21741.111967218148</v>
      </c>
      <c r="T43" s="75"/>
      <c r="U43" s="28">
        <v>2021</v>
      </c>
      <c r="V43" s="26" t="s">
        <v>63</v>
      </c>
      <c r="W43" s="27">
        <f t="shared" ref="W43:W55" si="21">K35</f>
        <v>250328.59182756091</v>
      </c>
      <c r="X43" s="6"/>
    </row>
    <row r="44" spans="3:24" x14ac:dyDescent="0.2">
      <c r="C44" s="71" t="s">
        <v>70</v>
      </c>
      <c r="D44" s="137"/>
      <c r="E44" s="137">
        <f>D33</f>
        <v>574553.69892225543</v>
      </c>
      <c r="I44" s="62">
        <v>48760</v>
      </c>
      <c r="J44" s="49">
        <f t="shared" si="17"/>
        <v>1.0186340659856796E-10</v>
      </c>
      <c r="K44" s="49">
        <f t="shared" si="18"/>
        <v>0</v>
      </c>
      <c r="L44" s="67">
        <f>IF(L30-SUM(L35:L43)&lt;12,L30-SUM(L35:L43),12)</f>
        <v>0</v>
      </c>
      <c r="O44" s="72">
        <f t="shared" si="19"/>
        <v>0</v>
      </c>
      <c r="P44" s="73"/>
      <c r="R44" s="26" t="s">
        <v>44</v>
      </c>
      <c r="S44" s="77">
        <f t="shared" si="20"/>
        <v>28204.744555072099</v>
      </c>
      <c r="T44" s="47"/>
      <c r="U44" s="28">
        <v>2022</v>
      </c>
      <c r="V44" s="26" t="s">
        <v>64</v>
      </c>
      <c r="W44" s="78">
        <f t="shared" si="21"/>
        <v>312910.73978445109</v>
      </c>
    </row>
    <row r="45" spans="3:24" x14ac:dyDescent="0.2">
      <c r="C45" s="71" t="s">
        <v>99</v>
      </c>
      <c r="D45" s="137"/>
      <c r="E45" s="137">
        <f>D35</f>
        <v>990000.00000000012</v>
      </c>
      <c r="I45" s="62">
        <v>49125</v>
      </c>
      <c r="J45" s="49">
        <f t="shared" si="17"/>
        <v>1.0186340659856796E-10</v>
      </c>
      <c r="K45" s="49">
        <f t="shared" si="18"/>
        <v>0</v>
      </c>
      <c r="L45" s="67">
        <f>IF(L30-SUM(L35:L44)&lt;12,L30-SUM(L35:L44),12)</f>
        <v>0</v>
      </c>
      <c r="O45" s="72">
        <f t="shared" si="19"/>
        <v>0</v>
      </c>
      <c r="P45" s="73"/>
      <c r="R45" s="26" t="s">
        <v>46</v>
      </c>
      <c r="S45" s="77">
        <f t="shared" si="20"/>
        <v>35500.444555454538</v>
      </c>
      <c r="T45" s="47"/>
      <c r="U45" s="28">
        <v>2023</v>
      </c>
      <c r="V45" s="26" t="s">
        <v>65</v>
      </c>
      <c r="W45" s="78">
        <f t="shared" si="21"/>
        <v>312910.73978445109</v>
      </c>
    </row>
    <row r="46" spans="3:24" x14ac:dyDescent="0.2">
      <c r="C46" s="71" t="s">
        <v>67</v>
      </c>
      <c r="D46" s="138">
        <f>D43+D44+D45</f>
        <v>1564553.6989222555</v>
      </c>
      <c r="E46" s="138">
        <f>E44+E45</f>
        <v>1564553.6989222555</v>
      </c>
      <c r="I46" s="62">
        <v>49490</v>
      </c>
      <c r="J46" s="49">
        <f t="shared" si="17"/>
        <v>1.0186340659856796E-10</v>
      </c>
      <c r="K46" s="49">
        <f t="shared" si="18"/>
        <v>0</v>
      </c>
      <c r="L46" s="67">
        <f>IF(L30-SUM(L35:L45)&lt;12,L30-SUM(L35:L45),12)</f>
        <v>0</v>
      </c>
      <c r="O46" s="72">
        <f t="shared" si="19"/>
        <v>660000.00000000012</v>
      </c>
      <c r="P46" s="73"/>
      <c r="R46" s="26" t="s">
        <v>50</v>
      </c>
      <c r="S46" s="77">
        <f t="shared" si="20"/>
        <v>0</v>
      </c>
      <c r="T46" s="47"/>
      <c r="U46" s="28">
        <v>2024</v>
      </c>
      <c r="V46" s="26" t="s">
        <v>66</v>
      </c>
      <c r="W46" s="78">
        <f t="shared" si="21"/>
        <v>312910.73978445109</v>
      </c>
    </row>
    <row r="47" spans="3:24" x14ac:dyDescent="0.2">
      <c r="E47" s="80"/>
      <c r="G47" s="127">
        <f>G46*1.15</f>
        <v>0</v>
      </c>
      <c r="I47" s="62">
        <v>49856</v>
      </c>
      <c r="J47" s="49">
        <f t="shared" si="17"/>
        <v>1.0186340659856796E-10</v>
      </c>
      <c r="K47" s="49">
        <f t="shared" si="18"/>
        <v>0</v>
      </c>
      <c r="L47" s="67">
        <f>IF(L30-SUM(L35:L46)&lt;12,L30-SUM(L35:L46),12)</f>
        <v>0</v>
      </c>
      <c r="O47" s="72">
        <f t="shared" si="19"/>
        <v>0</v>
      </c>
      <c r="P47" s="73"/>
      <c r="S47" s="77">
        <f t="shared" si="20"/>
        <v>0</v>
      </c>
      <c r="T47" s="47"/>
      <c r="U47" s="28">
        <v>2025</v>
      </c>
      <c r="W47" s="78">
        <f t="shared" si="21"/>
        <v>312910.73978445109</v>
      </c>
    </row>
    <row r="48" spans="3:24" x14ac:dyDescent="0.2">
      <c r="E48" s="80"/>
      <c r="I48" s="62">
        <v>50221</v>
      </c>
      <c r="J48" s="49">
        <f t="shared" si="17"/>
        <v>1.0186340659856796E-10</v>
      </c>
      <c r="K48" s="49">
        <f t="shared" si="18"/>
        <v>0</v>
      </c>
      <c r="L48" s="67">
        <f>IF(L30-SUM(L35:L47)&lt;12,L30-SUM(L35:L47),12)</f>
        <v>0</v>
      </c>
      <c r="O48" s="72">
        <f t="shared" si="19"/>
        <v>0</v>
      </c>
      <c r="P48" s="73"/>
      <c r="S48" s="77">
        <f t="shared" si="20"/>
        <v>0</v>
      </c>
      <c r="T48" s="47"/>
      <c r="U48" s="28">
        <v>2026</v>
      </c>
      <c r="W48" s="78">
        <f t="shared" si="21"/>
        <v>62582.147956890185</v>
      </c>
      <c r="X48" s="47"/>
    </row>
    <row r="49" spans="3:24" ht="13.5" thickBot="1" x14ac:dyDescent="0.25">
      <c r="C49" s="1" t="s">
        <v>97</v>
      </c>
      <c r="E49" s="80"/>
      <c r="I49" s="62">
        <v>50586</v>
      </c>
      <c r="J49" s="81">
        <f t="shared" si="17"/>
        <v>1.0186340659856796E-10</v>
      </c>
      <c r="K49" s="81">
        <f t="shared" si="18"/>
        <v>0</v>
      </c>
      <c r="L49" s="82">
        <f>IF(L30-SUM(L35:L48)&lt;12,L30-SUM(L35:L48),12)</f>
        <v>0</v>
      </c>
      <c r="O49" s="72">
        <f t="shared" si="19"/>
        <v>0</v>
      </c>
      <c r="P49" s="73"/>
      <c r="S49" s="77">
        <f t="shared" si="20"/>
        <v>0</v>
      </c>
      <c r="T49" s="47"/>
      <c r="U49" s="28">
        <v>2027</v>
      </c>
      <c r="W49" s="78">
        <f t="shared" si="21"/>
        <v>0</v>
      </c>
      <c r="X49" s="47"/>
    </row>
    <row r="50" spans="3:24" x14ac:dyDescent="0.2">
      <c r="E50" s="80"/>
      <c r="O50" s="83">
        <f t="shared" si="19"/>
        <v>0</v>
      </c>
      <c r="P50" s="73"/>
      <c r="S50" s="77">
        <f t="shared" si="20"/>
        <v>0</v>
      </c>
      <c r="T50" s="47"/>
      <c r="U50" s="28">
        <v>2028</v>
      </c>
      <c r="W50" s="78">
        <f t="shared" si="21"/>
        <v>0</v>
      </c>
      <c r="X50" s="47"/>
    </row>
    <row r="51" spans="3:24" x14ac:dyDescent="0.2">
      <c r="S51" s="77">
        <f t="shared" si="20"/>
        <v>0</v>
      </c>
      <c r="T51" s="47"/>
      <c r="U51" s="28">
        <v>2029</v>
      </c>
      <c r="W51" s="78">
        <f t="shared" si="21"/>
        <v>0</v>
      </c>
      <c r="X51" s="47"/>
    </row>
    <row r="52" spans="3:24" x14ac:dyDescent="0.2">
      <c r="S52" s="77">
        <f t="shared" si="20"/>
        <v>0</v>
      </c>
      <c r="T52" s="47"/>
      <c r="U52" s="28">
        <v>2030</v>
      </c>
      <c r="W52" s="78">
        <f t="shared" si="21"/>
        <v>0</v>
      </c>
      <c r="X52" s="47"/>
    </row>
    <row r="53" spans="3:24" x14ac:dyDescent="0.2">
      <c r="S53" s="77">
        <f t="shared" si="20"/>
        <v>0</v>
      </c>
      <c r="T53" s="47"/>
      <c r="U53" s="28">
        <v>2031</v>
      </c>
      <c r="W53" s="78">
        <f t="shared" si="21"/>
        <v>0</v>
      </c>
      <c r="X53" s="47"/>
    </row>
    <row r="54" spans="3:24" x14ac:dyDescent="0.2">
      <c r="S54" s="77">
        <f t="shared" si="20"/>
        <v>0</v>
      </c>
      <c r="T54" s="47"/>
      <c r="U54" s="28">
        <v>2032</v>
      </c>
      <c r="W54" s="78">
        <f t="shared" si="21"/>
        <v>0</v>
      </c>
      <c r="X54" s="47"/>
    </row>
    <row r="55" spans="3:24" x14ac:dyDescent="0.2">
      <c r="S55" s="77">
        <f t="shared" si="20"/>
        <v>0</v>
      </c>
      <c r="T55" s="47"/>
      <c r="U55" s="28">
        <v>2033</v>
      </c>
      <c r="W55" s="78">
        <f t="shared" si="21"/>
        <v>0</v>
      </c>
      <c r="X55" s="47"/>
    </row>
    <row r="56" spans="3:24" x14ac:dyDescent="0.2">
      <c r="S56" s="46">
        <f>SUM(S43:S55)</f>
        <v>85446.301077744778</v>
      </c>
      <c r="T56" s="75"/>
      <c r="W56" s="74">
        <f>SUM(W43:W55)</f>
        <v>1564553.6989222558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opLeftCell="A31" workbookViewId="0">
      <selection activeCell="G36" sqref="G36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13.140625" style="1" customWidth="1"/>
    <col min="7" max="7" width="17" style="1" customWidth="1"/>
    <col min="8" max="8" width="13.140625" style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0.710937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102</v>
      </c>
      <c r="E1" s="1">
        <v>27.6</v>
      </c>
      <c r="F1" s="1" t="s">
        <v>98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102">
        <v>11500</v>
      </c>
      <c r="F2" s="1" t="s">
        <v>103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27">
        <f>E2*55</f>
        <v>632500</v>
      </c>
      <c r="F3" s="11">
        <f>E3*1.1</f>
        <v>695750</v>
      </c>
      <c r="G3" s="11"/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45209</v>
      </c>
      <c r="E4" s="127">
        <f>E2*31</f>
        <v>356500</v>
      </c>
      <c r="F4" s="11">
        <f>E4*0.1</f>
        <v>35650</v>
      </c>
      <c r="G4" s="11"/>
      <c r="I4" s="4">
        <v>45107</v>
      </c>
      <c r="J4" s="6">
        <v>0</v>
      </c>
      <c r="K4" s="7">
        <v>0</v>
      </c>
      <c r="L4" s="8">
        <f t="shared" ref="L4" si="0">K36</f>
        <v>0</v>
      </c>
      <c r="M4" s="7">
        <v>0</v>
      </c>
      <c r="O4" s="6">
        <v>0</v>
      </c>
      <c r="P4" s="6">
        <v>0</v>
      </c>
      <c r="S4" s="11"/>
    </row>
    <row r="5" spans="2:22" x14ac:dyDescent="0.2">
      <c r="C5" s="1" t="s">
        <v>11</v>
      </c>
      <c r="D5" s="12">
        <v>46882</v>
      </c>
      <c r="E5" s="128">
        <f>E4*1.1</f>
        <v>392150.00000000006</v>
      </c>
      <c r="F5" s="86">
        <f>E4*0.02</f>
        <v>7130</v>
      </c>
      <c r="G5" s="86"/>
      <c r="H5" s="85"/>
      <c r="I5" s="4">
        <v>45473</v>
      </c>
      <c r="J5" s="6">
        <f>J37</f>
        <v>552857.49218139309</v>
      </c>
      <c r="K5" s="7">
        <f>L17</f>
        <v>273336.62149498734</v>
      </c>
      <c r="L5" s="8">
        <f>K37</f>
        <v>103587.2093228444</v>
      </c>
      <c r="M5" s="7">
        <f>K17</f>
        <v>9041.9199907499005</v>
      </c>
      <c r="N5" s="7">
        <f>J17</f>
        <v>0</v>
      </c>
      <c r="O5" s="127">
        <v>0</v>
      </c>
      <c r="P5" s="6"/>
    </row>
    <row r="6" spans="2:22" x14ac:dyDescent="0.2">
      <c r="C6" s="1" t="s">
        <v>12</v>
      </c>
      <c r="D6" s="127">
        <v>392150.00000000006</v>
      </c>
      <c r="E6" s="86"/>
      <c r="F6" s="86"/>
      <c r="G6" s="86"/>
      <c r="H6" s="85"/>
      <c r="I6" s="4">
        <v>45838</v>
      </c>
      <c r="J6" s="6">
        <f>J38</f>
        <v>409640.32777670294</v>
      </c>
      <c r="K6" s="7">
        <f t="shared" ref="K6:K9" si="1">L18</f>
        <v>286265.44369170023</v>
      </c>
      <c r="L6" s="8">
        <f t="shared" ref="L6:L10" si="2">K38</f>
        <v>143217.16440469018</v>
      </c>
      <c r="M6" s="7">
        <f t="shared" ref="M6:M10" si="3">K18</f>
        <v>12928.822196712901</v>
      </c>
      <c r="N6" s="7">
        <f t="shared" ref="N6:N10" si="4">J18</f>
        <v>0</v>
      </c>
      <c r="O6" s="127">
        <v>0</v>
      </c>
      <c r="P6" s="11">
        <f>M17*5</f>
        <v>5208.8080754793464</v>
      </c>
    </row>
    <row r="7" spans="2:22" x14ac:dyDescent="0.2">
      <c r="C7" s="1" t="s">
        <v>13</v>
      </c>
      <c r="D7" s="127">
        <v>695750</v>
      </c>
      <c r="E7" s="129"/>
      <c r="G7" s="11"/>
      <c r="I7" s="4">
        <v>46203</v>
      </c>
      <c r="J7" s="6">
        <f t="shared" ref="J7:J10" si="5">J39</f>
        <v>266423.16337201279</v>
      </c>
      <c r="K7" s="7">
        <f t="shared" si="1"/>
        <v>0</v>
      </c>
      <c r="L7" s="8">
        <f t="shared" si="2"/>
        <v>143217.16440469018</v>
      </c>
      <c r="M7" s="7">
        <f t="shared" si="3"/>
        <v>17334.556308299711</v>
      </c>
      <c r="N7" s="7">
        <f>J19</f>
        <v>303599.99999999994</v>
      </c>
      <c r="P7" s="11">
        <f>M17*'[1]Shire 2024 '!$X$56</f>
        <v>773.47232244104214</v>
      </c>
    </row>
    <row r="8" spans="2:22" x14ac:dyDescent="0.2">
      <c r="C8" s="1" t="s">
        <v>14</v>
      </c>
      <c r="D8" s="12">
        <f>D4</f>
        <v>45209</v>
      </c>
      <c r="E8" s="15"/>
      <c r="I8" s="4">
        <v>46568</v>
      </c>
      <c r="J8" s="6">
        <f t="shared" si="5"/>
        <v>123205.99896732261</v>
      </c>
      <c r="K8" s="7">
        <f t="shared" si="1"/>
        <v>0</v>
      </c>
      <c r="L8" s="8">
        <f t="shared" si="2"/>
        <v>143217.16440469018</v>
      </c>
      <c r="M8" s="7">
        <f t="shared" si="3"/>
        <v>0</v>
      </c>
      <c r="N8" s="7">
        <f t="shared" si="4"/>
        <v>0</v>
      </c>
      <c r="P8" s="11">
        <f>P6+P7</f>
        <v>5982.2803979203882</v>
      </c>
    </row>
    <row r="9" spans="2:22" x14ac:dyDescent="0.2">
      <c r="C9" s="1" t="s">
        <v>15</v>
      </c>
      <c r="D9" s="130">
        <v>0</v>
      </c>
      <c r="E9" s="11"/>
      <c r="I9" s="4">
        <v>46934</v>
      </c>
      <c r="J9" s="6">
        <f t="shared" si="5"/>
        <v>1.1641532182693481E-10</v>
      </c>
      <c r="K9" s="7">
        <f t="shared" si="1"/>
        <v>0</v>
      </c>
      <c r="L9" s="8">
        <f t="shared" si="2"/>
        <v>123205.99896732249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5"/>
        <v>1.1641532182693481E-10</v>
      </c>
      <c r="K10" s="7">
        <f t="shared" ref="K10" si="6">L23</f>
        <v>0</v>
      </c>
      <c r="L10" s="8">
        <f t="shared" si="2"/>
        <v>0</v>
      </c>
      <c r="M10" s="7">
        <f t="shared" si="3"/>
        <v>0</v>
      </c>
      <c r="N10" s="7">
        <f t="shared" si="4"/>
        <v>0</v>
      </c>
    </row>
    <row r="11" spans="2:22" x14ac:dyDescent="0.2">
      <c r="C11" s="140"/>
      <c r="D11" s="141"/>
      <c r="E11" s="11"/>
      <c r="I11" s="4"/>
      <c r="J11" s="6"/>
      <c r="K11" s="7"/>
      <c r="L11" s="8"/>
      <c r="M11" s="7"/>
      <c r="N11" s="7"/>
    </row>
    <row r="12" spans="2:22" x14ac:dyDescent="0.2">
      <c r="C12" s="140"/>
      <c r="D12" s="141"/>
      <c r="E12" s="11"/>
      <c r="I12" s="4"/>
      <c r="J12" s="6"/>
      <c r="K12" s="7"/>
      <c r="L12" s="8"/>
      <c r="M12" s="7"/>
      <c r="N12" s="7"/>
    </row>
    <row r="13" spans="2:22" ht="13.5" thickBot="1" x14ac:dyDescent="0.25">
      <c r="O13" s="144" t="s">
        <v>17</v>
      </c>
      <c r="P13" s="144"/>
      <c r="S13" s="144" t="s">
        <v>18</v>
      </c>
      <c r="T13" s="144"/>
    </row>
    <row r="14" spans="2:22" x14ac:dyDescent="0.2">
      <c r="B14" s="18" t="s">
        <v>19</v>
      </c>
      <c r="C14" s="19" t="s">
        <v>20</v>
      </c>
      <c r="D14" s="19" t="s">
        <v>21</v>
      </c>
      <c r="E14" s="20" t="s">
        <v>22</v>
      </c>
      <c r="H14" s="21" t="s">
        <v>23</v>
      </c>
      <c r="I14" s="22"/>
      <c r="J14" s="22"/>
      <c r="K14" s="22"/>
      <c r="L14" s="23"/>
      <c r="O14" s="24"/>
      <c r="P14" s="25">
        <f>+D6</f>
        <v>392150.00000000006</v>
      </c>
      <c r="Q14" s="26" t="s">
        <v>24</v>
      </c>
      <c r="R14" s="26" t="s">
        <v>25</v>
      </c>
      <c r="S14" s="27">
        <f>+D34</f>
        <v>656444.70150423748</v>
      </c>
      <c r="T14" s="6">
        <f>+K37</f>
        <v>103587.2093228444</v>
      </c>
      <c r="U14" s="26" t="s">
        <v>26</v>
      </c>
      <c r="V14" s="28"/>
    </row>
    <row r="15" spans="2:22" x14ac:dyDescent="0.2">
      <c r="B15" s="29">
        <v>0</v>
      </c>
      <c r="C15" s="4">
        <f>D4</f>
        <v>45209</v>
      </c>
      <c r="D15" s="30">
        <v>0</v>
      </c>
      <c r="E15" s="30"/>
      <c r="H15" s="31" t="s">
        <v>19</v>
      </c>
      <c r="I15" s="32" t="s">
        <v>27</v>
      </c>
      <c r="J15" s="32" t="s">
        <v>28</v>
      </c>
      <c r="K15" s="32" t="s">
        <v>29</v>
      </c>
      <c r="L15" s="33" t="s">
        <v>30</v>
      </c>
      <c r="O15" s="34"/>
      <c r="P15" s="7">
        <f t="shared" ref="P15:P26" si="7">J17</f>
        <v>0</v>
      </c>
      <c r="Q15" s="26" t="s">
        <v>31</v>
      </c>
      <c r="R15" s="26" t="s">
        <v>32</v>
      </c>
      <c r="S15" s="35">
        <f t="shared" ref="S15:S27" si="8">+S14-T14</f>
        <v>552857.49218139309</v>
      </c>
      <c r="T15" s="36">
        <f t="shared" ref="T15:T27" si="9">+K38</f>
        <v>143217.16440469018</v>
      </c>
      <c r="U15" s="26" t="s">
        <v>33</v>
      </c>
      <c r="V15" s="28">
        <v>2021</v>
      </c>
    </row>
    <row r="16" spans="2:22" x14ac:dyDescent="0.2">
      <c r="B16" s="29">
        <v>1</v>
      </c>
      <c r="C16" s="4">
        <f>D8</f>
        <v>45209</v>
      </c>
      <c r="D16" s="30">
        <v>0</v>
      </c>
      <c r="E16" s="30">
        <f t="shared" ref="E16:E28" si="10">+D16*(1+$D$3)</f>
        <v>0</v>
      </c>
      <c r="H16" s="37">
        <v>0</v>
      </c>
      <c r="I16" s="38"/>
      <c r="J16" s="131"/>
      <c r="K16" s="132"/>
      <c r="L16" s="41">
        <f>D30</f>
        <v>264294.70150423743</v>
      </c>
      <c r="N16" s="42"/>
      <c r="O16" s="34"/>
      <c r="P16" s="7">
        <f t="shared" si="7"/>
        <v>0</v>
      </c>
      <c r="Q16" s="26" t="s">
        <v>34</v>
      </c>
      <c r="R16" s="26" t="s">
        <v>32</v>
      </c>
      <c r="S16" s="35">
        <f>+S15-T15</f>
        <v>409640.32777670294</v>
      </c>
      <c r="T16" s="36">
        <f t="shared" si="9"/>
        <v>143217.16440469018</v>
      </c>
      <c r="U16" s="26" t="s">
        <v>35</v>
      </c>
      <c r="V16" s="28">
        <v>2022</v>
      </c>
    </row>
    <row r="17" spans="2:22" x14ac:dyDescent="0.2">
      <c r="B17" s="29">
        <v>2</v>
      </c>
      <c r="C17" s="4">
        <f t="shared" ref="C17:C28" si="11">C16+365</f>
        <v>45574</v>
      </c>
      <c r="D17" s="30">
        <v>0</v>
      </c>
      <c r="E17" s="30">
        <f t="shared" si="10"/>
        <v>0</v>
      </c>
      <c r="H17" s="37">
        <v>1</v>
      </c>
      <c r="I17" s="38">
        <v>2024</v>
      </c>
      <c r="J17" s="133"/>
      <c r="K17" s="133">
        <f>(L16-J17)*D$3*L37/12</f>
        <v>9041.9199907499005</v>
      </c>
      <c r="L17" s="44">
        <f>L16-J17+K17</f>
        <v>273336.62149498734</v>
      </c>
      <c r="M17" s="11">
        <f>K17/L37</f>
        <v>1041.7616150958693</v>
      </c>
      <c r="O17" s="34"/>
      <c r="P17" s="7">
        <f t="shared" si="7"/>
        <v>303599.99999999994</v>
      </c>
      <c r="Q17" s="26" t="s">
        <v>36</v>
      </c>
      <c r="R17" s="26" t="s">
        <v>32</v>
      </c>
      <c r="S17" s="35">
        <f t="shared" si="8"/>
        <v>266423.16337201279</v>
      </c>
      <c r="T17" s="36">
        <f t="shared" si="9"/>
        <v>143217.16440469018</v>
      </c>
      <c r="U17" s="26" t="s">
        <v>37</v>
      </c>
      <c r="V17" s="28">
        <v>2023</v>
      </c>
    </row>
    <row r="18" spans="2:22" x14ac:dyDescent="0.2">
      <c r="B18" s="29">
        <v>3</v>
      </c>
      <c r="C18" s="4">
        <f t="shared" si="11"/>
        <v>45939</v>
      </c>
      <c r="D18" s="30">
        <v>0</v>
      </c>
      <c r="E18" s="30">
        <f t="shared" si="10"/>
        <v>0</v>
      </c>
      <c r="H18" s="37">
        <f>+H17+1</f>
        <v>2</v>
      </c>
      <c r="I18" s="38">
        <v>2025</v>
      </c>
      <c r="J18" s="133">
        <f>D16</f>
        <v>0</v>
      </c>
      <c r="K18" s="133">
        <f>(L17-J18)*D$3</f>
        <v>12928.822196712901</v>
      </c>
      <c r="L18" s="44">
        <f t="shared" ref="L18:L29" si="12">L17-J18+K18</f>
        <v>286265.44369170023</v>
      </c>
      <c r="M18" s="11">
        <f t="shared" ref="M18:M19" si="13">K18/L38</f>
        <v>1077.4018497260752</v>
      </c>
      <c r="O18" s="34"/>
      <c r="P18" s="7">
        <f t="shared" si="7"/>
        <v>0</v>
      </c>
      <c r="Q18" s="26" t="s">
        <v>38</v>
      </c>
      <c r="R18" s="26"/>
      <c r="S18" s="35">
        <f t="shared" si="8"/>
        <v>123205.99896732261</v>
      </c>
      <c r="T18" s="36">
        <f t="shared" si="9"/>
        <v>123205.99896732249</v>
      </c>
      <c r="V18" s="28">
        <v>2024</v>
      </c>
    </row>
    <row r="19" spans="2:22" x14ac:dyDescent="0.2">
      <c r="B19" s="29">
        <v>4</v>
      </c>
      <c r="C19" s="4">
        <f t="shared" si="11"/>
        <v>46304</v>
      </c>
      <c r="D19" s="30">
        <f>D7-D6</f>
        <v>303599.99999999994</v>
      </c>
      <c r="E19" s="30">
        <f t="shared" si="10"/>
        <v>317960.27999999991</v>
      </c>
      <c r="H19" s="37">
        <f>+H18+1</f>
        <v>3</v>
      </c>
      <c r="I19" s="38">
        <v>2026</v>
      </c>
      <c r="J19" s="133">
        <f>D19</f>
        <v>303599.99999999994</v>
      </c>
      <c r="K19" s="133">
        <f>J19-L18</f>
        <v>17334.556308299711</v>
      </c>
      <c r="L19" s="44">
        <f t="shared" si="12"/>
        <v>0</v>
      </c>
      <c r="M19" s="11">
        <f t="shared" si="13"/>
        <v>1444.5463590249758</v>
      </c>
      <c r="O19" s="34"/>
      <c r="P19" s="7">
        <f t="shared" si="7"/>
        <v>0</v>
      </c>
      <c r="S19" s="35">
        <f t="shared" si="8"/>
        <v>1.1641532182693481E-10</v>
      </c>
      <c r="T19" s="36">
        <f t="shared" si="9"/>
        <v>0</v>
      </c>
      <c r="V19" s="28">
        <v>2025</v>
      </c>
    </row>
    <row r="20" spans="2:22" x14ac:dyDescent="0.2">
      <c r="B20" s="29">
        <v>5</v>
      </c>
      <c r="C20" s="4">
        <f t="shared" si="11"/>
        <v>46669</v>
      </c>
      <c r="D20" s="30">
        <v>0</v>
      </c>
      <c r="E20" s="30">
        <f t="shared" si="10"/>
        <v>0</v>
      </c>
      <c r="F20" s="127"/>
      <c r="H20" s="37">
        <v>4</v>
      </c>
      <c r="I20" s="38">
        <v>2027</v>
      </c>
      <c r="J20" s="133">
        <f t="shared" ref="J20:J29" si="14">D18</f>
        <v>0</v>
      </c>
      <c r="K20" s="133">
        <f>J20-L19</f>
        <v>0</v>
      </c>
      <c r="L20" s="44">
        <f t="shared" si="12"/>
        <v>0</v>
      </c>
      <c r="N20" s="7"/>
      <c r="O20" s="34"/>
      <c r="P20" s="7">
        <f t="shared" si="7"/>
        <v>0</v>
      </c>
      <c r="S20" s="134">
        <f t="shared" si="8"/>
        <v>1.1641532182693481E-10</v>
      </c>
      <c r="T20" s="36">
        <f t="shared" si="9"/>
        <v>0</v>
      </c>
      <c r="V20" s="28">
        <v>2026</v>
      </c>
    </row>
    <row r="21" spans="2:22" x14ac:dyDescent="0.2">
      <c r="B21" s="29">
        <v>6</v>
      </c>
      <c r="C21" s="4">
        <f t="shared" si="11"/>
        <v>47034</v>
      </c>
      <c r="D21" s="30">
        <v>0</v>
      </c>
      <c r="E21" s="30">
        <f t="shared" si="10"/>
        <v>0</v>
      </c>
      <c r="H21" s="37">
        <v>5</v>
      </c>
      <c r="I21" s="38">
        <v>2028</v>
      </c>
      <c r="J21" s="133">
        <v>0</v>
      </c>
      <c r="K21" s="133">
        <f>J21-L20</f>
        <v>0</v>
      </c>
      <c r="L21" s="44">
        <f t="shared" si="12"/>
        <v>0</v>
      </c>
      <c r="O21" s="34"/>
      <c r="P21" s="7">
        <f t="shared" si="7"/>
        <v>0</v>
      </c>
      <c r="S21" s="134">
        <f t="shared" si="8"/>
        <v>1.1641532182693481E-10</v>
      </c>
      <c r="T21" s="36">
        <f t="shared" si="9"/>
        <v>0</v>
      </c>
      <c r="V21" s="28">
        <v>2027</v>
      </c>
    </row>
    <row r="22" spans="2:22" x14ac:dyDescent="0.2">
      <c r="B22" s="29">
        <v>7</v>
      </c>
      <c r="C22" s="4">
        <f t="shared" si="11"/>
        <v>47399</v>
      </c>
      <c r="D22" s="30">
        <v>0</v>
      </c>
      <c r="E22" s="30">
        <f t="shared" si="10"/>
        <v>0</v>
      </c>
      <c r="H22" s="37">
        <v>6</v>
      </c>
      <c r="I22" s="38">
        <v>2029</v>
      </c>
      <c r="J22" s="133">
        <f t="shared" si="14"/>
        <v>0</v>
      </c>
      <c r="K22" s="133">
        <f t="shared" ref="K22:K29" si="15">L21-J22</f>
        <v>0</v>
      </c>
      <c r="L22" s="44">
        <f t="shared" si="12"/>
        <v>0</v>
      </c>
      <c r="O22" s="34"/>
      <c r="P22" s="7">
        <f t="shared" si="7"/>
        <v>0</v>
      </c>
      <c r="S22" s="134">
        <f t="shared" si="8"/>
        <v>1.1641532182693481E-10</v>
      </c>
      <c r="T22" s="36">
        <f t="shared" si="9"/>
        <v>0</v>
      </c>
      <c r="V22" s="28">
        <v>2028</v>
      </c>
    </row>
    <row r="23" spans="2:22" x14ac:dyDescent="0.2">
      <c r="B23" s="29">
        <v>8</v>
      </c>
      <c r="C23" s="4">
        <f t="shared" si="11"/>
        <v>47764</v>
      </c>
      <c r="D23" s="30">
        <v>0</v>
      </c>
      <c r="E23" s="30">
        <f t="shared" si="10"/>
        <v>0</v>
      </c>
      <c r="H23" s="37">
        <v>7</v>
      </c>
      <c r="I23" s="38">
        <v>2030</v>
      </c>
      <c r="J23" s="133">
        <f t="shared" si="14"/>
        <v>0</v>
      </c>
      <c r="K23" s="133">
        <f t="shared" si="15"/>
        <v>0</v>
      </c>
      <c r="L23" s="44">
        <f t="shared" si="12"/>
        <v>0</v>
      </c>
      <c r="N23" s="7"/>
      <c r="O23" s="34"/>
      <c r="P23" s="7">
        <f t="shared" si="7"/>
        <v>0</v>
      </c>
      <c r="S23" s="134">
        <f t="shared" si="8"/>
        <v>1.1641532182693481E-10</v>
      </c>
      <c r="T23" s="36">
        <f t="shared" si="9"/>
        <v>0</v>
      </c>
      <c r="V23" s="28">
        <v>2029</v>
      </c>
    </row>
    <row r="24" spans="2:22" x14ac:dyDescent="0.2">
      <c r="B24" s="29">
        <v>9</v>
      </c>
      <c r="C24" s="4">
        <f t="shared" si="11"/>
        <v>48129</v>
      </c>
      <c r="D24" s="30">
        <v>0</v>
      </c>
      <c r="E24" s="30">
        <f t="shared" si="10"/>
        <v>0</v>
      </c>
      <c r="H24" s="37">
        <v>8</v>
      </c>
      <c r="I24" s="38">
        <v>2031</v>
      </c>
      <c r="J24" s="133">
        <f t="shared" si="14"/>
        <v>0</v>
      </c>
      <c r="K24" s="133">
        <f t="shared" si="15"/>
        <v>0</v>
      </c>
      <c r="L24" s="44">
        <f t="shared" si="12"/>
        <v>0</v>
      </c>
      <c r="O24" s="34"/>
      <c r="P24" s="7">
        <f t="shared" si="7"/>
        <v>0</v>
      </c>
      <c r="S24" s="134">
        <f t="shared" si="8"/>
        <v>1.1641532182693481E-10</v>
      </c>
      <c r="T24" s="36">
        <f t="shared" si="9"/>
        <v>0</v>
      </c>
      <c r="V24" s="28">
        <v>2030</v>
      </c>
    </row>
    <row r="25" spans="2:22" x14ac:dyDescent="0.2">
      <c r="B25" s="29">
        <v>10</v>
      </c>
      <c r="C25" s="4">
        <f t="shared" si="11"/>
        <v>48494</v>
      </c>
      <c r="D25" s="30">
        <v>0</v>
      </c>
      <c r="E25" s="30">
        <f t="shared" si="10"/>
        <v>0</v>
      </c>
      <c r="H25" s="37">
        <v>9</v>
      </c>
      <c r="I25" s="38">
        <v>2032</v>
      </c>
      <c r="J25" s="133">
        <f t="shared" si="14"/>
        <v>0</v>
      </c>
      <c r="K25" s="133">
        <f t="shared" si="15"/>
        <v>0</v>
      </c>
      <c r="L25" s="44">
        <f t="shared" si="12"/>
        <v>0</v>
      </c>
      <c r="O25" s="34"/>
      <c r="P25" s="7">
        <f t="shared" si="7"/>
        <v>0</v>
      </c>
      <c r="S25" s="134">
        <f t="shared" si="8"/>
        <v>1.1641532182693481E-10</v>
      </c>
      <c r="T25" s="36">
        <f t="shared" si="9"/>
        <v>0</v>
      </c>
      <c r="V25" s="28">
        <v>2031</v>
      </c>
    </row>
    <row r="26" spans="2:22" x14ac:dyDescent="0.2">
      <c r="B26" s="29">
        <v>11</v>
      </c>
      <c r="C26" s="4">
        <f t="shared" si="11"/>
        <v>48859</v>
      </c>
      <c r="D26" s="30">
        <v>0</v>
      </c>
      <c r="E26" s="30">
        <f t="shared" si="10"/>
        <v>0</v>
      </c>
      <c r="H26" s="37">
        <v>10</v>
      </c>
      <c r="I26" s="38">
        <v>2033</v>
      </c>
      <c r="J26" s="133">
        <f t="shared" si="14"/>
        <v>0</v>
      </c>
      <c r="K26" s="133">
        <f t="shared" si="15"/>
        <v>0</v>
      </c>
      <c r="L26" s="44">
        <f t="shared" si="12"/>
        <v>0</v>
      </c>
      <c r="O26" s="34"/>
      <c r="P26" s="7">
        <f t="shared" si="7"/>
        <v>0</v>
      </c>
      <c r="S26" s="134">
        <f t="shared" si="8"/>
        <v>1.1641532182693481E-10</v>
      </c>
      <c r="T26" s="36">
        <f t="shared" si="9"/>
        <v>0</v>
      </c>
      <c r="V26" s="28">
        <v>2032</v>
      </c>
    </row>
    <row r="27" spans="2:22" x14ac:dyDescent="0.2">
      <c r="B27" s="29">
        <v>12</v>
      </c>
      <c r="C27" s="4">
        <f t="shared" si="11"/>
        <v>49224</v>
      </c>
      <c r="D27" s="30">
        <v>0</v>
      </c>
      <c r="E27" s="30">
        <f t="shared" si="10"/>
        <v>0</v>
      </c>
      <c r="H27" s="37">
        <v>11</v>
      </c>
      <c r="I27" s="38">
        <v>2034</v>
      </c>
      <c r="J27" s="133">
        <f t="shared" si="14"/>
        <v>0</v>
      </c>
      <c r="K27" s="133">
        <f>L26-J27</f>
        <v>0</v>
      </c>
      <c r="L27" s="44">
        <f t="shared" si="12"/>
        <v>0</v>
      </c>
      <c r="O27" s="24"/>
      <c r="P27" s="46">
        <f>SUM(P14:P26)</f>
        <v>695750</v>
      </c>
      <c r="S27" s="134">
        <f t="shared" si="8"/>
        <v>1.1641532182693481E-10</v>
      </c>
      <c r="T27" s="36">
        <f t="shared" si="9"/>
        <v>0</v>
      </c>
      <c r="V27" s="28">
        <v>2033</v>
      </c>
    </row>
    <row r="28" spans="2:22" x14ac:dyDescent="0.2">
      <c r="B28" s="29">
        <v>13</v>
      </c>
      <c r="C28" s="4">
        <f t="shared" si="11"/>
        <v>49589</v>
      </c>
      <c r="D28" s="30">
        <v>0</v>
      </c>
      <c r="E28" s="30">
        <f t="shared" si="10"/>
        <v>0</v>
      </c>
      <c r="H28" s="37">
        <v>12</v>
      </c>
      <c r="I28" s="38">
        <v>2035</v>
      </c>
      <c r="J28" s="133">
        <f t="shared" si="14"/>
        <v>0</v>
      </c>
      <c r="K28" s="133">
        <f t="shared" si="15"/>
        <v>0</v>
      </c>
      <c r="L28" s="44">
        <f t="shared" si="12"/>
        <v>0</v>
      </c>
      <c r="O28" s="47"/>
      <c r="P28" s="48"/>
      <c r="S28" s="48"/>
      <c r="T28" s="49"/>
      <c r="V28" s="28"/>
    </row>
    <row r="29" spans="2:22" ht="13.5" thickBot="1" x14ac:dyDescent="0.25">
      <c r="B29" s="29"/>
      <c r="C29" s="4"/>
      <c r="F29" s="11"/>
      <c r="H29" s="50">
        <v>13</v>
      </c>
      <c r="I29" s="38">
        <v>2036</v>
      </c>
      <c r="J29" s="133">
        <f t="shared" si="14"/>
        <v>0</v>
      </c>
      <c r="K29" s="133">
        <f t="shared" si="15"/>
        <v>0</v>
      </c>
      <c r="L29" s="51">
        <f t="shared" si="12"/>
        <v>0</v>
      </c>
    </row>
    <row r="30" spans="2:22" ht="13.5" thickBot="1" x14ac:dyDescent="0.25">
      <c r="C30" s="52" t="s">
        <v>2</v>
      </c>
      <c r="D30" s="135">
        <f>XNPV(D3,D15:D28,C15:C28)</f>
        <v>264294.70150423743</v>
      </c>
      <c r="E30" s="52"/>
      <c r="H30" s="54"/>
      <c r="I30" s="38"/>
      <c r="J30" s="133"/>
      <c r="K30" s="133"/>
      <c r="L30" s="49"/>
      <c r="O30" s="144" t="s">
        <v>2</v>
      </c>
      <c r="P30" s="144"/>
      <c r="S30" s="144" t="s">
        <v>6</v>
      </c>
      <c r="T30" s="144"/>
    </row>
    <row r="31" spans="2:22" ht="13.5" thickTop="1" x14ac:dyDescent="0.2">
      <c r="C31" s="52"/>
      <c r="F31" s="11"/>
      <c r="O31" s="35">
        <f t="shared" ref="O31:O42" si="16">-K17+J17</f>
        <v>-9041.9199907499005</v>
      </c>
      <c r="P31" s="36">
        <f>+D30</f>
        <v>264294.70150423743</v>
      </c>
      <c r="Q31" s="26" t="s">
        <v>31</v>
      </c>
      <c r="R31" s="26" t="s">
        <v>39</v>
      </c>
      <c r="S31" s="55">
        <f>+P31</f>
        <v>264294.70150423743</v>
      </c>
      <c r="T31" s="36">
        <f>+S14</f>
        <v>656444.70150423748</v>
      </c>
      <c r="U31" s="26" t="s">
        <v>40</v>
      </c>
      <c r="V31" s="28">
        <v>2021</v>
      </c>
    </row>
    <row r="32" spans="2:22" x14ac:dyDescent="0.2">
      <c r="H32" s="29"/>
      <c r="I32" s="56"/>
      <c r="J32" s="18" t="s">
        <v>41</v>
      </c>
      <c r="K32" s="136"/>
      <c r="L32" s="60">
        <f>(D5-D4) /365*12</f>
        <v>55.0027397260274</v>
      </c>
      <c r="N32" s="26" t="s">
        <v>39</v>
      </c>
      <c r="O32" s="35">
        <f t="shared" si="16"/>
        <v>-12928.822196712901</v>
      </c>
      <c r="P32" s="36">
        <f t="shared" ref="P32:P42" si="17">+P31-O31</f>
        <v>273336.62149498734</v>
      </c>
      <c r="Q32" s="26" t="s">
        <v>42</v>
      </c>
      <c r="S32" s="34"/>
      <c r="T32" s="6">
        <f>+T31-S31</f>
        <v>392150.00000000006</v>
      </c>
      <c r="U32" s="26"/>
    </row>
    <row r="33" spans="3:24" x14ac:dyDescent="0.2">
      <c r="G33" s="7"/>
      <c r="J33" s="18" t="s">
        <v>43</v>
      </c>
      <c r="K33" s="58"/>
      <c r="L33" s="11">
        <f>D34/L32</f>
        <v>11934.763700390848</v>
      </c>
      <c r="M33" s="42"/>
      <c r="N33" s="26" t="s">
        <v>44</v>
      </c>
      <c r="O33" s="35">
        <f t="shared" si="16"/>
        <v>286265.44369170023</v>
      </c>
      <c r="P33" s="36">
        <f t="shared" si="17"/>
        <v>286265.44369170023</v>
      </c>
      <c r="Q33" s="26" t="s">
        <v>42</v>
      </c>
      <c r="S33" s="34"/>
    </row>
    <row r="34" spans="3:24" ht="13.5" thickBot="1" x14ac:dyDescent="0.25">
      <c r="C34" s="1" t="s">
        <v>45</v>
      </c>
      <c r="D34" s="59">
        <f>+D35+D36+D37+D38-D39</f>
        <v>656444.70150423748</v>
      </c>
      <c r="F34" s="11"/>
      <c r="G34" s="60"/>
      <c r="N34" s="26" t="s">
        <v>46</v>
      </c>
      <c r="O34" s="35">
        <f t="shared" si="16"/>
        <v>0</v>
      </c>
      <c r="P34" s="36">
        <f t="shared" si="17"/>
        <v>0</v>
      </c>
      <c r="Q34" s="26" t="s">
        <v>42</v>
      </c>
      <c r="S34" s="34"/>
    </row>
    <row r="35" spans="3:24" x14ac:dyDescent="0.2">
      <c r="C35" s="1" t="s">
        <v>47</v>
      </c>
      <c r="D35" s="102">
        <f>D30</f>
        <v>264294.70150423743</v>
      </c>
      <c r="F35" s="11"/>
      <c r="G35" s="11">
        <f>L33*0.68</f>
        <v>8115.6393162657769</v>
      </c>
      <c r="I35" s="21" t="s">
        <v>27</v>
      </c>
      <c r="J35" s="22" t="s">
        <v>30</v>
      </c>
      <c r="K35" s="22" t="s">
        <v>48</v>
      </c>
      <c r="L35" s="61" t="s">
        <v>49</v>
      </c>
      <c r="N35" s="26" t="s">
        <v>50</v>
      </c>
      <c r="O35" s="35">
        <f t="shared" si="16"/>
        <v>0</v>
      </c>
      <c r="P35" s="36">
        <f t="shared" si="17"/>
        <v>0</v>
      </c>
      <c r="S35" s="34"/>
    </row>
    <row r="36" spans="3:24" x14ac:dyDescent="0.2">
      <c r="C36" s="1" t="s">
        <v>51</v>
      </c>
      <c r="D36" s="30">
        <v>0</v>
      </c>
      <c r="E36" s="11"/>
      <c r="G36" s="11">
        <f>G35+L33</f>
        <v>20050.403016656623</v>
      </c>
      <c r="I36" s="62">
        <f>D4</f>
        <v>45209</v>
      </c>
      <c r="J36" s="49">
        <f>+D34</f>
        <v>656444.70150423748</v>
      </c>
      <c r="K36" s="63">
        <v>0</v>
      </c>
      <c r="L36" s="64">
        <v>0</v>
      </c>
      <c r="N36" s="26"/>
      <c r="O36" s="35">
        <f t="shared" si="16"/>
        <v>0</v>
      </c>
      <c r="P36" s="36">
        <f t="shared" si="17"/>
        <v>0</v>
      </c>
      <c r="S36" s="47"/>
    </row>
    <row r="37" spans="3:24" x14ac:dyDescent="0.2">
      <c r="C37" s="1" t="s">
        <v>52</v>
      </c>
      <c r="D37" s="65">
        <f>D6</f>
        <v>392150.00000000006</v>
      </c>
      <c r="E37" s="11"/>
      <c r="G37" s="6"/>
      <c r="I37" s="62">
        <v>45473</v>
      </c>
      <c r="J37" s="49">
        <f t="shared" ref="J37:J51" si="18">J36-K37</f>
        <v>552857.49218139309</v>
      </c>
      <c r="K37" s="49">
        <f t="shared" ref="K37:K51" si="19">L37*L$33</f>
        <v>103587.2093228444</v>
      </c>
      <c r="L37" s="66">
        <f>(I37-I36) /365*12</f>
        <v>8.6794520547945204</v>
      </c>
      <c r="M37" s="127"/>
      <c r="N37" s="26"/>
      <c r="O37" s="35">
        <f t="shared" si="16"/>
        <v>0</v>
      </c>
      <c r="P37" s="36">
        <f t="shared" si="17"/>
        <v>0</v>
      </c>
      <c r="S37" s="47"/>
    </row>
    <row r="38" spans="3:24" x14ac:dyDescent="0.2">
      <c r="C38" s="1" t="s">
        <v>53</v>
      </c>
      <c r="D38" s="30">
        <v>0</v>
      </c>
      <c r="G38" s="126"/>
      <c r="I38" s="62">
        <v>45838</v>
      </c>
      <c r="J38" s="49">
        <f t="shared" si="18"/>
        <v>409640.32777670294</v>
      </c>
      <c r="K38" s="49">
        <f t="shared" si="19"/>
        <v>143217.16440469018</v>
      </c>
      <c r="L38" s="67">
        <f>IF(L32-SUM(L37)&lt;12,L32-SUM(L37),12)</f>
        <v>12</v>
      </c>
      <c r="N38" s="26"/>
      <c r="O38" s="35">
        <f t="shared" si="16"/>
        <v>0</v>
      </c>
      <c r="P38" s="36">
        <f t="shared" si="17"/>
        <v>0</v>
      </c>
      <c r="S38" s="47"/>
    </row>
    <row r="39" spans="3:24" x14ac:dyDescent="0.2">
      <c r="C39" s="1" t="s">
        <v>54</v>
      </c>
      <c r="D39" s="30">
        <v>0</v>
      </c>
      <c r="I39" s="62">
        <v>46203</v>
      </c>
      <c r="J39" s="49">
        <f t="shared" si="18"/>
        <v>266423.16337201279</v>
      </c>
      <c r="K39" s="49">
        <f t="shared" si="19"/>
        <v>143217.16440469018</v>
      </c>
      <c r="L39" s="67">
        <f>IF(L32-SUM(L37:L38)&lt;12,L32-SUM(L37:L38),12)</f>
        <v>12</v>
      </c>
      <c r="N39" s="26"/>
      <c r="O39" s="35">
        <f t="shared" si="16"/>
        <v>0</v>
      </c>
      <c r="P39" s="36">
        <f t="shared" si="17"/>
        <v>0</v>
      </c>
      <c r="S39" s="47"/>
    </row>
    <row r="40" spans="3:24" x14ac:dyDescent="0.2">
      <c r="C40" s="52" t="s">
        <v>55</v>
      </c>
      <c r="E40" s="11"/>
      <c r="I40" s="62">
        <v>46568</v>
      </c>
      <c r="J40" s="49">
        <f t="shared" si="18"/>
        <v>123205.99896732261</v>
      </c>
      <c r="K40" s="49">
        <f t="shared" si="19"/>
        <v>143217.16440469018</v>
      </c>
      <c r="L40" s="67">
        <f>IF(L32-SUM(L37:L39)&lt;12,L32-SUM(L37:L39),12)</f>
        <v>12</v>
      </c>
      <c r="N40" s="26"/>
      <c r="O40" s="35">
        <f t="shared" si="16"/>
        <v>0</v>
      </c>
      <c r="P40" s="36">
        <f t="shared" si="17"/>
        <v>0</v>
      </c>
      <c r="S40" s="47"/>
    </row>
    <row r="41" spans="3:24" x14ac:dyDescent="0.2">
      <c r="I41" s="62">
        <v>46934</v>
      </c>
      <c r="J41" s="49">
        <f t="shared" si="18"/>
        <v>1.1641532182693481E-10</v>
      </c>
      <c r="K41" s="49">
        <f t="shared" si="19"/>
        <v>123205.99896732249</v>
      </c>
      <c r="L41" s="67">
        <f>IF(L32-SUM(L37:L40)&lt;12,L32-SUM(L37:L40),12)</f>
        <v>10.323287671232876</v>
      </c>
      <c r="N41" s="26"/>
      <c r="O41" s="35">
        <f t="shared" si="16"/>
        <v>0</v>
      </c>
      <c r="P41" s="36">
        <f t="shared" si="17"/>
        <v>0</v>
      </c>
      <c r="S41" s="47"/>
    </row>
    <row r="42" spans="3:24" x14ac:dyDescent="0.2">
      <c r="I42" s="62">
        <v>47299</v>
      </c>
      <c r="J42" s="49">
        <f t="shared" si="18"/>
        <v>1.1641532182693481E-10</v>
      </c>
      <c r="K42" s="49">
        <f t="shared" si="19"/>
        <v>0</v>
      </c>
      <c r="L42" s="68">
        <f>IF(L32-SUM(L37:L41)&lt;12,L32-SUM(L37:L41),12)</f>
        <v>0</v>
      </c>
      <c r="N42" s="26"/>
      <c r="O42" s="35">
        <f t="shared" si="16"/>
        <v>0</v>
      </c>
      <c r="P42" s="36">
        <f t="shared" si="17"/>
        <v>0</v>
      </c>
    </row>
    <row r="43" spans="3:24" x14ac:dyDescent="0.2">
      <c r="I43" s="62">
        <v>47664</v>
      </c>
      <c r="J43" s="49">
        <f t="shared" si="18"/>
        <v>1.1641532182693481E-10</v>
      </c>
      <c r="K43" s="49">
        <f t="shared" si="19"/>
        <v>0</v>
      </c>
      <c r="L43" s="67">
        <f>IF(L32-SUM(L37:L42)&lt;12,L32-SUM(L37:L42),12)</f>
        <v>0</v>
      </c>
      <c r="S43" s="142" t="s">
        <v>56</v>
      </c>
      <c r="T43" s="142"/>
      <c r="W43" s="142" t="s">
        <v>57</v>
      </c>
      <c r="X43" s="142"/>
    </row>
    <row r="44" spans="3:24" x14ac:dyDescent="0.2">
      <c r="C44" s="70"/>
      <c r="D44" s="71" t="s">
        <v>60</v>
      </c>
      <c r="E44" s="71" t="s">
        <v>61</v>
      </c>
      <c r="I44" s="62">
        <v>48029</v>
      </c>
      <c r="J44" s="49">
        <f t="shared" si="18"/>
        <v>1.1641532182693481E-10</v>
      </c>
      <c r="K44" s="49">
        <f t="shared" si="19"/>
        <v>0</v>
      </c>
      <c r="L44" s="67">
        <f>IF(L32-SUM(L37:L43)&lt;12,L32-SUM(L37:L43),12)</f>
        <v>0</v>
      </c>
      <c r="O44" s="144" t="s">
        <v>59</v>
      </c>
      <c r="P44" s="144"/>
      <c r="S44" s="142"/>
      <c r="T44" s="143"/>
      <c r="W44" s="142"/>
      <c r="X44" s="143"/>
    </row>
    <row r="45" spans="3:24" x14ac:dyDescent="0.2">
      <c r="C45" s="71" t="s">
        <v>93</v>
      </c>
      <c r="D45" s="137">
        <f>D34</f>
        <v>656444.70150423748</v>
      </c>
      <c r="E45" s="137"/>
      <c r="I45" s="62">
        <v>48395</v>
      </c>
      <c r="J45" s="49">
        <f t="shared" si="18"/>
        <v>1.1641532182693481E-10</v>
      </c>
      <c r="K45" s="49">
        <f t="shared" si="19"/>
        <v>0</v>
      </c>
      <c r="L45" s="67">
        <f>IF(L32-SUM(L37:L44)&lt;12,L32-SUM(L37:L44),12)</f>
        <v>0</v>
      </c>
      <c r="N45" s="26" t="s">
        <v>62</v>
      </c>
      <c r="O45" s="72">
        <f>+P14</f>
        <v>392150.00000000006</v>
      </c>
      <c r="P45" s="73"/>
      <c r="R45" s="26" t="s">
        <v>39</v>
      </c>
      <c r="S45" s="74">
        <f t="shared" ref="S45:S57" si="20">K17</f>
        <v>9041.9199907499005</v>
      </c>
      <c r="T45" s="75"/>
      <c r="U45" s="28">
        <v>2021</v>
      </c>
      <c r="V45" s="26" t="s">
        <v>63</v>
      </c>
      <c r="W45" s="27">
        <f t="shared" ref="W45:W57" si="21">K37</f>
        <v>103587.2093228444</v>
      </c>
      <c r="X45" s="6"/>
    </row>
    <row r="46" spans="3:24" x14ac:dyDescent="0.2">
      <c r="C46" s="71" t="s">
        <v>70</v>
      </c>
      <c r="D46" s="137"/>
      <c r="E46" s="137">
        <f>D35</f>
        <v>264294.70150423743</v>
      </c>
      <c r="I46" s="62">
        <v>48760</v>
      </c>
      <c r="J46" s="49">
        <f t="shared" si="18"/>
        <v>1.1641532182693481E-10</v>
      </c>
      <c r="K46" s="49">
        <f t="shared" si="19"/>
        <v>0</v>
      </c>
      <c r="L46" s="67">
        <f>IF(L32-SUM(L37:L45)&lt;12,L32-SUM(L37:L45),12)</f>
        <v>0</v>
      </c>
      <c r="O46" s="72">
        <f>+P15</f>
        <v>0</v>
      </c>
      <c r="P46" s="73"/>
      <c r="R46" s="26" t="s">
        <v>44</v>
      </c>
      <c r="S46" s="77">
        <f t="shared" si="20"/>
        <v>12928.822196712901</v>
      </c>
      <c r="T46" s="47"/>
      <c r="U46" s="28">
        <v>2022</v>
      </c>
      <c r="V46" s="26" t="s">
        <v>64</v>
      </c>
      <c r="W46" s="78">
        <f t="shared" si="21"/>
        <v>143217.16440469018</v>
      </c>
    </row>
    <row r="47" spans="3:24" x14ac:dyDescent="0.2">
      <c r="C47" s="71" t="s">
        <v>104</v>
      </c>
      <c r="D47" s="137"/>
      <c r="E47" s="137">
        <f>D37</f>
        <v>392150.00000000006</v>
      </c>
      <c r="I47" s="62">
        <v>49125</v>
      </c>
      <c r="J47" s="49">
        <f t="shared" si="18"/>
        <v>1.1641532182693481E-10</v>
      </c>
      <c r="K47" s="49">
        <f t="shared" si="19"/>
        <v>0</v>
      </c>
      <c r="L47" s="67">
        <f>IF(L32-SUM(L37:L46)&lt;12,L32-SUM(L37:L46),12)</f>
        <v>0</v>
      </c>
      <c r="O47" s="72">
        <f t="shared" ref="O47:O52" si="22">+P16</f>
        <v>0</v>
      </c>
      <c r="P47" s="73"/>
      <c r="R47" s="26" t="s">
        <v>46</v>
      </c>
      <c r="S47" s="77">
        <f t="shared" si="20"/>
        <v>17334.556308299711</v>
      </c>
      <c r="T47" s="47"/>
      <c r="U47" s="28">
        <v>2023</v>
      </c>
      <c r="V47" s="26" t="s">
        <v>65</v>
      </c>
      <c r="W47" s="78">
        <f t="shared" si="21"/>
        <v>143217.16440469018</v>
      </c>
    </row>
    <row r="48" spans="3:24" x14ac:dyDescent="0.2">
      <c r="C48" s="71" t="s">
        <v>67</v>
      </c>
      <c r="D48" s="138">
        <f>D45+D46+D47</f>
        <v>656444.70150423748</v>
      </c>
      <c r="E48" s="138">
        <f>E46+E47</f>
        <v>656444.70150423748</v>
      </c>
      <c r="I48" s="62">
        <v>49490</v>
      </c>
      <c r="J48" s="49">
        <f t="shared" si="18"/>
        <v>1.1641532182693481E-10</v>
      </c>
      <c r="K48" s="49">
        <f t="shared" si="19"/>
        <v>0</v>
      </c>
      <c r="L48" s="67">
        <f>IF(L32-SUM(L37:L47)&lt;12,L32-SUM(L37:L47),12)</f>
        <v>0</v>
      </c>
      <c r="O48" s="72">
        <f t="shared" si="22"/>
        <v>303599.99999999994</v>
      </c>
      <c r="P48" s="73"/>
      <c r="R48" s="26" t="s">
        <v>50</v>
      </c>
      <c r="S48" s="77">
        <f t="shared" si="20"/>
        <v>0</v>
      </c>
      <c r="T48" s="47"/>
      <c r="U48" s="28">
        <v>2024</v>
      </c>
      <c r="V48" s="26" t="s">
        <v>66</v>
      </c>
      <c r="W48" s="78">
        <f t="shared" si="21"/>
        <v>143217.16440469018</v>
      </c>
    </row>
    <row r="49" spans="5:24" x14ac:dyDescent="0.2">
      <c r="E49" s="80"/>
      <c r="G49" s="127">
        <f>G48*1.15</f>
        <v>0</v>
      </c>
      <c r="I49" s="62">
        <v>49856</v>
      </c>
      <c r="J49" s="49">
        <f t="shared" si="18"/>
        <v>1.1641532182693481E-10</v>
      </c>
      <c r="K49" s="49">
        <f t="shared" si="19"/>
        <v>0</v>
      </c>
      <c r="L49" s="67">
        <f>IF(L32-SUM(L37:L48)&lt;12,L32-SUM(L37:L48),12)</f>
        <v>0</v>
      </c>
      <c r="O49" s="72">
        <f t="shared" si="22"/>
        <v>0</v>
      </c>
      <c r="P49" s="73"/>
      <c r="S49" s="77">
        <f t="shared" si="20"/>
        <v>0</v>
      </c>
      <c r="T49" s="47"/>
      <c r="U49" s="28">
        <v>2025</v>
      </c>
      <c r="W49" s="78">
        <f t="shared" si="21"/>
        <v>123205.99896732249</v>
      </c>
    </row>
    <row r="50" spans="5:24" x14ac:dyDescent="0.2">
      <c r="E50" s="80"/>
      <c r="I50" s="62">
        <v>50221</v>
      </c>
      <c r="J50" s="49">
        <f t="shared" si="18"/>
        <v>1.1641532182693481E-10</v>
      </c>
      <c r="K50" s="49">
        <f t="shared" si="19"/>
        <v>0</v>
      </c>
      <c r="L50" s="67">
        <f>IF(L32-SUM(L37:L49)&lt;12,L32-SUM(L37:L49),12)</f>
        <v>0</v>
      </c>
      <c r="O50" s="72">
        <f t="shared" si="22"/>
        <v>0</v>
      </c>
      <c r="P50" s="73"/>
      <c r="S50" s="77">
        <f t="shared" si="20"/>
        <v>0</v>
      </c>
      <c r="T50" s="47"/>
      <c r="U50" s="28">
        <v>2026</v>
      </c>
      <c r="W50" s="78">
        <f t="shared" si="21"/>
        <v>0</v>
      </c>
      <c r="X50" s="47"/>
    </row>
    <row r="51" spans="5:24" ht="13.5" thickBot="1" x14ac:dyDescent="0.25">
      <c r="E51" s="80"/>
      <c r="I51" s="62">
        <v>50586</v>
      </c>
      <c r="J51" s="81">
        <f t="shared" si="18"/>
        <v>1.1641532182693481E-10</v>
      </c>
      <c r="K51" s="81">
        <f t="shared" si="19"/>
        <v>0</v>
      </c>
      <c r="L51" s="82">
        <f>IF(L32-SUM(L37:L50)&lt;12,L32-SUM(L37:L50),12)</f>
        <v>0</v>
      </c>
      <c r="O51" s="72">
        <f t="shared" si="22"/>
        <v>0</v>
      </c>
      <c r="P51" s="73"/>
      <c r="S51" s="77">
        <f t="shared" si="20"/>
        <v>0</v>
      </c>
      <c r="T51" s="47"/>
      <c r="U51" s="28">
        <v>2027</v>
      </c>
      <c r="W51" s="78">
        <f t="shared" si="21"/>
        <v>0</v>
      </c>
      <c r="X51" s="47"/>
    </row>
    <row r="52" spans="5:24" x14ac:dyDescent="0.2">
      <c r="E52" s="80"/>
      <c r="O52" s="83">
        <f t="shared" si="22"/>
        <v>0</v>
      </c>
      <c r="P52" s="73"/>
      <c r="S52" s="77">
        <f t="shared" si="20"/>
        <v>0</v>
      </c>
      <c r="T52" s="47"/>
      <c r="U52" s="28">
        <v>2028</v>
      </c>
      <c r="W52" s="78">
        <f t="shared" si="21"/>
        <v>0</v>
      </c>
      <c r="X52" s="47"/>
    </row>
    <row r="53" spans="5:24" x14ac:dyDescent="0.2">
      <c r="S53" s="77">
        <f t="shared" si="20"/>
        <v>0</v>
      </c>
      <c r="T53" s="47"/>
      <c r="U53" s="28">
        <v>2029</v>
      </c>
      <c r="W53" s="78">
        <f t="shared" si="21"/>
        <v>0</v>
      </c>
      <c r="X53" s="47"/>
    </row>
    <row r="54" spans="5:24" x14ac:dyDescent="0.2">
      <c r="S54" s="77">
        <f t="shared" si="20"/>
        <v>0</v>
      </c>
      <c r="T54" s="47"/>
      <c r="U54" s="28">
        <v>2030</v>
      </c>
      <c r="W54" s="78">
        <f t="shared" si="21"/>
        <v>0</v>
      </c>
      <c r="X54" s="47"/>
    </row>
    <row r="55" spans="5:24" x14ac:dyDescent="0.2">
      <c r="S55" s="77">
        <f t="shared" si="20"/>
        <v>0</v>
      </c>
      <c r="T55" s="47"/>
      <c r="U55" s="28">
        <v>2031</v>
      </c>
      <c r="W55" s="78">
        <f t="shared" si="21"/>
        <v>0</v>
      </c>
      <c r="X55" s="47"/>
    </row>
    <row r="56" spans="5:24" x14ac:dyDescent="0.2">
      <c r="S56" s="77">
        <f t="shared" si="20"/>
        <v>0</v>
      </c>
      <c r="T56" s="47"/>
      <c r="U56" s="28">
        <v>2032</v>
      </c>
      <c r="W56" s="78">
        <f t="shared" si="21"/>
        <v>0</v>
      </c>
      <c r="X56" s="47"/>
    </row>
    <row r="57" spans="5:24" x14ac:dyDescent="0.2">
      <c r="S57" s="77">
        <f t="shared" si="20"/>
        <v>0</v>
      </c>
      <c r="T57" s="47"/>
      <c r="U57" s="28">
        <v>2033</v>
      </c>
      <c r="W57" s="78">
        <f t="shared" si="21"/>
        <v>0</v>
      </c>
      <c r="X57" s="47"/>
    </row>
    <row r="58" spans="5:24" x14ac:dyDescent="0.2">
      <c r="S58" s="46">
        <f>SUM(S45:S57)</f>
        <v>39305.298495762516</v>
      </c>
      <c r="T58" s="75"/>
      <c r="W58" s="74">
        <f>SUM(W45:W57)</f>
        <v>656444.70150423748</v>
      </c>
      <c r="X58" s="75"/>
    </row>
  </sheetData>
  <mergeCells count="7">
    <mergeCell ref="W43:X44"/>
    <mergeCell ref="O44:P44"/>
    <mergeCell ref="O13:P13"/>
    <mergeCell ref="S13:T13"/>
    <mergeCell ref="O30:P30"/>
    <mergeCell ref="S30:T30"/>
    <mergeCell ref="S43:T4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opLeftCell="A16" workbookViewId="0">
      <selection activeCell="L57" sqref="L57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13.140625" style="1" customWidth="1"/>
    <col min="7" max="7" width="17" style="1" customWidth="1"/>
    <col min="8" max="8" width="13.140625" style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0.710937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105</v>
      </c>
      <c r="E1" s="1">
        <v>181.45</v>
      </c>
      <c r="F1" s="1" t="s">
        <v>98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102">
        <v>21000</v>
      </c>
      <c r="F2" s="1" t="s">
        <v>103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27">
        <f>E2*23</f>
        <v>483000</v>
      </c>
      <c r="F3" s="11">
        <f>E3*0.02</f>
        <v>9660</v>
      </c>
      <c r="G3" s="11"/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44381</v>
      </c>
      <c r="E4" s="127">
        <f>E3*1.1</f>
        <v>531300</v>
      </c>
      <c r="F4" s="11">
        <f>E3*0.1</f>
        <v>48300</v>
      </c>
      <c r="G4" s="11"/>
      <c r="I4" s="4">
        <v>45107</v>
      </c>
      <c r="J4" s="6">
        <v>0</v>
      </c>
      <c r="K4" s="7">
        <v>0</v>
      </c>
      <c r="L4" s="8">
        <f t="shared" ref="L4:L10" si="0">K36</f>
        <v>0</v>
      </c>
      <c r="M4" s="7">
        <v>0</v>
      </c>
      <c r="O4" s="6">
        <v>0</v>
      </c>
      <c r="P4" s="6">
        <v>0</v>
      </c>
      <c r="S4" s="11"/>
    </row>
    <row r="5" spans="2:22" x14ac:dyDescent="0.2">
      <c r="C5" s="1" t="s">
        <v>11</v>
      </c>
      <c r="D5" s="12">
        <v>45081</v>
      </c>
      <c r="E5" s="128"/>
      <c r="F5" s="86"/>
      <c r="G5" s="86"/>
      <c r="H5" s="85"/>
      <c r="I5" s="4">
        <v>45473</v>
      </c>
      <c r="J5" s="6">
        <f t="shared" ref="J5:J10" si="1">J37</f>
        <v>0</v>
      </c>
      <c r="K5" s="7">
        <f>L17</f>
        <v>0</v>
      </c>
      <c r="L5" s="8">
        <f t="shared" si="0"/>
        <v>531300</v>
      </c>
      <c r="M5" s="7">
        <f>K17</f>
        <v>0</v>
      </c>
      <c r="N5" s="7">
        <f>J17</f>
        <v>0</v>
      </c>
      <c r="O5" s="127">
        <v>0</v>
      </c>
      <c r="P5" s="6"/>
    </row>
    <row r="6" spans="2:22" x14ac:dyDescent="0.2">
      <c r="C6" s="1" t="s">
        <v>12</v>
      </c>
      <c r="D6" s="127">
        <v>531300</v>
      </c>
      <c r="E6" s="86"/>
      <c r="F6" s="86"/>
      <c r="G6" s="86"/>
      <c r="H6" s="85"/>
      <c r="I6" s="4">
        <v>45838</v>
      </c>
      <c r="J6" s="6">
        <f t="shared" si="1"/>
        <v>0</v>
      </c>
      <c r="K6" s="7">
        <f t="shared" ref="K6:K9" si="2">L18</f>
        <v>0</v>
      </c>
      <c r="L6" s="8">
        <f t="shared" si="0"/>
        <v>0</v>
      </c>
      <c r="M6" s="7">
        <f t="shared" ref="M6:M10" si="3">K18</f>
        <v>0</v>
      </c>
      <c r="N6" s="7">
        <f t="shared" ref="N6:N10" si="4">J18</f>
        <v>0</v>
      </c>
      <c r="O6" s="127">
        <v>0</v>
      </c>
      <c r="P6" s="11">
        <f>M17*5</f>
        <v>0</v>
      </c>
    </row>
    <row r="7" spans="2:22" x14ac:dyDescent="0.2">
      <c r="C7" s="1" t="s">
        <v>13</v>
      </c>
      <c r="D7" s="127">
        <v>531300</v>
      </c>
      <c r="E7" s="129"/>
      <c r="G7" s="11"/>
      <c r="I7" s="4">
        <v>46203</v>
      </c>
      <c r="J7" s="6">
        <f t="shared" si="1"/>
        <v>0</v>
      </c>
      <c r="K7" s="7">
        <f t="shared" si="2"/>
        <v>0</v>
      </c>
      <c r="L7" s="8">
        <f t="shared" si="0"/>
        <v>0</v>
      </c>
      <c r="M7" s="7">
        <f t="shared" si="3"/>
        <v>0</v>
      </c>
      <c r="N7" s="7">
        <f>J19</f>
        <v>0</v>
      </c>
      <c r="P7" s="11">
        <f>M17*'[1]Shire 2024 '!$X$56</f>
        <v>0</v>
      </c>
    </row>
    <row r="8" spans="2:22" x14ac:dyDescent="0.2">
      <c r="C8" s="1" t="s">
        <v>14</v>
      </c>
      <c r="D8" s="12">
        <f>D4</f>
        <v>44381</v>
      </c>
      <c r="E8" s="15"/>
      <c r="I8" s="4">
        <v>46568</v>
      </c>
      <c r="J8" s="6">
        <f t="shared" si="1"/>
        <v>0</v>
      </c>
      <c r="K8" s="7">
        <f t="shared" si="2"/>
        <v>0</v>
      </c>
      <c r="L8" s="8">
        <f t="shared" si="0"/>
        <v>0</v>
      </c>
      <c r="M8" s="7">
        <f t="shared" si="3"/>
        <v>0</v>
      </c>
      <c r="N8" s="7">
        <f t="shared" si="4"/>
        <v>0</v>
      </c>
      <c r="P8" s="11">
        <f>P6+P7</f>
        <v>0</v>
      </c>
    </row>
    <row r="9" spans="2:22" x14ac:dyDescent="0.2">
      <c r="C9" s="1" t="s">
        <v>15</v>
      </c>
      <c r="D9" s="130">
        <v>0</v>
      </c>
      <c r="E9" s="11"/>
      <c r="I9" s="4">
        <v>46934</v>
      </c>
      <c r="J9" s="6">
        <f t="shared" si="1"/>
        <v>0</v>
      </c>
      <c r="K9" s="7">
        <f t="shared" si="2"/>
        <v>0</v>
      </c>
      <c r="L9" s="8">
        <f t="shared" si="0"/>
        <v>0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1"/>
        <v>0</v>
      </c>
      <c r="K10" s="7">
        <f t="shared" ref="K10" si="5">L23</f>
        <v>0</v>
      </c>
      <c r="L10" s="8">
        <f t="shared" si="0"/>
        <v>0</v>
      </c>
      <c r="M10" s="7">
        <f t="shared" si="3"/>
        <v>0</v>
      </c>
      <c r="N10" s="7">
        <f t="shared" si="4"/>
        <v>0</v>
      </c>
    </row>
    <row r="11" spans="2:22" x14ac:dyDescent="0.2">
      <c r="C11" s="140"/>
      <c r="D11" s="141"/>
      <c r="E11" s="11"/>
      <c r="I11" s="4"/>
      <c r="J11" s="6"/>
      <c r="K11" s="7"/>
      <c r="L11" s="8"/>
      <c r="M11" s="7"/>
      <c r="N11" s="7"/>
    </row>
    <row r="12" spans="2:22" x14ac:dyDescent="0.2">
      <c r="C12" s="140"/>
      <c r="D12" s="141"/>
      <c r="E12" s="11"/>
      <c r="I12" s="4"/>
      <c r="J12" s="6"/>
      <c r="K12" s="7"/>
      <c r="L12" s="8"/>
      <c r="M12" s="7"/>
      <c r="N12" s="7"/>
    </row>
    <row r="13" spans="2:22" ht="13.5" thickBot="1" x14ac:dyDescent="0.25">
      <c r="O13" s="144" t="s">
        <v>17</v>
      </c>
      <c r="P13" s="144"/>
      <c r="S13" s="144" t="s">
        <v>18</v>
      </c>
      <c r="T13" s="144"/>
    </row>
    <row r="14" spans="2:22" x14ac:dyDescent="0.2">
      <c r="B14" s="18" t="s">
        <v>19</v>
      </c>
      <c r="C14" s="19" t="s">
        <v>20</v>
      </c>
      <c r="D14" s="19" t="s">
        <v>21</v>
      </c>
      <c r="E14" s="20" t="s">
        <v>22</v>
      </c>
      <c r="H14" s="21" t="s">
        <v>23</v>
      </c>
      <c r="I14" s="22"/>
      <c r="J14" s="22"/>
      <c r="K14" s="22"/>
      <c r="L14" s="23"/>
      <c r="O14" s="24"/>
      <c r="P14" s="25">
        <f>+D6</f>
        <v>531300</v>
      </c>
      <c r="Q14" s="26" t="s">
        <v>24</v>
      </c>
      <c r="R14" s="26" t="s">
        <v>25</v>
      </c>
      <c r="S14" s="27">
        <f>+D34</f>
        <v>531300</v>
      </c>
      <c r="T14" s="6">
        <f t="shared" ref="T14:T27" si="6">+K37</f>
        <v>531300</v>
      </c>
      <c r="U14" s="26" t="s">
        <v>26</v>
      </c>
      <c r="V14" s="28"/>
    </row>
    <row r="15" spans="2:22" x14ac:dyDescent="0.2">
      <c r="B15" s="29">
        <v>0</v>
      </c>
      <c r="C15" s="4">
        <f>D4</f>
        <v>44381</v>
      </c>
      <c r="D15" s="30">
        <v>0</v>
      </c>
      <c r="E15" s="30"/>
      <c r="H15" s="31" t="s">
        <v>19</v>
      </c>
      <c r="I15" s="32" t="s">
        <v>27</v>
      </c>
      <c r="J15" s="32" t="s">
        <v>28</v>
      </c>
      <c r="K15" s="32" t="s">
        <v>29</v>
      </c>
      <c r="L15" s="33" t="s">
        <v>30</v>
      </c>
      <c r="O15" s="34"/>
      <c r="P15" s="7">
        <f t="shared" ref="P15:P26" si="7">J17</f>
        <v>0</v>
      </c>
      <c r="Q15" s="26" t="s">
        <v>31</v>
      </c>
      <c r="R15" s="26" t="s">
        <v>32</v>
      </c>
      <c r="S15" s="35">
        <f t="shared" ref="S15:S27" si="8">+S14-T14</f>
        <v>0</v>
      </c>
      <c r="T15" s="36">
        <f t="shared" si="6"/>
        <v>0</v>
      </c>
      <c r="U15" s="26" t="s">
        <v>33</v>
      </c>
      <c r="V15" s="28">
        <v>2021</v>
      </c>
    </row>
    <row r="16" spans="2:22" x14ac:dyDescent="0.2">
      <c r="B16" s="29">
        <v>1</v>
      </c>
      <c r="C16" s="4">
        <f>D8</f>
        <v>44381</v>
      </c>
      <c r="D16" s="30">
        <v>0</v>
      </c>
      <c r="E16" s="30">
        <f t="shared" ref="E16:E28" si="9">+D16*(1+$D$3)</f>
        <v>0</v>
      </c>
      <c r="H16" s="37">
        <v>0</v>
      </c>
      <c r="I16" s="38"/>
      <c r="J16" s="131"/>
      <c r="K16" s="132"/>
      <c r="L16" s="41">
        <f>D30</f>
        <v>0</v>
      </c>
      <c r="N16" s="42"/>
      <c r="O16" s="34"/>
      <c r="P16" s="7">
        <f t="shared" si="7"/>
        <v>0</v>
      </c>
      <c r="Q16" s="26" t="s">
        <v>34</v>
      </c>
      <c r="R16" s="26" t="s">
        <v>32</v>
      </c>
      <c r="S16" s="35">
        <f>+S15-T15</f>
        <v>0</v>
      </c>
      <c r="T16" s="36">
        <f t="shared" si="6"/>
        <v>0</v>
      </c>
      <c r="U16" s="26" t="s">
        <v>35</v>
      </c>
      <c r="V16" s="28">
        <v>2022</v>
      </c>
    </row>
    <row r="17" spans="2:22" x14ac:dyDescent="0.2">
      <c r="B17" s="29">
        <v>2</v>
      </c>
      <c r="C17" s="4">
        <f t="shared" ref="C17:C28" si="10">C16+365</f>
        <v>44746</v>
      </c>
      <c r="D17" s="30">
        <v>0</v>
      </c>
      <c r="E17" s="30">
        <f t="shared" si="9"/>
        <v>0</v>
      </c>
      <c r="H17" s="37">
        <v>1</v>
      </c>
      <c r="I17" s="38">
        <v>2024</v>
      </c>
      <c r="J17" s="133"/>
      <c r="K17" s="133">
        <f>(L16-J17)*D$3*L37/12</f>
        <v>0</v>
      </c>
      <c r="L17" s="44">
        <f>L16-J17+K17</f>
        <v>0</v>
      </c>
      <c r="M17" s="11">
        <f>K17/L37</f>
        <v>0</v>
      </c>
      <c r="O17" s="34"/>
      <c r="P17" s="7">
        <f t="shared" si="7"/>
        <v>0</v>
      </c>
      <c r="Q17" s="26" t="s">
        <v>36</v>
      </c>
      <c r="R17" s="26" t="s">
        <v>32</v>
      </c>
      <c r="S17" s="35">
        <f t="shared" si="8"/>
        <v>0</v>
      </c>
      <c r="T17" s="36">
        <f t="shared" si="6"/>
        <v>0</v>
      </c>
      <c r="U17" s="26" t="s">
        <v>37</v>
      </c>
      <c r="V17" s="28">
        <v>2023</v>
      </c>
    </row>
    <row r="18" spans="2:22" x14ac:dyDescent="0.2">
      <c r="B18" s="29">
        <v>3</v>
      </c>
      <c r="C18" s="4">
        <f t="shared" si="10"/>
        <v>45111</v>
      </c>
      <c r="D18" s="30">
        <v>0</v>
      </c>
      <c r="E18" s="30">
        <f t="shared" si="9"/>
        <v>0</v>
      </c>
      <c r="H18" s="37">
        <f>+H17+1</f>
        <v>2</v>
      </c>
      <c r="I18" s="38">
        <v>2025</v>
      </c>
      <c r="J18" s="133">
        <f>D16</f>
        <v>0</v>
      </c>
      <c r="K18" s="133">
        <f>(L17-J18)*D$3</f>
        <v>0</v>
      </c>
      <c r="L18" s="44">
        <f t="shared" ref="L18:L29" si="11">L17-J18+K18</f>
        <v>0</v>
      </c>
      <c r="M18" s="11"/>
      <c r="O18" s="34"/>
      <c r="P18" s="7">
        <f t="shared" si="7"/>
        <v>0</v>
      </c>
      <c r="Q18" s="26" t="s">
        <v>38</v>
      </c>
      <c r="R18" s="26"/>
      <c r="S18" s="35">
        <f t="shared" si="8"/>
        <v>0</v>
      </c>
      <c r="T18" s="36">
        <f t="shared" si="6"/>
        <v>0</v>
      </c>
      <c r="V18" s="28">
        <v>2024</v>
      </c>
    </row>
    <row r="19" spans="2:22" x14ac:dyDescent="0.2">
      <c r="B19" s="29">
        <v>4</v>
      </c>
      <c r="C19" s="4">
        <f t="shared" si="10"/>
        <v>45476</v>
      </c>
      <c r="D19" s="30">
        <f>D7-D6</f>
        <v>0</v>
      </c>
      <c r="E19" s="30">
        <f t="shared" si="9"/>
        <v>0</v>
      </c>
      <c r="H19" s="37">
        <f>+H18+1</f>
        <v>3</v>
      </c>
      <c r="I19" s="38">
        <v>2026</v>
      </c>
      <c r="J19" s="133">
        <f>D19</f>
        <v>0</v>
      </c>
      <c r="K19" s="133">
        <f>J19-L18</f>
        <v>0</v>
      </c>
      <c r="L19" s="44">
        <f t="shared" si="11"/>
        <v>0</v>
      </c>
      <c r="M19" s="11"/>
      <c r="O19" s="34"/>
      <c r="P19" s="7">
        <f t="shared" si="7"/>
        <v>0</v>
      </c>
      <c r="S19" s="35">
        <f t="shared" si="8"/>
        <v>0</v>
      </c>
      <c r="T19" s="36">
        <f t="shared" si="6"/>
        <v>0</v>
      </c>
      <c r="V19" s="28">
        <v>2025</v>
      </c>
    </row>
    <row r="20" spans="2:22" x14ac:dyDescent="0.2">
      <c r="B20" s="29">
        <v>5</v>
      </c>
      <c r="C20" s="4">
        <f t="shared" si="10"/>
        <v>45841</v>
      </c>
      <c r="D20" s="30">
        <v>0</v>
      </c>
      <c r="E20" s="30">
        <f t="shared" si="9"/>
        <v>0</v>
      </c>
      <c r="F20" s="127"/>
      <c r="H20" s="37">
        <v>4</v>
      </c>
      <c r="I20" s="38">
        <v>2027</v>
      </c>
      <c r="J20" s="133">
        <f t="shared" ref="J20:J29" si="12">D18</f>
        <v>0</v>
      </c>
      <c r="K20" s="133">
        <f>J20-L19</f>
        <v>0</v>
      </c>
      <c r="L20" s="44">
        <f t="shared" si="11"/>
        <v>0</v>
      </c>
      <c r="N20" s="7"/>
      <c r="O20" s="34"/>
      <c r="P20" s="7">
        <f t="shared" si="7"/>
        <v>0</v>
      </c>
      <c r="S20" s="134">
        <f t="shared" si="8"/>
        <v>0</v>
      </c>
      <c r="T20" s="36">
        <f t="shared" si="6"/>
        <v>0</v>
      </c>
      <c r="V20" s="28">
        <v>2026</v>
      </c>
    </row>
    <row r="21" spans="2:22" x14ac:dyDescent="0.2">
      <c r="B21" s="29">
        <v>6</v>
      </c>
      <c r="C21" s="4">
        <f t="shared" si="10"/>
        <v>46206</v>
      </c>
      <c r="D21" s="30">
        <v>0</v>
      </c>
      <c r="E21" s="30">
        <f t="shared" si="9"/>
        <v>0</v>
      </c>
      <c r="H21" s="37">
        <v>5</v>
      </c>
      <c r="I21" s="38">
        <v>2028</v>
      </c>
      <c r="J21" s="133">
        <v>0</v>
      </c>
      <c r="K21" s="133">
        <f>J21-L20</f>
        <v>0</v>
      </c>
      <c r="L21" s="44">
        <f t="shared" si="11"/>
        <v>0</v>
      </c>
      <c r="O21" s="34"/>
      <c r="P21" s="7">
        <f t="shared" si="7"/>
        <v>0</v>
      </c>
      <c r="S21" s="134">
        <f t="shared" si="8"/>
        <v>0</v>
      </c>
      <c r="T21" s="36">
        <f t="shared" si="6"/>
        <v>0</v>
      </c>
      <c r="V21" s="28">
        <v>2027</v>
      </c>
    </row>
    <row r="22" spans="2:22" x14ac:dyDescent="0.2">
      <c r="B22" s="29">
        <v>7</v>
      </c>
      <c r="C22" s="4">
        <f t="shared" si="10"/>
        <v>46571</v>
      </c>
      <c r="D22" s="30">
        <v>0</v>
      </c>
      <c r="E22" s="30">
        <f t="shared" si="9"/>
        <v>0</v>
      </c>
      <c r="H22" s="37">
        <v>6</v>
      </c>
      <c r="I22" s="38">
        <v>2029</v>
      </c>
      <c r="J22" s="133">
        <f t="shared" si="12"/>
        <v>0</v>
      </c>
      <c r="K22" s="133">
        <f t="shared" ref="K22:K29" si="13">L21-J22</f>
        <v>0</v>
      </c>
      <c r="L22" s="44">
        <f t="shared" si="11"/>
        <v>0</v>
      </c>
      <c r="O22" s="34"/>
      <c r="P22" s="7">
        <f t="shared" si="7"/>
        <v>0</v>
      </c>
      <c r="S22" s="134">
        <f t="shared" si="8"/>
        <v>0</v>
      </c>
      <c r="T22" s="36">
        <f t="shared" si="6"/>
        <v>0</v>
      </c>
      <c r="V22" s="28">
        <v>2028</v>
      </c>
    </row>
    <row r="23" spans="2:22" x14ac:dyDescent="0.2">
      <c r="B23" s="29">
        <v>8</v>
      </c>
      <c r="C23" s="4">
        <f t="shared" si="10"/>
        <v>46936</v>
      </c>
      <c r="D23" s="30">
        <v>0</v>
      </c>
      <c r="E23" s="30">
        <f t="shared" si="9"/>
        <v>0</v>
      </c>
      <c r="H23" s="37">
        <v>7</v>
      </c>
      <c r="I23" s="38">
        <v>2030</v>
      </c>
      <c r="J23" s="133">
        <f t="shared" si="12"/>
        <v>0</v>
      </c>
      <c r="K23" s="133">
        <f t="shared" si="13"/>
        <v>0</v>
      </c>
      <c r="L23" s="44">
        <f t="shared" si="11"/>
        <v>0</v>
      </c>
      <c r="N23" s="7"/>
      <c r="O23" s="34"/>
      <c r="P23" s="7">
        <f t="shared" si="7"/>
        <v>0</v>
      </c>
      <c r="S23" s="134">
        <f t="shared" si="8"/>
        <v>0</v>
      </c>
      <c r="T23" s="36">
        <f t="shared" si="6"/>
        <v>0</v>
      </c>
      <c r="V23" s="28">
        <v>2029</v>
      </c>
    </row>
    <row r="24" spans="2:22" x14ac:dyDescent="0.2">
      <c r="B24" s="29">
        <v>9</v>
      </c>
      <c r="C24" s="4">
        <f t="shared" si="10"/>
        <v>47301</v>
      </c>
      <c r="D24" s="30">
        <v>0</v>
      </c>
      <c r="E24" s="30">
        <f t="shared" si="9"/>
        <v>0</v>
      </c>
      <c r="H24" s="37">
        <v>8</v>
      </c>
      <c r="I24" s="38">
        <v>2031</v>
      </c>
      <c r="J24" s="133">
        <f t="shared" si="12"/>
        <v>0</v>
      </c>
      <c r="K24" s="133">
        <f t="shared" si="13"/>
        <v>0</v>
      </c>
      <c r="L24" s="44">
        <f t="shared" si="11"/>
        <v>0</v>
      </c>
      <c r="O24" s="34"/>
      <c r="P24" s="7">
        <f t="shared" si="7"/>
        <v>0</v>
      </c>
      <c r="S24" s="134">
        <f t="shared" si="8"/>
        <v>0</v>
      </c>
      <c r="T24" s="36">
        <f t="shared" si="6"/>
        <v>0</v>
      </c>
      <c r="V24" s="28">
        <v>2030</v>
      </c>
    </row>
    <row r="25" spans="2:22" x14ac:dyDescent="0.2">
      <c r="B25" s="29">
        <v>10</v>
      </c>
      <c r="C25" s="4">
        <f t="shared" si="10"/>
        <v>47666</v>
      </c>
      <c r="D25" s="30">
        <v>0</v>
      </c>
      <c r="E25" s="30">
        <f t="shared" si="9"/>
        <v>0</v>
      </c>
      <c r="H25" s="37">
        <v>9</v>
      </c>
      <c r="I25" s="38">
        <v>2032</v>
      </c>
      <c r="J25" s="133">
        <f t="shared" si="12"/>
        <v>0</v>
      </c>
      <c r="K25" s="133">
        <f t="shared" si="13"/>
        <v>0</v>
      </c>
      <c r="L25" s="44">
        <f t="shared" si="11"/>
        <v>0</v>
      </c>
      <c r="O25" s="34"/>
      <c r="P25" s="7">
        <f t="shared" si="7"/>
        <v>0</v>
      </c>
      <c r="S25" s="134">
        <f t="shared" si="8"/>
        <v>0</v>
      </c>
      <c r="T25" s="36">
        <f t="shared" si="6"/>
        <v>0</v>
      </c>
      <c r="V25" s="28">
        <v>2031</v>
      </c>
    </row>
    <row r="26" spans="2:22" x14ac:dyDescent="0.2">
      <c r="B26" s="29">
        <v>11</v>
      </c>
      <c r="C26" s="4">
        <f t="shared" si="10"/>
        <v>48031</v>
      </c>
      <c r="D26" s="30">
        <v>0</v>
      </c>
      <c r="E26" s="30">
        <f t="shared" si="9"/>
        <v>0</v>
      </c>
      <c r="H26" s="37">
        <v>10</v>
      </c>
      <c r="I26" s="38">
        <v>2033</v>
      </c>
      <c r="J26" s="133">
        <f t="shared" si="12"/>
        <v>0</v>
      </c>
      <c r="K26" s="133">
        <f t="shared" si="13"/>
        <v>0</v>
      </c>
      <c r="L26" s="44">
        <f t="shared" si="11"/>
        <v>0</v>
      </c>
      <c r="O26" s="34"/>
      <c r="P26" s="7">
        <f t="shared" si="7"/>
        <v>0</v>
      </c>
      <c r="S26" s="134">
        <f t="shared" si="8"/>
        <v>0</v>
      </c>
      <c r="T26" s="36">
        <f t="shared" si="6"/>
        <v>0</v>
      </c>
      <c r="V26" s="28">
        <v>2032</v>
      </c>
    </row>
    <row r="27" spans="2:22" x14ac:dyDescent="0.2">
      <c r="B27" s="29">
        <v>12</v>
      </c>
      <c r="C27" s="4">
        <f t="shared" si="10"/>
        <v>48396</v>
      </c>
      <c r="D27" s="30">
        <v>0</v>
      </c>
      <c r="E27" s="30">
        <f t="shared" si="9"/>
        <v>0</v>
      </c>
      <c r="H27" s="37">
        <v>11</v>
      </c>
      <c r="I27" s="38">
        <v>2034</v>
      </c>
      <c r="J27" s="133">
        <f t="shared" si="12"/>
        <v>0</v>
      </c>
      <c r="K27" s="133">
        <f>L26-J27</f>
        <v>0</v>
      </c>
      <c r="L27" s="44">
        <f t="shared" si="11"/>
        <v>0</v>
      </c>
      <c r="O27" s="24"/>
      <c r="P27" s="46">
        <f>SUM(P14:P26)</f>
        <v>531300</v>
      </c>
      <c r="S27" s="134">
        <f t="shared" si="8"/>
        <v>0</v>
      </c>
      <c r="T27" s="36">
        <f t="shared" si="6"/>
        <v>0</v>
      </c>
      <c r="V27" s="28">
        <v>2033</v>
      </c>
    </row>
    <row r="28" spans="2:22" x14ac:dyDescent="0.2">
      <c r="B28" s="29">
        <v>13</v>
      </c>
      <c r="C28" s="4">
        <f t="shared" si="10"/>
        <v>48761</v>
      </c>
      <c r="D28" s="30">
        <v>0</v>
      </c>
      <c r="E28" s="30">
        <f t="shared" si="9"/>
        <v>0</v>
      </c>
      <c r="H28" s="37">
        <v>12</v>
      </c>
      <c r="I28" s="38">
        <v>2035</v>
      </c>
      <c r="J28" s="133">
        <f t="shared" si="12"/>
        <v>0</v>
      </c>
      <c r="K28" s="133">
        <f t="shared" si="13"/>
        <v>0</v>
      </c>
      <c r="L28" s="44">
        <f t="shared" si="11"/>
        <v>0</v>
      </c>
      <c r="O28" s="47"/>
      <c r="P28" s="48"/>
      <c r="S28" s="48"/>
      <c r="T28" s="49"/>
      <c r="V28" s="28"/>
    </row>
    <row r="29" spans="2:22" ht="13.5" thickBot="1" x14ac:dyDescent="0.25">
      <c r="B29" s="29"/>
      <c r="C29" s="4"/>
      <c r="F29" s="11"/>
      <c r="H29" s="50">
        <v>13</v>
      </c>
      <c r="I29" s="38">
        <v>2036</v>
      </c>
      <c r="J29" s="133">
        <f t="shared" si="12"/>
        <v>0</v>
      </c>
      <c r="K29" s="133">
        <f t="shared" si="13"/>
        <v>0</v>
      </c>
      <c r="L29" s="51">
        <f t="shared" si="11"/>
        <v>0</v>
      </c>
    </row>
    <row r="30" spans="2:22" ht="13.5" thickBot="1" x14ac:dyDescent="0.25">
      <c r="C30" s="52" t="s">
        <v>2</v>
      </c>
      <c r="D30" s="135">
        <f>XNPV(D3,D15:D28,C15:C28)</f>
        <v>0</v>
      </c>
      <c r="E30" s="52"/>
      <c r="H30" s="54"/>
      <c r="I30" s="38"/>
      <c r="J30" s="133"/>
      <c r="K30" s="133"/>
      <c r="L30" s="49"/>
      <c r="O30" s="144" t="s">
        <v>2</v>
      </c>
      <c r="P30" s="144"/>
      <c r="S30" s="144" t="s">
        <v>6</v>
      </c>
      <c r="T30" s="144"/>
    </row>
    <row r="31" spans="2:22" ht="13.5" thickTop="1" x14ac:dyDescent="0.2">
      <c r="C31" s="52"/>
      <c r="F31" s="11"/>
      <c r="O31" s="35">
        <f t="shared" ref="O31:O42" si="14">-K17+J17</f>
        <v>0</v>
      </c>
      <c r="P31" s="36">
        <f>+D30</f>
        <v>0</v>
      </c>
      <c r="Q31" s="26" t="s">
        <v>31</v>
      </c>
      <c r="R31" s="26" t="s">
        <v>39</v>
      </c>
      <c r="S31" s="55">
        <f>+P31</f>
        <v>0</v>
      </c>
      <c r="T31" s="36">
        <f>+S14</f>
        <v>531300</v>
      </c>
      <c r="U31" s="26" t="s">
        <v>40</v>
      </c>
      <c r="V31" s="28">
        <v>2021</v>
      </c>
    </row>
    <row r="32" spans="2:22" x14ac:dyDescent="0.2">
      <c r="H32" s="29"/>
      <c r="I32" s="56"/>
      <c r="J32" s="18" t="s">
        <v>41</v>
      </c>
      <c r="K32" s="136"/>
      <c r="L32" s="6">
        <f>(D5-D4) /365*12</f>
        <v>23.013698630136986</v>
      </c>
      <c r="N32" s="26" t="s">
        <v>39</v>
      </c>
      <c r="O32" s="35">
        <f t="shared" si="14"/>
        <v>0</v>
      </c>
      <c r="P32" s="36">
        <f t="shared" ref="P32:P42" si="15">+P31-O31</f>
        <v>0</v>
      </c>
      <c r="Q32" s="26" t="s">
        <v>42</v>
      </c>
      <c r="S32" s="34"/>
      <c r="T32" s="6">
        <f>+T31-S31</f>
        <v>531300</v>
      </c>
      <c r="U32" s="26"/>
    </row>
    <row r="33" spans="3:24" x14ac:dyDescent="0.2">
      <c r="G33" s="7"/>
      <c r="J33" s="18" t="s">
        <v>43</v>
      </c>
      <c r="K33" s="58"/>
      <c r="L33" s="11">
        <f>D34/L32</f>
        <v>23086.25</v>
      </c>
      <c r="M33" s="42"/>
      <c r="N33" s="26" t="s">
        <v>44</v>
      </c>
      <c r="O33" s="35">
        <f t="shared" si="14"/>
        <v>0</v>
      </c>
      <c r="P33" s="36">
        <f t="shared" si="15"/>
        <v>0</v>
      </c>
      <c r="Q33" s="26" t="s">
        <v>42</v>
      </c>
      <c r="S33" s="34"/>
    </row>
    <row r="34" spans="3:24" ht="13.5" thickBot="1" x14ac:dyDescent="0.25">
      <c r="C34" s="1" t="s">
        <v>45</v>
      </c>
      <c r="D34" s="59">
        <f>+D35+D36+D37+D38-D39</f>
        <v>531300</v>
      </c>
      <c r="F34" s="11"/>
      <c r="G34" s="60"/>
      <c r="N34" s="26" t="s">
        <v>46</v>
      </c>
      <c r="O34" s="35">
        <f t="shared" si="14"/>
        <v>0</v>
      </c>
      <c r="P34" s="36">
        <f t="shared" si="15"/>
        <v>0</v>
      </c>
      <c r="Q34" s="26" t="s">
        <v>42</v>
      </c>
      <c r="S34" s="34"/>
    </row>
    <row r="35" spans="3:24" x14ac:dyDescent="0.2">
      <c r="C35" s="1" t="s">
        <v>47</v>
      </c>
      <c r="D35" s="102">
        <f>D30</f>
        <v>0</v>
      </c>
      <c r="F35" s="11"/>
      <c r="G35" s="11"/>
      <c r="I35" s="21" t="s">
        <v>27</v>
      </c>
      <c r="J35" s="22" t="s">
        <v>30</v>
      </c>
      <c r="K35" s="22" t="s">
        <v>48</v>
      </c>
      <c r="L35" s="61" t="s">
        <v>49</v>
      </c>
      <c r="N35" s="26" t="s">
        <v>50</v>
      </c>
      <c r="O35" s="35">
        <f t="shared" si="14"/>
        <v>0</v>
      </c>
      <c r="P35" s="36">
        <f t="shared" si="15"/>
        <v>0</v>
      </c>
      <c r="S35" s="34"/>
    </row>
    <row r="36" spans="3:24" x14ac:dyDescent="0.2">
      <c r="C36" s="1" t="s">
        <v>51</v>
      </c>
      <c r="D36" s="30">
        <v>0</v>
      </c>
      <c r="E36" s="11"/>
      <c r="G36" s="11"/>
      <c r="I36" s="62">
        <f>D4</f>
        <v>44381</v>
      </c>
      <c r="J36" s="49">
        <f>+D34</f>
        <v>531300</v>
      </c>
      <c r="K36" s="63">
        <v>0</v>
      </c>
      <c r="L36" s="64">
        <v>0</v>
      </c>
      <c r="N36" s="26"/>
      <c r="O36" s="35">
        <f t="shared" si="14"/>
        <v>0</v>
      </c>
      <c r="P36" s="36">
        <f t="shared" si="15"/>
        <v>0</v>
      </c>
      <c r="S36" s="47"/>
    </row>
    <row r="37" spans="3:24" x14ac:dyDescent="0.2">
      <c r="C37" s="1" t="s">
        <v>52</v>
      </c>
      <c r="D37" s="65">
        <f>D6</f>
        <v>531300</v>
      </c>
      <c r="E37" s="11"/>
      <c r="G37" s="6"/>
      <c r="I37" s="62">
        <v>45081</v>
      </c>
      <c r="J37" s="49">
        <f>J36-K37</f>
        <v>0</v>
      </c>
      <c r="K37" s="49">
        <f>L37*L$33</f>
        <v>531300</v>
      </c>
      <c r="L37" s="120">
        <f>(I37-I36) /365*12</f>
        <v>23.013698630136986</v>
      </c>
      <c r="M37" s="127"/>
      <c r="N37" s="26"/>
      <c r="O37" s="35">
        <f t="shared" si="14"/>
        <v>0</v>
      </c>
      <c r="P37" s="36">
        <f t="shared" si="15"/>
        <v>0</v>
      </c>
      <c r="S37" s="47"/>
    </row>
    <row r="38" spans="3:24" x14ac:dyDescent="0.2">
      <c r="C38" s="1" t="s">
        <v>53</v>
      </c>
      <c r="D38" s="30">
        <v>0</v>
      </c>
      <c r="G38" s="126"/>
      <c r="I38" s="62">
        <v>45838</v>
      </c>
      <c r="J38" s="49">
        <f t="shared" ref="J38:J51" si="16">J37-K38</f>
        <v>0</v>
      </c>
      <c r="K38" s="49">
        <f t="shared" ref="K38:K51" si="17">L38*L$33</f>
        <v>0</v>
      </c>
      <c r="L38" s="67">
        <f>IF(L32-SUM(L37)&lt;12,L32-SUM(L37),12)</f>
        <v>0</v>
      </c>
      <c r="N38" s="26"/>
      <c r="O38" s="35">
        <f t="shared" si="14"/>
        <v>0</v>
      </c>
      <c r="P38" s="36">
        <f t="shared" si="15"/>
        <v>0</v>
      </c>
      <c r="S38" s="47"/>
    </row>
    <row r="39" spans="3:24" x14ac:dyDescent="0.2">
      <c r="C39" s="1" t="s">
        <v>54</v>
      </c>
      <c r="D39" s="30">
        <v>0</v>
      </c>
      <c r="I39" s="62">
        <v>46203</v>
      </c>
      <c r="J39" s="49">
        <f t="shared" si="16"/>
        <v>0</v>
      </c>
      <c r="K39" s="49">
        <f t="shared" si="17"/>
        <v>0</v>
      </c>
      <c r="L39" s="67">
        <f>IF(L32-SUM(L37:L38)&lt;12,L32-SUM(L37:L38),12)</f>
        <v>0</v>
      </c>
      <c r="N39" s="26"/>
      <c r="O39" s="35">
        <f t="shared" si="14"/>
        <v>0</v>
      </c>
      <c r="P39" s="36">
        <f t="shared" si="15"/>
        <v>0</v>
      </c>
      <c r="S39" s="47"/>
    </row>
    <row r="40" spans="3:24" x14ac:dyDescent="0.2">
      <c r="C40" s="52" t="s">
        <v>55</v>
      </c>
      <c r="E40" s="11"/>
      <c r="I40" s="62">
        <v>46568</v>
      </c>
      <c r="J40" s="49">
        <f t="shared" si="16"/>
        <v>0</v>
      </c>
      <c r="K40" s="49">
        <f t="shared" si="17"/>
        <v>0</v>
      </c>
      <c r="L40" s="67">
        <f>IF(L32-SUM(L37:L39)&lt;12,L32-SUM(L37:L39),12)</f>
        <v>0</v>
      </c>
      <c r="N40" s="26"/>
      <c r="O40" s="35">
        <f t="shared" si="14"/>
        <v>0</v>
      </c>
      <c r="P40" s="36">
        <f t="shared" si="15"/>
        <v>0</v>
      </c>
      <c r="S40" s="47"/>
    </row>
    <row r="41" spans="3:24" x14ac:dyDescent="0.2">
      <c r="I41" s="62">
        <v>46934</v>
      </c>
      <c r="J41" s="49">
        <f t="shared" si="16"/>
        <v>0</v>
      </c>
      <c r="K41" s="49">
        <f t="shared" si="17"/>
        <v>0</v>
      </c>
      <c r="L41" s="67">
        <f>IF(L32-SUM(L37:L40)&lt;12,L32-SUM(L37:L40),12)</f>
        <v>0</v>
      </c>
      <c r="N41" s="26"/>
      <c r="O41" s="35">
        <f t="shared" si="14"/>
        <v>0</v>
      </c>
      <c r="P41" s="36">
        <f t="shared" si="15"/>
        <v>0</v>
      </c>
      <c r="S41" s="47"/>
    </row>
    <row r="42" spans="3:24" x14ac:dyDescent="0.2">
      <c r="I42" s="62">
        <v>47299</v>
      </c>
      <c r="J42" s="49">
        <f t="shared" si="16"/>
        <v>0</v>
      </c>
      <c r="K42" s="49">
        <f t="shared" si="17"/>
        <v>0</v>
      </c>
      <c r="L42" s="68">
        <f>IF(L32-SUM(L37:L41)&lt;12,L32-SUM(L37:L41),12)</f>
        <v>0</v>
      </c>
      <c r="N42" s="26"/>
      <c r="O42" s="35">
        <f t="shared" si="14"/>
        <v>0</v>
      </c>
      <c r="P42" s="36">
        <f t="shared" si="15"/>
        <v>0</v>
      </c>
    </row>
    <row r="43" spans="3:24" x14ac:dyDescent="0.2">
      <c r="I43" s="62">
        <v>47664</v>
      </c>
      <c r="J43" s="49">
        <f t="shared" si="16"/>
        <v>0</v>
      </c>
      <c r="K43" s="49">
        <f t="shared" si="17"/>
        <v>0</v>
      </c>
      <c r="L43" s="67">
        <f>IF(L32-SUM(L37:L42)&lt;12,L32-SUM(L37:L42),12)</f>
        <v>0</v>
      </c>
      <c r="S43" s="142" t="s">
        <v>56</v>
      </c>
      <c r="T43" s="142"/>
      <c r="W43" s="142" t="s">
        <v>57</v>
      </c>
      <c r="X43" s="142"/>
    </row>
    <row r="44" spans="3:24" x14ac:dyDescent="0.2">
      <c r="C44" s="70"/>
      <c r="D44" s="71" t="s">
        <v>60</v>
      </c>
      <c r="E44" s="71" t="s">
        <v>61</v>
      </c>
      <c r="I44" s="62">
        <v>48029</v>
      </c>
      <c r="J44" s="49">
        <f t="shared" si="16"/>
        <v>0</v>
      </c>
      <c r="K44" s="49">
        <f t="shared" si="17"/>
        <v>0</v>
      </c>
      <c r="L44" s="67">
        <f>IF(L32-SUM(L37:L43)&lt;12,L32-SUM(L37:L43),12)</f>
        <v>0</v>
      </c>
      <c r="O44" s="144" t="s">
        <v>59</v>
      </c>
      <c r="P44" s="144"/>
      <c r="S44" s="142"/>
      <c r="T44" s="143"/>
      <c r="W44" s="142"/>
      <c r="X44" s="143"/>
    </row>
    <row r="45" spans="3:24" x14ac:dyDescent="0.2">
      <c r="C45" s="71" t="s">
        <v>93</v>
      </c>
      <c r="D45" s="137">
        <f>D34</f>
        <v>531300</v>
      </c>
      <c r="E45" s="137"/>
      <c r="I45" s="62">
        <v>48395</v>
      </c>
      <c r="J45" s="49">
        <f t="shared" si="16"/>
        <v>0</v>
      </c>
      <c r="K45" s="49">
        <f t="shared" si="17"/>
        <v>0</v>
      </c>
      <c r="L45" s="67">
        <f>IF(L32-SUM(L37:L44)&lt;12,L32-SUM(L37:L44),12)</f>
        <v>0</v>
      </c>
      <c r="N45" s="26" t="s">
        <v>62</v>
      </c>
      <c r="O45" s="72">
        <f>+P14</f>
        <v>531300</v>
      </c>
      <c r="P45" s="73"/>
      <c r="R45" s="26" t="s">
        <v>39</v>
      </c>
      <c r="S45" s="74">
        <f t="shared" ref="S45:S57" si="18">K17</f>
        <v>0</v>
      </c>
      <c r="T45" s="75"/>
      <c r="U45" s="28">
        <v>2021</v>
      </c>
      <c r="V45" s="26" t="s">
        <v>63</v>
      </c>
      <c r="W45" s="27">
        <f t="shared" ref="W45:W57" si="19">K37</f>
        <v>531300</v>
      </c>
      <c r="X45" s="6"/>
    </row>
    <row r="46" spans="3:24" x14ac:dyDescent="0.2">
      <c r="C46" s="71" t="s">
        <v>70</v>
      </c>
      <c r="D46" s="137"/>
      <c r="E46" s="137">
        <f>D35</f>
        <v>0</v>
      </c>
      <c r="I46" s="62">
        <v>48760</v>
      </c>
      <c r="J46" s="49">
        <f t="shared" si="16"/>
        <v>0</v>
      </c>
      <c r="K46" s="49">
        <f t="shared" si="17"/>
        <v>0</v>
      </c>
      <c r="L46" s="67">
        <f>IF(L32-SUM(L37:L45)&lt;12,L32-SUM(L37:L45),12)</f>
        <v>0</v>
      </c>
      <c r="O46" s="72">
        <f>+P15</f>
        <v>0</v>
      </c>
      <c r="P46" s="73"/>
      <c r="R46" s="26" t="s">
        <v>44</v>
      </c>
      <c r="S46" s="77">
        <f t="shared" si="18"/>
        <v>0</v>
      </c>
      <c r="T46" s="47"/>
      <c r="U46" s="28">
        <v>2022</v>
      </c>
      <c r="V46" s="26" t="s">
        <v>64</v>
      </c>
      <c r="W46" s="78">
        <f t="shared" si="19"/>
        <v>0</v>
      </c>
    </row>
    <row r="47" spans="3:24" x14ac:dyDescent="0.2">
      <c r="C47" s="71" t="s">
        <v>108</v>
      </c>
      <c r="D47" s="137"/>
      <c r="E47" s="137">
        <f>D37</f>
        <v>531300</v>
      </c>
      <c r="I47" s="62">
        <v>49125</v>
      </c>
      <c r="J47" s="49">
        <f t="shared" si="16"/>
        <v>0</v>
      </c>
      <c r="K47" s="49">
        <f t="shared" si="17"/>
        <v>0</v>
      </c>
      <c r="L47" s="67">
        <f>IF(L32-SUM(L37:L46)&lt;12,L32-SUM(L37:L46),12)</f>
        <v>0</v>
      </c>
      <c r="O47" s="72">
        <f t="shared" ref="O47:O52" si="20">+P16</f>
        <v>0</v>
      </c>
      <c r="P47" s="73"/>
      <c r="R47" s="26" t="s">
        <v>46</v>
      </c>
      <c r="S47" s="77">
        <f t="shared" si="18"/>
        <v>0</v>
      </c>
      <c r="T47" s="47"/>
      <c r="U47" s="28">
        <v>2023</v>
      </c>
      <c r="V47" s="26" t="s">
        <v>65</v>
      </c>
      <c r="W47" s="78">
        <f t="shared" si="19"/>
        <v>0</v>
      </c>
    </row>
    <row r="48" spans="3:24" x14ac:dyDescent="0.2">
      <c r="C48" s="71"/>
      <c r="D48" s="138"/>
      <c r="E48" s="138"/>
      <c r="I48" s="62">
        <v>49490</v>
      </c>
      <c r="J48" s="49">
        <f t="shared" si="16"/>
        <v>0</v>
      </c>
      <c r="K48" s="49">
        <f t="shared" si="17"/>
        <v>0</v>
      </c>
      <c r="L48" s="67">
        <f>IF(L32-SUM(L37:L47)&lt;12,L32-SUM(L37:L47),12)</f>
        <v>0</v>
      </c>
      <c r="O48" s="72">
        <f t="shared" si="20"/>
        <v>0</v>
      </c>
      <c r="P48" s="73"/>
      <c r="R48" s="26" t="s">
        <v>50</v>
      </c>
      <c r="S48" s="77">
        <f t="shared" si="18"/>
        <v>0</v>
      </c>
      <c r="T48" s="47"/>
      <c r="U48" s="28">
        <v>2024</v>
      </c>
      <c r="V48" s="26" t="s">
        <v>66</v>
      </c>
      <c r="W48" s="78">
        <f t="shared" si="19"/>
        <v>0</v>
      </c>
    </row>
    <row r="49" spans="5:24" x14ac:dyDescent="0.2">
      <c r="E49" s="80"/>
      <c r="G49" s="127">
        <f>G48*1.15</f>
        <v>0</v>
      </c>
      <c r="I49" s="62">
        <v>49856</v>
      </c>
      <c r="J49" s="49">
        <f t="shared" si="16"/>
        <v>0</v>
      </c>
      <c r="K49" s="49">
        <f t="shared" si="17"/>
        <v>0</v>
      </c>
      <c r="L49" s="67">
        <f>IF(L32-SUM(L37:L48)&lt;12,L32-SUM(L37:L48),12)</f>
        <v>0</v>
      </c>
      <c r="O49" s="72">
        <f t="shared" si="20"/>
        <v>0</v>
      </c>
      <c r="P49" s="73"/>
      <c r="S49" s="77">
        <f t="shared" si="18"/>
        <v>0</v>
      </c>
      <c r="T49" s="47"/>
      <c r="U49" s="28">
        <v>2025</v>
      </c>
      <c r="W49" s="78">
        <f t="shared" si="19"/>
        <v>0</v>
      </c>
    </row>
    <row r="50" spans="5:24" x14ac:dyDescent="0.2">
      <c r="E50" s="80"/>
      <c r="I50" s="62">
        <v>50221</v>
      </c>
      <c r="J50" s="49">
        <f t="shared" si="16"/>
        <v>0</v>
      </c>
      <c r="K50" s="49">
        <f t="shared" si="17"/>
        <v>0</v>
      </c>
      <c r="L50" s="67">
        <f>IF(L32-SUM(L37:L49)&lt;12,L32-SUM(L37:L49),12)</f>
        <v>0</v>
      </c>
      <c r="O50" s="72">
        <f t="shared" si="20"/>
        <v>0</v>
      </c>
      <c r="P50" s="73"/>
      <c r="S50" s="77">
        <f t="shared" si="18"/>
        <v>0</v>
      </c>
      <c r="T50" s="47"/>
      <c r="U50" s="28">
        <v>2026</v>
      </c>
      <c r="W50" s="78">
        <f t="shared" si="19"/>
        <v>0</v>
      </c>
      <c r="X50" s="47"/>
    </row>
    <row r="51" spans="5:24" ht="13.5" thickBot="1" x14ac:dyDescent="0.25">
      <c r="E51" s="80"/>
      <c r="I51" s="62">
        <v>50586</v>
      </c>
      <c r="J51" s="81">
        <f t="shared" si="16"/>
        <v>0</v>
      </c>
      <c r="K51" s="81">
        <f t="shared" si="17"/>
        <v>0</v>
      </c>
      <c r="L51" s="82">
        <f>IF(L32-SUM(L37:L50)&lt;12,L32-SUM(L37:L50),12)</f>
        <v>0</v>
      </c>
      <c r="O51" s="72">
        <f t="shared" si="20"/>
        <v>0</v>
      </c>
      <c r="P51" s="73"/>
      <c r="S51" s="77">
        <f t="shared" si="18"/>
        <v>0</v>
      </c>
      <c r="T51" s="47"/>
      <c r="U51" s="28">
        <v>2027</v>
      </c>
      <c r="W51" s="78">
        <f t="shared" si="19"/>
        <v>0</v>
      </c>
      <c r="X51" s="47"/>
    </row>
    <row r="52" spans="5:24" x14ac:dyDescent="0.2">
      <c r="E52" s="80"/>
      <c r="O52" s="83">
        <f t="shared" si="20"/>
        <v>0</v>
      </c>
      <c r="P52" s="73"/>
      <c r="S52" s="77">
        <f t="shared" si="18"/>
        <v>0</v>
      </c>
      <c r="T52" s="47"/>
      <c r="U52" s="28">
        <v>2028</v>
      </c>
      <c r="W52" s="78">
        <f t="shared" si="19"/>
        <v>0</v>
      </c>
      <c r="X52" s="47"/>
    </row>
    <row r="53" spans="5:24" x14ac:dyDescent="0.2">
      <c r="S53" s="77">
        <f t="shared" si="18"/>
        <v>0</v>
      </c>
      <c r="T53" s="47"/>
      <c r="U53" s="28">
        <v>2029</v>
      </c>
      <c r="W53" s="78">
        <f t="shared" si="19"/>
        <v>0</v>
      </c>
      <c r="X53" s="47"/>
    </row>
    <row r="54" spans="5:24" x14ac:dyDescent="0.2">
      <c r="S54" s="77">
        <f t="shared" si="18"/>
        <v>0</v>
      </c>
      <c r="T54" s="47"/>
      <c r="U54" s="28">
        <v>2030</v>
      </c>
      <c r="W54" s="78">
        <f t="shared" si="19"/>
        <v>0</v>
      </c>
      <c r="X54" s="47"/>
    </row>
    <row r="55" spans="5:24" x14ac:dyDescent="0.2">
      <c r="S55" s="77">
        <f t="shared" si="18"/>
        <v>0</v>
      </c>
      <c r="T55" s="47"/>
      <c r="U55" s="28">
        <v>2031</v>
      </c>
      <c r="W55" s="78">
        <f t="shared" si="19"/>
        <v>0</v>
      </c>
      <c r="X55" s="47"/>
    </row>
    <row r="56" spans="5:24" x14ac:dyDescent="0.2">
      <c r="S56" s="77">
        <f t="shared" si="18"/>
        <v>0</v>
      </c>
      <c r="T56" s="47"/>
      <c r="U56" s="28">
        <v>2032</v>
      </c>
      <c r="W56" s="78">
        <f t="shared" si="19"/>
        <v>0</v>
      </c>
      <c r="X56" s="47"/>
    </row>
    <row r="57" spans="5:24" x14ac:dyDescent="0.2">
      <c r="S57" s="77">
        <f t="shared" si="18"/>
        <v>0</v>
      </c>
      <c r="T57" s="47"/>
      <c r="U57" s="28">
        <v>2033</v>
      </c>
      <c r="W57" s="78">
        <f t="shared" si="19"/>
        <v>0</v>
      </c>
      <c r="X57" s="47"/>
    </row>
    <row r="58" spans="5:24" x14ac:dyDescent="0.2">
      <c r="S58" s="46">
        <f>SUM(S45:S57)</f>
        <v>0</v>
      </c>
      <c r="T58" s="75"/>
      <c r="W58" s="74">
        <f>SUM(W45:W57)</f>
        <v>531300</v>
      </c>
      <c r="X58" s="75"/>
    </row>
  </sheetData>
  <mergeCells count="7">
    <mergeCell ref="W43:X44"/>
    <mergeCell ref="O44:P44"/>
    <mergeCell ref="O13:P13"/>
    <mergeCell ref="S13:T13"/>
    <mergeCell ref="O30:P30"/>
    <mergeCell ref="S30:T30"/>
    <mergeCell ref="S43:T4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workbookViewId="0">
      <selection activeCell="F50" sqref="F50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15" style="1" customWidth="1"/>
    <col min="7" max="7" width="17" style="1" customWidth="1"/>
    <col min="8" max="8" width="13.140625" style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0.710937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105</v>
      </c>
      <c r="E1" s="1">
        <v>1814.45</v>
      </c>
      <c r="F1" s="1" t="s">
        <v>98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102">
        <v>45000</v>
      </c>
      <c r="F2" s="11"/>
      <c r="G2" s="11"/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27">
        <f>E2*60</f>
        <v>2700000</v>
      </c>
      <c r="F3" s="11">
        <f>E3*1.1</f>
        <v>2970000.0000000005</v>
      </c>
      <c r="G3" s="11"/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45085</v>
      </c>
      <c r="E4" s="127">
        <f>E2*36</f>
        <v>1620000</v>
      </c>
      <c r="F4" s="11">
        <f>E4*0.02</f>
        <v>32400</v>
      </c>
      <c r="G4" s="11" t="s">
        <v>106</v>
      </c>
      <c r="I4" s="4">
        <v>45107</v>
      </c>
      <c r="J4" s="6">
        <v>0</v>
      </c>
      <c r="K4" s="7">
        <v>0</v>
      </c>
      <c r="L4" s="8">
        <f t="shared" ref="L4:L10" si="0">K36</f>
        <v>0</v>
      </c>
      <c r="M4" s="7">
        <v>0</v>
      </c>
      <c r="O4" s="6">
        <v>0</v>
      </c>
      <c r="P4" s="6">
        <v>0</v>
      </c>
      <c r="S4" s="11"/>
    </row>
    <row r="5" spans="2:22" x14ac:dyDescent="0.2">
      <c r="C5" s="1" t="s">
        <v>11</v>
      </c>
      <c r="D5" s="12">
        <v>46910</v>
      </c>
      <c r="E5" s="128">
        <f>E4*1.1</f>
        <v>1782000.0000000002</v>
      </c>
      <c r="F5" s="86">
        <f>E4*0.1</f>
        <v>162000</v>
      </c>
      <c r="G5" s="86" t="s">
        <v>107</v>
      </c>
      <c r="H5" s="85"/>
      <c r="I5" s="4">
        <v>45473</v>
      </c>
      <c r="J5" s="6">
        <f t="shared" ref="J5:J10" si="1">J37</f>
        <v>2217465.5329492087</v>
      </c>
      <c r="K5" s="7">
        <f>L17</f>
        <v>1086196.6327104198</v>
      </c>
      <c r="L5" s="8">
        <f t="shared" si="0"/>
        <v>598731.12511085114</v>
      </c>
      <c r="M5" s="7">
        <f>K17</f>
        <v>51999.97465036012</v>
      </c>
      <c r="N5" s="7">
        <f>J17</f>
        <v>0</v>
      </c>
      <c r="O5" s="127">
        <v>0</v>
      </c>
      <c r="P5" s="6"/>
    </row>
    <row r="6" spans="2:22" x14ac:dyDescent="0.2">
      <c r="C6" s="1" t="s">
        <v>12</v>
      </c>
      <c r="D6" s="128">
        <v>1782000.0000000002</v>
      </c>
      <c r="E6" s="86"/>
      <c r="F6" s="86"/>
      <c r="G6" s="86"/>
      <c r="H6" s="85"/>
      <c r="I6" s="4">
        <v>45838</v>
      </c>
      <c r="J6" s="6">
        <f t="shared" si="1"/>
        <v>1654226.2013371969</v>
      </c>
      <c r="K6" s="7">
        <f t="shared" ref="K6:K9" si="2">L18</f>
        <v>1137573.7334376227</v>
      </c>
      <c r="L6" s="8">
        <f t="shared" si="0"/>
        <v>563239.331612012</v>
      </c>
      <c r="M6" s="7">
        <f t="shared" ref="M6:M10" si="3">K18</f>
        <v>51377.100727202858</v>
      </c>
      <c r="N6" s="7">
        <f t="shared" ref="N6:N10" si="4">J18</f>
        <v>0</v>
      </c>
      <c r="O6" s="127">
        <v>0</v>
      </c>
      <c r="P6" s="11">
        <f>M17*5</f>
        <v>20382.292469267013</v>
      </c>
    </row>
    <row r="7" spans="2:22" x14ac:dyDescent="0.2">
      <c r="C7" s="1" t="s">
        <v>13</v>
      </c>
      <c r="D7" s="127">
        <v>2970000.0000000005</v>
      </c>
      <c r="E7" s="129"/>
      <c r="G7" s="11"/>
      <c r="I7" s="4">
        <v>46203</v>
      </c>
      <c r="J7" s="6">
        <f t="shared" si="1"/>
        <v>1090986.869725185</v>
      </c>
      <c r="K7" s="7">
        <f t="shared" si="2"/>
        <v>0</v>
      </c>
      <c r="L7" s="8">
        <f t="shared" si="0"/>
        <v>563239.331612012</v>
      </c>
      <c r="M7" s="7">
        <f t="shared" si="3"/>
        <v>50426.266562377568</v>
      </c>
      <c r="N7" s="7">
        <f>J19</f>
        <v>1188000.0000000002</v>
      </c>
      <c r="P7" s="11">
        <f>M17*'[1]Shire 2024 '!$X$56</f>
        <v>3026.6308269432093</v>
      </c>
    </row>
    <row r="8" spans="2:22" x14ac:dyDescent="0.2">
      <c r="C8" s="1" t="s">
        <v>14</v>
      </c>
      <c r="D8" s="12">
        <f>D4</f>
        <v>45085</v>
      </c>
      <c r="E8" s="15"/>
      <c r="I8" s="4">
        <v>46568</v>
      </c>
      <c r="J8" s="6">
        <f t="shared" si="1"/>
        <v>527747.53811317298</v>
      </c>
      <c r="K8" s="7">
        <f t="shared" si="2"/>
        <v>0</v>
      </c>
      <c r="L8" s="8">
        <f t="shared" si="0"/>
        <v>563239.331612012</v>
      </c>
      <c r="M8" s="7">
        <f t="shared" si="3"/>
        <v>0</v>
      </c>
      <c r="N8" s="7">
        <f t="shared" si="4"/>
        <v>0</v>
      </c>
      <c r="P8" s="11">
        <f>P6+P7</f>
        <v>23408.923296210221</v>
      </c>
    </row>
    <row r="9" spans="2:22" x14ac:dyDescent="0.2">
      <c r="C9" s="1" t="s">
        <v>15</v>
      </c>
      <c r="D9" s="130">
        <v>0</v>
      </c>
      <c r="E9" s="11"/>
      <c r="I9" s="4">
        <v>46934</v>
      </c>
      <c r="J9" s="6">
        <f t="shared" si="1"/>
        <v>0</v>
      </c>
      <c r="K9" s="7">
        <f t="shared" si="2"/>
        <v>0</v>
      </c>
      <c r="L9" s="8">
        <f t="shared" si="0"/>
        <v>527747.53811317275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1"/>
        <v>0</v>
      </c>
      <c r="K10" s="7">
        <f t="shared" ref="K10" si="5">L23</f>
        <v>0</v>
      </c>
      <c r="L10" s="8">
        <f t="shared" si="0"/>
        <v>0</v>
      </c>
      <c r="M10" s="7">
        <f t="shared" si="3"/>
        <v>0</v>
      </c>
      <c r="N10" s="7">
        <f t="shared" si="4"/>
        <v>0</v>
      </c>
    </row>
    <row r="11" spans="2:22" x14ac:dyDescent="0.2">
      <c r="C11" s="140"/>
      <c r="D11" s="141"/>
      <c r="E11" s="11"/>
      <c r="I11" s="4"/>
      <c r="J11" s="6"/>
      <c r="K11" s="7"/>
      <c r="L11" s="8"/>
      <c r="M11" s="7"/>
      <c r="N11" s="7"/>
    </row>
    <row r="12" spans="2:22" x14ac:dyDescent="0.2">
      <c r="C12" s="140"/>
      <c r="D12" s="141"/>
      <c r="E12" s="11"/>
      <c r="I12" s="4"/>
      <c r="J12" s="6"/>
      <c r="K12" s="7"/>
      <c r="L12" s="8"/>
      <c r="M12" s="7"/>
      <c r="N12" s="7"/>
    </row>
    <row r="13" spans="2:22" ht="13.5" thickBot="1" x14ac:dyDescent="0.25">
      <c r="O13" s="144" t="s">
        <v>17</v>
      </c>
      <c r="P13" s="144"/>
      <c r="S13" s="144" t="s">
        <v>18</v>
      </c>
      <c r="T13" s="144"/>
    </row>
    <row r="14" spans="2:22" x14ac:dyDescent="0.2">
      <c r="B14" s="18" t="s">
        <v>19</v>
      </c>
      <c r="C14" s="19" t="s">
        <v>20</v>
      </c>
      <c r="D14" s="19" t="s">
        <v>21</v>
      </c>
      <c r="E14" s="20" t="s">
        <v>22</v>
      </c>
      <c r="H14" s="21" t="s">
        <v>23</v>
      </c>
      <c r="I14" s="22"/>
      <c r="J14" s="22"/>
      <c r="K14" s="22"/>
      <c r="L14" s="23"/>
      <c r="O14" s="24"/>
      <c r="P14" s="25">
        <f>+D6</f>
        <v>1782000.0000000002</v>
      </c>
      <c r="Q14" s="26" t="s">
        <v>24</v>
      </c>
      <c r="R14" s="26" t="s">
        <v>25</v>
      </c>
      <c r="S14" s="27">
        <f>+D34</f>
        <v>2816196.6580600599</v>
      </c>
      <c r="T14" s="6">
        <f t="shared" ref="T14:T27" si="6">+K37</f>
        <v>598731.12511085114</v>
      </c>
      <c r="U14" s="26" t="s">
        <v>26</v>
      </c>
      <c r="V14" s="28"/>
    </row>
    <row r="15" spans="2:22" x14ac:dyDescent="0.2">
      <c r="B15" s="29">
        <v>0</v>
      </c>
      <c r="C15" s="4">
        <f>D4</f>
        <v>45085</v>
      </c>
      <c r="D15" s="30">
        <v>0</v>
      </c>
      <c r="E15" s="30"/>
      <c r="H15" s="31" t="s">
        <v>19</v>
      </c>
      <c r="I15" s="32" t="s">
        <v>27</v>
      </c>
      <c r="J15" s="32" t="s">
        <v>28</v>
      </c>
      <c r="K15" s="32" t="s">
        <v>29</v>
      </c>
      <c r="L15" s="33" t="s">
        <v>30</v>
      </c>
      <c r="O15" s="34"/>
      <c r="P15" s="7">
        <f t="shared" ref="P15:P26" si="7">J17</f>
        <v>0</v>
      </c>
      <c r="Q15" s="26" t="s">
        <v>31</v>
      </c>
      <c r="R15" s="26" t="s">
        <v>32</v>
      </c>
      <c r="S15" s="35">
        <f t="shared" ref="S15:S27" si="8">+S14-T14</f>
        <v>2217465.5329492087</v>
      </c>
      <c r="T15" s="36">
        <f t="shared" si="6"/>
        <v>563239.331612012</v>
      </c>
      <c r="U15" s="26" t="s">
        <v>33</v>
      </c>
      <c r="V15" s="28">
        <v>2021</v>
      </c>
    </row>
    <row r="16" spans="2:22" x14ac:dyDescent="0.2">
      <c r="B16" s="29">
        <v>1</v>
      </c>
      <c r="C16" s="4">
        <f>D8</f>
        <v>45085</v>
      </c>
      <c r="D16" s="30">
        <v>0</v>
      </c>
      <c r="E16" s="30">
        <f t="shared" ref="E16:E28" si="9">+D16*(1+$D$3)</f>
        <v>0</v>
      </c>
      <c r="H16" s="37">
        <v>0</v>
      </c>
      <c r="I16" s="38"/>
      <c r="J16" s="131"/>
      <c r="K16" s="132"/>
      <c r="L16" s="41">
        <f>D30</f>
        <v>1034196.6580600598</v>
      </c>
      <c r="N16" s="42"/>
      <c r="O16" s="34"/>
      <c r="P16" s="7">
        <f t="shared" si="7"/>
        <v>0</v>
      </c>
      <c r="Q16" s="26" t="s">
        <v>34</v>
      </c>
      <c r="R16" s="26" t="s">
        <v>32</v>
      </c>
      <c r="S16" s="35">
        <f>+S15-T15</f>
        <v>1654226.2013371969</v>
      </c>
      <c r="T16" s="36">
        <f t="shared" si="6"/>
        <v>563239.331612012</v>
      </c>
      <c r="U16" s="26" t="s">
        <v>35</v>
      </c>
      <c r="V16" s="28">
        <v>2022</v>
      </c>
    </row>
    <row r="17" spans="2:22" x14ac:dyDescent="0.2">
      <c r="B17" s="29">
        <v>2</v>
      </c>
      <c r="C17" s="4">
        <f t="shared" ref="C17:C28" si="10">C16+365</f>
        <v>45450</v>
      </c>
      <c r="D17" s="30">
        <v>0</v>
      </c>
      <c r="E17" s="30">
        <f t="shared" si="9"/>
        <v>0</v>
      </c>
      <c r="H17" s="37">
        <v>1</v>
      </c>
      <c r="I17" s="38">
        <v>2024</v>
      </c>
      <c r="J17" s="133"/>
      <c r="K17" s="133">
        <f>(L16-J17)*D$3*L37/12</f>
        <v>51999.97465036012</v>
      </c>
      <c r="L17" s="44">
        <f>L16-J17+K17</f>
        <v>1086196.6327104198</v>
      </c>
      <c r="M17" s="11">
        <f>K17/L37</f>
        <v>4076.4584938534026</v>
      </c>
      <c r="O17" s="34"/>
      <c r="P17" s="7">
        <f t="shared" si="7"/>
        <v>1188000.0000000002</v>
      </c>
      <c r="Q17" s="26" t="s">
        <v>36</v>
      </c>
      <c r="R17" s="26" t="s">
        <v>32</v>
      </c>
      <c r="S17" s="35">
        <f t="shared" si="8"/>
        <v>1090986.869725185</v>
      </c>
      <c r="T17" s="36">
        <f t="shared" si="6"/>
        <v>563239.331612012</v>
      </c>
      <c r="U17" s="26" t="s">
        <v>37</v>
      </c>
      <c r="V17" s="28">
        <v>2023</v>
      </c>
    </row>
    <row r="18" spans="2:22" x14ac:dyDescent="0.2">
      <c r="B18" s="29">
        <v>3</v>
      </c>
      <c r="C18" s="4">
        <f t="shared" si="10"/>
        <v>45815</v>
      </c>
      <c r="D18" s="30">
        <v>0</v>
      </c>
      <c r="E18" s="30">
        <f t="shared" si="9"/>
        <v>0</v>
      </c>
      <c r="H18" s="37">
        <f>+H17+1</f>
        <v>2</v>
      </c>
      <c r="I18" s="38">
        <v>2025</v>
      </c>
      <c r="J18" s="133">
        <f>D16</f>
        <v>0</v>
      </c>
      <c r="K18" s="133">
        <f>(L17-J18)*D$3</f>
        <v>51377.100727202858</v>
      </c>
      <c r="L18" s="44">
        <f t="shared" ref="L18:L29" si="11">L17-J18+K18</f>
        <v>1137573.7334376227</v>
      </c>
      <c r="M18" s="11">
        <f>K18/L38</f>
        <v>4281.4250606002379</v>
      </c>
      <c r="O18" s="34"/>
      <c r="P18" s="7">
        <f t="shared" si="7"/>
        <v>0</v>
      </c>
      <c r="Q18" s="26" t="s">
        <v>38</v>
      </c>
      <c r="R18" s="26"/>
      <c r="S18" s="35">
        <f t="shared" si="8"/>
        <v>527747.53811317298</v>
      </c>
      <c r="T18" s="36">
        <f t="shared" si="6"/>
        <v>527747.53811317275</v>
      </c>
      <c r="V18" s="28">
        <v>2024</v>
      </c>
    </row>
    <row r="19" spans="2:22" x14ac:dyDescent="0.2">
      <c r="B19" s="29">
        <v>4</v>
      </c>
      <c r="C19" s="4">
        <f t="shared" si="10"/>
        <v>46180</v>
      </c>
      <c r="D19" s="30">
        <f>D7-D6</f>
        <v>1188000.0000000002</v>
      </c>
      <c r="E19" s="30">
        <f t="shared" si="9"/>
        <v>1244192.4000000001</v>
      </c>
      <c r="H19" s="37">
        <f>+H18+1</f>
        <v>3</v>
      </c>
      <c r="I19" s="38">
        <v>2026</v>
      </c>
      <c r="J19" s="133">
        <f>D19</f>
        <v>1188000.0000000002</v>
      </c>
      <c r="K19" s="133">
        <f>J19-L18</f>
        <v>50426.266562377568</v>
      </c>
      <c r="L19" s="44">
        <f t="shared" si="11"/>
        <v>0</v>
      </c>
      <c r="M19" s="11">
        <f>K19/L39</f>
        <v>4202.1888801981304</v>
      </c>
      <c r="O19" s="34"/>
      <c r="P19" s="7">
        <f t="shared" si="7"/>
        <v>0</v>
      </c>
      <c r="S19" s="35">
        <f t="shared" si="8"/>
        <v>0</v>
      </c>
      <c r="T19" s="36">
        <f t="shared" si="6"/>
        <v>0</v>
      </c>
      <c r="V19" s="28">
        <v>2025</v>
      </c>
    </row>
    <row r="20" spans="2:22" x14ac:dyDescent="0.2">
      <c r="B20" s="29">
        <v>5</v>
      </c>
      <c r="C20" s="4">
        <f t="shared" si="10"/>
        <v>46545</v>
      </c>
      <c r="D20" s="30">
        <v>0</v>
      </c>
      <c r="E20" s="30">
        <f t="shared" si="9"/>
        <v>0</v>
      </c>
      <c r="F20" s="127"/>
      <c r="H20" s="37">
        <v>4</v>
      </c>
      <c r="I20" s="38">
        <v>2027</v>
      </c>
      <c r="J20" s="133">
        <f t="shared" ref="J20:J29" si="12">D18</f>
        <v>0</v>
      </c>
      <c r="K20" s="133">
        <f>J20-L19</f>
        <v>0</v>
      </c>
      <c r="L20" s="44">
        <f t="shared" si="11"/>
        <v>0</v>
      </c>
      <c r="N20" s="7"/>
      <c r="O20" s="34"/>
      <c r="P20" s="7">
        <f t="shared" si="7"/>
        <v>0</v>
      </c>
      <c r="S20" s="134">
        <f t="shared" si="8"/>
        <v>0</v>
      </c>
      <c r="T20" s="36">
        <f t="shared" si="6"/>
        <v>0</v>
      </c>
      <c r="V20" s="28">
        <v>2026</v>
      </c>
    </row>
    <row r="21" spans="2:22" x14ac:dyDescent="0.2">
      <c r="B21" s="29">
        <v>6</v>
      </c>
      <c r="C21" s="4">
        <f t="shared" si="10"/>
        <v>46910</v>
      </c>
      <c r="D21" s="30">
        <v>0</v>
      </c>
      <c r="E21" s="30">
        <f t="shared" si="9"/>
        <v>0</v>
      </c>
      <c r="H21" s="37">
        <v>5</v>
      </c>
      <c r="I21" s="38">
        <v>2028</v>
      </c>
      <c r="J21" s="133">
        <v>0</v>
      </c>
      <c r="K21" s="133">
        <f>J21-L20</f>
        <v>0</v>
      </c>
      <c r="L21" s="44">
        <f t="shared" si="11"/>
        <v>0</v>
      </c>
      <c r="O21" s="34"/>
      <c r="P21" s="7">
        <f t="shared" si="7"/>
        <v>0</v>
      </c>
      <c r="S21" s="134">
        <f t="shared" si="8"/>
        <v>0</v>
      </c>
      <c r="T21" s="36">
        <f t="shared" si="6"/>
        <v>0</v>
      </c>
      <c r="V21" s="28">
        <v>2027</v>
      </c>
    </row>
    <row r="22" spans="2:22" x14ac:dyDescent="0.2">
      <c r="B22" s="29">
        <v>7</v>
      </c>
      <c r="C22" s="4">
        <f t="shared" si="10"/>
        <v>47275</v>
      </c>
      <c r="D22" s="30">
        <v>0</v>
      </c>
      <c r="E22" s="30">
        <f t="shared" si="9"/>
        <v>0</v>
      </c>
      <c r="H22" s="37">
        <v>6</v>
      </c>
      <c r="I22" s="38">
        <v>2029</v>
      </c>
      <c r="J22" s="133">
        <f t="shared" si="12"/>
        <v>0</v>
      </c>
      <c r="K22" s="133">
        <f t="shared" ref="K22:K29" si="13">L21-J22</f>
        <v>0</v>
      </c>
      <c r="L22" s="44">
        <f t="shared" si="11"/>
        <v>0</v>
      </c>
      <c r="O22" s="34"/>
      <c r="P22" s="7">
        <f t="shared" si="7"/>
        <v>0</v>
      </c>
      <c r="S22" s="134">
        <f t="shared" si="8"/>
        <v>0</v>
      </c>
      <c r="T22" s="36">
        <f t="shared" si="6"/>
        <v>0</v>
      </c>
      <c r="V22" s="28">
        <v>2028</v>
      </c>
    </row>
    <row r="23" spans="2:22" x14ac:dyDescent="0.2">
      <c r="B23" s="29">
        <v>8</v>
      </c>
      <c r="C23" s="4">
        <f t="shared" si="10"/>
        <v>47640</v>
      </c>
      <c r="D23" s="30">
        <v>0</v>
      </c>
      <c r="E23" s="30">
        <f t="shared" si="9"/>
        <v>0</v>
      </c>
      <c r="H23" s="37">
        <v>7</v>
      </c>
      <c r="I23" s="38">
        <v>2030</v>
      </c>
      <c r="J23" s="133">
        <f t="shared" si="12"/>
        <v>0</v>
      </c>
      <c r="K23" s="133">
        <f t="shared" si="13"/>
        <v>0</v>
      </c>
      <c r="L23" s="44">
        <f t="shared" si="11"/>
        <v>0</v>
      </c>
      <c r="N23" s="7"/>
      <c r="O23" s="34"/>
      <c r="P23" s="7">
        <f t="shared" si="7"/>
        <v>0</v>
      </c>
      <c r="S23" s="134">
        <f t="shared" si="8"/>
        <v>0</v>
      </c>
      <c r="T23" s="36">
        <f t="shared" si="6"/>
        <v>0</v>
      </c>
      <c r="V23" s="28">
        <v>2029</v>
      </c>
    </row>
    <row r="24" spans="2:22" x14ac:dyDescent="0.2">
      <c r="B24" s="29">
        <v>9</v>
      </c>
      <c r="C24" s="4">
        <f t="shared" si="10"/>
        <v>48005</v>
      </c>
      <c r="D24" s="30">
        <v>0</v>
      </c>
      <c r="E24" s="30">
        <f t="shared" si="9"/>
        <v>0</v>
      </c>
      <c r="H24" s="37">
        <v>8</v>
      </c>
      <c r="I24" s="38">
        <v>2031</v>
      </c>
      <c r="J24" s="133">
        <f t="shared" si="12"/>
        <v>0</v>
      </c>
      <c r="K24" s="133">
        <f t="shared" si="13"/>
        <v>0</v>
      </c>
      <c r="L24" s="44">
        <f t="shared" si="11"/>
        <v>0</v>
      </c>
      <c r="O24" s="34"/>
      <c r="P24" s="7">
        <f t="shared" si="7"/>
        <v>0</v>
      </c>
      <c r="S24" s="134">
        <f t="shared" si="8"/>
        <v>0</v>
      </c>
      <c r="T24" s="36">
        <f t="shared" si="6"/>
        <v>0</v>
      </c>
      <c r="V24" s="28">
        <v>2030</v>
      </c>
    </row>
    <row r="25" spans="2:22" x14ac:dyDescent="0.2">
      <c r="B25" s="29">
        <v>10</v>
      </c>
      <c r="C25" s="4">
        <f t="shared" si="10"/>
        <v>48370</v>
      </c>
      <c r="D25" s="30">
        <v>0</v>
      </c>
      <c r="E25" s="30">
        <f t="shared" si="9"/>
        <v>0</v>
      </c>
      <c r="H25" s="37">
        <v>9</v>
      </c>
      <c r="I25" s="38">
        <v>2032</v>
      </c>
      <c r="J25" s="133">
        <f t="shared" si="12"/>
        <v>0</v>
      </c>
      <c r="K25" s="133">
        <f t="shared" si="13"/>
        <v>0</v>
      </c>
      <c r="L25" s="44">
        <f t="shared" si="11"/>
        <v>0</v>
      </c>
      <c r="O25" s="34"/>
      <c r="P25" s="7">
        <f t="shared" si="7"/>
        <v>0</v>
      </c>
      <c r="S25" s="134">
        <f t="shared" si="8"/>
        <v>0</v>
      </c>
      <c r="T25" s="36">
        <f t="shared" si="6"/>
        <v>0</v>
      </c>
      <c r="V25" s="28">
        <v>2031</v>
      </c>
    </row>
    <row r="26" spans="2:22" x14ac:dyDescent="0.2">
      <c r="B26" s="29">
        <v>11</v>
      </c>
      <c r="C26" s="4">
        <f t="shared" si="10"/>
        <v>48735</v>
      </c>
      <c r="D26" s="30">
        <v>0</v>
      </c>
      <c r="E26" s="30">
        <f t="shared" si="9"/>
        <v>0</v>
      </c>
      <c r="H26" s="37">
        <v>10</v>
      </c>
      <c r="I26" s="38">
        <v>2033</v>
      </c>
      <c r="J26" s="133">
        <f t="shared" si="12"/>
        <v>0</v>
      </c>
      <c r="K26" s="133">
        <f t="shared" si="13"/>
        <v>0</v>
      </c>
      <c r="L26" s="44">
        <f t="shared" si="11"/>
        <v>0</v>
      </c>
      <c r="O26" s="34"/>
      <c r="P26" s="7">
        <f t="shared" si="7"/>
        <v>0</v>
      </c>
      <c r="S26" s="134">
        <f t="shared" si="8"/>
        <v>0</v>
      </c>
      <c r="T26" s="36">
        <f t="shared" si="6"/>
        <v>0</v>
      </c>
      <c r="V26" s="28">
        <v>2032</v>
      </c>
    </row>
    <row r="27" spans="2:22" x14ac:dyDescent="0.2">
      <c r="B27" s="29">
        <v>12</v>
      </c>
      <c r="C27" s="4">
        <f t="shared" si="10"/>
        <v>49100</v>
      </c>
      <c r="D27" s="30">
        <v>0</v>
      </c>
      <c r="E27" s="30">
        <f t="shared" si="9"/>
        <v>0</v>
      </c>
      <c r="H27" s="37">
        <v>11</v>
      </c>
      <c r="I27" s="38">
        <v>2034</v>
      </c>
      <c r="J27" s="133">
        <f t="shared" si="12"/>
        <v>0</v>
      </c>
      <c r="K27" s="133">
        <f>L26-J27</f>
        <v>0</v>
      </c>
      <c r="L27" s="44">
        <f t="shared" si="11"/>
        <v>0</v>
      </c>
      <c r="O27" s="24"/>
      <c r="P27" s="46">
        <f>SUM(P14:P26)</f>
        <v>2970000.0000000005</v>
      </c>
      <c r="S27" s="134">
        <f t="shared" si="8"/>
        <v>0</v>
      </c>
      <c r="T27" s="36">
        <f t="shared" si="6"/>
        <v>0</v>
      </c>
      <c r="V27" s="28">
        <v>2033</v>
      </c>
    </row>
    <row r="28" spans="2:22" x14ac:dyDescent="0.2">
      <c r="B28" s="29">
        <v>13</v>
      </c>
      <c r="C28" s="4">
        <f t="shared" si="10"/>
        <v>49465</v>
      </c>
      <c r="D28" s="30">
        <v>0</v>
      </c>
      <c r="E28" s="30">
        <f t="shared" si="9"/>
        <v>0</v>
      </c>
      <c r="H28" s="37">
        <v>12</v>
      </c>
      <c r="I28" s="38">
        <v>2035</v>
      </c>
      <c r="J28" s="133">
        <f t="shared" si="12"/>
        <v>0</v>
      </c>
      <c r="K28" s="133">
        <f t="shared" si="13"/>
        <v>0</v>
      </c>
      <c r="L28" s="44">
        <f t="shared" si="11"/>
        <v>0</v>
      </c>
      <c r="O28" s="47"/>
      <c r="P28" s="48"/>
      <c r="S28" s="48"/>
      <c r="T28" s="49"/>
      <c r="V28" s="28"/>
    </row>
    <row r="29" spans="2:22" ht="13.5" thickBot="1" x14ac:dyDescent="0.25">
      <c r="B29" s="29"/>
      <c r="C29" s="4"/>
      <c r="F29" s="11"/>
      <c r="H29" s="50">
        <v>13</v>
      </c>
      <c r="I29" s="38">
        <v>2036</v>
      </c>
      <c r="J29" s="133">
        <f t="shared" si="12"/>
        <v>0</v>
      </c>
      <c r="K29" s="133">
        <f t="shared" si="13"/>
        <v>0</v>
      </c>
      <c r="L29" s="51">
        <f t="shared" si="11"/>
        <v>0</v>
      </c>
    </row>
    <row r="30" spans="2:22" ht="13.5" thickBot="1" x14ac:dyDescent="0.25">
      <c r="C30" s="52" t="s">
        <v>2</v>
      </c>
      <c r="D30" s="135">
        <f>XNPV(D3,D15:D28,C15:C28)</f>
        <v>1034196.6580600598</v>
      </c>
      <c r="E30" s="52"/>
      <c r="H30" s="54"/>
      <c r="I30" s="38"/>
      <c r="J30" s="133"/>
      <c r="K30" s="133"/>
      <c r="L30" s="49"/>
      <c r="O30" s="144" t="s">
        <v>2</v>
      </c>
      <c r="P30" s="144"/>
      <c r="S30" s="144" t="s">
        <v>6</v>
      </c>
      <c r="T30" s="144"/>
    </row>
    <row r="31" spans="2:22" ht="13.5" thickTop="1" x14ac:dyDescent="0.2">
      <c r="C31" s="52"/>
      <c r="F31" s="11"/>
      <c r="O31" s="35">
        <f t="shared" ref="O31:O42" si="14">-K17+J17</f>
        <v>-51999.97465036012</v>
      </c>
      <c r="P31" s="36">
        <f>+D30</f>
        <v>1034196.6580600598</v>
      </c>
      <c r="Q31" s="26" t="s">
        <v>31</v>
      </c>
      <c r="R31" s="26" t="s">
        <v>39</v>
      </c>
      <c r="S31" s="55">
        <f>+P31</f>
        <v>1034196.6580600598</v>
      </c>
      <c r="T31" s="36">
        <f>+S14</f>
        <v>2816196.6580600599</v>
      </c>
      <c r="U31" s="26" t="s">
        <v>40</v>
      </c>
      <c r="V31" s="28">
        <v>2021</v>
      </c>
    </row>
    <row r="32" spans="2:22" x14ac:dyDescent="0.2">
      <c r="H32" s="29"/>
      <c r="I32" s="56"/>
      <c r="J32" s="18" t="s">
        <v>41</v>
      </c>
      <c r="K32" s="136"/>
      <c r="L32" s="8">
        <f>(D5-D4) /365*12</f>
        <v>60</v>
      </c>
      <c r="N32" s="26" t="s">
        <v>39</v>
      </c>
      <c r="O32" s="35">
        <f t="shared" si="14"/>
        <v>-51377.100727202858</v>
      </c>
      <c r="P32" s="36">
        <f t="shared" ref="P32:P42" si="15">+P31-O31</f>
        <v>1086196.6327104198</v>
      </c>
      <c r="Q32" s="26" t="s">
        <v>42</v>
      </c>
      <c r="S32" s="34"/>
      <c r="T32" s="6">
        <f>+T31-S31</f>
        <v>1782000</v>
      </c>
      <c r="U32" s="26"/>
    </row>
    <row r="33" spans="3:24" x14ac:dyDescent="0.2">
      <c r="G33" s="7"/>
      <c r="J33" s="18" t="s">
        <v>43</v>
      </c>
      <c r="K33" s="58"/>
      <c r="L33" s="11">
        <f>D34/L32</f>
        <v>46936.610967667664</v>
      </c>
      <c r="M33" s="42"/>
      <c r="N33" s="26" t="s">
        <v>44</v>
      </c>
      <c r="O33" s="35">
        <f t="shared" si="14"/>
        <v>1137573.7334376227</v>
      </c>
      <c r="P33" s="36">
        <f t="shared" si="15"/>
        <v>1137573.7334376227</v>
      </c>
      <c r="Q33" s="26" t="s">
        <v>42</v>
      </c>
      <c r="S33" s="34"/>
    </row>
    <row r="34" spans="3:24" ht="13.5" thickBot="1" x14ac:dyDescent="0.25">
      <c r="C34" s="1" t="s">
        <v>45</v>
      </c>
      <c r="D34" s="59">
        <f>+D35+D36+D37+D38-D39</f>
        <v>2816196.6580600599</v>
      </c>
      <c r="F34" s="11"/>
      <c r="G34" s="60"/>
      <c r="N34" s="26" t="s">
        <v>46</v>
      </c>
      <c r="O34" s="35">
        <f t="shared" si="14"/>
        <v>0</v>
      </c>
      <c r="P34" s="36">
        <f t="shared" si="15"/>
        <v>0</v>
      </c>
      <c r="Q34" s="26" t="s">
        <v>42</v>
      </c>
      <c r="S34" s="34"/>
    </row>
    <row r="35" spans="3:24" x14ac:dyDescent="0.2">
      <c r="C35" s="1" t="s">
        <v>47</v>
      </c>
      <c r="D35" s="102">
        <f>D30</f>
        <v>1034196.6580600598</v>
      </c>
      <c r="F35" s="11"/>
      <c r="G35" s="11"/>
      <c r="I35" s="21" t="s">
        <v>27</v>
      </c>
      <c r="J35" s="22" t="s">
        <v>30</v>
      </c>
      <c r="K35" s="22" t="s">
        <v>48</v>
      </c>
      <c r="L35" s="61" t="s">
        <v>49</v>
      </c>
      <c r="N35" s="26" t="s">
        <v>50</v>
      </c>
      <c r="O35" s="35">
        <f t="shared" si="14"/>
        <v>0</v>
      </c>
      <c r="P35" s="36">
        <f t="shared" si="15"/>
        <v>0</v>
      </c>
      <c r="S35" s="34"/>
    </row>
    <row r="36" spans="3:24" x14ac:dyDescent="0.2">
      <c r="C36" s="1" t="s">
        <v>51</v>
      </c>
      <c r="D36" s="30">
        <v>0</v>
      </c>
      <c r="E36" s="11"/>
      <c r="G36" s="11"/>
      <c r="I36" s="62">
        <f>D4</f>
        <v>45085</v>
      </c>
      <c r="J36" s="49">
        <f>+D34</f>
        <v>2816196.6580600599</v>
      </c>
      <c r="K36" s="63">
        <v>0</v>
      </c>
      <c r="L36" s="64">
        <v>0</v>
      </c>
      <c r="N36" s="26"/>
      <c r="O36" s="35">
        <f t="shared" si="14"/>
        <v>0</v>
      </c>
      <c r="P36" s="36">
        <f t="shared" si="15"/>
        <v>0</v>
      </c>
      <c r="S36" s="47"/>
    </row>
    <row r="37" spans="3:24" x14ac:dyDescent="0.2">
      <c r="C37" s="1" t="s">
        <v>52</v>
      </c>
      <c r="D37" s="65">
        <f>D6</f>
        <v>1782000.0000000002</v>
      </c>
      <c r="E37" s="11"/>
      <c r="G37" s="6"/>
      <c r="I37" s="62">
        <v>45473</v>
      </c>
      <c r="J37" s="49">
        <f>J36-K37</f>
        <v>2217465.5329492087</v>
      </c>
      <c r="K37" s="49">
        <f t="shared" ref="K37:K51" si="16">L37*L$33</f>
        <v>598731.12511085114</v>
      </c>
      <c r="L37" s="66">
        <f>(I37-I36) /365*12</f>
        <v>12.756164383561645</v>
      </c>
      <c r="M37" s="127"/>
      <c r="N37" s="26"/>
      <c r="O37" s="35">
        <f t="shared" si="14"/>
        <v>0</v>
      </c>
      <c r="P37" s="36">
        <f t="shared" si="15"/>
        <v>0</v>
      </c>
      <c r="S37" s="47"/>
    </row>
    <row r="38" spans="3:24" x14ac:dyDescent="0.2">
      <c r="C38" s="1" t="s">
        <v>53</v>
      </c>
      <c r="D38" s="30">
        <v>0</v>
      </c>
      <c r="G38" s="126"/>
      <c r="I38" s="62">
        <v>45838</v>
      </c>
      <c r="J38" s="49">
        <f t="shared" ref="J38:J51" si="17">J37-K38</f>
        <v>1654226.2013371969</v>
      </c>
      <c r="K38" s="49">
        <f t="shared" si="16"/>
        <v>563239.331612012</v>
      </c>
      <c r="L38" s="67">
        <f>IF(L32-SUM(L37)&lt;12,L32-SUM(L37),12)</f>
        <v>12</v>
      </c>
      <c r="N38" s="26"/>
      <c r="O38" s="35">
        <f t="shared" si="14"/>
        <v>0</v>
      </c>
      <c r="P38" s="36">
        <f t="shared" si="15"/>
        <v>0</v>
      </c>
      <c r="S38" s="47"/>
    </row>
    <row r="39" spans="3:24" x14ac:dyDescent="0.2">
      <c r="C39" s="1" t="s">
        <v>54</v>
      </c>
      <c r="D39" s="30">
        <v>0</v>
      </c>
      <c r="I39" s="62">
        <v>46203</v>
      </c>
      <c r="J39" s="49">
        <f t="shared" si="17"/>
        <v>1090986.869725185</v>
      </c>
      <c r="K39" s="49">
        <f t="shared" si="16"/>
        <v>563239.331612012</v>
      </c>
      <c r="L39" s="67">
        <f>IF(L32-SUM(L37:L38)&lt;12,L32-SUM(L37:L38),12)</f>
        <v>12</v>
      </c>
      <c r="N39" s="26"/>
      <c r="O39" s="35">
        <f t="shared" si="14"/>
        <v>0</v>
      </c>
      <c r="P39" s="36">
        <f t="shared" si="15"/>
        <v>0</v>
      </c>
      <c r="S39" s="47"/>
    </row>
    <row r="40" spans="3:24" x14ac:dyDescent="0.2">
      <c r="C40" s="52" t="s">
        <v>55</v>
      </c>
      <c r="E40" s="11"/>
      <c r="I40" s="62">
        <v>46568</v>
      </c>
      <c r="J40" s="49">
        <f t="shared" si="17"/>
        <v>527747.53811317298</v>
      </c>
      <c r="K40" s="49">
        <f t="shared" si="16"/>
        <v>563239.331612012</v>
      </c>
      <c r="L40" s="67">
        <f>IF(L32-SUM(L37:L39)&lt;12,L32-SUM(L37:L39),12)</f>
        <v>12</v>
      </c>
      <c r="N40" s="26"/>
      <c r="O40" s="35">
        <f t="shared" si="14"/>
        <v>0</v>
      </c>
      <c r="P40" s="36">
        <f t="shared" si="15"/>
        <v>0</v>
      </c>
      <c r="S40" s="47"/>
    </row>
    <row r="41" spans="3:24" x14ac:dyDescent="0.2">
      <c r="I41" s="62">
        <v>46934</v>
      </c>
      <c r="J41" s="49">
        <f t="shared" si="17"/>
        <v>0</v>
      </c>
      <c r="K41" s="49">
        <f t="shared" si="16"/>
        <v>527747.53811317275</v>
      </c>
      <c r="L41" s="67">
        <f>IF(L32-SUM(L37:L40)&lt;12,L32-SUM(L37:L40),12)</f>
        <v>11.243835616438353</v>
      </c>
      <c r="N41" s="26"/>
      <c r="O41" s="35">
        <f t="shared" si="14"/>
        <v>0</v>
      </c>
      <c r="P41" s="36">
        <f t="shared" si="15"/>
        <v>0</v>
      </c>
      <c r="S41" s="47"/>
    </row>
    <row r="42" spans="3:24" x14ac:dyDescent="0.2">
      <c r="I42" s="62">
        <v>47299</v>
      </c>
      <c r="J42" s="49">
        <f t="shared" si="17"/>
        <v>0</v>
      </c>
      <c r="K42" s="49">
        <f t="shared" si="16"/>
        <v>0</v>
      </c>
      <c r="L42" s="68">
        <f>IF(L32-SUM(L37:L41)&lt;12,L32-SUM(L37:L41),12)</f>
        <v>0</v>
      </c>
      <c r="N42" s="26"/>
      <c r="O42" s="35">
        <f t="shared" si="14"/>
        <v>0</v>
      </c>
      <c r="P42" s="36">
        <f t="shared" si="15"/>
        <v>0</v>
      </c>
    </row>
    <row r="43" spans="3:24" x14ac:dyDescent="0.2">
      <c r="I43" s="62">
        <v>47664</v>
      </c>
      <c r="J43" s="49">
        <f t="shared" si="17"/>
        <v>0</v>
      </c>
      <c r="K43" s="49">
        <f t="shared" si="16"/>
        <v>0</v>
      </c>
      <c r="L43" s="67">
        <f>IF(L32-SUM(L37:L42)&lt;12,L32-SUM(L37:L42),12)</f>
        <v>0</v>
      </c>
      <c r="S43" s="142" t="s">
        <v>56</v>
      </c>
      <c r="T43" s="142"/>
      <c r="W43" s="142" t="s">
        <v>57</v>
      </c>
      <c r="X43" s="142"/>
    </row>
    <row r="44" spans="3:24" x14ac:dyDescent="0.2">
      <c r="C44" s="70"/>
      <c r="D44" s="71" t="s">
        <v>60</v>
      </c>
      <c r="E44" s="71" t="s">
        <v>61</v>
      </c>
      <c r="I44" s="62">
        <v>48029</v>
      </c>
      <c r="J44" s="49">
        <f t="shared" si="17"/>
        <v>0</v>
      </c>
      <c r="K44" s="49">
        <f t="shared" si="16"/>
        <v>0</v>
      </c>
      <c r="L44" s="67">
        <f>IF(L32-SUM(L37:L43)&lt;12,L32-SUM(L37:L43),12)</f>
        <v>0</v>
      </c>
      <c r="O44" s="144" t="s">
        <v>59</v>
      </c>
      <c r="P44" s="144"/>
      <c r="S44" s="142"/>
      <c r="T44" s="143"/>
      <c r="W44" s="142"/>
      <c r="X44" s="143"/>
    </row>
    <row r="45" spans="3:24" x14ac:dyDescent="0.2">
      <c r="C45" s="71" t="s">
        <v>93</v>
      </c>
      <c r="D45" s="137">
        <f>D34</f>
        <v>2816196.6580600599</v>
      </c>
      <c r="E45" s="137"/>
      <c r="I45" s="62">
        <v>48395</v>
      </c>
      <c r="J45" s="49">
        <f t="shared" si="17"/>
        <v>0</v>
      </c>
      <c r="K45" s="49">
        <f t="shared" si="16"/>
        <v>0</v>
      </c>
      <c r="L45" s="67">
        <f>IF(L32-SUM(L37:L44)&lt;12,L32-SUM(L37:L44),12)</f>
        <v>0</v>
      </c>
      <c r="N45" s="26" t="s">
        <v>62</v>
      </c>
      <c r="O45" s="72">
        <f>+P14</f>
        <v>1782000.0000000002</v>
      </c>
      <c r="P45" s="73"/>
      <c r="R45" s="26" t="s">
        <v>39</v>
      </c>
      <c r="S45" s="74">
        <f t="shared" ref="S45:S57" si="18">K17</f>
        <v>51999.97465036012</v>
      </c>
      <c r="T45" s="75"/>
      <c r="U45" s="28">
        <v>2021</v>
      </c>
      <c r="V45" s="26" t="s">
        <v>63</v>
      </c>
      <c r="W45" s="27">
        <f t="shared" ref="W45:W57" si="19">K37</f>
        <v>598731.12511085114</v>
      </c>
      <c r="X45" s="6"/>
    </row>
    <row r="46" spans="3:24" x14ac:dyDescent="0.2">
      <c r="C46" s="71" t="s">
        <v>70</v>
      </c>
      <c r="D46" s="137"/>
      <c r="E46" s="137">
        <f>D35</f>
        <v>1034196.6580600598</v>
      </c>
      <c r="I46" s="62">
        <v>48760</v>
      </c>
      <c r="J46" s="49">
        <f t="shared" si="17"/>
        <v>0</v>
      </c>
      <c r="K46" s="49">
        <f t="shared" si="16"/>
        <v>0</v>
      </c>
      <c r="L46" s="67">
        <f>IF(L32-SUM(L37:L45)&lt;12,L32-SUM(L37:L45),12)</f>
        <v>0</v>
      </c>
      <c r="O46" s="72">
        <f>+P15</f>
        <v>0</v>
      </c>
      <c r="P46" s="73"/>
      <c r="R46" s="26" t="s">
        <v>44</v>
      </c>
      <c r="S46" s="77">
        <f t="shared" si="18"/>
        <v>51377.100727202858</v>
      </c>
      <c r="T46" s="47"/>
      <c r="U46" s="28">
        <v>2022</v>
      </c>
      <c r="V46" s="26" t="s">
        <v>64</v>
      </c>
      <c r="W46" s="78">
        <f t="shared" si="19"/>
        <v>563239.331612012</v>
      </c>
    </row>
    <row r="47" spans="3:24" x14ac:dyDescent="0.2">
      <c r="C47" s="71" t="s">
        <v>108</v>
      </c>
      <c r="D47" s="137"/>
      <c r="E47" s="137">
        <f>D37</f>
        <v>1782000.0000000002</v>
      </c>
      <c r="I47" s="62">
        <v>49125</v>
      </c>
      <c r="J47" s="49">
        <f t="shared" si="17"/>
        <v>0</v>
      </c>
      <c r="K47" s="49">
        <f t="shared" si="16"/>
        <v>0</v>
      </c>
      <c r="L47" s="67">
        <f>IF(L32-SUM(L37:L46)&lt;12,L32-SUM(L37:L46),12)</f>
        <v>0</v>
      </c>
      <c r="O47" s="72">
        <f t="shared" ref="O47:O52" si="20">+P16</f>
        <v>0</v>
      </c>
      <c r="P47" s="73"/>
      <c r="R47" s="26" t="s">
        <v>46</v>
      </c>
      <c r="S47" s="77">
        <f t="shared" si="18"/>
        <v>50426.266562377568</v>
      </c>
      <c r="T47" s="47"/>
      <c r="U47" s="28">
        <v>2023</v>
      </c>
      <c r="V47" s="26" t="s">
        <v>65</v>
      </c>
      <c r="W47" s="78">
        <f t="shared" si="19"/>
        <v>563239.331612012</v>
      </c>
    </row>
    <row r="48" spans="3:24" x14ac:dyDescent="0.2">
      <c r="C48" s="71"/>
      <c r="D48" s="138"/>
      <c r="E48" s="138"/>
      <c r="I48" s="62">
        <v>49490</v>
      </c>
      <c r="J48" s="49">
        <f t="shared" si="17"/>
        <v>0</v>
      </c>
      <c r="K48" s="49">
        <f t="shared" si="16"/>
        <v>0</v>
      </c>
      <c r="L48" s="67">
        <f>IF(L32-SUM(L37:L47)&lt;12,L32-SUM(L37:L47),12)</f>
        <v>0</v>
      </c>
      <c r="O48" s="72">
        <f t="shared" si="20"/>
        <v>1188000.0000000002</v>
      </c>
      <c r="P48" s="73"/>
      <c r="R48" s="26" t="s">
        <v>50</v>
      </c>
      <c r="S48" s="77">
        <f t="shared" si="18"/>
        <v>0</v>
      </c>
      <c r="T48" s="47"/>
      <c r="U48" s="28">
        <v>2024</v>
      </c>
      <c r="V48" s="26" t="s">
        <v>66</v>
      </c>
      <c r="W48" s="78">
        <f t="shared" si="19"/>
        <v>563239.331612012</v>
      </c>
    </row>
    <row r="49" spans="5:24" x14ac:dyDescent="0.2">
      <c r="E49" s="80"/>
      <c r="G49" s="127">
        <f>G48*1.15</f>
        <v>0</v>
      </c>
      <c r="I49" s="62">
        <v>49856</v>
      </c>
      <c r="J49" s="49">
        <f t="shared" si="17"/>
        <v>0</v>
      </c>
      <c r="K49" s="49">
        <f t="shared" si="16"/>
        <v>0</v>
      </c>
      <c r="L49" s="67">
        <f>IF(L32-SUM(L37:L48)&lt;12,L32-SUM(L37:L48),12)</f>
        <v>0</v>
      </c>
      <c r="O49" s="72">
        <f t="shared" si="20"/>
        <v>0</v>
      </c>
      <c r="P49" s="73"/>
      <c r="S49" s="77">
        <f t="shared" si="18"/>
        <v>0</v>
      </c>
      <c r="T49" s="47"/>
      <c r="U49" s="28">
        <v>2025</v>
      </c>
      <c r="W49" s="78">
        <f t="shared" si="19"/>
        <v>527747.53811317275</v>
      </c>
    </row>
    <row r="50" spans="5:24" x14ac:dyDescent="0.2">
      <c r="E50" s="80"/>
      <c r="I50" s="62">
        <v>50221</v>
      </c>
      <c r="J50" s="49">
        <f t="shared" si="17"/>
        <v>0</v>
      </c>
      <c r="K50" s="49">
        <f t="shared" si="16"/>
        <v>0</v>
      </c>
      <c r="L50" s="67">
        <f>IF(L32-SUM(L37:L49)&lt;12,L32-SUM(L37:L49),12)</f>
        <v>0</v>
      </c>
      <c r="O50" s="72">
        <f t="shared" si="20"/>
        <v>0</v>
      </c>
      <c r="P50" s="73"/>
      <c r="S50" s="77">
        <f t="shared" si="18"/>
        <v>0</v>
      </c>
      <c r="T50" s="47"/>
      <c r="U50" s="28">
        <v>2026</v>
      </c>
      <c r="W50" s="78">
        <f t="shared" si="19"/>
        <v>0</v>
      </c>
      <c r="X50" s="47"/>
    </row>
    <row r="51" spans="5:24" ht="13.5" thickBot="1" x14ac:dyDescent="0.25">
      <c r="E51" s="80"/>
      <c r="I51" s="62">
        <v>50586</v>
      </c>
      <c r="J51" s="81">
        <f t="shared" si="17"/>
        <v>0</v>
      </c>
      <c r="K51" s="81">
        <f t="shared" si="16"/>
        <v>0</v>
      </c>
      <c r="L51" s="82">
        <f>IF(L32-SUM(L37:L50)&lt;12,L32-SUM(L37:L50),12)</f>
        <v>0</v>
      </c>
      <c r="O51" s="72">
        <f t="shared" si="20"/>
        <v>0</v>
      </c>
      <c r="P51" s="73"/>
      <c r="S51" s="77">
        <f t="shared" si="18"/>
        <v>0</v>
      </c>
      <c r="T51" s="47"/>
      <c r="U51" s="28">
        <v>2027</v>
      </c>
      <c r="W51" s="78">
        <f t="shared" si="19"/>
        <v>0</v>
      </c>
      <c r="X51" s="47"/>
    </row>
    <row r="52" spans="5:24" x14ac:dyDescent="0.2">
      <c r="E52" s="80"/>
      <c r="O52" s="83">
        <f t="shared" si="20"/>
        <v>0</v>
      </c>
      <c r="P52" s="73"/>
      <c r="S52" s="77">
        <f t="shared" si="18"/>
        <v>0</v>
      </c>
      <c r="T52" s="47"/>
      <c r="U52" s="28">
        <v>2028</v>
      </c>
      <c r="W52" s="78">
        <f t="shared" si="19"/>
        <v>0</v>
      </c>
      <c r="X52" s="47"/>
    </row>
    <row r="53" spans="5:24" x14ac:dyDescent="0.2">
      <c r="S53" s="77">
        <f t="shared" si="18"/>
        <v>0</v>
      </c>
      <c r="T53" s="47"/>
      <c r="U53" s="28">
        <v>2029</v>
      </c>
      <c r="W53" s="78">
        <f t="shared" si="19"/>
        <v>0</v>
      </c>
      <c r="X53" s="47"/>
    </row>
    <row r="54" spans="5:24" x14ac:dyDescent="0.2">
      <c r="S54" s="77">
        <f t="shared" si="18"/>
        <v>0</v>
      </c>
      <c r="T54" s="47"/>
      <c r="U54" s="28">
        <v>2030</v>
      </c>
      <c r="W54" s="78">
        <f t="shared" si="19"/>
        <v>0</v>
      </c>
      <c r="X54" s="47"/>
    </row>
    <row r="55" spans="5:24" x14ac:dyDescent="0.2">
      <c r="S55" s="77">
        <f t="shared" si="18"/>
        <v>0</v>
      </c>
      <c r="T55" s="47"/>
      <c r="U55" s="28">
        <v>2031</v>
      </c>
      <c r="W55" s="78">
        <f t="shared" si="19"/>
        <v>0</v>
      </c>
      <c r="X55" s="47"/>
    </row>
    <row r="56" spans="5:24" x14ac:dyDescent="0.2">
      <c r="S56" s="77">
        <f t="shared" si="18"/>
        <v>0</v>
      </c>
      <c r="T56" s="47"/>
      <c r="U56" s="28">
        <v>2032</v>
      </c>
      <c r="W56" s="78">
        <f t="shared" si="19"/>
        <v>0</v>
      </c>
      <c r="X56" s="47"/>
    </row>
    <row r="57" spans="5:24" x14ac:dyDescent="0.2">
      <c r="S57" s="77">
        <f t="shared" si="18"/>
        <v>0</v>
      </c>
      <c r="T57" s="47"/>
      <c r="U57" s="28">
        <v>2033</v>
      </c>
      <c r="W57" s="78">
        <f t="shared" si="19"/>
        <v>0</v>
      </c>
      <c r="X57" s="47"/>
    </row>
    <row r="58" spans="5:24" x14ac:dyDescent="0.2">
      <c r="S58" s="46">
        <f>SUM(S45:S57)</f>
        <v>153803.34193994055</v>
      </c>
      <c r="T58" s="75"/>
      <c r="W58" s="74">
        <f>SUM(W45:W57)</f>
        <v>2816196.6580600594</v>
      </c>
      <c r="X58" s="75"/>
    </row>
  </sheetData>
  <mergeCells count="7">
    <mergeCell ref="W43:X44"/>
    <mergeCell ref="O44:P44"/>
    <mergeCell ref="O13:P13"/>
    <mergeCell ref="S13:T13"/>
    <mergeCell ref="O30:P30"/>
    <mergeCell ref="S30:T30"/>
    <mergeCell ref="S43:T4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workbookViewId="0">
      <selection activeCell="G8" sqref="G8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15" style="1" customWidth="1"/>
    <col min="7" max="7" width="17" style="1" customWidth="1"/>
    <col min="8" max="8" width="13.140625" style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0.710937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109</v>
      </c>
      <c r="E1" s="1">
        <v>189.61</v>
      </c>
      <c r="F1" s="1" t="s">
        <v>98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102">
        <v>38000</v>
      </c>
      <c r="F2" s="11"/>
      <c r="G2" s="11"/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27">
        <f>E2*60</f>
        <v>2280000</v>
      </c>
      <c r="F3" s="11"/>
      <c r="G3" s="11"/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45055</v>
      </c>
      <c r="E4" s="127">
        <f>E3*1.1</f>
        <v>2508000</v>
      </c>
      <c r="F4" s="11"/>
      <c r="G4" s="11"/>
      <c r="I4" s="4">
        <v>45107</v>
      </c>
      <c r="J4" s="6">
        <v>0</v>
      </c>
      <c r="K4" s="7">
        <v>0</v>
      </c>
      <c r="L4" s="8">
        <f t="shared" ref="L4:L10" si="0">K36</f>
        <v>0</v>
      </c>
      <c r="M4" s="7">
        <v>0</v>
      </c>
      <c r="O4" s="6">
        <v>0</v>
      </c>
      <c r="P4" s="6">
        <v>0</v>
      </c>
      <c r="S4" s="11"/>
    </row>
    <row r="5" spans="2:22" x14ac:dyDescent="0.2">
      <c r="C5" s="1" t="s">
        <v>11</v>
      </c>
      <c r="D5" s="12">
        <v>46880</v>
      </c>
      <c r="E5" s="128">
        <f>E2*36</f>
        <v>1368000</v>
      </c>
      <c r="F5" s="86">
        <f>E5*0.02</f>
        <v>27360</v>
      </c>
      <c r="G5" s="86"/>
      <c r="H5" s="85"/>
      <c r="I5" s="4">
        <v>45473</v>
      </c>
      <c r="J5" s="6">
        <f t="shared" ref="J5:J10" si="1">J37</f>
        <v>1833434.039815393</v>
      </c>
      <c r="K5" s="7">
        <f>L17</f>
        <v>920627.89941488171</v>
      </c>
      <c r="L5" s="8">
        <f t="shared" si="0"/>
        <v>544687.58254643506</v>
      </c>
      <c r="M5" s="7">
        <f>K17</f>
        <v>47306.277053053818</v>
      </c>
      <c r="N5" s="7">
        <f>J17</f>
        <v>0</v>
      </c>
      <c r="O5" s="127">
        <v>0</v>
      </c>
      <c r="P5" s="6"/>
    </row>
    <row r="6" spans="2:22" x14ac:dyDescent="0.2">
      <c r="C6" s="1" t="s">
        <v>12</v>
      </c>
      <c r="D6" s="128">
        <v>1504800.0000000002</v>
      </c>
      <c r="E6" s="86">
        <f>E5*1.1</f>
        <v>1504800.0000000002</v>
      </c>
      <c r="F6" s="86">
        <f>E5*0.1</f>
        <v>136800</v>
      </c>
      <c r="G6" s="86"/>
      <c r="H6" s="85"/>
      <c r="I6" s="4">
        <v>45838</v>
      </c>
      <c r="J6" s="6">
        <f t="shared" si="1"/>
        <v>1357809.7153430274</v>
      </c>
      <c r="K6" s="7">
        <f t="shared" ref="K6:K9" si="2">L18</f>
        <v>964173.5990572056</v>
      </c>
      <c r="L6" s="8">
        <f t="shared" si="0"/>
        <v>475624.32447236561</v>
      </c>
      <c r="M6" s="7">
        <f t="shared" ref="M6:M10" si="3">K18</f>
        <v>43545.699642323903</v>
      </c>
      <c r="N6" s="7">
        <f t="shared" ref="N6:N10" si="4">J18</f>
        <v>0</v>
      </c>
      <c r="O6" s="127">
        <v>0</v>
      </c>
      <c r="P6" s="11">
        <f>M17*5</f>
        <v>17211.713640714359</v>
      </c>
    </row>
    <row r="7" spans="2:22" x14ac:dyDescent="0.2">
      <c r="C7" s="1" t="s">
        <v>13</v>
      </c>
      <c r="D7" s="127">
        <v>2508000</v>
      </c>
      <c r="E7" s="129"/>
      <c r="G7" s="11"/>
      <c r="I7" s="4">
        <v>46203</v>
      </c>
      <c r="J7" s="6">
        <f t="shared" si="1"/>
        <v>882185.39087066171</v>
      </c>
      <c r="K7" s="7">
        <f t="shared" si="2"/>
        <v>0</v>
      </c>
      <c r="L7" s="8">
        <f t="shared" si="0"/>
        <v>475624.32447236561</v>
      </c>
      <c r="M7" s="7">
        <f t="shared" si="3"/>
        <v>39026.400942794164</v>
      </c>
      <c r="N7" s="7">
        <f>J19</f>
        <v>1003199.9999999998</v>
      </c>
      <c r="P7" s="11">
        <f>M17*'[1]Shire 2024 '!$X$56</f>
        <v>2555.8215871964867</v>
      </c>
    </row>
    <row r="8" spans="2:22" x14ac:dyDescent="0.2">
      <c r="C8" s="1" t="s">
        <v>14</v>
      </c>
      <c r="D8" s="12">
        <f>D4</f>
        <v>45055</v>
      </c>
      <c r="E8" s="15"/>
      <c r="I8" s="4">
        <v>46568</v>
      </c>
      <c r="J8" s="6">
        <f t="shared" si="1"/>
        <v>406561.0663982961</v>
      </c>
      <c r="K8" s="7">
        <f t="shared" si="2"/>
        <v>0</v>
      </c>
      <c r="L8" s="8">
        <f t="shared" si="0"/>
        <v>475624.32447236561</v>
      </c>
      <c r="M8" s="7">
        <f t="shared" si="3"/>
        <v>0</v>
      </c>
      <c r="N8" s="7">
        <f t="shared" si="4"/>
        <v>0</v>
      </c>
      <c r="P8" s="11">
        <f>P6+P7</f>
        <v>19767.535227910845</v>
      </c>
    </row>
    <row r="9" spans="2:22" x14ac:dyDescent="0.2">
      <c r="C9" s="1" t="s">
        <v>15</v>
      </c>
      <c r="D9" s="130">
        <v>0</v>
      </c>
      <c r="E9" s="11"/>
      <c r="I9" s="4">
        <v>46934</v>
      </c>
      <c r="J9" s="6">
        <f t="shared" si="1"/>
        <v>0</v>
      </c>
      <c r="K9" s="7">
        <f t="shared" si="2"/>
        <v>0</v>
      </c>
      <c r="L9" s="8">
        <f t="shared" si="0"/>
        <v>406561.06639829627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1"/>
        <v>0</v>
      </c>
      <c r="K10" s="7">
        <f t="shared" ref="K10" si="5">L23</f>
        <v>0</v>
      </c>
      <c r="L10" s="8">
        <f t="shared" si="0"/>
        <v>0</v>
      </c>
      <c r="M10" s="7">
        <f t="shared" si="3"/>
        <v>0</v>
      </c>
      <c r="N10" s="7">
        <f t="shared" si="4"/>
        <v>0</v>
      </c>
    </row>
    <row r="11" spans="2:22" x14ac:dyDescent="0.2">
      <c r="C11" s="140"/>
      <c r="D11" s="141"/>
      <c r="E11" s="11"/>
      <c r="I11" s="4"/>
      <c r="J11" s="6"/>
      <c r="K11" s="7"/>
      <c r="L11" s="8"/>
      <c r="M11" s="7"/>
      <c r="N11" s="7"/>
    </row>
    <row r="12" spans="2:22" x14ac:dyDescent="0.2">
      <c r="C12" s="140"/>
      <c r="D12" s="141"/>
      <c r="E12" s="11"/>
      <c r="I12" s="4"/>
      <c r="J12" s="6"/>
      <c r="K12" s="7"/>
      <c r="L12" s="8"/>
      <c r="M12" s="7"/>
      <c r="N12" s="7"/>
    </row>
    <row r="13" spans="2:22" ht="13.5" thickBot="1" x14ac:dyDescent="0.25">
      <c r="O13" s="144" t="s">
        <v>17</v>
      </c>
      <c r="P13" s="144"/>
      <c r="S13" s="144" t="s">
        <v>18</v>
      </c>
      <c r="T13" s="144"/>
    </row>
    <row r="14" spans="2:22" x14ac:dyDescent="0.2">
      <c r="B14" s="18" t="s">
        <v>19</v>
      </c>
      <c r="C14" s="19" t="s">
        <v>20</v>
      </c>
      <c r="D14" s="19" t="s">
        <v>21</v>
      </c>
      <c r="E14" s="20" t="s">
        <v>22</v>
      </c>
      <c r="H14" s="21" t="s">
        <v>23</v>
      </c>
      <c r="I14" s="22"/>
      <c r="J14" s="22"/>
      <c r="K14" s="22"/>
      <c r="L14" s="23"/>
      <c r="O14" s="24"/>
      <c r="P14" s="25">
        <f>+D6</f>
        <v>1504800.0000000002</v>
      </c>
      <c r="Q14" s="26" t="s">
        <v>24</v>
      </c>
      <c r="R14" s="26" t="s">
        <v>25</v>
      </c>
      <c r="S14" s="27">
        <f>+D34</f>
        <v>2378121.6223618281</v>
      </c>
      <c r="T14" s="6">
        <f t="shared" ref="T14:T27" si="6">+K37</f>
        <v>544687.58254643506</v>
      </c>
      <c r="U14" s="26" t="s">
        <v>26</v>
      </c>
      <c r="V14" s="28"/>
    </row>
    <row r="15" spans="2:22" x14ac:dyDescent="0.2">
      <c r="B15" s="29">
        <v>0</v>
      </c>
      <c r="C15" s="4">
        <f>D4</f>
        <v>45055</v>
      </c>
      <c r="D15" s="30">
        <v>0</v>
      </c>
      <c r="E15" s="30"/>
      <c r="H15" s="31" t="s">
        <v>19</v>
      </c>
      <c r="I15" s="32" t="s">
        <v>27</v>
      </c>
      <c r="J15" s="32" t="s">
        <v>28</v>
      </c>
      <c r="K15" s="32" t="s">
        <v>29</v>
      </c>
      <c r="L15" s="33" t="s">
        <v>30</v>
      </c>
      <c r="O15" s="34"/>
      <c r="P15" s="7">
        <f t="shared" ref="P15:P26" si="7">J17</f>
        <v>0</v>
      </c>
      <c r="Q15" s="26" t="s">
        <v>31</v>
      </c>
      <c r="R15" s="26" t="s">
        <v>32</v>
      </c>
      <c r="S15" s="35">
        <f t="shared" ref="S15:S27" si="8">+S14-T14</f>
        <v>1833434.039815393</v>
      </c>
      <c r="T15" s="36">
        <f t="shared" si="6"/>
        <v>475624.32447236561</v>
      </c>
      <c r="U15" s="26" t="s">
        <v>33</v>
      </c>
      <c r="V15" s="28">
        <v>2021</v>
      </c>
    </row>
    <row r="16" spans="2:22" x14ac:dyDescent="0.2">
      <c r="B16" s="29">
        <v>1</v>
      </c>
      <c r="C16" s="4">
        <f>D8</f>
        <v>45055</v>
      </c>
      <c r="D16" s="30">
        <v>0</v>
      </c>
      <c r="E16" s="30">
        <f t="shared" ref="E16:E28" si="9">+D16*(1+$D$3)</f>
        <v>0</v>
      </c>
      <c r="H16" s="37">
        <v>0</v>
      </c>
      <c r="I16" s="38"/>
      <c r="J16" s="131"/>
      <c r="K16" s="132"/>
      <c r="L16" s="41">
        <f>D30</f>
        <v>873321.62236182787</v>
      </c>
      <c r="N16" s="42"/>
      <c r="O16" s="34"/>
      <c r="P16" s="7">
        <f t="shared" si="7"/>
        <v>0</v>
      </c>
      <c r="Q16" s="26" t="s">
        <v>34</v>
      </c>
      <c r="R16" s="26" t="s">
        <v>32</v>
      </c>
      <c r="S16" s="35">
        <f>+S15-T15</f>
        <v>1357809.7153430274</v>
      </c>
      <c r="T16" s="36">
        <f t="shared" si="6"/>
        <v>475624.32447236561</v>
      </c>
      <c r="U16" s="26" t="s">
        <v>35</v>
      </c>
      <c r="V16" s="28">
        <v>2022</v>
      </c>
    </row>
    <row r="17" spans="2:22" x14ac:dyDescent="0.2">
      <c r="B17" s="29">
        <v>2</v>
      </c>
      <c r="C17" s="4">
        <f t="shared" ref="C17:C28" si="10">C16+365</f>
        <v>45420</v>
      </c>
      <c r="D17" s="30">
        <v>0</v>
      </c>
      <c r="E17" s="30">
        <f t="shared" si="9"/>
        <v>0</v>
      </c>
      <c r="H17" s="37">
        <v>1</v>
      </c>
      <c r="I17" s="38">
        <v>2024</v>
      </c>
      <c r="J17" s="133"/>
      <c r="K17" s="133">
        <f>(L16-J17)*D$3*L37/12</f>
        <v>47306.277053053818</v>
      </c>
      <c r="L17" s="44">
        <f>L16-J17+K17</f>
        <v>920627.89941488171</v>
      </c>
      <c r="M17" s="11">
        <f>K17/L37</f>
        <v>3442.3427281428717</v>
      </c>
      <c r="O17" s="34"/>
      <c r="P17" s="7">
        <f t="shared" si="7"/>
        <v>1003199.9999999998</v>
      </c>
      <c r="Q17" s="26" t="s">
        <v>36</v>
      </c>
      <c r="R17" s="26" t="s">
        <v>32</v>
      </c>
      <c r="S17" s="35">
        <f t="shared" si="8"/>
        <v>882185.39087066171</v>
      </c>
      <c r="T17" s="36">
        <f t="shared" si="6"/>
        <v>475624.32447236561</v>
      </c>
      <c r="U17" s="26" t="s">
        <v>37</v>
      </c>
      <c r="V17" s="28">
        <v>2023</v>
      </c>
    </row>
    <row r="18" spans="2:22" x14ac:dyDescent="0.2">
      <c r="B18" s="29">
        <v>3</v>
      </c>
      <c r="C18" s="4">
        <f t="shared" si="10"/>
        <v>45785</v>
      </c>
      <c r="D18" s="30">
        <v>0</v>
      </c>
      <c r="E18" s="30">
        <f t="shared" si="9"/>
        <v>0</v>
      </c>
      <c r="H18" s="37">
        <f>+H17+1</f>
        <v>2</v>
      </c>
      <c r="I18" s="38">
        <v>2025</v>
      </c>
      <c r="J18" s="133">
        <f>D16</f>
        <v>0</v>
      </c>
      <c r="K18" s="133">
        <f>(L17-J18)*D$3</f>
        <v>43545.699642323903</v>
      </c>
      <c r="L18" s="44">
        <f t="shared" ref="L18:L29" si="11">L17-J18+K18</f>
        <v>964173.5990572056</v>
      </c>
      <c r="M18" s="11">
        <f>K18/L38</f>
        <v>3628.8083035269919</v>
      </c>
      <c r="O18" s="34"/>
      <c r="P18" s="7">
        <f t="shared" si="7"/>
        <v>0</v>
      </c>
      <c r="Q18" s="26" t="s">
        <v>38</v>
      </c>
      <c r="R18" s="26"/>
      <c r="S18" s="35">
        <f t="shared" si="8"/>
        <v>406561.0663982961</v>
      </c>
      <c r="T18" s="36">
        <f t="shared" si="6"/>
        <v>406561.06639829627</v>
      </c>
      <c r="V18" s="28">
        <v>2024</v>
      </c>
    </row>
    <row r="19" spans="2:22" x14ac:dyDescent="0.2">
      <c r="B19" s="29">
        <v>4</v>
      </c>
      <c r="C19" s="4">
        <f t="shared" si="10"/>
        <v>46150</v>
      </c>
      <c r="D19" s="30">
        <f>D7-D6</f>
        <v>1003199.9999999998</v>
      </c>
      <c r="E19" s="30">
        <f t="shared" si="9"/>
        <v>1050651.3599999996</v>
      </c>
      <c r="H19" s="37">
        <f>+H18+1</f>
        <v>3</v>
      </c>
      <c r="I19" s="38">
        <v>2026</v>
      </c>
      <c r="J19" s="133">
        <f>D19</f>
        <v>1003199.9999999998</v>
      </c>
      <c r="K19" s="133">
        <f>J19-L18</f>
        <v>39026.400942794164</v>
      </c>
      <c r="L19" s="44">
        <f t="shared" si="11"/>
        <v>0</v>
      </c>
      <c r="M19" s="11">
        <f>K19/L39</f>
        <v>3252.2000785661803</v>
      </c>
      <c r="O19" s="34"/>
      <c r="P19" s="7">
        <f t="shared" si="7"/>
        <v>0</v>
      </c>
      <c r="S19" s="35">
        <f t="shared" si="8"/>
        <v>0</v>
      </c>
      <c r="T19" s="36">
        <f t="shared" si="6"/>
        <v>0</v>
      </c>
      <c r="V19" s="28">
        <v>2025</v>
      </c>
    </row>
    <row r="20" spans="2:22" x14ac:dyDescent="0.2">
      <c r="B20" s="29">
        <v>5</v>
      </c>
      <c r="C20" s="4">
        <f t="shared" si="10"/>
        <v>46515</v>
      </c>
      <c r="D20" s="30">
        <v>0</v>
      </c>
      <c r="E20" s="30">
        <f t="shared" si="9"/>
        <v>0</v>
      </c>
      <c r="F20" s="127"/>
      <c r="H20" s="37">
        <v>4</v>
      </c>
      <c r="I20" s="38">
        <v>2027</v>
      </c>
      <c r="J20" s="133">
        <f t="shared" ref="J20:J29" si="12">D18</f>
        <v>0</v>
      </c>
      <c r="K20" s="133">
        <f>J20-L19</f>
        <v>0</v>
      </c>
      <c r="L20" s="44">
        <f t="shared" si="11"/>
        <v>0</v>
      </c>
      <c r="N20" s="7"/>
      <c r="O20" s="34"/>
      <c r="P20" s="7">
        <f t="shared" si="7"/>
        <v>0</v>
      </c>
      <c r="S20" s="134">
        <f t="shared" si="8"/>
        <v>0</v>
      </c>
      <c r="T20" s="36">
        <f t="shared" si="6"/>
        <v>0</v>
      </c>
      <c r="V20" s="28">
        <v>2026</v>
      </c>
    </row>
    <row r="21" spans="2:22" x14ac:dyDescent="0.2">
      <c r="B21" s="29">
        <v>6</v>
      </c>
      <c r="C21" s="4">
        <f t="shared" si="10"/>
        <v>46880</v>
      </c>
      <c r="D21" s="30">
        <v>0</v>
      </c>
      <c r="E21" s="30">
        <f t="shared" si="9"/>
        <v>0</v>
      </c>
      <c r="H21" s="37">
        <v>5</v>
      </c>
      <c r="I21" s="38">
        <v>2028</v>
      </c>
      <c r="J21" s="133">
        <v>0</v>
      </c>
      <c r="K21" s="133">
        <f>J21-L20</f>
        <v>0</v>
      </c>
      <c r="L21" s="44">
        <f t="shared" si="11"/>
        <v>0</v>
      </c>
      <c r="O21" s="34"/>
      <c r="P21" s="7">
        <f t="shared" si="7"/>
        <v>0</v>
      </c>
      <c r="S21" s="134">
        <f t="shared" si="8"/>
        <v>0</v>
      </c>
      <c r="T21" s="36">
        <f t="shared" si="6"/>
        <v>0</v>
      </c>
      <c r="V21" s="28">
        <v>2027</v>
      </c>
    </row>
    <row r="22" spans="2:22" x14ac:dyDescent="0.2">
      <c r="B22" s="29">
        <v>7</v>
      </c>
      <c r="C22" s="4">
        <f t="shared" si="10"/>
        <v>47245</v>
      </c>
      <c r="D22" s="30">
        <v>0</v>
      </c>
      <c r="E22" s="30">
        <f t="shared" si="9"/>
        <v>0</v>
      </c>
      <c r="H22" s="37">
        <v>6</v>
      </c>
      <c r="I22" s="38">
        <v>2029</v>
      </c>
      <c r="J22" s="133">
        <f t="shared" si="12"/>
        <v>0</v>
      </c>
      <c r="K22" s="133">
        <f t="shared" ref="K22:K29" si="13">L21-J22</f>
        <v>0</v>
      </c>
      <c r="L22" s="44">
        <f t="shared" si="11"/>
        <v>0</v>
      </c>
      <c r="O22" s="34"/>
      <c r="P22" s="7">
        <f t="shared" si="7"/>
        <v>0</v>
      </c>
      <c r="S22" s="134">
        <f t="shared" si="8"/>
        <v>0</v>
      </c>
      <c r="T22" s="36">
        <f t="shared" si="6"/>
        <v>0</v>
      </c>
      <c r="V22" s="28">
        <v>2028</v>
      </c>
    </row>
    <row r="23" spans="2:22" x14ac:dyDescent="0.2">
      <c r="B23" s="29">
        <v>8</v>
      </c>
      <c r="C23" s="4">
        <f t="shared" si="10"/>
        <v>47610</v>
      </c>
      <c r="D23" s="30">
        <v>0</v>
      </c>
      <c r="E23" s="30">
        <f t="shared" si="9"/>
        <v>0</v>
      </c>
      <c r="H23" s="37">
        <v>7</v>
      </c>
      <c r="I23" s="38">
        <v>2030</v>
      </c>
      <c r="J23" s="133">
        <f t="shared" si="12"/>
        <v>0</v>
      </c>
      <c r="K23" s="133">
        <f t="shared" si="13"/>
        <v>0</v>
      </c>
      <c r="L23" s="44">
        <f t="shared" si="11"/>
        <v>0</v>
      </c>
      <c r="N23" s="7"/>
      <c r="O23" s="34"/>
      <c r="P23" s="7">
        <f t="shared" si="7"/>
        <v>0</v>
      </c>
      <c r="S23" s="134">
        <f t="shared" si="8"/>
        <v>0</v>
      </c>
      <c r="T23" s="36">
        <f t="shared" si="6"/>
        <v>0</v>
      </c>
      <c r="V23" s="28">
        <v>2029</v>
      </c>
    </row>
    <row r="24" spans="2:22" x14ac:dyDescent="0.2">
      <c r="B24" s="29">
        <v>9</v>
      </c>
      <c r="C24" s="4">
        <f t="shared" si="10"/>
        <v>47975</v>
      </c>
      <c r="D24" s="30">
        <v>0</v>
      </c>
      <c r="E24" s="30">
        <f t="shared" si="9"/>
        <v>0</v>
      </c>
      <c r="H24" s="37">
        <v>8</v>
      </c>
      <c r="I24" s="38">
        <v>2031</v>
      </c>
      <c r="J24" s="133">
        <f t="shared" si="12"/>
        <v>0</v>
      </c>
      <c r="K24" s="133">
        <f t="shared" si="13"/>
        <v>0</v>
      </c>
      <c r="L24" s="44">
        <f t="shared" si="11"/>
        <v>0</v>
      </c>
      <c r="O24" s="34"/>
      <c r="P24" s="7">
        <f t="shared" si="7"/>
        <v>0</v>
      </c>
      <c r="S24" s="134">
        <f t="shared" si="8"/>
        <v>0</v>
      </c>
      <c r="T24" s="36">
        <f t="shared" si="6"/>
        <v>0</v>
      </c>
      <c r="V24" s="28">
        <v>2030</v>
      </c>
    </row>
    <row r="25" spans="2:22" x14ac:dyDescent="0.2">
      <c r="B25" s="29">
        <v>10</v>
      </c>
      <c r="C25" s="4">
        <f t="shared" si="10"/>
        <v>48340</v>
      </c>
      <c r="D25" s="30">
        <v>0</v>
      </c>
      <c r="E25" s="30">
        <f t="shared" si="9"/>
        <v>0</v>
      </c>
      <c r="H25" s="37">
        <v>9</v>
      </c>
      <c r="I25" s="38">
        <v>2032</v>
      </c>
      <c r="J25" s="133">
        <f t="shared" si="12"/>
        <v>0</v>
      </c>
      <c r="K25" s="133">
        <f t="shared" si="13"/>
        <v>0</v>
      </c>
      <c r="L25" s="44">
        <f t="shared" si="11"/>
        <v>0</v>
      </c>
      <c r="O25" s="34"/>
      <c r="P25" s="7">
        <f t="shared" si="7"/>
        <v>0</v>
      </c>
      <c r="S25" s="134">
        <f t="shared" si="8"/>
        <v>0</v>
      </c>
      <c r="T25" s="36">
        <f t="shared" si="6"/>
        <v>0</v>
      </c>
      <c r="V25" s="28">
        <v>2031</v>
      </c>
    </row>
    <row r="26" spans="2:22" x14ac:dyDescent="0.2">
      <c r="B26" s="29">
        <v>11</v>
      </c>
      <c r="C26" s="4">
        <f t="shared" si="10"/>
        <v>48705</v>
      </c>
      <c r="D26" s="30">
        <v>0</v>
      </c>
      <c r="E26" s="30">
        <f t="shared" si="9"/>
        <v>0</v>
      </c>
      <c r="H26" s="37">
        <v>10</v>
      </c>
      <c r="I26" s="38">
        <v>2033</v>
      </c>
      <c r="J26" s="133">
        <f t="shared" si="12"/>
        <v>0</v>
      </c>
      <c r="K26" s="133">
        <f t="shared" si="13"/>
        <v>0</v>
      </c>
      <c r="L26" s="44">
        <f t="shared" si="11"/>
        <v>0</v>
      </c>
      <c r="O26" s="34"/>
      <c r="P26" s="7">
        <f t="shared" si="7"/>
        <v>0</v>
      </c>
      <c r="S26" s="134">
        <f t="shared" si="8"/>
        <v>0</v>
      </c>
      <c r="T26" s="36">
        <f t="shared" si="6"/>
        <v>0</v>
      </c>
      <c r="V26" s="28">
        <v>2032</v>
      </c>
    </row>
    <row r="27" spans="2:22" x14ac:dyDescent="0.2">
      <c r="B27" s="29">
        <v>12</v>
      </c>
      <c r="C27" s="4">
        <f t="shared" si="10"/>
        <v>49070</v>
      </c>
      <c r="D27" s="30">
        <v>0</v>
      </c>
      <c r="E27" s="30">
        <f t="shared" si="9"/>
        <v>0</v>
      </c>
      <c r="H27" s="37">
        <v>11</v>
      </c>
      <c r="I27" s="38">
        <v>2034</v>
      </c>
      <c r="J27" s="133">
        <f t="shared" si="12"/>
        <v>0</v>
      </c>
      <c r="K27" s="133">
        <f>L26-J27</f>
        <v>0</v>
      </c>
      <c r="L27" s="44">
        <f t="shared" si="11"/>
        <v>0</v>
      </c>
      <c r="O27" s="24"/>
      <c r="P27" s="46">
        <f>SUM(P14:P26)</f>
        <v>2508000</v>
      </c>
      <c r="S27" s="134">
        <f t="shared" si="8"/>
        <v>0</v>
      </c>
      <c r="T27" s="36">
        <f t="shared" si="6"/>
        <v>0</v>
      </c>
      <c r="V27" s="28">
        <v>2033</v>
      </c>
    </row>
    <row r="28" spans="2:22" x14ac:dyDescent="0.2">
      <c r="B28" s="29">
        <v>13</v>
      </c>
      <c r="C28" s="4">
        <f t="shared" si="10"/>
        <v>49435</v>
      </c>
      <c r="D28" s="30">
        <v>0</v>
      </c>
      <c r="E28" s="30">
        <f t="shared" si="9"/>
        <v>0</v>
      </c>
      <c r="H28" s="37">
        <v>12</v>
      </c>
      <c r="I28" s="38">
        <v>2035</v>
      </c>
      <c r="J28" s="133">
        <f t="shared" si="12"/>
        <v>0</v>
      </c>
      <c r="K28" s="133">
        <f t="shared" si="13"/>
        <v>0</v>
      </c>
      <c r="L28" s="44">
        <f t="shared" si="11"/>
        <v>0</v>
      </c>
      <c r="O28" s="47"/>
      <c r="P28" s="48"/>
      <c r="S28" s="48"/>
      <c r="T28" s="49"/>
      <c r="V28" s="28"/>
    </row>
    <row r="29" spans="2:22" ht="13.5" thickBot="1" x14ac:dyDescent="0.25">
      <c r="B29" s="29"/>
      <c r="C29" s="4"/>
      <c r="F29" s="11"/>
      <c r="H29" s="50">
        <v>13</v>
      </c>
      <c r="I29" s="38">
        <v>2036</v>
      </c>
      <c r="J29" s="133">
        <f t="shared" si="12"/>
        <v>0</v>
      </c>
      <c r="K29" s="133">
        <f t="shared" si="13"/>
        <v>0</v>
      </c>
      <c r="L29" s="51">
        <f t="shared" si="11"/>
        <v>0</v>
      </c>
    </row>
    <row r="30" spans="2:22" ht="13.5" thickBot="1" x14ac:dyDescent="0.25">
      <c r="C30" s="52" t="s">
        <v>2</v>
      </c>
      <c r="D30" s="135">
        <f>XNPV(D3,D15:D28,C15:C28)</f>
        <v>873321.62236182787</v>
      </c>
      <c r="E30" s="52"/>
      <c r="H30" s="54"/>
      <c r="I30" s="38"/>
      <c r="J30" s="133"/>
      <c r="K30" s="133"/>
      <c r="L30" s="49"/>
      <c r="O30" s="144" t="s">
        <v>2</v>
      </c>
      <c r="P30" s="144"/>
      <c r="S30" s="144" t="s">
        <v>6</v>
      </c>
      <c r="T30" s="144"/>
    </row>
    <row r="31" spans="2:22" ht="13.5" thickTop="1" x14ac:dyDescent="0.2">
      <c r="C31" s="52"/>
      <c r="F31" s="11"/>
      <c r="O31" s="35">
        <f t="shared" ref="O31:O42" si="14">-K17+J17</f>
        <v>-47306.277053053818</v>
      </c>
      <c r="P31" s="36">
        <f>+D30</f>
        <v>873321.62236182787</v>
      </c>
      <c r="Q31" s="26" t="s">
        <v>31</v>
      </c>
      <c r="R31" s="26" t="s">
        <v>39</v>
      </c>
      <c r="S31" s="55">
        <f>+P31</f>
        <v>873321.62236182787</v>
      </c>
      <c r="T31" s="36">
        <f>+S14</f>
        <v>2378121.6223618281</v>
      </c>
      <c r="U31" s="26" t="s">
        <v>40</v>
      </c>
      <c r="V31" s="28">
        <v>2021</v>
      </c>
    </row>
    <row r="32" spans="2:22" x14ac:dyDescent="0.2">
      <c r="H32" s="29"/>
      <c r="I32" s="56"/>
      <c r="J32" s="18" t="s">
        <v>41</v>
      </c>
      <c r="K32" s="136"/>
      <c r="L32" s="8">
        <f>(D5-D4) /365*12</f>
        <v>60</v>
      </c>
      <c r="N32" s="26" t="s">
        <v>39</v>
      </c>
      <c r="O32" s="35">
        <f t="shared" si="14"/>
        <v>-43545.699642323903</v>
      </c>
      <c r="P32" s="36">
        <f t="shared" ref="P32:P42" si="15">+P31-O31</f>
        <v>920627.89941488171</v>
      </c>
      <c r="Q32" s="26" t="s">
        <v>42</v>
      </c>
      <c r="S32" s="34"/>
      <c r="T32" s="6">
        <f>+T31-S31</f>
        <v>1504800.0000000002</v>
      </c>
      <c r="U32" s="26"/>
    </row>
    <row r="33" spans="3:24" x14ac:dyDescent="0.2">
      <c r="G33" s="7"/>
      <c r="J33" s="18" t="s">
        <v>43</v>
      </c>
      <c r="K33" s="58"/>
      <c r="L33" s="11">
        <f>D34/L32</f>
        <v>39635.360372697134</v>
      </c>
      <c r="M33" s="42"/>
      <c r="N33" s="26" t="s">
        <v>44</v>
      </c>
      <c r="O33" s="35">
        <f t="shared" si="14"/>
        <v>964173.5990572056</v>
      </c>
      <c r="P33" s="36">
        <f t="shared" si="15"/>
        <v>964173.5990572056</v>
      </c>
      <c r="Q33" s="26" t="s">
        <v>42</v>
      </c>
      <c r="S33" s="34"/>
    </row>
    <row r="34" spans="3:24" ht="13.5" thickBot="1" x14ac:dyDescent="0.25">
      <c r="C34" s="1" t="s">
        <v>45</v>
      </c>
      <c r="D34" s="59">
        <f>+D35+D36+D37+D38-D39</f>
        <v>2378121.6223618281</v>
      </c>
      <c r="F34" s="11"/>
      <c r="G34" s="60"/>
      <c r="N34" s="26" t="s">
        <v>46</v>
      </c>
      <c r="O34" s="35">
        <f t="shared" si="14"/>
        <v>0</v>
      </c>
      <c r="P34" s="36">
        <f t="shared" si="15"/>
        <v>0</v>
      </c>
      <c r="Q34" s="26" t="s">
        <v>42</v>
      </c>
      <c r="S34" s="34"/>
    </row>
    <row r="35" spans="3:24" x14ac:dyDescent="0.2">
      <c r="C35" s="1" t="s">
        <v>47</v>
      </c>
      <c r="D35" s="102">
        <f>D30</f>
        <v>873321.62236182787</v>
      </c>
      <c r="F35" s="11"/>
      <c r="G35" s="11"/>
      <c r="I35" s="21" t="s">
        <v>27</v>
      </c>
      <c r="J35" s="22" t="s">
        <v>30</v>
      </c>
      <c r="K35" s="22" t="s">
        <v>48</v>
      </c>
      <c r="L35" s="61" t="s">
        <v>49</v>
      </c>
      <c r="N35" s="26" t="s">
        <v>50</v>
      </c>
      <c r="O35" s="35">
        <f t="shared" si="14"/>
        <v>0</v>
      </c>
      <c r="P35" s="36">
        <f t="shared" si="15"/>
        <v>0</v>
      </c>
      <c r="S35" s="34"/>
    </row>
    <row r="36" spans="3:24" x14ac:dyDescent="0.2">
      <c r="C36" s="1" t="s">
        <v>51</v>
      </c>
      <c r="D36" s="30">
        <v>0</v>
      </c>
      <c r="E36" s="11"/>
      <c r="G36" s="11"/>
      <c r="I36" s="62">
        <f>D4</f>
        <v>45055</v>
      </c>
      <c r="J36" s="49">
        <f>+D34</f>
        <v>2378121.6223618281</v>
      </c>
      <c r="K36" s="63">
        <v>0</v>
      </c>
      <c r="L36" s="64">
        <v>0</v>
      </c>
      <c r="N36" s="26"/>
      <c r="O36" s="35">
        <f t="shared" si="14"/>
        <v>0</v>
      </c>
      <c r="P36" s="36">
        <f t="shared" si="15"/>
        <v>0</v>
      </c>
      <c r="S36" s="47"/>
    </row>
    <row r="37" spans="3:24" x14ac:dyDescent="0.2">
      <c r="C37" s="1" t="s">
        <v>52</v>
      </c>
      <c r="D37" s="65">
        <f>D6</f>
        <v>1504800.0000000002</v>
      </c>
      <c r="E37" s="11"/>
      <c r="G37" s="6"/>
      <c r="I37" s="62">
        <v>45473</v>
      </c>
      <c r="J37" s="49">
        <f>J36-K37</f>
        <v>1833434.039815393</v>
      </c>
      <c r="K37" s="49">
        <f t="shared" ref="K37:K51" si="16">L37*L$33</f>
        <v>544687.58254643506</v>
      </c>
      <c r="L37" s="66">
        <f>(I37-I36) /365*12</f>
        <v>13.742465753424657</v>
      </c>
      <c r="M37" s="127"/>
      <c r="N37" s="26"/>
      <c r="O37" s="35">
        <f t="shared" si="14"/>
        <v>0</v>
      </c>
      <c r="P37" s="36">
        <f t="shared" si="15"/>
        <v>0</v>
      </c>
      <c r="S37" s="47"/>
    </row>
    <row r="38" spans="3:24" x14ac:dyDescent="0.2">
      <c r="C38" s="1" t="s">
        <v>53</v>
      </c>
      <c r="D38" s="30">
        <v>0</v>
      </c>
      <c r="G38" s="126"/>
      <c r="I38" s="62">
        <v>45838</v>
      </c>
      <c r="J38" s="49">
        <f t="shared" ref="J38:J51" si="17">J37-K38</f>
        <v>1357809.7153430274</v>
      </c>
      <c r="K38" s="49">
        <f t="shared" si="16"/>
        <v>475624.32447236561</v>
      </c>
      <c r="L38" s="67">
        <f>IF(L32-SUM(L37)&lt;12,L32-SUM(L37),12)</f>
        <v>12</v>
      </c>
      <c r="N38" s="26"/>
      <c r="O38" s="35">
        <f t="shared" si="14"/>
        <v>0</v>
      </c>
      <c r="P38" s="36">
        <f t="shared" si="15"/>
        <v>0</v>
      </c>
      <c r="S38" s="47"/>
    </row>
    <row r="39" spans="3:24" x14ac:dyDescent="0.2">
      <c r="C39" s="1" t="s">
        <v>54</v>
      </c>
      <c r="D39" s="30">
        <v>0</v>
      </c>
      <c r="I39" s="62">
        <v>46203</v>
      </c>
      <c r="J39" s="49">
        <f t="shared" si="17"/>
        <v>882185.39087066171</v>
      </c>
      <c r="K39" s="49">
        <f t="shared" si="16"/>
        <v>475624.32447236561</v>
      </c>
      <c r="L39" s="67">
        <f>IF(L32-SUM(L37:L38)&lt;12,L32-SUM(L37:L38),12)</f>
        <v>12</v>
      </c>
      <c r="N39" s="26"/>
      <c r="O39" s="35">
        <f t="shared" si="14"/>
        <v>0</v>
      </c>
      <c r="P39" s="36">
        <f t="shared" si="15"/>
        <v>0</v>
      </c>
      <c r="S39" s="47"/>
    </row>
    <row r="40" spans="3:24" x14ac:dyDescent="0.2">
      <c r="C40" s="52" t="s">
        <v>55</v>
      </c>
      <c r="E40" s="11"/>
      <c r="I40" s="62">
        <v>46568</v>
      </c>
      <c r="J40" s="49">
        <f t="shared" si="17"/>
        <v>406561.0663982961</v>
      </c>
      <c r="K40" s="49">
        <f t="shared" si="16"/>
        <v>475624.32447236561</v>
      </c>
      <c r="L40" s="67">
        <f>IF(L32-SUM(L37:L39)&lt;12,L32-SUM(L37:L39),12)</f>
        <v>12</v>
      </c>
      <c r="N40" s="26"/>
      <c r="O40" s="35">
        <f t="shared" si="14"/>
        <v>0</v>
      </c>
      <c r="P40" s="36">
        <f t="shared" si="15"/>
        <v>0</v>
      </c>
      <c r="S40" s="47"/>
    </row>
    <row r="41" spans="3:24" x14ac:dyDescent="0.2">
      <c r="I41" s="62">
        <v>46934</v>
      </c>
      <c r="J41" s="49">
        <f t="shared" si="17"/>
        <v>0</v>
      </c>
      <c r="K41" s="49">
        <f t="shared" si="16"/>
        <v>406561.06639829627</v>
      </c>
      <c r="L41" s="67">
        <f>IF(L32-SUM(L37:L40)&lt;12,L32-SUM(L37:L40),12)</f>
        <v>10.257534246575347</v>
      </c>
      <c r="N41" s="26"/>
      <c r="O41" s="35">
        <f t="shared" si="14"/>
        <v>0</v>
      </c>
      <c r="P41" s="36">
        <f t="shared" si="15"/>
        <v>0</v>
      </c>
      <c r="S41" s="47"/>
    </row>
    <row r="42" spans="3:24" x14ac:dyDescent="0.2">
      <c r="I42" s="62">
        <v>47299</v>
      </c>
      <c r="J42" s="49">
        <f t="shared" si="17"/>
        <v>0</v>
      </c>
      <c r="K42" s="49">
        <f t="shared" si="16"/>
        <v>0</v>
      </c>
      <c r="L42" s="68">
        <f>IF(L32-SUM(L37:L41)&lt;12,L32-SUM(L37:L41),12)</f>
        <v>0</v>
      </c>
      <c r="N42" s="26"/>
      <c r="O42" s="35">
        <f t="shared" si="14"/>
        <v>0</v>
      </c>
      <c r="P42" s="36">
        <f t="shared" si="15"/>
        <v>0</v>
      </c>
    </row>
    <row r="43" spans="3:24" x14ac:dyDescent="0.2">
      <c r="I43" s="62">
        <v>47664</v>
      </c>
      <c r="J43" s="49">
        <f t="shared" si="17"/>
        <v>0</v>
      </c>
      <c r="K43" s="49">
        <f t="shared" si="16"/>
        <v>0</v>
      </c>
      <c r="L43" s="67">
        <f>IF(L32-SUM(L37:L42)&lt;12,L32-SUM(L37:L42),12)</f>
        <v>0</v>
      </c>
      <c r="S43" s="142" t="s">
        <v>56</v>
      </c>
      <c r="T43" s="142"/>
      <c r="W43" s="142" t="s">
        <v>57</v>
      </c>
      <c r="X43" s="142"/>
    </row>
    <row r="44" spans="3:24" x14ac:dyDescent="0.2">
      <c r="C44" s="70"/>
      <c r="D44" s="71" t="s">
        <v>60</v>
      </c>
      <c r="E44" s="71" t="s">
        <v>61</v>
      </c>
      <c r="I44" s="62">
        <v>48029</v>
      </c>
      <c r="J44" s="49">
        <f t="shared" si="17"/>
        <v>0</v>
      </c>
      <c r="K44" s="49">
        <f t="shared" si="16"/>
        <v>0</v>
      </c>
      <c r="L44" s="67">
        <f>IF(L32-SUM(L37:L43)&lt;12,L32-SUM(L37:L43),12)</f>
        <v>0</v>
      </c>
      <c r="O44" s="144" t="s">
        <v>59</v>
      </c>
      <c r="P44" s="144"/>
      <c r="S44" s="142"/>
      <c r="T44" s="143"/>
      <c r="W44" s="142"/>
      <c r="X44" s="143"/>
    </row>
    <row r="45" spans="3:24" x14ac:dyDescent="0.2">
      <c r="C45" s="71" t="s">
        <v>93</v>
      </c>
      <c r="D45" s="137">
        <f>D34</f>
        <v>2378121.6223618281</v>
      </c>
      <c r="E45" s="137"/>
      <c r="I45" s="62">
        <v>48395</v>
      </c>
      <c r="J45" s="49">
        <f t="shared" si="17"/>
        <v>0</v>
      </c>
      <c r="K45" s="49">
        <f t="shared" si="16"/>
        <v>0</v>
      </c>
      <c r="L45" s="67">
        <f>IF(L32-SUM(L37:L44)&lt;12,L32-SUM(L37:L44),12)</f>
        <v>0</v>
      </c>
      <c r="N45" s="26" t="s">
        <v>62</v>
      </c>
      <c r="O45" s="72">
        <f>+P14</f>
        <v>1504800.0000000002</v>
      </c>
      <c r="P45" s="73"/>
      <c r="R45" s="26" t="s">
        <v>39</v>
      </c>
      <c r="S45" s="74">
        <f t="shared" ref="S45:S57" si="18">K17</f>
        <v>47306.277053053818</v>
      </c>
      <c r="T45" s="75"/>
      <c r="U45" s="28">
        <v>2021</v>
      </c>
      <c r="V45" s="26" t="s">
        <v>63</v>
      </c>
      <c r="W45" s="27">
        <f t="shared" ref="W45:W57" si="19">K37</f>
        <v>544687.58254643506</v>
      </c>
      <c r="X45" s="6"/>
    </row>
    <row r="46" spans="3:24" x14ac:dyDescent="0.2">
      <c r="C46" s="71" t="s">
        <v>70</v>
      </c>
      <c r="D46" s="137"/>
      <c r="E46" s="137">
        <f>D35</f>
        <v>873321.62236182787</v>
      </c>
      <c r="I46" s="62">
        <v>48760</v>
      </c>
      <c r="J46" s="49">
        <f t="shared" si="17"/>
        <v>0</v>
      </c>
      <c r="K46" s="49">
        <f t="shared" si="16"/>
        <v>0</v>
      </c>
      <c r="L46" s="67">
        <f>IF(L32-SUM(L37:L45)&lt;12,L32-SUM(L37:L45),12)</f>
        <v>0</v>
      </c>
      <c r="O46" s="72">
        <f>+P15</f>
        <v>0</v>
      </c>
      <c r="P46" s="73"/>
      <c r="R46" s="26" t="s">
        <v>44</v>
      </c>
      <c r="S46" s="77">
        <f t="shared" si="18"/>
        <v>43545.699642323903</v>
      </c>
      <c r="T46" s="47"/>
      <c r="U46" s="28">
        <v>2022</v>
      </c>
      <c r="V46" s="26" t="s">
        <v>64</v>
      </c>
      <c r="W46" s="78">
        <f t="shared" si="19"/>
        <v>475624.32447236561</v>
      </c>
    </row>
    <row r="47" spans="3:24" x14ac:dyDescent="0.2">
      <c r="C47" s="71" t="s">
        <v>108</v>
      </c>
      <c r="D47" s="137"/>
      <c r="E47" s="137">
        <f>D37</f>
        <v>1504800.0000000002</v>
      </c>
      <c r="I47" s="62">
        <v>49125</v>
      </c>
      <c r="J47" s="49">
        <f t="shared" si="17"/>
        <v>0</v>
      </c>
      <c r="K47" s="49">
        <f t="shared" si="16"/>
        <v>0</v>
      </c>
      <c r="L47" s="67">
        <f>IF(L32-SUM(L37:L46)&lt;12,L32-SUM(L37:L46),12)</f>
        <v>0</v>
      </c>
      <c r="O47" s="72">
        <f t="shared" ref="O47:O52" si="20">+P16</f>
        <v>0</v>
      </c>
      <c r="P47" s="73"/>
      <c r="R47" s="26" t="s">
        <v>46</v>
      </c>
      <c r="S47" s="77">
        <f t="shared" si="18"/>
        <v>39026.400942794164</v>
      </c>
      <c r="T47" s="47"/>
      <c r="U47" s="28">
        <v>2023</v>
      </c>
      <c r="V47" s="26" t="s">
        <v>65</v>
      </c>
      <c r="W47" s="78">
        <f t="shared" si="19"/>
        <v>475624.32447236561</v>
      </c>
    </row>
    <row r="48" spans="3:24" x14ac:dyDescent="0.2">
      <c r="C48" s="71"/>
      <c r="D48" s="138"/>
      <c r="E48" s="138"/>
      <c r="I48" s="62">
        <v>49490</v>
      </c>
      <c r="J48" s="49">
        <f t="shared" si="17"/>
        <v>0</v>
      </c>
      <c r="K48" s="49">
        <f t="shared" si="16"/>
        <v>0</v>
      </c>
      <c r="L48" s="67">
        <f>IF(L32-SUM(L37:L47)&lt;12,L32-SUM(L37:L47),12)</f>
        <v>0</v>
      </c>
      <c r="O48" s="72">
        <f t="shared" si="20"/>
        <v>1003199.9999999998</v>
      </c>
      <c r="P48" s="73"/>
      <c r="R48" s="26" t="s">
        <v>50</v>
      </c>
      <c r="S48" s="77">
        <f t="shared" si="18"/>
        <v>0</v>
      </c>
      <c r="T48" s="47"/>
      <c r="U48" s="28">
        <v>2024</v>
      </c>
      <c r="V48" s="26" t="s">
        <v>66</v>
      </c>
      <c r="W48" s="78">
        <f t="shared" si="19"/>
        <v>475624.32447236561</v>
      </c>
    </row>
    <row r="49" spans="5:24" x14ac:dyDescent="0.2">
      <c r="E49" s="80"/>
      <c r="G49" s="127">
        <f>G48*1.15</f>
        <v>0</v>
      </c>
      <c r="I49" s="62">
        <v>49856</v>
      </c>
      <c r="J49" s="49">
        <f t="shared" si="17"/>
        <v>0</v>
      </c>
      <c r="K49" s="49">
        <f t="shared" si="16"/>
        <v>0</v>
      </c>
      <c r="L49" s="67">
        <f>IF(L32-SUM(L37:L48)&lt;12,L32-SUM(L37:L48),12)</f>
        <v>0</v>
      </c>
      <c r="O49" s="72">
        <f t="shared" si="20"/>
        <v>0</v>
      </c>
      <c r="P49" s="73"/>
      <c r="S49" s="77">
        <f t="shared" si="18"/>
        <v>0</v>
      </c>
      <c r="T49" s="47"/>
      <c r="U49" s="28">
        <v>2025</v>
      </c>
      <c r="W49" s="78">
        <f t="shared" si="19"/>
        <v>406561.06639829627</v>
      </c>
    </row>
    <row r="50" spans="5:24" x14ac:dyDescent="0.2">
      <c r="E50" s="80"/>
      <c r="I50" s="62">
        <v>50221</v>
      </c>
      <c r="J50" s="49">
        <f t="shared" si="17"/>
        <v>0</v>
      </c>
      <c r="K50" s="49">
        <f t="shared" si="16"/>
        <v>0</v>
      </c>
      <c r="L50" s="67">
        <f>IF(L32-SUM(L37:L49)&lt;12,L32-SUM(L37:L49),12)</f>
        <v>0</v>
      </c>
      <c r="O50" s="72">
        <f t="shared" si="20"/>
        <v>0</v>
      </c>
      <c r="P50" s="73"/>
      <c r="S50" s="77">
        <f t="shared" si="18"/>
        <v>0</v>
      </c>
      <c r="T50" s="47"/>
      <c r="U50" s="28">
        <v>2026</v>
      </c>
      <c r="W50" s="78">
        <f t="shared" si="19"/>
        <v>0</v>
      </c>
      <c r="X50" s="47"/>
    </row>
    <row r="51" spans="5:24" ht="13.5" thickBot="1" x14ac:dyDescent="0.25">
      <c r="E51" s="80"/>
      <c r="I51" s="62">
        <v>50586</v>
      </c>
      <c r="J51" s="81">
        <f t="shared" si="17"/>
        <v>0</v>
      </c>
      <c r="K51" s="81">
        <f t="shared" si="16"/>
        <v>0</v>
      </c>
      <c r="L51" s="82">
        <f>IF(L32-SUM(L37:L50)&lt;12,L32-SUM(L37:L50),12)</f>
        <v>0</v>
      </c>
      <c r="O51" s="72">
        <f t="shared" si="20"/>
        <v>0</v>
      </c>
      <c r="P51" s="73"/>
      <c r="S51" s="77">
        <f t="shared" si="18"/>
        <v>0</v>
      </c>
      <c r="T51" s="47"/>
      <c r="U51" s="28">
        <v>2027</v>
      </c>
      <c r="W51" s="78">
        <f t="shared" si="19"/>
        <v>0</v>
      </c>
      <c r="X51" s="47"/>
    </row>
    <row r="52" spans="5:24" x14ac:dyDescent="0.2">
      <c r="E52" s="80"/>
      <c r="O52" s="83">
        <f t="shared" si="20"/>
        <v>0</v>
      </c>
      <c r="P52" s="73"/>
      <c r="S52" s="77">
        <f t="shared" si="18"/>
        <v>0</v>
      </c>
      <c r="T52" s="47"/>
      <c r="U52" s="28">
        <v>2028</v>
      </c>
      <c r="W52" s="78">
        <f t="shared" si="19"/>
        <v>0</v>
      </c>
      <c r="X52" s="47"/>
    </row>
    <row r="53" spans="5:24" x14ac:dyDescent="0.2">
      <c r="S53" s="77">
        <f t="shared" si="18"/>
        <v>0</v>
      </c>
      <c r="T53" s="47"/>
      <c r="U53" s="28">
        <v>2029</v>
      </c>
      <c r="W53" s="78">
        <f t="shared" si="19"/>
        <v>0</v>
      </c>
      <c r="X53" s="47"/>
    </row>
    <row r="54" spans="5:24" x14ac:dyDescent="0.2">
      <c r="S54" s="77">
        <f t="shared" si="18"/>
        <v>0</v>
      </c>
      <c r="T54" s="47"/>
      <c r="U54" s="28">
        <v>2030</v>
      </c>
      <c r="W54" s="78">
        <f t="shared" si="19"/>
        <v>0</v>
      </c>
      <c r="X54" s="47"/>
    </row>
    <row r="55" spans="5:24" x14ac:dyDescent="0.2">
      <c r="S55" s="77">
        <f t="shared" si="18"/>
        <v>0</v>
      </c>
      <c r="T55" s="47"/>
      <c r="U55" s="28">
        <v>2031</v>
      </c>
      <c r="W55" s="78">
        <f t="shared" si="19"/>
        <v>0</v>
      </c>
      <c r="X55" s="47"/>
    </row>
    <row r="56" spans="5:24" x14ac:dyDescent="0.2">
      <c r="S56" s="77">
        <f t="shared" si="18"/>
        <v>0</v>
      </c>
      <c r="T56" s="47"/>
      <c r="U56" s="28">
        <v>2032</v>
      </c>
      <c r="W56" s="78">
        <f t="shared" si="19"/>
        <v>0</v>
      </c>
      <c r="X56" s="47"/>
    </row>
    <row r="57" spans="5:24" x14ac:dyDescent="0.2">
      <c r="S57" s="77">
        <f t="shared" si="18"/>
        <v>0</v>
      </c>
      <c r="T57" s="47"/>
      <c r="U57" s="28">
        <v>2033</v>
      </c>
      <c r="W57" s="78">
        <f t="shared" si="19"/>
        <v>0</v>
      </c>
      <c r="X57" s="47"/>
    </row>
    <row r="58" spans="5:24" x14ac:dyDescent="0.2">
      <c r="S58" s="46">
        <f>SUM(S45:S57)</f>
        <v>129878.37763817189</v>
      </c>
      <c r="T58" s="75"/>
      <c r="W58" s="74">
        <f>SUM(W45:W57)</f>
        <v>2378121.6223618286</v>
      </c>
      <c r="X58" s="75"/>
    </row>
  </sheetData>
  <mergeCells count="7">
    <mergeCell ref="O13:P13"/>
    <mergeCell ref="S13:T13"/>
    <mergeCell ref="O30:P30"/>
    <mergeCell ref="S30:T30"/>
    <mergeCell ref="S43:T44"/>
    <mergeCell ref="W43:X44"/>
    <mergeCell ref="O44:P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topLeftCell="A7" zoomScaleNormal="100" workbookViewId="0">
      <selection activeCell="D29" sqref="D29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5.140625" style="1" customWidth="1"/>
    <col min="7" max="7" width="12.140625" style="1" customWidth="1"/>
    <col min="8" max="8" width="5.85546875" style="1" bestFit="1" customWidth="1"/>
    <col min="9" max="9" width="13.85546875" style="1" customWidth="1"/>
    <col min="10" max="10" width="13.140625" style="1" customWidth="1"/>
    <col min="11" max="11" width="15.42578125" style="1" customWidth="1"/>
    <col min="12" max="12" width="14.7109375" style="1" customWidth="1"/>
    <col min="13" max="13" width="14.5703125" style="1" customWidth="1"/>
    <col min="14" max="14" width="9.2851562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68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5">
        <v>22000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0">
        <f>E2*1.15</f>
        <v>25299.999999999996</v>
      </c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45055</v>
      </c>
      <c r="E4" s="10">
        <f>E3*60</f>
        <v>1517999.9999999998</v>
      </c>
      <c r="G4" s="11"/>
      <c r="I4" s="4">
        <v>45107</v>
      </c>
      <c r="J4" s="6">
        <v>0</v>
      </c>
      <c r="K4" s="7">
        <f t="shared" ref="K4" si="0">L15</f>
        <v>0</v>
      </c>
      <c r="L4" s="8">
        <f t="shared" ref="L4" si="1">K34</f>
        <v>0</v>
      </c>
      <c r="M4" s="7">
        <f t="shared" ref="M4" si="2">K15</f>
        <v>0</v>
      </c>
      <c r="O4" s="6">
        <v>0</v>
      </c>
      <c r="P4" s="6">
        <v>0</v>
      </c>
    </row>
    <row r="5" spans="2:22" x14ac:dyDescent="0.2">
      <c r="C5" s="1" t="s">
        <v>11</v>
      </c>
      <c r="D5" s="12">
        <v>46880</v>
      </c>
      <c r="E5" s="84"/>
      <c r="F5" s="85"/>
      <c r="G5" s="85"/>
      <c r="H5" s="85"/>
      <c r="I5" s="4">
        <v>45473</v>
      </c>
      <c r="J5" s="6">
        <f>J35</f>
        <v>1170315.616438356</v>
      </c>
      <c r="K5" s="7">
        <f>L16</f>
        <v>0</v>
      </c>
      <c r="L5" s="8">
        <f>K35</f>
        <v>347684.38356164377</v>
      </c>
      <c r="M5" s="7">
        <f>K16</f>
        <v>0</v>
      </c>
      <c r="N5" s="7">
        <f>J15</f>
        <v>0</v>
      </c>
      <c r="O5" s="10">
        <v>0</v>
      </c>
      <c r="P5" s="6"/>
    </row>
    <row r="6" spans="2:22" x14ac:dyDescent="0.2">
      <c r="C6" s="1" t="s">
        <v>12</v>
      </c>
      <c r="D6" s="10">
        <v>1517999.9999999998</v>
      </c>
      <c r="E6" s="86"/>
      <c r="F6" s="85"/>
      <c r="G6" s="86"/>
      <c r="H6" s="85"/>
      <c r="I6" s="4">
        <v>45838</v>
      </c>
      <c r="J6" s="6">
        <f t="shared" ref="J6:J10" si="3">J36</f>
        <v>866715.616438356</v>
      </c>
      <c r="K6" s="7">
        <f t="shared" ref="K6:K10" si="4">L17</f>
        <v>0</v>
      </c>
      <c r="L6" s="8">
        <f t="shared" ref="L6:L10" si="5">K36</f>
        <v>303599.99999999994</v>
      </c>
      <c r="M6" s="7">
        <f t="shared" ref="M6:M10" si="6">K17</f>
        <v>0</v>
      </c>
      <c r="N6" s="7">
        <f t="shared" ref="N6:N10" si="7">J16</f>
        <v>0</v>
      </c>
      <c r="O6" s="10">
        <v>0</v>
      </c>
    </row>
    <row r="7" spans="2:22" x14ac:dyDescent="0.2">
      <c r="C7" s="1" t="s">
        <v>13</v>
      </c>
      <c r="D7" s="10">
        <v>1517999.9999999998</v>
      </c>
      <c r="E7" s="14"/>
      <c r="G7" s="11"/>
      <c r="I7" s="4">
        <v>46203</v>
      </c>
      <c r="J7" s="6">
        <f t="shared" si="3"/>
        <v>563115.616438356</v>
      </c>
      <c r="K7" s="7">
        <f t="shared" si="4"/>
        <v>0</v>
      </c>
      <c r="L7" s="8">
        <f t="shared" si="5"/>
        <v>303599.99999999994</v>
      </c>
      <c r="M7" s="7">
        <f t="shared" si="6"/>
        <v>0</v>
      </c>
      <c r="N7" s="7">
        <f t="shared" si="7"/>
        <v>0</v>
      </c>
    </row>
    <row r="8" spans="2:22" x14ac:dyDescent="0.2">
      <c r="C8" s="1" t="s">
        <v>14</v>
      </c>
      <c r="D8" s="12">
        <f>D4</f>
        <v>45055</v>
      </c>
      <c r="E8" s="15"/>
      <c r="I8" s="4">
        <v>46568</v>
      </c>
      <c r="J8" s="6">
        <f t="shared" si="3"/>
        <v>259515.61643835605</v>
      </c>
      <c r="K8" s="7">
        <f t="shared" si="4"/>
        <v>0</v>
      </c>
      <c r="L8" s="8">
        <f t="shared" si="5"/>
        <v>303599.99999999994</v>
      </c>
      <c r="M8" s="7">
        <f t="shared" si="6"/>
        <v>0</v>
      </c>
      <c r="N8" s="7">
        <f t="shared" si="7"/>
        <v>0</v>
      </c>
    </row>
    <row r="9" spans="2:22" x14ac:dyDescent="0.2">
      <c r="C9" s="1" t="s">
        <v>15</v>
      </c>
      <c r="D9" s="16">
        <v>0</v>
      </c>
      <c r="E9" s="11"/>
      <c r="I9" s="4">
        <v>46934</v>
      </c>
      <c r="J9" s="6">
        <f t="shared" si="3"/>
        <v>0</v>
      </c>
      <c r="K9" s="7">
        <f t="shared" si="4"/>
        <v>0</v>
      </c>
      <c r="L9" s="8">
        <f t="shared" si="5"/>
        <v>259515.61643835623</v>
      </c>
      <c r="M9" s="7">
        <f t="shared" si="6"/>
        <v>0</v>
      </c>
      <c r="N9" s="7">
        <f t="shared" si="7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3"/>
        <v>0</v>
      </c>
      <c r="K10" s="7">
        <f t="shared" si="4"/>
        <v>0</v>
      </c>
      <c r="L10" s="8">
        <f t="shared" si="5"/>
        <v>0</v>
      </c>
      <c r="M10" s="7">
        <f t="shared" si="6"/>
        <v>0</v>
      </c>
      <c r="N10" s="7">
        <f t="shared" si="7"/>
        <v>0</v>
      </c>
    </row>
    <row r="11" spans="2:22" ht="13.5" thickBot="1" x14ac:dyDescent="0.25"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21" t="s">
        <v>23</v>
      </c>
      <c r="I12" s="22"/>
      <c r="J12" s="22"/>
      <c r="K12" s="22"/>
      <c r="L12" s="23"/>
      <c r="O12" s="24"/>
      <c r="P12" s="25">
        <f>+D6</f>
        <v>1517999.9999999998</v>
      </c>
      <c r="Q12" s="26" t="s">
        <v>24</v>
      </c>
      <c r="R12" s="26" t="s">
        <v>25</v>
      </c>
      <c r="S12" s="27">
        <f>+D32</f>
        <v>1517999.9999999998</v>
      </c>
      <c r="T12" s="6">
        <f t="shared" ref="T12:T25" si="8">+K35</f>
        <v>347684.38356164377</v>
      </c>
      <c r="U12" s="26" t="s">
        <v>26</v>
      </c>
      <c r="V12" s="28"/>
    </row>
    <row r="13" spans="2:22" x14ac:dyDescent="0.2">
      <c r="B13" s="29">
        <v>0</v>
      </c>
      <c r="C13" s="4">
        <f>D4</f>
        <v>45055</v>
      </c>
      <c r="D13" s="30">
        <v>0</v>
      </c>
      <c r="E13" s="30"/>
      <c r="H13" s="31" t="s">
        <v>19</v>
      </c>
      <c r="I13" s="32" t="s">
        <v>27</v>
      </c>
      <c r="J13" s="32" t="s">
        <v>28</v>
      </c>
      <c r="K13" s="32" t="s">
        <v>29</v>
      </c>
      <c r="L13" s="33" t="s">
        <v>30</v>
      </c>
      <c r="O13" s="34"/>
      <c r="P13" s="7">
        <f t="shared" ref="P13:P24" si="9">J15</f>
        <v>0</v>
      </c>
      <c r="Q13" s="26" t="s">
        <v>31</v>
      </c>
      <c r="R13" s="26" t="s">
        <v>32</v>
      </c>
      <c r="S13" s="35">
        <f t="shared" ref="S13:S25" si="10">+S12-T12</f>
        <v>1170315.616438356</v>
      </c>
      <c r="T13" s="36">
        <f t="shared" si="8"/>
        <v>303599.99999999994</v>
      </c>
      <c r="U13" s="26" t="s">
        <v>33</v>
      </c>
      <c r="V13" s="28">
        <v>2021</v>
      </c>
    </row>
    <row r="14" spans="2:22" x14ac:dyDescent="0.2">
      <c r="B14" s="29">
        <v>1</v>
      </c>
      <c r="C14" s="4">
        <f>D8</f>
        <v>45055</v>
      </c>
      <c r="D14" s="30">
        <v>0</v>
      </c>
      <c r="E14" s="30">
        <f t="shared" ref="E14:E26" si="11">+D14*(1+$D$3)</f>
        <v>0</v>
      </c>
      <c r="H14" s="37">
        <v>0</v>
      </c>
      <c r="I14" s="38"/>
      <c r="J14" s="39"/>
      <c r="K14" s="40"/>
      <c r="L14" s="41">
        <f>D28</f>
        <v>0</v>
      </c>
      <c r="N14" s="42"/>
      <c r="O14" s="34"/>
      <c r="P14" s="7">
        <f t="shared" si="9"/>
        <v>0</v>
      </c>
      <c r="Q14" s="26" t="s">
        <v>34</v>
      </c>
      <c r="R14" s="26" t="s">
        <v>32</v>
      </c>
      <c r="S14" s="35">
        <f t="shared" si="10"/>
        <v>866715.616438356</v>
      </c>
      <c r="T14" s="36">
        <f t="shared" si="8"/>
        <v>303599.99999999994</v>
      </c>
      <c r="U14" s="26" t="s">
        <v>35</v>
      </c>
      <c r="V14" s="28">
        <v>2022</v>
      </c>
    </row>
    <row r="15" spans="2:22" x14ac:dyDescent="0.2">
      <c r="B15" s="29">
        <v>2</v>
      </c>
      <c r="C15" s="4">
        <f t="shared" ref="C15:C26" si="12">C14+365</f>
        <v>45420</v>
      </c>
      <c r="D15" s="30">
        <v>0</v>
      </c>
      <c r="E15" s="30">
        <f t="shared" si="11"/>
        <v>0</v>
      </c>
      <c r="H15" s="37">
        <v>1</v>
      </c>
      <c r="I15" s="38">
        <v>2024</v>
      </c>
      <c r="J15" s="43"/>
      <c r="K15" s="43">
        <f>(L14-J15)*D$3*L35/12</f>
        <v>0</v>
      </c>
      <c r="L15" s="44">
        <f t="shared" ref="L15:L27" si="13">L14-J15+K15</f>
        <v>0</v>
      </c>
      <c r="O15" s="34"/>
      <c r="P15" s="7">
        <f t="shared" si="9"/>
        <v>0</v>
      </c>
      <c r="Q15" s="26" t="s">
        <v>36</v>
      </c>
      <c r="R15" s="26" t="s">
        <v>32</v>
      </c>
      <c r="S15" s="35">
        <f t="shared" si="10"/>
        <v>563115.616438356</v>
      </c>
      <c r="T15" s="36">
        <f t="shared" si="8"/>
        <v>303599.99999999994</v>
      </c>
      <c r="U15" s="26" t="s">
        <v>37</v>
      </c>
      <c r="V15" s="28">
        <v>2023</v>
      </c>
    </row>
    <row r="16" spans="2:22" x14ac:dyDescent="0.2">
      <c r="B16" s="29">
        <v>3</v>
      </c>
      <c r="C16" s="4">
        <f t="shared" si="12"/>
        <v>45785</v>
      </c>
      <c r="D16" s="30">
        <v>0</v>
      </c>
      <c r="E16" s="30">
        <f t="shared" si="11"/>
        <v>0</v>
      </c>
      <c r="H16" s="37">
        <f>+H15+1</f>
        <v>2</v>
      </c>
      <c r="I16" s="38">
        <v>2025</v>
      </c>
      <c r="J16" s="43">
        <f>D14</f>
        <v>0</v>
      </c>
      <c r="K16" s="43">
        <f>(L15-J16)*D$3</f>
        <v>0</v>
      </c>
      <c r="L16" s="44">
        <f t="shared" si="13"/>
        <v>0</v>
      </c>
      <c r="O16" s="34"/>
      <c r="P16" s="7">
        <f t="shared" si="9"/>
        <v>0</v>
      </c>
      <c r="Q16" s="26" t="s">
        <v>38</v>
      </c>
      <c r="R16" s="26"/>
      <c r="S16" s="35">
        <f t="shared" si="10"/>
        <v>259515.61643835605</v>
      </c>
      <c r="T16" s="36">
        <f t="shared" si="8"/>
        <v>259515.61643835623</v>
      </c>
      <c r="V16" s="28">
        <v>2024</v>
      </c>
    </row>
    <row r="17" spans="2:22" x14ac:dyDescent="0.2">
      <c r="B17" s="29">
        <v>4</v>
      </c>
      <c r="C17" s="4">
        <f t="shared" si="12"/>
        <v>46150</v>
      </c>
      <c r="D17" s="30">
        <v>0</v>
      </c>
      <c r="E17" s="30">
        <f t="shared" si="11"/>
        <v>0</v>
      </c>
      <c r="H17" s="37">
        <f>+H16+1</f>
        <v>3</v>
      </c>
      <c r="I17" s="38">
        <v>2026</v>
      </c>
      <c r="J17" s="43">
        <f t="shared" ref="J17:J27" si="14">D15</f>
        <v>0</v>
      </c>
      <c r="K17" s="43">
        <f>(L16-J17)*D$3</f>
        <v>0</v>
      </c>
      <c r="L17" s="44">
        <f t="shared" si="13"/>
        <v>0</v>
      </c>
      <c r="O17" s="34"/>
      <c r="P17" s="7">
        <f t="shared" si="9"/>
        <v>0</v>
      </c>
      <c r="S17" s="35">
        <f t="shared" si="10"/>
        <v>0</v>
      </c>
      <c r="T17" s="36">
        <f t="shared" si="8"/>
        <v>0</v>
      </c>
      <c r="V17" s="28">
        <v>2025</v>
      </c>
    </row>
    <row r="18" spans="2:22" x14ac:dyDescent="0.2">
      <c r="B18" s="29">
        <v>5</v>
      </c>
      <c r="C18" s="4">
        <f t="shared" si="12"/>
        <v>46515</v>
      </c>
      <c r="D18" s="30">
        <v>0</v>
      </c>
      <c r="E18" s="30">
        <f t="shared" si="11"/>
        <v>0</v>
      </c>
      <c r="F18" s="10"/>
      <c r="H18" s="37">
        <v>4</v>
      </c>
      <c r="I18" s="38">
        <v>2027</v>
      </c>
      <c r="J18" s="43">
        <f t="shared" si="14"/>
        <v>0</v>
      </c>
      <c r="K18" s="43">
        <f>J18-L17</f>
        <v>0</v>
      </c>
      <c r="L18" s="44">
        <f t="shared" si="13"/>
        <v>0</v>
      </c>
      <c r="O18" s="34"/>
      <c r="P18" s="7">
        <f t="shared" si="9"/>
        <v>0</v>
      </c>
      <c r="S18" s="45">
        <f t="shared" si="10"/>
        <v>0</v>
      </c>
      <c r="T18" s="36">
        <f t="shared" si="8"/>
        <v>0</v>
      </c>
      <c r="V18" s="28">
        <v>2026</v>
      </c>
    </row>
    <row r="19" spans="2:22" x14ac:dyDescent="0.2">
      <c r="B19" s="29">
        <v>6</v>
      </c>
      <c r="C19" s="4">
        <f t="shared" si="12"/>
        <v>46880</v>
      </c>
      <c r="D19" s="30">
        <v>0</v>
      </c>
      <c r="E19" s="30">
        <f t="shared" si="11"/>
        <v>0</v>
      </c>
      <c r="H19" s="37">
        <v>5</v>
      </c>
      <c r="I19" s="38">
        <v>2028</v>
      </c>
      <c r="J19" s="43">
        <f t="shared" si="14"/>
        <v>0</v>
      </c>
      <c r="K19" s="43">
        <f>J19-L18</f>
        <v>0</v>
      </c>
      <c r="L19" s="44">
        <f t="shared" si="13"/>
        <v>0</v>
      </c>
      <c r="O19" s="34"/>
      <c r="P19" s="7">
        <f t="shared" si="9"/>
        <v>0</v>
      </c>
      <c r="S19" s="45">
        <f t="shared" si="10"/>
        <v>0</v>
      </c>
      <c r="T19" s="36">
        <f t="shared" si="8"/>
        <v>0</v>
      </c>
      <c r="V19" s="28">
        <v>2027</v>
      </c>
    </row>
    <row r="20" spans="2:22" x14ac:dyDescent="0.2">
      <c r="B20" s="29">
        <v>7</v>
      </c>
      <c r="C20" s="4">
        <f t="shared" si="12"/>
        <v>47245</v>
      </c>
      <c r="D20" s="30">
        <v>0</v>
      </c>
      <c r="E20" s="30">
        <f t="shared" si="11"/>
        <v>0</v>
      </c>
      <c r="H20" s="37">
        <v>6</v>
      </c>
      <c r="I20" s="38">
        <v>2029</v>
      </c>
      <c r="J20" s="43">
        <f t="shared" si="14"/>
        <v>0</v>
      </c>
      <c r="K20" s="43">
        <f t="shared" ref="K20:K27" si="15">L19-J20</f>
        <v>0</v>
      </c>
      <c r="L20" s="44">
        <f t="shared" si="13"/>
        <v>0</v>
      </c>
      <c r="O20" s="34"/>
      <c r="P20" s="7">
        <f t="shared" si="9"/>
        <v>0</v>
      </c>
      <c r="S20" s="45">
        <f t="shared" si="10"/>
        <v>0</v>
      </c>
      <c r="T20" s="36">
        <f t="shared" si="8"/>
        <v>0</v>
      </c>
      <c r="V20" s="28">
        <v>2028</v>
      </c>
    </row>
    <row r="21" spans="2:22" x14ac:dyDescent="0.2">
      <c r="B21" s="29">
        <v>8</v>
      </c>
      <c r="C21" s="4">
        <f t="shared" si="12"/>
        <v>47610</v>
      </c>
      <c r="D21" s="30">
        <v>0</v>
      </c>
      <c r="E21" s="30">
        <f t="shared" si="11"/>
        <v>0</v>
      </c>
      <c r="H21" s="37">
        <v>7</v>
      </c>
      <c r="I21" s="38">
        <v>2030</v>
      </c>
      <c r="J21" s="43">
        <f t="shared" si="14"/>
        <v>0</v>
      </c>
      <c r="K21" s="43">
        <f t="shared" si="15"/>
        <v>0</v>
      </c>
      <c r="L21" s="44">
        <f t="shared" si="13"/>
        <v>0</v>
      </c>
      <c r="O21" s="34"/>
      <c r="P21" s="7">
        <f t="shared" si="9"/>
        <v>0</v>
      </c>
      <c r="S21" s="45">
        <f t="shared" si="10"/>
        <v>0</v>
      </c>
      <c r="T21" s="36">
        <f t="shared" si="8"/>
        <v>0</v>
      </c>
      <c r="V21" s="28">
        <v>2029</v>
      </c>
    </row>
    <row r="22" spans="2:22" x14ac:dyDescent="0.2">
      <c r="B22" s="29">
        <v>9</v>
      </c>
      <c r="C22" s="4">
        <f t="shared" si="12"/>
        <v>47975</v>
      </c>
      <c r="D22" s="30">
        <v>0</v>
      </c>
      <c r="E22" s="30">
        <f t="shared" si="11"/>
        <v>0</v>
      </c>
      <c r="H22" s="37">
        <v>8</v>
      </c>
      <c r="I22" s="38">
        <v>2031</v>
      </c>
      <c r="J22" s="43">
        <f t="shared" si="14"/>
        <v>0</v>
      </c>
      <c r="K22" s="43">
        <f t="shared" si="15"/>
        <v>0</v>
      </c>
      <c r="L22" s="44">
        <f t="shared" si="13"/>
        <v>0</v>
      </c>
      <c r="O22" s="34"/>
      <c r="P22" s="7">
        <f t="shared" si="9"/>
        <v>0</v>
      </c>
      <c r="S22" s="45">
        <f t="shared" si="10"/>
        <v>0</v>
      </c>
      <c r="T22" s="36">
        <f t="shared" si="8"/>
        <v>0</v>
      </c>
      <c r="V22" s="28">
        <v>2030</v>
      </c>
    </row>
    <row r="23" spans="2:22" x14ac:dyDescent="0.2">
      <c r="B23" s="29">
        <v>10</v>
      </c>
      <c r="C23" s="4">
        <f t="shared" si="12"/>
        <v>48340</v>
      </c>
      <c r="D23" s="30">
        <v>0</v>
      </c>
      <c r="E23" s="30">
        <f t="shared" si="11"/>
        <v>0</v>
      </c>
      <c r="H23" s="37">
        <v>9</v>
      </c>
      <c r="I23" s="38">
        <v>2032</v>
      </c>
      <c r="J23" s="43">
        <f t="shared" si="14"/>
        <v>0</v>
      </c>
      <c r="K23" s="43">
        <f t="shared" si="15"/>
        <v>0</v>
      </c>
      <c r="L23" s="44">
        <f t="shared" si="13"/>
        <v>0</v>
      </c>
      <c r="O23" s="34"/>
      <c r="P23" s="7">
        <f t="shared" si="9"/>
        <v>0</v>
      </c>
      <c r="S23" s="45">
        <f t="shared" si="10"/>
        <v>0</v>
      </c>
      <c r="T23" s="36">
        <f t="shared" si="8"/>
        <v>0</v>
      </c>
      <c r="V23" s="28">
        <v>2031</v>
      </c>
    </row>
    <row r="24" spans="2:22" x14ac:dyDescent="0.2">
      <c r="B24" s="29">
        <v>11</v>
      </c>
      <c r="C24" s="4">
        <f t="shared" si="12"/>
        <v>48705</v>
      </c>
      <c r="D24" s="30">
        <v>0</v>
      </c>
      <c r="E24" s="30">
        <f t="shared" si="11"/>
        <v>0</v>
      </c>
      <c r="H24" s="37">
        <v>10</v>
      </c>
      <c r="I24" s="38">
        <v>2033</v>
      </c>
      <c r="J24" s="43">
        <f t="shared" si="14"/>
        <v>0</v>
      </c>
      <c r="K24" s="43">
        <f t="shared" si="15"/>
        <v>0</v>
      </c>
      <c r="L24" s="44">
        <f t="shared" si="13"/>
        <v>0</v>
      </c>
      <c r="O24" s="34"/>
      <c r="P24" s="7">
        <f t="shared" si="9"/>
        <v>0</v>
      </c>
      <c r="S24" s="45">
        <f t="shared" si="10"/>
        <v>0</v>
      </c>
      <c r="T24" s="36">
        <f t="shared" si="8"/>
        <v>0</v>
      </c>
      <c r="V24" s="28">
        <v>2032</v>
      </c>
    </row>
    <row r="25" spans="2:22" x14ac:dyDescent="0.2">
      <c r="B25" s="29">
        <v>12</v>
      </c>
      <c r="C25" s="4">
        <f t="shared" si="12"/>
        <v>49070</v>
      </c>
      <c r="D25" s="30">
        <v>0</v>
      </c>
      <c r="E25" s="30">
        <f t="shared" si="11"/>
        <v>0</v>
      </c>
      <c r="H25" s="37">
        <v>11</v>
      </c>
      <c r="I25" s="38">
        <v>2034</v>
      </c>
      <c r="J25" s="43">
        <f t="shared" si="14"/>
        <v>0</v>
      </c>
      <c r="K25" s="43">
        <f>L24-J25</f>
        <v>0</v>
      </c>
      <c r="L25" s="44">
        <f t="shared" si="13"/>
        <v>0</v>
      </c>
      <c r="O25" s="24"/>
      <c r="P25" s="46">
        <f>SUM(P12:P24)</f>
        <v>1517999.9999999998</v>
      </c>
      <c r="S25" s="45">
        <f t="shared" si="10"/>
        <v>0</v>
      </c>
      <c r="T25" s="36">
        <f t="shared" si="8"/>
        <v>0</v>
      </c>
      <c r="V25" s="28">
        <v>2033</v>
      </c>
    </row>
    <row r="26" spans="2:22" x14ac:dyDescent="0.2">
      <c r="B26" s="29">
        <v>13</v>
      </c>
      <c r="C26" s="4">
        <f t="shared" si="12"/>
        <v>49435</v>
      </c>
      <c r="D26" s="30">
        <v>0</v>
      </c>
      <c r="E26" s="30">
        <f t="shared" si="11"/>
        <v>0</v>
      </c>
      <c r="H26" s="37">
        <v>12</v>
      </c>
      <c r="I26" s="38">
        <v>2035</v>
      </c>
      <c r="J26" s="43">
        <f t="shared" si="14"/>
        <v>0</v>
      </c>
      <c r="K26" s="43">
        <f t="shared" si="15"/>
        <v>0</v>
      </c>
      <c r="L26" s="44">
        <f t="shared" si="13"/>
        <v>0</v>
      </c>
      <c r="O26" s="47"/>
      <c r="P26" s="48"/>
      <c r="S26" s="48"/>
      <c r="T26" s="49"/>
      <c r="V26" s="28"/>
    </row>
    <row r="27" spans="2:22" ht="13.5" thickBot="1" x14ac:dyDescent="0.25">
      <c r="B27" s="29"/>
      <c r="C27" s="4"/>
      <c r="H27" s="50">
        <v>13</v>
      </c>
      <c r="I27" s="38">
        <v>2036</v>
      </c>
      <c r="J27" s="43">
        <f t="shared" si="14"/>
        <v>0</v>
      </c>
      <c r="K27" s="43">
        <f t="shared" si="15"/>
        <v>0</v>
      </c>
      <c r="L27" s="51">
        <f t="shared" si="13"/>
        <v>0</v>
      </c>
    </row>
    <row r="28" spans="2:22" ht="13.5" thickBot="1" x14ac:dyDescent="0.25">
      <c r="C28" s="52" t="s">
        <v>2</v>
      </c>
      <c r="D28" s="53">
        <f>XNPV(D3,D13:D26,C13:C26)</f>
        <v>0</v>
      </c>
      <c r="E28" s="52"/>
      <c r="H28" s="54"/>
      <c r="I28" s="38"/>
      <c r="J28" s="43"/>
      <c r="K28" s="43"/>
      <c r="L28" s="49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O29" s="35">
        <f t="shared" ref="O29:O40" si="16">-K15+J15</f>
        <v>0</v>
      </c>
      <c r="P29" s="36">
        <f>+D28</f>
        <v>0</v>
      </c>
      <c r="Q29" s="26" t="s">
        <v>31</v>
      </c>
      <c r="R29" s="26" t="s">
        <v>39</v>
      </c>
      <c r="S29" s="55">
        <f>+P29</f>
        <v>0</v>
      </c>
      <c r="T29" s="36">
        <f>+S12</f>
        <v>1517999.9999999998</v>
      </c>
      <c r="U29" s="26" t="s">
        <v>40</v>
      </c>
      <c r="V29" s="28">
        <v>2021</v>
      </c>
    </row>
    <row r="30" spans="2:22" x14ac:dyDescent="0.2">
      <c r="H30" s="29"/>
      <c r="I30" s="56"/>
      <c r="J30" s="18" t="s">
        <v>41</v>
      </c>
      <c r="K30" s="57"/>
      <c r="L30" s="8">
        <f>(D5-D4) /365*12</f>
        <v>60</v>
      </c>
      <c r="N30" s="26" t="s">
        <v>39</v>
      </c>
      <c r="O30" s="35">
        <f t="shared" si="16"/>
        <v>0</v>
      </c>
      <c r="P30" s="36">
        <f t="shared" ref="P30:P40" si="17">+P29-O29</f>
        <v>0</v>
      </c>
      <c r="Q30" s="26" t="s">
        <v>42</v>
      </c>
      <c r="S30" s="34"/>
      <c r="T30" s="6">
        <f>+T29-S29</f>
        <v>1517999.9999999998</v>
      </c>
      <c r="U30" s="26"/>
    </row>
    <row r="31" spans="2:22" x14ac:dyDescent="0.2">
      <c r="G31" s="7"/>
      <c r="J31" s="18" t="s">
        <v>43</v>
      </c>
      <c r="K31" s="58"/>
      <c r="L31" s="11">
        <f>D32/L30</f>
        <v>25299.999999999996</v>
      </c>
      <c r="M31" s="42"/>
      <c r="N31" s="26" t="s">
        <v>44</v>
      </c>
      <c r="O31" s="35">
        <f t="shared" si="16"/>
        <v>0</v>
      </c>
      <c r="P31" s="36">
        <f t="shared" si="17"/>
        <v>0</v>
      </c>
      <c r="Q31" s="26" t="s">
        <v>42</v>
      </c>
      <c r="S31" s="34"/>
    </row>
    <row r="32" spans="2:22" ht="13.5" thickBot="1" x14ac:dyDescent="0.25">
      <c r="C32" s="1" t="s">
        <v>45</v>
      </c>
      <c r="D32" s="59">
        <f>+D33+D34+D35+D36-D37</f>
        <v>1517999.9999999998</v>
      </c>
      <c r="G32" s="60"/>
      <c r="N32" s="26" t="s">
        <v>46</v>
      </c>
      <c r="O32" s="35">
        <f t="shared" si="16"/>
        <v>0</v>
      </c>
      <c r="P32" s="36">
        <f t="shared" si="17"/>
        <v>0</v>
      </c>
      <c r="Q32" s="26" t="s">
        <v>42</v>
      </c>
      <c r="S32" s="34"/>
    </row>
    <row r="33" spans="3:24" x14ac:dyDescent="0.2">
      <c r="C33" s="1" t="s">
        <v>47</v>
      </c>
      <c r="D33" s="30">
        <f>D28</f>
        <v>0</v>
      </c>
      <c r="I33" s="21" t="s">
        <v>27</v>
      </c>
      <c r="J33" s="22" t="s">
        <v>30</v>
      </c>
      <c r="K33" s="22" t="s">
        <v>48</v>
      </c>
      <c r="L33" s="61" t="s">
        <v>49</v>
      </c>
      <c r="N33" s="26" t="s">
        <v>50</v>
      </c>
      <c r="O33" s="35">
        <f t="shared" si="16"/>
        <v>0</v>
      </c>
      <c r="P33" s="36">
        <f t="shared" si="17"/>
        <v>0</v>
      </c>
      <c r="S33" s="34"/>
    </row>
    <row r="34" spans="3:24" x14ac:dyDescent="0.2">
      <c r="C34" s="1" t="s">
        <v>51</v>
      </c>
      <c r="D34" s="30">
        <v>0</v>
      </c>
      <c r="E34" s="11"/>
      <c r="I34" s="62">
        <f>D4</f>
        <v>45055</v>
      </c>
      <c r="J34" s="49">
        <f>+D32</f>
        <v>1517999.9999999998</v>
      </c>
      <c r="K34" s="63">
        <v>0</v>
      </c>
      <c r="L34" s="64">
        <v>0</v>
      </c>
      <c r="N34" s="26"/>
      <c r="O34" s="35">
        <f t="shared" si="16"/>
        <v>0</v>
      </c>
      <c r="P34" s="36">
        <f t="shared" si="17"/>
        <v>0</v>
      </c>
      <c r="S34" s="47"/>
    </row>
    <row r="35" spans="3:24" x14ac:dyDescent="0.2">
      <c r="C35" s="1" t="s">
        <v>52</v>
      </c>
      <c r="D35" s="65">
        <f>D6</f>
        <v>1517999.9999999998</v>
      </c>
      <c r="E35" s="11"/>
      <c r="I35" s="62">
        <v>45473</v>
      </c>
      <c r="J35" s="49">
        <f t="shared" ref="J35:J49" si="18">J34-K35</f>
        <v>1170315.616438356</v>
      </c>
      <c r="K35" s="49">
        <f t="shared" ref="K35:K49" si="19">L35*L$31</f>
        <v>347684.38356164377</v>
      </c>
      <c r="L35" s="66">
        <f>(I35-I34) /365*12</f>
        <v>13.742465753424657</v>
      </c>
      <c r="M35" s="10"/>
      <c r="N35" s="26"/>
      <c r="O35" s="35">
        <f t="shared" si="16"/>
        <v>0</v>
      </c>
      <c r="P35" s="36">
        <f t="shared" si="17"/>
        <v>0</v>
      </c>
      <c r="S35" s="47"/>
    </row>
    <row r="36" spans="3:24" x14ac:dyDescent="0.2">
      <c r="C36" s="1" t="s">
        <v>53</v>
      </c>
      <c r="D36" s="30">
        <v>0</v>
      </c>
      <c r="I36" s="62">
        <v>45838</v>
      </c>
      <c r="J36" s="49">
        <f t="shared" si="18"/>
        <v>866715.616438356</v>
      </c>
      <c r="K36" s="49">
        <f t="shared" si="19"/>
        <v>303599.99999999994</v>
      </c>
      <c r="L36" s="67">
        <f>IF(L30-SUM(L35)&lt;12,L30-SUM(L35),12)</f>
        <v>12</v>
      </c>
      <c r="N36" s="26"/>
      <c r="O36" s="35">
        <f t="shared" si="16"/>
        <v>0</v>
      </c>
      <c r="P36" s="36">
        <f t="shared" si="17"/>
        <v>0</v>
      </c>
      <c r="S36" s="47"/>
    </row>
    <row r="37" spans="3:24" x14ac:dyDescent="0.2">
      <c r="C37" s="1" t="s">
        <v>54</v>
      </c>
      <c r="D37" s="30">
        <v>0</v>
      </c>
      <c r="I37" s="62">
        <v>46203</v>
      </c>
      <c r="J37" s="49">
        <f t="shared" si="18"/>
        <v>563115.616438356</v>
      </c>
      <c r="K37" s="49">
        <f t="shared" si="19"/>
        <v>303599.99999999994</v>
      </c>
      <c r="L37" s="67">
        <f>IF(L30-SUM(L35:L36)&lt;12,L30-SUM(L35:L36),12)</f>
        <v>12</v>
      </c>
      <c r="N37" s="26"/>
      <c r="O37" s="35">
        <f t="shared" si="16"/>
        <v>0</v>
      </c>
      <c r="P37" s="36">
        <f t="shared" si="17"/>
        <v>0</v>
      </c>
      <c r="S37" s="47"/>
    </row>
    <row r="38" spans="3:24" x14ac:dyDescent="0.2">
      <c r="C38" s="52" t="s">
        <v>55</v>
      </c>
      <c r="E38" s="11"/>
      <c r="I38" s="62">
        <v>46568</v>
      </c>
      <c r="J38" s="49">
        <f t="shared" si="18"/>
        <v>259515.61643835605</v>
      </c>
      <c r="K38" s="49">
        <f t="shared" si="19"/>
        <v>303599.99999999994</v>
      </c>
      <c r="L38" s="67">
        <f>IF(L30-SUM(L35:L37)&lt;12,L30-SUM(L35:L37),12)</f>
        <v>12</v>
      </c>
      <c r="N38" s="26"/>
      <c r="O38" s="35">
        <f t="shared" si="16"/>
        <v>0</v>
      </c>
      <c r="P38" s="36">
        <f t="shared" si="17"/>
        <v>0</v>
      </c>
      <c r="S38" s="47"/>
    </row>
    <row r="39" spans="3:24" x14ac:dyDescent="0.2">
      <c r="I39" s="62">
        <v>46934</v>
      </c>
      <c r="J39" s="49">
        <f t="shared" si="18"/>
        <v>0</v>
      </c>
      <c r="K39" s="49">
        <f t="shared" si="19"/>
        <v>259515.61643835623</v>
      </c>
      <c r="L39" s="67">
        <f>IF(L30-SUM(L35:L38)&lt;12,L30-SUM(L35:L38),12)</f>
        <v>10.257534246575347</v>
      </c>
      <c r="N39" s="26"/>
      <c r="O39" s="35">
        <f t="shared" si="16"/>
        <v>0</v>
      </c>
      <c r="P39" s="36">
        <f t="shared" si="17"/>
        <v>0</v>
      </c>
      <c r="S39" s="47"/>
    </row>
    <row r="40" spans="3:24" x14ac:dyDescent="0.2">
      <c r="I40" s="62">
        <v>47299</v>
      </c>
      <c r="J40" s="49">
        <f t="shared" si="18"/>
        <v>0</v>
      </c>
      <c r="K40" s="49">
        <f t="shared" si="19"/>
        <v>0</v>
      </c>
      <c r="L40" s="68">
        <f>IF(L30-SUM(L35:L39)&lt;12,L30-SUM(L35:L39),12)</f>
        <v>0</v>
      </c>
      <c r="N40" s="26"/>
      <c r="O40" s="35">
        <f t="shared" si="16"/>
        <v>0</v>
      </c>
      <c r="P40" s="36">
        <f t="shared" si="17"/>
        <v>0</v>
      </c>
    </row>
    <row r="41" spans="3:24" x14ac:dyDescent="0.2">
      <c r="I41" s="62">
        <v>47664</v>
      </c>
      <c r="J41" s="49">
        <f t="shared" si="18"/>
        <v>0</v>
      </c>
      <c r="K41" s="49">
        <f t="shared" si="19"/>
        <v>0</v>
      </c>
      <c r="L41" s="67">
        <f>IF(L30-SUM(L35:L40)&lt;12,L30-SUM(L35:L40),12)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69"/>
      <c r="D42" s="69"/>
      <c r="E42" s="69" t="s">
        <v>58</v>
      </c>
      <c r="I42" s="62">
        <v>48029</v>
      </c>
      <c r="J42" s="49">
        <f t="shared" si="18"/>
        <v>0</v>
      </c>
      <c r="K42" s="49">
        <f t="shared" si="19"/>
        <v>0</v>
      </c>
      <c r="L42" s="67">
        <f>IF(L30-SUM(L35:L41)&lt;12,L30-SUM(L35:L41),12)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70"/>
      <c r="D43" s="71" t="s">
        <v>60</v>
      </c>
      <c r="E43" s="71" t="s">
        <v>61</v>
      </c>
      <c r="I43" s="62">
        <v>48395</v>
      </c>
      <c r="J43" s="49">
        <f t="shared" si="18"/>
        <v>0</v>
      </c>
      <c r="K43" s="49">
        <f t="shared" si="19"/>
        <v>0</v>
      </c>
      <c r="L43" s="67">
        <f>IF(L30-SUM(L35:L42)&lt;12,L30-SUM(L35:L42),12)</f>
        <v>0</v>
      </c>
      <c r="N43" s="26" t="s">
        <v>62</v>
      </c>
      <c r="O43" s="72">
        <f t="shared" ref="O43:O50" si="20">+P12</f>
        <v>1517999.9999999998</v>
      </c>
      <c r="P43" s="73"/>
      <c r="R43" s="26" t="s">
        <v>39</v>
      </c>
      <c r="S43" s="74">
        <f t="shared" ref="S43:S55" si="21">K15</f>
        <v>0</v>
      </c>
      <c r="T43" s="75"/>
      <c r="U43" s="28">
        <v>2021</v>
      </c>
      <c r="V43" s="26" t="s">
        <v>63</v>
      </c>
      <c r="W43" s="27">
        <f t="shared" ref="W43:W55" si="22">K35</f>
        <v>347684.38356164377</v>
      </c>
      <c r="X43" s="6"/>
    </row>
    <row r="44" spans="3:24" x14ac:dyDescent="0.2">
      <c r="C44" s="71" t="s">
        <v>69</v>
      </c>
      <c r="D44" s="76">
        <f>D32</f>
        <v>1517999.9999999998</v>
      </c>
      <c r="E44" s="76"/>
      <c r="I44" s="62">
        <v>48760</v>
      </c>
      <c r="J44" s="49">
        <f t="shared" si="18"/>
        <v>0</v>
      </c>
      <c r="K44" s="49">
        <f t="shared" si="19"/>
        <v>0</v>
      </c>
      <c r="L44" s="67">
        <f>IF(L30-SUM(L35:L43)&lt;12,L30-SUM(L35:L43),12)</f>
        <v>0</v>
      </c>
      <c r="O44" s="72">
        <f t="shared" si="20"/>
        <v>0</v>
      </c>
      <c r="P44" s="73"/>
      <c r="R44" s="26" t="s">
        <v>44</v>
      </c>
      <c r="S44" s="77">
        <f t="shared" si="21"/>
        <v>0</v>
      </c>
      <c r="T44" s="47"/>
      <c r="U44" s="28">
        <v>2022</v>
      </c>
      <c r="V44" s="26" t="s">
        <v>64</v>
      </c>
      <c r="W44" s="78">
        <f t="shared" si="22"/>
        <v>303599.99999999994</v>
      </c>
    </row>
    <row r="45" spans="3:24" x14ac:dyDescent="0.2">
      <c r="C45" s="71" t="s">
        <v>70</v>
      </c>
      <c r="D45" s="76"/>
      <c r="E45" s="76">
        <f>D33</f>
        <v>0</v>
      </c>
      <c r="I45" s="62">
        <v>49125</v>
      </c>
      <c r="J45" s="49">
        <f t="shared" si="18"/>
        <v>0</v>
      </c>
      <c r="K45" s="49">
        <f t="shared" si="19"/>
        <v>0</v>
      </c>
      <c r="L45" s="67">
        <f>IF(L30-SUM(L35:L44)&lt;12,L30-SUM(L35:L44),12)</f>
        <v>0</v>
      </c>
      <c r="O45" s="72">
        <f t="shared" si="20"/>
        <v>0</v>
      </c>
      <c r="P45" s="73"/>
      <c r="R45" s="26" t="s">
        <v>46</v>
      </c>
      <c r="S45" s="77">
        <f t="shared" si="21"/>
        <v>0</v>
      </c>
      <c r="T45" s="47"/>
      <c r="U45" s="28">
        <v>2023</v>
      </c>
      <c r="V45" s="26" t="s">
        <v>65</v>
      </c>
      <c r="W45" s="78">
        <f t="shared" si="22"/>
        <v>303599.99999999994</v>
      </c>
    </row>
    <row r="46" spans="3:24" x14ac:dyDescent="0.2">
      <c r="C46" s="71" t="s">
        <v>71</v>
      </c>
      <c r="D46" s="76"/>
      <c r="E46" s="76">
        <f>D35</f>
        <v>1517999.9999999998</v>
      </c>
      <c r="I46" s="62">
        <v>49490</v>
      </c>
      <c r="J46" s="49">
        <f t="shared" si="18"/>
        <v>0</v>
      </c>
      <c r="K46" s="49">
        <f t="shared" si="19"/>
        <v>0</v>
      </c>
      <c r="L46" s="67">
        <f>IF(L30-SUM(L35:L45)&lt;12,L30-SUM(L35:L45),12)</f>
        <v>0</v>
      </c>
      <c r="O46" s="72">
        <f t="shared" si="20"/>
        <v>0</v>
      </c>
      <c r="P46" s="73"/>
      <c r="R46" s="26" t="s">
        <v>50</v>
      </c>
      <c r="S46" s="77">
        <f t="shared" si="21"/>
        <v>0</v>
      </c>
      <c r="T46" s="47"/>
      <c r="U46" s="28">
        <v>2024</v>
      </c>
      <c r="V46" s="26" t="s">
        <v>66</v>
      </c>
      <c r="W46" s="78">
        <f t="shared" si="22"/>
        <v>303599.99999999994</v>
      </c>
    </row>
    <row r="47" spans="3:24" x14ac:dyDescent="0.2">
      <c r="C47" s="71" t="s">
        <v>67</v>
      </c>
      <c r="D47" s="79">
        <f>D44+D45+D46</f>
        <v>1517999.9999999998</v>
      </c>
      <c r="E47" s="79">
        <f>E45+E46</f>
        <v>1517999.9999999998</v>
      </c>
      <c r="I47" s="62">
        <v>49856</v>
      </c>
      <c r="J47" s="49">
        <f t="shared" si="18"/>
        <v>0</v>
      </c>
      <c r="K47" s="49">
        <f t="shared" si="19"/>
        <v>0</v>
      </c>
      <c r="L47" s="67">
        <f>IF(L30-SUM(L35:L46)&lt;12,L30-SUM(L35:L46),12)</f>
        <v>0</v>
      </c>
      <c r="O47" s="72">
        <f t="shared" si="20"/>
        <v>0</v>
      </c>
      <c r="P47" s="73"/>
      <c r="S47" s="77">
        <f t="shared" si="21"/>
        <v>0</v>
      </c>
      <c r="T47" s="47"/>
      <c r="U47" s="28">
        <v>2025</v>
      </c>
      <c r="W47" s="78">
        <f t="shared" si="22"/>
        <v>259515.61643835623</v>
      </c>
    </row>
    <row r="48" spans="3:24" x14ac:dyDescent="0.2">
      <c r="E48" s="80"/>
      <c r="I48" s="62">
        <v>50221</v>
      </c>
      <c r="J48" s="49">
        <f t="shared" si="18"/>
        <v>0</v>
      </c>
      <c r="K48" s="49">
        <f t="shared" si="19"/>
        <v>0</v>
      </c>
      <c r="L48" s="67">
        <f>IF(L30-SUM(L35:L47)&lt;12,L30-SUM(L35:L47),12)</f>
        <v>0</v>
      </c>
      <c r="O48" s="72">
        <f t="shared" si="20"/>
        <v>0</v>
      </c>
      <c r="P48" s="73"/>
      <c r="S48" s="77">
        <f t="shared" si="21"/>
        <v>0</v>
      </c>
      <c r="T48" s="47"/>
      <c r="U48" s="28">
        <v>2026</v>
      </c>
      <c r="W48" s="78">
        <f t="shared" si="22"/>
        <v>0</v>
      </c>
      <c r="X48" s="47"/>
    </row>
    <row r="49" spans="5:24" ht="13.5" thickBot="1" x14ac:dyDescent="0.25">
      <c r="E49" s="80"/>
      <c r="I49" s="62">
        <v>50586</v>
      </c>
      <c r="J49" s="81">
        <f t="shared" si="18"/>
        <v>0</v>
      </c>
      <c r="K49" s="81">
        <f t="shared" si="19"/>
        <v>0</v>
      </c>
      <c r="L49" s="82">
        <f>IF(L30-SUM(L35:L48)&lt;12,L30-SUM(L35:L48),12)</f>
        <v>0</v>
      </c>
      <c r="O49" s="72">
        <f t="shared" si="20"/>
        <v>0</v>
      </c>
      <c r="P49" s="73"/>
      <c r="S49" s="77">
        <f t="shared" si="21"/>
        <v>0</v>
      </c>
      <c r="T49" s="47"/>
      <c r="U49" s="28">
        <v>2027</v>
      </c>
      <c r="W49" s="78">
        <f t="shared" si="22"/>
        <v>0</v>
      </c>
      <c r="X49" s="47"/>
    </row>
    <row r="50" spans="5:24" x14ac:dyDescent="0.2">
      <c r="E50" s="80"/>
      <c r="O50" s="83">
        <f t="shared" si="20"/>
        <v>0</v>
      </c>
      <c r="P50" s="73"/>
      <c r="S50" s="77">
        <f t="shared" si="21"/>
        <v>0</v>
      </c>
      <c r="T50" s="47"/>
      <c r="U50" s="28">
        <v>2028</v>
      </c>
      <c r="W50" s="78">
        <f t="shared" si="22"/>
        <v>0</v>
      </c>
      <c r="X50" s="47"/>
    </row>
    <row r="51" spans="5:24" x14ac:dyDescent="0.2">
      <c r="E51" s="80"/>
      <c r="S51" s="77">
        <f t="shared" si="21"/>
        <v>0</v>
      </c>
      <c r="T51" s="47"/>
      <c r="U51" s="28">
        <v>2029</v>
      </c>
      <c r="W51" s="78">
        <f t="shared" si="22"/>
        <v>0</v>
      </c>
      <c r="X51" s="47"/>
    </row>
    <row r="52" spans="5:24" x14ac:dyDescent="0.2">
      <c r="S52" s="77">
        <f t="shared" si="21"/>
        <v>0</v>
      </c>
      <c r="T52" s="47"/>
      <c r="U52" s="28">
        <v>2030</v>
      </c>
      <c r="W52" s="78">
        <f t="shared" si="22"/>
        <v>0</v>
      </c>
      <c r="X52" s="47"/>
    </row>
    <row r="53" spans="5:24" x14ac:dyDescent="0.2">
      <c r="S53" s="77">
        <f t="shared" si="21"/>
        <v>0</v>
      </c>
      <c r="T53" s="47"/>
      <c r="U53" s="28">
        <v>2031</v>
      </c>
      <c r="W53" s="78">
        <f t="shared" si="22"/>
        <v>0</v>
      </c>
      <c r="X53" s="47"/>
    </row>
    <row r="54" spans="5:24" x14ac:dyDescent="0.2">
      <c r="S54" s="77">
        <f t="shared" si="21"/>
        <v>0</v>
      </c>
      <c r="T54" s="47"/>
      <c r="U54" s="28">
        <v>2032</v>
      </c>
      <c r="W54" s="78">
        <f t="shared" si="22"/>
        <v>0</v>
      </c>
      <c r="X54" s="47"/>
    </row>
    <row r="55" spans="5:24" x14ac:dyDescent="0.2">
      <c r="S55" s="77">
        <f t="shared" si="21"/>
        <v>0</v>
      </c>
      <c r="T55" s="47"/>
      <c r="U55" s="28">
        <v>2033</v>
      </c>
      <c r="W55" s="78">
        <f t="shared" si="22"/>
        <v>0</v>
      </c>
      <c r="X55" s="47"/>
    </row>
    <row r="56" spans="5:24" x14ac:dyDescent="0.2">
      <c r="S56" s="46">
        <f>SUM(S43:S55)</f>
        <v>0</v>
      </c>
      <c r="T56" s="75"/>
      <c r="W56" s="74">
        <f>SUM(W43:W55)</f>
        <v>1518000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topLeftCell="A21" zoomScaleNormal="100" workbookViewId="0">
      <selection activeCell="L35" sqref="L35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5.140625" style="1" customWidth="1"/>
    <col min="7" max="7" width="12.140625" style="1" customWidth="1"/>
    <col min="8" max="8" width="5.85546875" style="1" bestFit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4.570312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72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5">
        <v>50000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0">
        <f>E2*1.1</f>
        <v>55000.000000000007</v>
      </c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45085</v>
      </c>
      <c r="E4" s="10">
        <f>E3*36</f>
        <v>1980000.0000000002</v>
      </c>
      <c r="G4" s="11"/>
      <c r="I4" s="4">
        <v>45107</v>
      </c>
      <c r="J4" s="6">
        <v>0</v>
      </c>
      <c r="K4" s="7">
        <v>0</v>
      </c>
      <c r="L4" s="8">
        <f t="shared" ref="L4" si="0">K34</f>
        <v>0</v>
      </c>
      <c r="M4" s="7">
        <v>0</v>
      </c>
      <c r="O4" s="6">
        <v>0</v>
      </c>
      <c r="P4" s="6">
        <v>0</v>
      </c>
    </row>
    <row r="5" spans="2:22" x14ac:dyDescent="0.2">
      <c r="C5" s="1" t="s">
        <v>11</v>
      </c>
      <c r="D5" s="12">
        <v>46910</v>
      </c>
      <c r="E5" s="84">
        <f>E3*60</f>
        <v>3300000.0000000005</v>
      </c>
      <c r="F5" s="85"/>
      <c r="G5" s="85"/>
      <c r="H5" s="85"/>
      <c r="I5" s="4">
        <v>45473</v>
      </c>
      <c r="J5" s="6">
        <f>J35</f>
        <v>2463850.5921657877</v>
      </c>
      <c r="K5" s="7">
        <f>L15</f>
        <v>1206885.147456022</v>
      </c>
      <c r="L5" s="8">
        <f>K35</f>
        <v>665256.8056787235</v>
      </c>
      <c r="M5" s="7">
        <f>K15</f>
        <v>57777.749611511244</v>
      </c>
      <c r="N5" s="7">
        <f>J15</f>
        <v>0</v>
      </c>
      <c r="O5" s="10">
        <v>0</v>
      </c>
      <c r="P5" s="6"/>
    </row>
    <row r="6" spans="2:22" x14ac:dyDescent="0.2">
      <c r="C6" s="1" t="s">
        <v>12</v>
      </c>
      <c r="D6" s="10">
        <v>1980000.0000000002</v>
      </c>
      <c r="E6" s="86"/>
      <c r="F6" s="85"/>
      <c r="G6" s="86"/>
      <c r="H6" s="85"/>
      <c r="I6" s="4">
        <v>45838</v>
      </c>
      <c r="J6" s="6">
        <f>J36</f>
        <v>1838029.1125968855</v>
      </c>
      <c r="K6" s="7">
        <f t="shared" ref="K6:K9" si="1">L16</f>
        <v>1263970.8149306918</v>
      </c>
      <c r="L6" s="8">
        <f t="shared" ref="L6:L10" si="2">K36</f>
        <v>625821.47956890217</v>
      </c>
      <c r="M6" s="7">
        <f t="shared" ref="M6:M10" si="3">K16</f>
        <v>57085.667474669841</v>
      </c>
      <c r="N6" s="7">
        <f t="shared" ref="N6:N10" si="4">J16</f>
        <v>0</v>
      </c>
      <c r="O6" s="10">
        <v>0</v>
      </c>
    </row>
    <row r="7" spans="2:22" x14ac:dyDescent="0.2">
      <c r="C7" s="1" t="s">
        <v>13</v>
      </c>
      <c r="D7" s="10">
        <v>3300000.0000000005</v>
      </c>
      <c r="E7" s="14"/>
      <c r="G7" s="11"/>
      <c r="I7" s="4">
        <v>46203</v>
      </c>
      <c r="J7" s="6">
        <f t="shared" ref="J7:J10" si="5">J37</f>
        <v>1212207.6330279834</v>
      </c>
      <c r="K7" s="7">
        <f t="shared" si="1"/>
        <v>0</v>
      </c>
      <c r="L7" s="8">
        <f t="shared" si="2"/>
        <v>625821.47956890217</v>
      </c>
      <c r="M7" s="7">
        <f t="shared" si="3"/>
        <v>56029.185069308383</v>
      </c>
      <c r="N7" s="7">
        <f>J17</f>
        <v>1320000.0000000002</v>
      </c>
    </row>
    <row r="8" spans="2:22" x14ac:dyDescent="0.2">
      <c r="C8" s="1" t="s">
        <v>14</v>
      </c>
      <c r="D8" s="12">
        <f>D4</f>
        <v>45085</v>
      </c>
      <c r="E8" s="15"/>
      <c r="I8" s="4">
        <v>46568</v>
      </c>
      <c r="J8" s="6">
        <f t="shared" si="5"/>
        <v>586386.15345908119</v>
      </c>
      <c r="K8" s="7">
        <f t="shared" si="1"/>
        <v>0</v>
      </c>
      <c r="L8" s="8">
        <f t="shared" si="2"/>
        <v>625821.47956890217</v>
      </c>
      <c r="M8" s="7">
        <f t="shared" si="3"/>
        <v>0</v>
      </c>
      <c r="N8" s="7">
        <f t="shared" si="4"/>
        <v>0</v>
      </c>
    </row>
    <row r="9" spans="2:22" x14ac:dyDescent="0.2">
      <c r="C9" s="1" t="s">
        <v>15</v>
      </c>
      <c r="D9" s="16">
        <v>0</v>
      </c>
      <c r="E9" s="11"/>
      <c r="I9" s="4">
        <v>46934</v>
      </c>
      <c r="J9" s="6">
        <f t="shared" si="5"/>
        <v>0</v>
      </c>
      <c r="K9" s="7">
        <f t="shared" si="1"/>
        <v>0</v>
      </c>
      <c r="L9" s="8">
        <f t="shared" si="2"/>
        <v>586386.15345908084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5"/>
        <v>0</v>
      </c>
      <c r="K10" s="7">
        <f t="shared" ref="K10" si="6">L21</f>
        <v>0</v>
      </c>
      <c r="L10" s="8">
        <f t="shared" si="2"/>
        <v>0</v>
      </c>
      <c r="M10" s="7">
        <f t="shared" si="3"/>
        <v>0</v>
      </c>
      <c r="N10" s="7">
        <f t="shared" si="4"/>
        <v>0</v>
      </c>
    </row>
    <row r="11" spans="2:22" ht="13.5" thickBot="1" x14ac:dyDescent="0.25"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21" t="s">
        <v>23</v>
      </c>
      <c r="I12" s="22"/>
      <c r="J12" s="22"/>
      <c r="K12" s="22"/>
      <c r="L12" s="23"/>
      <c r="O12" s="24"/>
      <c r="P12" s="25">
        <f>+D6</f>
        <v>1980000.0000000002</v>
      </c>
      <c r="Q12" s="26" t="s">
        <v>24</v>
      </c>
      <c r="R12" s="26" t="s">
        <v>25</v>
      </c>
      <c r="S12" s="27">
        <f>+D32</f>
        <v>3129107.3978445111</v>
      </c>
      <c r="T12" s="6">
        <f t="shared" ref="T12:T25" si="7">+K35</f>
        <v>665256.8056787235</v>
      </c>
      <c r="U12" s="26" t="s">
        <v>26</v>
      </c>
      <c r="V12" s="28"/>
    </row>
    <row r="13" spans="2:22" x14ac:dyDescent="0.2">
      <c r="B13" s="29">
        <v>0</v>
      </c>
      <c r="C13" s="4">
        <f>D4</f>
        <v>45085</v>
      </c>
      <c r="D13" s="30">
        <v>0</v>
      </c>
      <c r="E13" s="30"/>
      <c r="H13" s="31" t="s">
        <v>19</v>
      </c>
      <c r="I13" s="32" t="s">
        <v>27</v>
      </c>
      <c r="J13" s="32" t="s">
        <v>28</v>
      </c>
      <c r="K13" s="32" t="s">
        <v>29</v>
      </c>
      <c r="L13" s="33" t="s">
        <v>30</v>
      </c>
      <c r="O13" s="34"/>
      <c r="P13" s="7">
        <f t="shared" ref="P13:P24" si="8">J15</f>
        <v>0</v>
      </c>
      <c r="Q13" s="26" t="s">
        <v>31</v>
      </c>
      <c r="R13" s="26" t="s">
        <v>32</v>
      </c>
      <c r="S13" s="35">
        <f t="shared" ref="S13:S25" si="9">+S12-T12</f>
        <v>2463850.5921657877</v>
      </c>
      <c r="T13" s="36">
        <f t="shared" si="7"/>
        <v>625821.47956890217</v>
      </c>
      <c r="U13" s="26" t="s">
        <v>33</v>
      </c>
      <c r="V13" s="28">
        <v>2021</v>
      </c>
    </row>
    <row r="14" spans="2:22" x14ac:dyDescent="0.2">
      <c r="B14" s="29">
        <v>1</v>
      </c>
      <c r="C14" s="4">
        <f>D8</f>
        <v>45085</v>
      </c>
      <c r="D14" s="30">
        <v>0</v>
      </c>
      <c r="E14" s="30">
        <f t="shared" ref="E14:E26" si="10">+D14*(1+$D$3)</f>
        <v>0</v>
      </c>
      <c r="H14" s="37">
        <v>0</v>
      </c>
      <c r="I14" s="38"/>
      <c r="J14" s="39"/>
      <c r="K14" s="40"/>
      <c r="L14" s="41">
        <f>D28</f>
        <v>1149107.3978445109</v>
      </c>
      <c r="N14" s="42"/>
      <c r="O14" s="34"/>
      <c r="P14" s="7">
        <f t="shared" si="8"/>
        <v>0</v>
      </c>
      <c r="Q14" s="26" t="s">
        <v>34</v>
      </c>
      <c r="R14" s="26" t="s">
        <v>32</v>
      </c>
      <c r="S14" s="35">
        <f t="shared" si="9"/>
        <v>1838029.1125968855</v>
      </c>
      <c r="T14" s="36">
        <f t="shared" si="7"/>
        <v>625821.47956890217</v>
      </c>
      <c r="U14" s="26" t="s">
        <v>35</v>
      </c>
      <c r="V14" s="28">
        <v>2022</v>
      </c>
    </row>
    <row r="15" spans="2:22" x14ac:dyDescent="0.2">
      <c r="B15" s="29">
        <v>2</v>
      </c>
      <c r="C15" s="4">
        <f t="shared" ref="C15:C26" si="11">C14+365</f>
        <v>45450</v>
      </c>
      <c r="D15" s="30">
        <v>0</v>
      </c>
      <c r="E15" s="30">
        <f t="shared" si="10"/>
        <v>0</v>
      </c>
      <c r="H15" s="37">
        <v>1</v>
      </c>
      <c r="I15" s="38">
        <v>2024</v>
      </c>
      <c r="J15" s="43"/>
      <c r="K15" s="43">
        <f>(L14-J15)*D$3*L35/12</f>
        <v>57777.749611511244</v>
      </c>
      <c r="L15" s="44">
        <f>L14-J15+K15</f>
        <v>1206885.147456022</v>
      </c>
      <c r="M15" s="11" t="s">
        <v>100</v>
      </c>
      <c r="O15" s="34"/>
      <c r="P15" s="7">
        <f t="shared" si="8"/>
        <v>1320000.0000000002</v>
      </c>
      <c r="Q15" s="26" t="s">
        <v>36</v>
      </c>
      <c r="R15" s="26" t="s">
        <v>32</v>
      </c>
      <c r="S15" s="35">
        <f t="shared" si="9"/>
        <v>1212207.6330279834</v>
      </c>
      <c r="T15" s="36">
        <f t="shared" si="7"/>
        <v>625821.47956890217</v>
      </c>
      <c r="U15" s="26" t="s">
        <v>37</v>
      </c>
      <c r="V15" s="28">
        <v>2023</v>
      </c>
    </row>
    <row r="16" spans="2:22" x14ac:dyDescent="0.2">
      <c r="B16" s="29">
        <v>3</v>
      </c>
      <c r="C16" s="4">
        <f t="shared" si="11"/>
        <v>45815</v>
      </c>
      <c r="D16" s="30">
        <v>0</v>
      </c>
      <c r="E16" s="30">
        <f t="shared" si="10"/>
        <v>0</v>
      </c>
      <c r="H16" s="37">
        <f>+H15+1</f>
        <v>2</v>
      </c>
      <c r="I16" s="38">
        <v>2025</v>
      </c>
      <c r="J16" s="43">
        <f>D14</f>
        <v>0</v>
      </c>
      <c r="K16" s="43">
        <f>(L15-J16)*D$3</f>
        <v>57085.667474669841</v>
      </c>
      <c r="L16" s="44">
        <f t="shared" ref="L16:L27" si="12">L15-J16+K16</f>
        <v>1263970.8149306918</v>
      </c>
      <c r="O16" s="34"/>
      <c r="P16" s="7">
        <f t="shared" si="8"/>
        <v>0</v>
      </c>
      <c r="Q16" s="26" t="s">
        <v>38</v>
      </c>
      <c r="R16" s="26"/>
      <c r="S16" s="35">
        <f t="shared" si="9"/>
        <v>586386.15345908119</v>
      </c>
      <c r="T16" s="36">
        <f t="shared" si="7"/>
        <v>586386.15345908084</v>
      </c>
      <c r="V16" s="28">
        <v>2024</v>
      </c>
    </row>
    <row r="17" spans="2:22" x14ac:dyDescent="0.2">
      <c r="B17" s="29">
        <v>4</v>
      </c>
      <c r="C17" s="4">
        <f t="shared" si="11"/>
        <v>46180</v>
      </c>
      <c r="D17" s="30">
        <f>D7-D6</f>
        <v>1320000.0000000002</v>
      </c>
      <c r="E17" s="30">
        <f t="shared" si="10"/>
        <v>1382436</v>
      </c>
      <c r="H17" s="37">
        <f>+H16+1</f>
        <v>3</v>
      </c>
      <c r="I17" s="38">
        <v>2026</v>
      </c>
      <c r="J17" s="43">
        <f>D17</f>
        <v>1320000.0000000002</v>
      </c>
      <c r="K17" s="43">
        <f>J17-L16</f>
        <v>56029.185069308383</v>
      </c>
      <c r="L17" s="44">
        <f t="shared" si="12"/>
        <v>0</v>
      </c>
      <c r="O17" s="34"/>
      <c r="P17" s="7">
        <f t="shared" si="8"/>
        <v>0</v>
      </c>
      <c r="S17" s="35">
        <f t="shared" si="9"/>
        <v>0</v>
      </c>
      <c r="T17" s="36">
        <f t="shared" si="7"/>
        <v>0</v>
      </c>
      <c r="V17" s="28">
        <v>2025</v>
      </c>
    </row>
    <row r="18" spans="2:22" x14ac:dyDescent="0.2">
      <c r="B18" s="29">
        <v>5</v>
      </c>
      <c r="C18" s="4">
        <f t="shared" si="11"/>
        <v>46545</v>
      </c>
      <c r="D18" s="30">
        <v>0</v>
      </c>
      <c r="E18" s="30">
        <f t="shared" si="10"/>
        <v>0</v>
      </c>
      <c r="F18" s="10"/>
      <c r="H18" s="37">
        <v>4</v>
      </c>
      <c r="I18" s="38">
        <v>2027</v>
      </c>
      <c r="J18" s="43">
        <f t="shared" ref="J18:J27" si="13">D16</f>
        <v>0</v>
      </c>
      <c r="K18" s="43">
        <f>J18-L17</f>
        <v>0</v>
      </c>
      <c r="L18" s="44">
        <f t="shared" si="12"/>
        <v>0</v>
      </c>
      <c r="O18" s="34"/>
      <c r="P18" s="7">
        <f t="shared" si="8"/>
        <v>0</v>
      </c>
      <c r="S18" s="45">
        <f t="shared" si="9"/>
        <v>0</v>
      </c>
      <c r="T18" s="36">
        <f t="shared" si="7"/>
        <v>0</v>
      </c>
      <c r="V18" s="28">
        <v>2026</v>
      </c>
    </row>
    <row r="19" spans="2:22" x14ac:dyDescent="0.2">
      <c r="B19" s="29">
        <v>6</v>
      </c>
      <c r="C19" s="4">
        <f t="shared" si="11"/>
        <v>46910</v>
      </c>
      <c r="D19" s="30">
        <v>0</v>
      </c>
      <c r="E19" s="30">
        <f t="shared" si="10"/>
        <v>0</v>
      </c>
      <c r="H19" s="37">
        <v>5</v>
      </c>
      <c r="I19" s="38">
        <v>2028</v>
      </c>
      <c r="J19" s="43">
        <v>0</v>
      </c>
      <c r="K19" s="43">
        <f>J19-L18</f>
        <v>0</v>
      </c>
      <c r="L19" s="44">
        <f t="shared" si="12"/>
        <v>0</v>
      </c>
      <c r="O19" s="34"/>
      <c r="P19" s="7">
        <f t="shared" si="8"/>
        <v>0</v>
      </c>
      <c r="S19" s="45">
        <f t="shared" si="9"/>
        <v>0</v>
      </c>
      <c r="T19" s="36">
        <f t="shared" si="7"/>
        <v>0</v>
      </c>
      <c r="V19" s="28">
        <v>2027</v>
      </c>
    </row>
    <row r="20" spans="2:22" x14ac:dyDescent="0.2">
      <c r="B20" s="29">
        <v>7</v>
      </c>
      <c r="C20" s="4">
        <f t="shared" si="11"/>
        <v>47275</v>
      </c>
      <c r="D20" s="30">
        <v>0</v>
      </c>
      <c r="E20" s="30">
        <f t="shared" si="10"/>
        <v>0</v>
      </c>
      <c r="H20" s="37">
        <v>6</v>
      </c>
      <c r="I20" s="38">
        <v>2029</v>
      </c>
      <c r="J20" s="43">
        <f t="shared" si="13"/>
        <v>0</v>
      </c>
      <c r="K20" s="43">
        <f t="shared" ref="K20:K27" si="14">L19-J20</f>
        <v>0</v>
      </c>
      <c r="L20" s="44">
        <f t="shared" si="12"/>
        <v>0</v>
      </c>
      <c r="O20" s="34"/>
      <c r="P20" s="7">
        <f t="shared" si="8"/>
        <v>0</v>
      </c>
      <c r="S20" s="45">
        <f t="shared" si="9"/>
        <v>0</v>
      </c>
      <c r="T20" s="36">
        <f t="shared" si="7"/>
        <v>0</v>
      </c>
      <c r="V20" s="28">
        <v>2028</v>
      </c>
    </row>
    <row r="21" spans="2:22" x14ac:dyDescent="0.2">
      <c r="B21" s="29">
        <v>8</v>
      </c>
      <c r="C21" s="4">
        <f t="shared" si="11"/>
        <v>47640</v>
      </c>
      <c r="D21" s="30">
        <v>0</v>
      </c>
      <c r="E21" s="30">
        <f t="shared" si="10"/>
        <v>0</v>
      </c>
      <c r="H21" s="37">
        <v>7</v>
      </c>
      <c r="I21" s="38">
        <v>2030</v>
      </c>
      <c r="J21" s="43">
        <f t="shared" si="13"/>
        <v>0</v>
      </c>
      <c r="K21" s="43">
        <f t="shared" si="14"/>
        <v>0</v>
      </c>
      <c r="L21" s="44">
        <f t="shared" si="12"/>
        <v>0</v>
      </c>
      <c r="O21" s="34"/>
      <c r="P21" s="7">
        <f t="shared" si="8"/>
        <v>0</v>
      </c>
      <c r="S21" s="45">
        <f t="shared" si="9"/>
        <v>0</v>
      </c>
      <c r="T21" s="36">
        <f t="shared" si="7"/>
        <v>0</v>
      </c>
      <c r="V21" s="28">
        <v>2029</v>
      </c>
    </row>
    <row r="22" spans="2:22" x14ac:dyDescent="0.2">
      <c r="B22" s="29">
        <v>9</v>
      </c>
      <c r="C22" s="4">
        <f t="shared" si="11"/>
        <v>48005</v>
      </c>
      <c r="D22" s="30">
        <v>0</v>
      </c>
      <c r="E22" s="30">
        <f t="shared" si="10"/>
        <v>0</v>
      </c>
      <c r="H22" s="37">
        <v>8</v>
      </c>
      <c r="I22" s="38">
        <v>2031</v>
      </c>
      <c r="J22" s="43">
        <f t="shared" si="13"/>
        <v>0</v>
      </c>
      <c r="K22" s="43">
        <f t="shared" si="14"/>
        <v>0</v>
      </c>
      <c r="L22" s="44">
        <f t="shared" si="12"/>
        <v>0</v>
      </c>
      <c r="O22" s="34"/>
      <c r="P22" s="7">
        <f t="shared" si="8"/>
        <v>0</v>
      </c>
      <c r="S22" s="45">
        <f t="shared" si="9"/>
        <v>0</v>
      </c>
      <c r="T22" s="36">
        <f t="shared" si="7"/>
        <v>0</v>
      </c>
      <c r="V22" s="28">
        <v>2030</v>
      </c>
    </row>
    <row r="23" spans="2:22" x14ac:dyDescent="0.2">
      <c r="B23" s="29">
        <v>10</v>
      </c>
      <c r="C23" s="4">
        <f t="shared" si="11"/>
        <v>48370</v>
      </c>
      <c r="D23" s="30">
        <v>0</v>
      </c>
      <c r="E23" s="30">
        <f t="shared" si="10"/>
        <v>0</v>
      </c>
      <c r="H23" s="37">
        <v>9</v>
      </c>
      <c r="I23" s="38">
        <v>2032</v>
      </c>
      <c r="J23" s="43">
        <f t="shared" si="13"/>
        <v>0</v>
      </c>
      <c r="K23" s="43">
        <f t="shared" si="14"/>
        <v>0</v>
      </c>
      <c r="L23" s="44">
        <f t="shared" si="12"/>
        <v>0</v>
      </c>
      <c r="O23" s="34"/>
      <c r="P23" s="7">
        <f t="shared" si="8"/>
        <v>0</v>
      </c>
      <c r="S23" s="45">
        <f t="shared" si="9"/>
        <v>0</v>
      </c>
      <c r="T23" s="36">
        <f t="shared" si="7"/>
        <v>0</v>
      </c>
      <c r="V23" s="28">
        <v>2031</v>
      </c>
    </row>
    <row r="24" spans="2:22" x14ac:dyDescent="0.2">
      <c r="B24" s="29">
        <v>11</v>
      </c>
      <c r="C24" s="4">
        <f t="shared" si="11"/>
        <v>48735</v>
      </c>
      <c r="D24" s="30">
        <v>0</v>
      </c>
      <c r="E24" s="30">
        <f t="shared" si="10"/>
        <v>0</v>
      </c>
      <c r="H24" s="37">
        <v>10</v>
      </c>
      <c r="I24" s="38">
        <v>2033</v>
      </c>
      <c r="J24" s="43">
        <f t="shared" si="13"/>
        <v>0</v>
      </c>
      <c r="K24" s="43">
        <f t="shared" si="14"/>
        <v>0</v>
      </c>
      <c r="L24" s="44">
        <f t="shared" si="12"/>
        <v>0</v>
      </c>
      <c r="O24" s="34"/>
      <c r="P24" s="7">
        <f t="shared" si="8"/>
        <v>0</v>
      </c>
      <c r="S24" s="45">
        <f t="shared" si="9"/>
        <v>0</v>
      </c>
      <c r="T24" s="36">
        <f t="shared" si="7"/>
        <v>0</v>
      </c>
      <c r="V24" s="28">
        <v>2032</v>
      </c>
    </row>
    <row r="25" spans="2:22" x14ac:dyDescent="0.2">
      <c r="B25" s="29">
        <v>12</v>
      </c>
      <c r="C25" s="4">
        <f t="shared" si="11"/>
        <v>49100</v>
      </c>
      <c r="D25" s="30">
        <v>0</v>
      </c>
      <c r="E25" s="30">
        <f t="shared" si="10"/>
        <v>0</v>
      </c>
      <c r="H25" s="37">
        <v>11</v>
      </c>
      <c r="I25" s="38">
        <v>2034</v>
      </c>
      <c r="J25" s="43">
        <f t="shared" si="13"/>
        <v>0</v>
      </c>
      <c r="K25" s="43">
        <f>L24-J25</f>
        <v>0</v>
      </c>
      <c r="L25" s="44">
        <f t="shared" si="12"/>
        <v>0</v>
      </c>
      <c r="O25" s="24"/>
      <c r="P25" s="46">
        <f>SUM(P12:P24)</f>
        <v>3300000.0000000005</v>
      </c>
      <c r="S25" s="45">
        <f t="shared" si="9"/>
        <v>0</v>
      </c>
      <c r="T25" s="36">
        <f t="shared" si="7"/>
        <v>0</v>
      </c>
      <c r="V25" s="28">
        <v>2033</v>
      </c>
    </row>
    <row r="26" spans="2:22" x14ac:dyDescent="0.2">
      <c r="B26" s="29">
        <v>13</v>
      </c>
      <c r="C26" s="4">
        <f t="shared" si="11"/>
        <v>49465</v>
      </c>
      <c r="D26" s="30">
        <v>0</v>
      </c>
      <c r="E26" s="30">
        <f t="shared" si="10"/>
        <v>0</v>
      </c>
      <c r="H26" s="37">
        <v>12</v>
      </c>
      <c r="I26" s="38">
        <v>2035</v>
      </c>
      <c r="J26" s="43">
        <f t="shared" si="13"/>
        <v>0</v>
      </c>
      <c r="K26" s="43">
        <f t="shared" si="14"/>
        <v>0</v>
      </c>
      <c r="L26" s="44">
        <f t="shared" si="12"/>
        <v>0</v>
      </c>
      <c r="O26" s="47"/>
      <c r="P26" s="48"/>
      <c r="S26" s="48"/>
      <c r="T26" s="49"/>
      <c r="V26" s="28"/>
    </row>
    <row r="27" spans="2:22" ht="13.5" thickBot="1" x14ac:dyDescent="0.25">
      <c r="B27" s="29"/>
      <c r="C27" s="4"/>
      <c r="H27" s="50">
        <v>13</v>
      </c>
      <c r="I27" s="38">
        <v>2036</v>
      </c>
      <c r="J27" s="43">
        <f t="shared" si="13"/>
        <v>0</v>
      </c>
      <c r="K27" s="43">
        <f t="shared" si="14"/>
        <v>0</v>
      </c>
      <c r="L27" s="51">
        <f t="shared" si="12"/>
        <v>0</v>
      </c>
    </row>
    <row r="28" spans="2:22" ht="13.5" thickBot="1" x14ac:dyDescent="0.25">
      <c r="C28" s="52" t="s">
        <v>2</v>
      </c>
      <c r="D28" s="53">
        <f>XNPV(D3,D13:D26,C13:C26)</f>
        <v>1149107.3978445109</v>
      </c>
      <c r="E28" s="52"/>
      <c r="H28" s="54"/>
      <c r="I28" s="38"/>
      <c r="J28" s="43"/>
      <c r="K28" s="43"/>
      <c r="L28" s="49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O29" s="35">
        <f t="shared" ref="O29:O40" si="15">-K15+J15</f>
        <v>-57777.749611511244</v>
      </c>
      <c r="P29" s="36">
        <f>+D28</f>
        <v>1149107.3978445109</v>
      </c>
      <c r="Q29" s="26" t="s">
        <v>31</v>
      </c>
      <c r="R29" s="26" t="s">
        <v>39</v>
      </c>
      <c r="S29" s="55">
        <f>+P29</f>
        <v>1149107.3978445109</v>
      </c>
      <c r="T29" s="36">
        <f>+S12</f>
        <v>3129107.3978445111</v>
      </c>
      <c r="U29" s="26" t="s">
        <v>40</v>
      </c>
      <c r="V29" s="28">
        <v>2021</v>
      </c>
    </row>
    <row r="30" spans="2:22" x14ac:dyDescent="0.2">
      <c r="H30" s="29"/>
      <c r="I30" s="56"/>
      <c r="J30" s="18" t="s">
        <v>41</v>
      </c>
      <c r="K30" s="57"/>
      <c r="L30" s="8">
        <f>(D5-D4) /365*12</f>
        <v>60</v>
      </c>
      <c r="N30" s="26" t="s">
        <v>39</v>
      </c>
      <c r="O30" s="35">
        <f t="shared" si="15"/>
        <v>-57085.667474669841</v>
      </c>
      <c r="P30" s="36">
        <f t="shared" ref="P30:P40" si="16">+P29-O29</f>
        <v>1206885.147456022</v>
      </c>
      <c r="Q30" s="26" t="s">
        <v>42</v>
      </c>
      <c r="S30" s="34"/>
      <c r="T30" s="6">
        <f>+T29-S29</f>
        <v>1980000.0000000002</v>
      </c>
      <c r="U30" s="26"/>
    </row>
    <row r="31" spans="2:22" x14ac:dyDescent="0.2">
      <c r="G31" s="7"/>
      <c r="J31" s="18" t="s">
        <v>43</v>
      </c>
      <c r="K31" s="58"/>
      <c r="L31" s="11">
        <f>D32/L30</f>
        <v>52151.789964075186</v>
      </c>
      <c r="M31" s="42"/>
      <c r="N31" s="26" t="s">
        <v>44</v>
      </c>
      <c r="O31" s="35">
        <f t="shared" si="15"/>
        <v>1263970.8149306918</v>
      </c>
      <c r="P31" s="36">
        <f t="shared" si="16"/>
        <v>1263970.8149306918</v>
      </c>
      <c r="Q31" s="26" t="s">
        <v>42</v>
      </c>
      <c r="S31" s="34"/>
    </row>
    <row r="32" spans="2:22" ht="13.5" thickBot="1" x14ac:dyDescent="0.25">
      <c r="C32" s="1" t="s">
        <v>45</v>
      </c>
      <c r="D32" s="59">
        <f>+D33+D34+D35+D36-D37</f>
        <v>3129107.3978445111</v>
      </c>
      <c r="G32" s="60"/>
      <c r="N32" s="26" t="s">
        <v>46</v>
      </c>
      <c r="O32" s="35">
        <f t="shared" si="15"/>
        <v>0</v>
      </c>
      <c r="P32" s="36">
        <f t="shared" si="16"/>
        <v>0</v>
      </c>
      <c r="Q32" s="26" t="s">
        <v>42</v>
      </c>
      <c r="S32" s="34"/>
    </row>
    <row r="33" spans="3:24" x14ac:dyDescent="0.2">
      <c r="C33" s="1" t="s">
        <v>47</v>
      </c>
      <c r="D33" s="30">
        <f>D28</f>
        <v>1149107.3978445109</v>
      </c>
      <c r="I33" s="21" t="s">
        <v>27</v>
      </c>
      <c r="J33" s="22" t="s">
        <v>30</v>
      </c>
      <c r="K33" s="22" t="s">
        <v>48</v>
      </c>
      <c r="L33" s="61" t="s">
        <v>49</v>
      </c>
      <c r="N33" s="26" t="s">
        <v>50</v>
      </c>
      <c r="O33" s="35">
        <f t="shared" si="15"/>
        <v>0</v>
      </c>
      <c r="P33" s="36">
        <f t="shared" si="16"/>
        <v>0</v>
      </c>
      <c r="S33" s="34"/>
    </row>
    <row r="34" spans="3:24" x14ac:dyDescent="0.2">
      <c r="C34" s="1" t="s">
        <v>51</v>
      </c>
      <c r="D34" s="30">
        <v>0</v>
      </c>
      <c r="E34" s="11"/>
      <c r="I34" s="62">
        <f>D4</f>
        <v>45085</v>
      </c>
      <c r="J34" s="49">
        <f>+D32</f>
        <v>3129107.3978445111</v>
      </c>
      <c r="K34" s="63">
        <v>0</v>
      </c>
      <c r="L34" s="64">
        <v>0</v>
      </c>
      <c r="N34" s="26"/>
      <c r="O34" s="35">
        <f t="shared" si="15"/>
        <v>0</v>
      </c>
      <c r="P34" s="36">
        <f t="shared" si="16"/>
        <v>0</v>
      </c>
      <c r="S34" s="47"/>
    </row>
    <row r="35" spans="3:24" x14ac:dyDescent="0.2">
      <c r="C35" s="1" t="s">
        <v>52</v>
      </c>
      <c r="D35" s="65">
        <f>D6</f>
        <v>1980000.0000000002</v>
      </c>
      <c r="E35" s="11"/>
      <c r="I35" s="62">
        <v>45473</v>
      </c>
      <c r="J35" s="49">
        <f t="shared" ref="J35:J49" si="17">J34-K35</f>
        <v>2463850.5921657877</v>
      </c>
      <c r="K35" s="49">
        <f t="shared" ref="K35:K49" si="18">L35*L$31</f>
        <v>665256.8056787235</v>
      </c>
      <c r="L35" s="66">
        <f>(I35-I34) /365*12</f>
        <v>12.756164383561645</v>
      </c>
      <c r="M35" s="10"/>
      <c r="N35" s="26"/>
      <c r="O35" s="35">
        <f t="shared" si="15"/>
        <v>0</v>
      </c>
      <c r="P35" s="36">
        <f t="shared" si="16"/>
        <v>0</v>
      </c>
      <c r="S35" s="47"/>
    </row>
    <row r="36" spans="3:24" x14ac:dyDescent="0.2">
      <c r="C36" s="1" t="s">
        <v>53</v>
      </c>
      <c r="D36" s="30">
        <v>0</v>
      </c>
      <c r="I36" s="62">
        <v>45838</v>
      </c>
      <c r="J36" s="49">
        <f t="shared" si="17"/>
        <v>1838029.1125968855</v>
      </c>
      <c r="K36" s="49">
        <f t="shared" si="18"/>
        <v>625821.47956890217</v>
      </c>
      <c r="L36" s="67">
        <f>IF(L30-SUM(L35)&lt;12,L30-SUM(L35),12)</f>
        <v>12</v>
      </c>
      <c r="N36" s="26"/>
      <c r="O36" s="35">
        <f t="shared" si="15"/>
        <v>0</v>
      </c>
      <c r="P36" s="36">
        <f t="shared" si="16"/>
        <v>0</v>
      </c>
      <c r="S36" s="47"/>
    </row>
    <row r="37" spans="3:24" x14ac:dyDescent="0.2">
      <c r="C37" s="1" t="s">
        <v>54</v>
      </c>
      <c r="D37" s="30">
        <v>0</v>
      </c>
      <c r="I37" s="62">
        <v>46203</v>
      </c>
      <c r="J37" s="49">
        <f t="shared" si="17"/>
        <v>1212207.6330279834</v>
      </c>
      <c r="K37" s="49">
        <f t="shared" si="18"/>
        <v>625821.47956890217</v>
      </c>
      <c r="L37" s="67">
        <f>IF(L30-SUM(L35:L36)&lt;12,L30-SUM(L35:L36),12)</f>
        <v>12</v>
      </c>
      <c r="N37" s="26"/>
      <c r="O37" s="35">
        <f t="shared" si="15"/>
        <v>0</v>
      </c>
      <c r="P37" s="36">
        <f t="shared" si="16"/>
        <v>0</v>
      </c>
      <c r="S37" s="47"/>
    </row>
    <row r="38" spans="3:24" x14ac:dyDescent="0.2">
      <c r="C38" s="52" t="s">
        <v>55</v>
      </c>
      <c r="E38" s="11"/>
      <c r="I38" s="62">
        <v>46568</v>
      </c>
      <c r="J38" s="49">
        <f t="shared" si="17"/>
        <v>586386.15345908119</v>
      </c>
      <c r="K38" s="49">
        <f t="shared" si="18"/>
        <v>625821.47956890217</v>
      </c>
      <c r="L38" s="67">
        <f>IF(L30-SUM(L35:L37)&lt;12,L30-SUM(L35:L37),12)</f>
        <v>12</v>
      </c>
      <c r="N38" s="26"/>
      <c r="O38" s="35">
        <f t="shared" si="15"/>
        <v>0</v>
      </c>
      <c r="P38" s="36">
        <f t="shared" si="16"/>
        <v>0</v>
      </c>
      <c r="S38" s="47"/>
    </row>
    <row r="39" spans="3:24" x14ac:dyDescent="0.2">
      <c r="I39" s="62">
        <v>46934</v>
      </c>
      <c r="J39" s="49">
        <f t="shared" si="17"/>
        <v>0</v>
      </c>
      <c r="K39" s="49">
        <f t="shared" si="18"/>
        <v>586386.15345908084</v>
      </c>
      <c r="L39" s="67">
        <f>IF(L30-SUM(L35:L38)&lt;12,L30-SUM(L35:L38),12)</f>
        <v>11.243835616438353</v>
      </c>
      <c r="N39" s="26"/>
      <c r="O39" s="35">
        <f t="shared" si="15"/>
        <v>0</v>
      </c>
      <c r="P39" s="36">
        <f t="shared" si="16"/>
        <v>0</v>
      </c>
      <c r="S39" s="47"/>
    </row>
    <row r="40" spans="3:24" x14ac:dyDescent="0.2">
      <c r="I40" s="62">
        <v>47299</v>
      </c>
      <c r="J40" s="49">
        <f t="shared" si="17"/>
        <v>0</v>
      </c>
      <c r="K40" s="49">
        <f t="shared" si="18"/>
        <v>0</v>
      </c>
      <c r="L40" s="68">
        <f>IF(L30-SUM(L35:L39)&lt;12,L30-SUM(L35:L39),12)</f>
        <v>0</v>
      </c>
      <c r="N40" s="26"/>
      <c r="O40" s="35">
        <f t="shared" si="15"/>
        <v>0</v>
      </c>
      <c r="P40" s="36">
        <f t="shared" si="16"/>
        <v>0</v>
      </c>
    </row>
    <row r="41" spans="3:24" x14ac:dyDescent="0.2">
      <c r="I41" s="62">
        <v>47664</v>
      </c>
      <c r="J41" s="49">
        <f t="shared" si="17"/>
        <v>0</v>
      </c>
      <c r="K41" s="49">
        <f t="shared" si="18"/>
        <v>0</v>
      </c>
      <c r="L41" s="67">
        <f>IF(L30-SUM(L35:L40)&lt;12,L30-SUM(L35:L40),12)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69"/>
      <c r="D42" s="69"/>
      <c r="E42" s="69" t="s">
        <v>58</v>
      </c>
      <c r="I42" s="62">
        <v>48029</v>
      </c>
      <c r="J42" s="49">
        <f t="shared" si="17"/>
        <v>0</v>
      </c>
      <c r="K42" s="49">
        <f t="shared" si="18"/>
        <v>0</v>
      </c>
      <c r="L42" s="67">
        <f>IF(L30-SUM(L35:L41)&lt;12,L30-SUM(L35:L41),12)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70"/>
      <c r="D43" s="71" t="s">
        <v>60</v>
      </c>
      <c r="E43" s="71" t="s">
        <v>61</v>
      </c>
      <c r="I43" s="62">
        <v>48395</v>
      </c>
      <c r="J43" s="49">
        <f t="shared" si="17"/>
        <v>0</v>
      </c>
      <c r="K43" s="49">
        <f t="shared" si="18"/>
        <v>0</v>
      </c>
      <c r="L43" s="67">
        <f>IF(L30-SUM(L35:L42)&lt;12,L30-SUM(L35:L42),12)</f>
        <v>0</v>
      </c>
      <c r="N43" s="26" t="s">
        <v>62</v>
      </c>
      <c r="O43" s="72">
        <f t="shared" ref="O43:O50" si="19">+P12</f>
        <v>1980000.0000000002</v>
      </c>
      <c r="P43" s="73"/>
      <c r="R43" s="26" t="s">
        <v>39</v>
      </c>
      <c r="S43" s="74">
        <f t="shared" ref="S43:S55" si="20">K15</f>
        <v>57777.749611511244</v>
      </c>
      <c r="T43" s="75"/>
      <c r="U43" s="28">
        <v>2021</v>
      </c>
      <c r="V43" s="26" t="s">
        <v>63</v>
      </c>
      <c r="W43" s="27">
        <f t="shared" ref="W43:W55" si="21">K35</f>
        <v>665256.8056787235</v>
      </c>
      <c r="X43" s="6"/>
    </row>
    <row r="44" spans="3:24" x14ac:dyDescent="0.2">
      <c r="C44" s="71" t="s">
        <v>69</v>
      </c>
      <c r="D44" s="76">
        <f>D32</f>
        <v>3129107.3978445111</v>
      </c>
      <c r="E44" s="76"/>
      <c r="I44" s="62">
        <v>48760</v>
      </c>
      <c r="J44" s="49">
        <f t="shared" si="17"/>
        <v>0</v>
      </c>
      <c r="K44" s="49">
        <f t="shared" si="18"/>
        <v>0</v>
      </c>
      <c r="L44" s="67">
        <f>IF(L30-SUM(L35:L43)&lt;12,L30-SUM(L35:L43),12)</f>
        <v>0</v>
      </c>
      <c r="O44" s="72">
        <f t="shared" si="19"/>
        <v>0</v>
      </c>
      <c r="P44" s="73"/>
      <c r="R44" s="26" t="s">
        <v>44</v>
      </c>
      <c r="S44" s="77">
        <f t="shared" si="20"/>
        <v>57085.667474669841</v>
      </c>
      <c r="T44" s="47"/>
      <c r="U44" s="28">
        <v>2022</v>
      </c>
      <c r="V44" s="26" t="s">
        <v>64</v>
      </c>
      <c r="W44" s="78">
        <f t="shared" si="21"/>
        <v>625821.47956890217</v>
      </c>
    </row>
    <row r="45" spans="3:24" x14ac:dyDescent="0.2">
      <c r="C45" s="71" t="s">
        <v>70</v>
      </c>
      <c r="D45" s="76"/>
      <c r="E45" s="76">
        <f>D33</f>
        <v>1149107.3978445109</v>
      </c>
      <c r="I45" s="62">
        <v>49125</v>
      </c>
      <c r="J45" s="49">
        <f t="shared" si="17"/>
        <v>0</v>
      </c>
      <c r="K45" s="49">
        <f t="shared" si="18"/>
        <v>0</v>
      </c>
      <c r="L45" s="67">
        <f>IF(L30-SUM(L35:L44)&lt;12,L30-SUM(L35:L44),12)</f>
        <v>0</v>
      </c>
      <c r="O45" s="72">
        <f t="shared" si="19"/>
        <v>0</v>
      </c>
      <c r="P45" s="73"/>
      <c r="R45" s="26" t="s">
        <v>46</v>
      </c>
      <c r="S45" s="77">
        <f t="shared" si="20"/>
        <v>56029.185069308383</v>
      </c>
      <c r="T45" s="47"/>
      <c r="U45" s="28">
        <v>2023</v>
      </c>
      <c r="V45" s="26" t="s">
        <v>65</v>
      </c>
      <c r="W45" s="78">
        <f t="shared" si="21"/>
        <v>625821.47956890217</v>
      </c>
    </row>
    <row r="46" spans="3:24" x14ac:dyDescent="0.2">
      <c r="C46" s="71" t="s">
        <v>71</v>
      </c>
      <c r="D46" s="76"/>
      <c r="E46" s="76">
        <f>D35</f>
        <v>1980000.0000000002</v>
      </c>
      <c r="I46" s="62">
        <v>49490</v>
      </c>
      <c r="J46" s="49">
        <f t="shared" si="17"/>
        <v>0</v>
      </c>
      <c r="K46" s="49">
        <f t="shared" si="18"/>
        <v>0</v>
      </c>
      <c r="L46" s="67">
        <f>IF(L30-SUM(L35:L45)&lt;12,L30-SUM(L35:L45),12)</f>
        <v>0</v>
      </c>
      <c r="O46" s="72">
        <f t="shared" si="19"/>
        <v>1320000.0000000002</v>
      </c>
      <c r="P46" s="73"/>
      <c r="R46" s="26" t="s">
        <v>50</v>
      </c>
      <c r="S46" s="77">
        <f t="shared" si="20"/>
        <v>0</v>
      </c>
      <c r="T46" s="47"/>
      <c r="U46" s="28">
        <v>2024</v>
      </c>
      <c r="V46" s="26" t="s">
        <v>66</v>
      </c>
      <c r="W46" s="78">
        <f t="shared" si="21"/>
        <v>625821.47956890217</v>
      </c>
    </row>
    <row r="47" spans="3:24" x14ac:dyDescent="0.2">
      <c r="C47" s="71" t="s">
        <v>67</v>
      </c>
      <c r="D47" s="79">
        <f>D44+D45+D46</f>
        <v>3129107.3978445111</v>
      </c>
      <c r="E47" s="79">
        <f>E45+E46</f>
        <v>3129107.3978445111</v>
      </c>
      <c r="I47" s="62">
        <v>49856</v>
      </c>
      <c r="J47" s="49">
        <f t="shared" si="17"/>
        <v>0</v>
      </c>
      <c r="K47" s="49">
        <f t="shared" si="18"/>
        <v>0</v>
      </c>
      <c r="L47" s="67">
        <f>IF(L30-SUM(L35:L46)&lt;12,L30-SUM(L35:L46),12)</f>
        <v>0</v>
      </c>
      <c r="O47" s="72">
        <f t="shared" si="19"/>
        <v>0</v>
      </c>
      <c r="P47" s="73"/>
      <c r="S47" s="77">
        <f t="shared" si="20"/>
        <v>0</v>
      </c>
      <c r="T47" s="47"/>
      <c r="U47" s="28">
        <v>2025</v>
      </c>
      <c r="W47" s="78">
        <f t="shared" si="21"/>
        <v>586386.15345908084</v>
      </c>
    </row>
    <row r="48" spans="3:24" x14ac:dyDescent="0.2">
      <c r="E48" s="80"/>
      <c r="I48" s="62">
        <v>50221</v>
      </c>
      <c r="J48" s="49">
        <f t="shared" si="17"/>
        <v>0</v>
      </c>
      <c r="K48" s="49">
        <f t="shared" si="18"/>
        <v>0</v>
      </c>
      <c r="L48" s="67">
        <f>IF(L30-SUM(L35:L47)&lt;12,L30-SUM(L35:L47),12)</f>
        <v>0</v>
      </c>
      <c r="O48" s="72">
        <f t="shared" si="19"/>
        <v>0</v>
      </c>
      <c r="P48" s="73"/>
      <c r="S48" s="77">
        <f t="shared" si="20"/>
        <v>0</v>
      </c>
      <c r="T48" s="47"/>
      <c r="U48" s="28">
        <v>2026</v>
      </c>
      <c r="W48" s="78">
        <f t="shared" si="21"/>
        <v>0</v>
      </c>
      <c r="X48" s="47"/>
    </row>
    <row r="49" spans="5:24" ht="13.5" thickBot="1" x14ac:dyDescent="0.25">
      <c r="E49" s="80"/>
      <c r="I49" s="62">
        <v>50586</v>
      </c>
      <c r="J49" s="81">
        <f t="shared" si="17"/>
        <v>0</v>
      </c>
      <c r="K49" s="81">
        <f t="shared" si="18"/>
        <v>0</v>
      </c>
      <c r="L49" s="82">
        <f>IF(L30-SUM(L35:L48)&lt;12,L30-SUM(L35:L48),12)</f>
        <v>0</v>
      </c>
      <c r="O49" s="72">
        <f t="shared" si="19"/>
        <v>0</v>
      </c>
      <c r="P49" s="73"/>
      <c r="S49" s="77">
        <f t="shared" si="20"/>
        <v>0</v>
      </c>
      <c r="T49" s="47"/>
      <c r="U49" s="28">
        <v>2027</v>
      </c>
      <c r="W49" s="78">
        <f t="shared" si="21"/>
        <v>0</v>
      </c>
      <c r="X49" s="47"/>
    </row>
    <row r="50" spans="5:24" x14ac:dyDescent="0.2">
      <c r="E50" s="80"/>
      <c r="O50" s="83">
        <f t="shared" si="19"/>
        <v>0</v>
      </c>
      <c r="P50" s="73"/>
      <c r="S50" s="77">
        <f t="shared" si="20"/>
        <v>0</v>
      </c>
      <c r="T50" s="47"/>
      <c r="U50" s="28">
        <v>2028</v>
      </c>
      <c r="W50" s="78">
        <f t="shared" si="21"/>
        <v>0</v>
      </c>
      <c r="X50" s="47"/>
    </row>
    <row r="51" spans="5:24" x14ac:dyDescent="0.2">
      <c r="E51" s="80"/>
      <c r="S51" s="77">
        <f t="shared" si="20"/>
        <v>0</v>
      </c>
      <c r="T51" s="47"/>
      <c r="U51" s="28">
        <v>2029</v>
      </c>
      <c r="W51" s="78">
        <f t="shared" si="21"/>
        <v>0</v>
      </c>
      <c r="X51" s="47"/>
    </row>
    <row r="52" spans="5:24" x14ac:dyDescent="0.2">
      <c r="S52" s="77">
        <f t="shared" si="20"/>
        <v>0</v>
      </c>
      <c r="T52" s="47"/>
      <c r="U52" s="28">
        <v>2030</v>
      </c>
      <c r="W52" s="78">
        <f t="shared" si="21"/>
        <v>0</v>
      </c>
      <c r="X52" s="47"/>
    </row>
    <row r="53" spans="5:24" x14ac:dyDescent="0.2">
      <c r="S53" s="77">
        <f t="shared" si="20"/>
        <v>0</v>
      </c>
      <c r="T53" s="47"/>
      <c r="U53" s="28">
        <v>2031</v>
      </c>
      <c r="W53" s="78">
        <f t="shared" si="21"/>
        <v>0</v>
      </c>
      <c r="X53" s="47"/>
    </row>
    <row r="54" spans="5:24" x14ac:dyDescent="0.2">
      <c r="S54" s="77">
        <f t="shared" si="20"/>
        <v>0</v>
      </c>
      <c r="T54" s="47"/>
      <c r="U54" s="28">
        <v>2032</v>
      </c>
      <c r="W54" s="78">
        <f t="shared" si="21"/>
        <v>0</v>
      </c>
      <c r="X54" s="47"/>
    </row>
    <row r="55" spans="5:24" x14ac:dyDescent="0.2">
      <c r="S55" s="77">
        <f t="shared" si="20"/>
        <v>0</v>
      </c>
      <c r="T55" s="47"/>
      <c r="U55" s="28">
        <v>2033</v>
      </c>
      <c r="W55" s="78">
        <f t="shared" si="21"/>
        <v>0</v>
      </c>
      <c r="X55" s="47"/>
    </row>
    <row r="56" spans="5:24" x14ac:dyDescent="0.2">
      <c r="S56" s="46">
        <f>SUM(S43:S55)</f>
        <v>170892.60215548947</v>
      </c>
      <c r="T56" s="75"/>
      <c r="W56" s="74">
        <f>SUM(W43:W55)</f>
        <v>3129107.3978445111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zoomScaleNormal="100" workbookViewId="0">
      <selection activeCell="D29" sqref="D29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5.140625" style="1" customWidth="1"/>
    <col min="7" max="7" width="12.140625" style="1" customWidth="1"/>
    <col min="8" max="8" width="5.85546875" style="1" bestFit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4.570312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74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5">
        <v>40000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0">
        <f>E2*1.1</f>
        <v>44000</v>
      </c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45085</v>
      </c>
      <c r="E4" s="10">
        <f>E3*36</f>
        <v>1584000</v>
      </c>
      <c r="G4" s="11"/>
      <c r="I4" s="4">
        <v>45107</v>
      </c>
      <c r="J4" s="6">
        <v>0</v>
      </c>
      <c r="K4" s="7">
        <v>0</v>
      </c>
      <c r="L4" s="8">
        <f t="shared" ref="L4" si="0">K34</f>
        <v>0</v>
      </c>
      <c r="M4" s="7">
        <v>0</v>
      </c>
      <c r="O4" s="6">
        <v>0</v>
      </c>
      <c r="P4" s="6">
        <v>0</v>
      </c>
    </row>
    <row r="5" spans="2:22" x14ac:dyDescent="0.2">
      <c r="C5" s="1" t="s">
        <v>11</v>
      </c>
      <c r="D5" s="12">
        <v>46910</v>
      </c>
      <c r="E5" s="84">
        <f>E3*60</f>
        <v>2640000</v>
      </c>
      <c r="F5" s="85"/>
      <c r="G5" s="85"/>
      <c r="H5" s="85"/>
      <c r="I5" s="4">
        <v>45473</v>
      </c>
      <c r="J5" s="6">
        <f>J35</f>
        <v>1971080.4737326298</v>
      </c>
      <c r="K5" s="7">
        <f>L15</f>
        <v>965508.11796481756</v>
      </c>
      <c r="L5" s="8">
        <f>K35</f>
        <v>532205.44454297877</v>
      </c>
      <c r="M5" s="7">
        <f>K15</f>
        <v>46222.199689208988</v>
      </c>
      <c r="N5" s="7">
        <f>J15</f>
        <v>0</v>
      </c>
      <c r="O5" s="10">
        <v>0</v>
      </c>
      <c r="P5" s="6"/>
    </row>
    <row r="6" spans="2:22" x14ac:dyDescent="0.2">
      <c r="C6" s="1" t="s">
        <v>12</v>
      </c>
      <c r="D6" s="10">
        <v>1584000</v>
      </c>
      <c r="E6" s="86"/>
      <c r="F6" s="85"/>
      <c r="G6" s="86"/>
      <c r="H6" s="85"/>
      <c r="I6" s="4">
        <v>45838</v>
      </c>
      <c r="J6" s="6">
        <f>J36</f>
        <v>1470423.290077508</v>
      </c>
      <c r="K6" s="7">
        <f t="shared" ref="K6:K9" si="1">L16</f>
        <v>1011176.6519445535</v>
      </c>
      <c r="L6" s="8">
        <f t="shared" ref="L6:L10" si="2">K36</f>
        <v>500657.18365512171</v>
      </c>
      <c r="M6" s="7">
        <f t="shared" ref="M6:M10" si="3">K16</f>
        <v>45668.533979735876</v>
      </c>
      <c r="N6" s="7">
        <f t="shared" ref="N6:N10" si="4">J16</f>
        <v>0</v>
      </c>
      <c r="O6" s="10">
        <v>0</v>
      </c>
    </row>
    <row r="7" spans="2:22" x14ac:dyDescent="0.2">
      <c r="C7" s="1" t="s">
        <v>13</v>
      </c>
      <c r="D7" s="10">
        <v>2640000</v>
      </c>
      <c r="E7" s="14"/>
      <c r="G7" s="11"/>
      <c r="I7" s="4">
        <v>46203</v>
      </c>
      <c r="J7" s="6">
        <f t="shared" ref="J7:J10" si="5">J37</f>
        <v>969766.10642238625</v>
      </c>
      <c r="K7" s="7">
        <f t="shared" si="1"/>
        <v>0</v>
      </c>
      <c r="L7" s="8">
        <f t="shared" si="2"/>
        <v>500657.18365512171</v>
      </c>
      <c r="M7" s="7">
        <f t="shared" si="3"/>
        <v>44823.34805544652</v>
      </c>
      <c r="N7" s="7">
        <f>J17</f>
        <v>1056000</v>
      </c>
    </row>
    <row r="8" spans="2:22" x14ac:dyDescent="0.2">
      <c r="C8" s="1" t="s">
        <v>14</v>
      </c>
      <c r="D8" s="12">
        <f>D4</f>
        <v>45085</v>
      </c>
      <c r="E8" s="15"/>
      <c r="I8" s="4">
        <v>46568</v>
      </c>
      <c r="J8" s="6">
        <f t="shared" si="5"/>
        <v>469108.92276726454</v>
      </c>
      <c r="K8" s="7">
        <f t="shared" si="1"/>
        <v>0</v>
      </c>
      <c r="L8" s="8">
        <f t="shared" si="2"/>
        <v>500657.18365512171</v>
      </c>
      <c r="M8" s="7">
        <f t="shared" si="3"/>
        <v>0</v>
      </c>
      <c r="N8" s="7">
        <f t="shared" si="4"/>
        <v>0</v>
      </c>
    </row>
    <row r="9" spans="2:22" x14ac:dyDescent="0.2">
      <c r="C9" s="1" t="s">
        <v>15</v>
      </c>
      <c r="D9" s="16">
        <v>0</v>
      </c>
      <c r="E9" s="11"/>
      <c r="I9" s="4">
        <v>46934</v>
      </c>
      <c r="J9" s="6">
        <f t="shared" si="5"/>
        <v>0</v>
      </c>
      <c r="K9" s="7">
        <f t="shared" si="1"/>
        <v>0</v>
      </c>
      <c r="L9" s="8">
        <f t="shared" si="2"/>
        <v>469108.92276726459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5"/>
        <v>0</v>
      </c>
      <c r="K10" s="7">
        <f t="shared" ref="K10" si="6">L21</f>
        <v>0</v>
      </c>
      <c r="L10" s="8">
        <f t="shared" si="2"/>
        <v>0</v>
      </c>
      <c r="M10" s="7">
        <f t="shared" si="3"/>
        <v>0</v>
      </c>
      <c r="N10" s="7">
        <f t="shared" si="4"/>
        <v>0</v>
      </c>
    </row>
    <row r="11" spans="2:22" ht="13.5" thickBot="1" x14ac:dyDescent="0.25"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21" t="s">
        <v>23</v>
      </c>
      <c r="I12" s="22"/>
      <c r="J12" s="22"/>
      <c r="K12" s="22"/>
      <c r="L12" s="23"/>
      <c r="O12" s="24"/>
      <c r="P12" s="25">
        <f>+D6</f>
        <v>1584000</v>
      </c>
      <c r="Q12" s="26" t="s">
        <v>24</v>
      </c>
      <c r="R12" s="26" t="s">
        <v>25</v>
      </c>
      <c r="S12" s="27">
        <f>+D32</f>
        <v>2503285.9182756087</v>
      </c>
      <c r="T12" s="6">
        <f t="shared" ref="T12:T25" si="7">+K35</f>
        <v>532205.44454297877</v>
      </c>
      <c r="U12" s="26" t="s">
        <v>26</v>
      </c>
      <c r="V12" s="28"/>
    </row>
    <row r="13" spans="2:22" x14ac:dyDescent="0.2">
      <c r="B13" s="29">
        <v>0</v>
      </c>
      <c r="C13" s="4">
        <f>D4</f>
        <v>45085</v>
      </c>
      <c r="D13" s="30">
        <v>0</v>
      </c>
      <c r="E13" s="30"/>
      <c r="H13" s="31" t="s">
        <v>19</v>
      </c>
      <c r="I13" s="32" t="s">
        <v>27</v>
      </c>
      <c r="J13" s="32" t="s">
        <v>28</v>
      </c>
      <c r="K13" s="32" t="s">
        <v>29</v>
      </c>
      <c r="L13" s="33" t="s">
        <v>30</v>
      </c>
      <c r="O13" s="34"/>
      <c r="P13" s="7">
        <f t="shared" ref="P13:P24" si="8">J15</f>
        <v>0</v>
      </c>
      <c r="Q13" s="26" t="s">
        <v>31</v>
      </c>
      <c r="R13" s="26" t="s">
        <v>32</v>
      </c>
      <c r="S13" s="35">
        <f t="shared" ref="S13:S25" si="9">+S12-T12</f>
        <v>1971080.4737326298</v>
      </c>
      <c r="T13" s="36">
        <f t="shared" si="7"/>
        <v>500657.18365512171</v>
      </c>
      <c r="U13" s="26" t="s">
        <v>33</v>
      </c>
      <c r="V13" s="28">
        <v>2021</v>
      </c>
    </row>
    <row r="14" spans="2:22" x14ac:dyDescent="0.2">
      <c r="B14" s="29">
        <v>1</v>
      </c>
      <c r="C14" s="4">
        <f>D8</f>
        <v>45085</v>
      </c>
      <c r="D14" s="30">
        <v>0</v>
      </c>
      <c r="E14" s="30">
        <f t="shared" ref="E14:E26" si="10">+D14*(1+$D$3)</f>
        <v>0</v>
      </c>
      <c r="H14" s="37">
        <v>0</v>
      </c>
      <c r="I14" s="38"/>
      <c r="J14" s="39"/>
      <c r="K14" s="40"/>
      <c r="L14" s="41">
        <f>D28</f>
        <v>919285.91827560856</v>
      </c>
      <c r="N14" s="42"/>
      <c r="O14" s="34"/>
      <c r="P14" s="7">
        <f t="shared" si="8"/>
        <v>0</v>
      </c>
      <c r="Q14" s="26" t="s">
        <v>34</v>
      </c>
      <c r="R14" s="26" t="s">
        <v>32</v>
      </c>
      <c r="S14" s="35">
        <f t="shared" si="9"/>
        <v>1470423.290077508</v>
      </c>
      <c r="T14" s="36">
        <f t="shared" si="7"/>
        <v>500657.18365512171</v>
      </c>
      <c r="U14" s="26" t="s">
        <v>35</v>
      </c>
      <c r="V14" s="28">
        <v>2022</v>
      </c>
    </row>
    <row r="15" spans="2:22" x14ac:dyDescent="0.2">
      <c r="B15" s="29">
        <v>2</v>
      </c>
      <c r="C15" s="4">
        <f t="shared" ref="C15:C26" si="11">C14+365</f>
        <v>45450</v>
      </c>
      <c r="D15" s="30">
        <v>0</v>
      </c>
      <c r="E15" s="30">
        <f t="shared" si="10"/>
        <v>0</v>
      </c>
      <c r="H15" s="37">
        <v>1</v>
      </c>
      <c r="I15" s="38">
        <v>2024</v>
      </c>
      <c r="J15" s="43"/>
      <c r="K15" s="43">
        <f>(L14-J15)*D$3*L35/12</f>
        <v>46222.199689208988</v>
      </c>
      <c r="L15" s="44">
        <f>L14-J15+K15</f>
        <v>965508.11796481756</v>
      </c>
      <c r="M15" s="11">
        <f>K15/L35</f>
        <v>3623.5186612030238</v>
      </c>
      <c r="O15" s="34"/>
      <c r="P15" s="7">
        <f t="shared" si="8"/>
        <v>1056000</v>
      </c>
      <c r="Q15" s="26" t="s">
        <v>36</v>
      </c>
      <c r="R15" s="26" t="s">
        <v>32</v>
      </c>
      <c r="S15" s="35">
        <f t="shared" si="9"/>
        <v>969766.10642238625</v>
      </c>
      <c r="T15" s="36">
        <f t="shared" si="7"/>
        <v>500657.18365512171</v>
      </c>
      <c r="U15" s="26" t="s">
        <v>37</v>
      </c>
      <c r="V15" s="28">
        <v>2023</v>
      </c>
    </row>
    <row r="16" spans="2:22" x14ac:dyDescent="0.2">
      <c r="B16" s="29">
        <v>3</v>
      </c>
      <c r="C16" s="4">
        <f t="shared" si="11"/>
        <v>45815</v>
      </c>
      <c r="D16" s="30">
        <v>0</v>
      </c>
      <c r="E16" s="30">
        <f t="shared" si="10"/>
        <v>0</v>
      </c>
      <c r="H16" s="37">
        <f>+H15+1</f>
        <v>2</v>
      </c>
      <c r="I16" s="38">
        <v>2025</v>
      </c>
      <c r="J16" s="43">
        <f>D14</f>
        <v>0</v>
      </c>
      <c r="K16" s="43">
        <f>(L15-J16)*D$3</f>
        <v>45668.533979735876</v>
      </c>
      <c r="L16" s="44">
        <f t="shared" ref="L16:L27" si="12">L15-J16+K16</f>
        <v>1011176.6519445535</v>
      </c>
      <c r="O16" s="34"/>
      <c r="P16" s="7">
        <f t="shared" si="8"/>
        <v>0</v>
      </c>
      <c r="Q16" s="26" t="s">
        <v>38</v>
      </c>
      <c r="R16" s="26"/>
      <c r="S16" s="35">
        <f t="shared" si="9"/>
        <v>469108.92276726454</v>
      </c>
      <c r="T16" s="36">
        <f t="shared" si="7"/>
        <v>469108.92276726459</v>
      </c>
      <c r="V16" s="28">
        <v>2024</v>
      </c>
    </row>
    <row r="17" spans="2:22" x14ac:dyDescent="0.2">
      <c r="B17" s="29">
        <v>4</v>
      </c>
      <c r="C17" s="4">
        <f t="shared" si="11"/>
        <v>46180</v>
      </c>
      <c r="D17" s="30">
        <f>D7-D6</f>
        <v>1056000</v>
      </c>
      <c r="E17" s="30">
        <f t="shared" si="10"/>
        <v>1105948.7999999998</v>
      </c>
      <c r="H17" s="37">
        <f>+H16+1</f>
        <v>3</v>
      </c>
      <c r="I17" s="38">
        <v>2026</v>
      </c>
      <c r="J17" s="43">
        <f>D17</f>
        <v>1056000</v>
      </c>
      <c r="K17" s="43">
        <f>J17-L16</f>
        <v>44823.34805544652</v>
      </c>
      <c r="L17" s="44">
        <f t="shared" si="12"/>
        <v>0</v>
      </c>
      <c r="O17" s="34"/>
      <c r="P17" s="7">
        <f t="shared" si="8"/>
        <v>0</v>
      </c>
      <c r="S17" s="35">
        <f t="shared" si="9"/>
        <v>0</v>
      </c>
      <c r="T17" s="36">
        <f t="shared" si="7"/>
        <v>0</v>
      </c>
      <c r="V17" s="28">
        <v>2025</v>
      </c>
    </row>
    <row r="18" spans="2:22" x14ac:dyDescent="0.2">
      <c r="B18" s="29">
        <v>5</v>
      </c>
      <c r="C18" s="4">
        <f t="shared" si="11"/>
        <v>46545</v>
      </c>
      <c r="D18" s="30">
        <v>0</v>
      </c>
      <c r="E18" s="30">
        <f t="shared" si="10"/>
        <v>0</v>
      </c>
      <c r="F18" s="10"/>
      <c r="H18" s="37">
        <v>4</v>
      </c>
      <c r="I18" s="38">
        <v>2027</v>
      </c>
      <c r="J18" s="43">
        <f t="shared" ref="J18:J27" si="13">D16</f>
        <v>0</v>
      </c>
      <c r="K18" s="43">
        <f>J18-L17</f>
        <v>0</v>
      </c>
      <c r="L18" s="44">
        <f t="shared" si="12"/>
        <v>0</v>
      </c>
      <c r="O18" s="34"/>
      <c r="P18" s="7">
        <f t="shared" si="8"/>
        <v>0</v>
      </c>
      <c r="S18" s="45">
        <f t="shared" si="9"/>
        <v>0</v>
      </c>
      <c r="T18" s="36">
        <f t="shared" si="7"/>
        <v>0</v>
      </c>
      <c r="V18" s="28">
        <v>2026</v>
      </c>
    </row>
    <row r="19" spans="2:22" x14ac:dyDescent="0.2">
      <c r="B19" s="29">
        <v>6</v>
      </c>
      <c r="C19" s="4">
        <f t="shared" si="11"/>
        <v>46910</v>
      </c>
      <c r="D19" s="30">
        <v>0</v>
      </c>
      <c r="E19" s="30">
        <f t="shared" si="10"/>
        <v>0</v>
      </c>
      <c r="H19" s="37">
        <v>5</v>
      </c>
      <c r="I19" s="38">
        <v>2028</v>
      </c>
      <c r="J19" s="43">
        <v>0</v>
      </c>
      <c r="K19" s="43">
        <f>J19-L18</f>
        <v>0</v>
      </c>
      <c r="L19" s="44">
        <f t="shared" si="12"/>
        <v>0</v>
      </c>
      <c r="O19" s="34"/>
      <c r="P19" s="7">
        <f t="shared" si="8"/>
        <v>0</v>
      </c>
      <c r="S19" s="45">
        <f t="shared" si="9"/>
        <v>0</v>
      </c>
      <c r="T19" s="36">
        <f t="shared" si="7"/>
        <v>0</v>
      </c>
      <c r="V19" s="28">
        <v>2027</v>
      </c>
    </row>
    <row r="20" spans="2:22" x14ac:dyDescent="0.2">
      <c r="B20" s="29">
        <v>7</v>
      </c>
      <c r="C20" s="4">
        <f t="shared" si="11"/>
        <v>47275</v>
      </c>
      <c r="D20" s="30">
        <v>0</v>
      </c>
      <c r="E20" s="30">
        <f t="shared" si="10"/>
        <v>0</v>
      </c>
      <c r="H20" s="37">
        <v>6</v>
      </c>
      <c r="I20" s="38">
        <v>2029</v>
      </c>
      <c r="J20" s="43">
        <f t="shared" si="13"/>
        <v>0</v>
      </c>
      <c r="K20" s="43">
        <f t="shared" ref="K20:K27" si="14">L19-J20</f>
        <v>0</v>
      </c>
      <c r="L20" s="44">
        <f t="shared" si="12"/>
        <v>0</v>
      </c>
      <c r="O20" s="34"/>
      <c r="P20" s="7">
        <f t="shared" si="8"/>
        <v>0</v>
      </c>
      <c r="S20" s="45">
        <f t="shared" si="9"/>
        <v>0</v>
      </c>
      <c r="T20" s="36">
        <f t="shared" si="7"/>
        <v>0</v>
      </c>
      <c r="V20" s="28">
        <v>2028</v>
      </c>
    </row>
    <row r="21" spans="2:22" x14ac:dyDescent="0.2">
      <c r="B21" s="29">
        <v>8</v>
      </c>
      <c r="C21" s="4">
        <f t="shared" si="11"/>
        <v>47640</v>
      </c>
      <c r="D21" s="30">
        <v>0</v>
      </c>
      <c r="E21" s="30">
        <f t="shared" si="10"/>
        <v>0</v>
      </c>
      <c r="H21" s="37">
        <v>7</v>
      </c>
      <c r="I21" s="38">
        <v>2030</v>
      </c>
      <c r="J21" s="43">
        <f t="shared" si="13"/>
        <v>0</v>
      </c>
      <c r="K21" s="43">
        <f t="shared" si="14"/>
        <v>0</v>
      </c>
      <c r="L21" s="44">
        <f t="shared" si="12"/>
        <v>0</v>
      </c>
      <c r="O21" s="34"/>
      <c r="P21" s="7">
        <f t="shared" si="8"/>
        <v>0</v>
      </c>
      <c r="S21" s="45">
        <f t="shared" si="9"/>
        <v>0</v>
      </c>
      <c r="T21" s="36">
        <f t="shared" si="7"/>
        <v>0</v>
      </c>
      <c r="V21" s="28">
        <v>2029</v>
      </c>
    </row>
    <row r="22" spans="2:22" x14ac:dyDescent="0.2">
      <c r="B22" s="29">
        <v>9</v>
      </c>
      <c r="C22" s="4">
        <f t="shared" si="11"/>
        <v>48005</v>
      </c>
      <c r="D22" s="30">
        <v>0</v>
      </c>
      <c r="E22" s="30">
        <f t="shared" si="10"/>
        <v>0</v>
      </c>
      <c r="H22" s="37">
        <v>8</v>
      </c>
      <c r="I22" s="38">
        <v>2031</v>
      </c>
      <c r="J22" s="43">
        <f t="shared" si="13"/>
        <v>0</v>
      </c>
      <c r="K22" s="43">
        <f t="shared" si="14"/>
        <v>0</v>
      </c>
      <c r="L22" s="44">
        <f t="shared" si="12"/>
        <v>0</v>
      </c>
      <c r="O22" s="34"/>
      <c r="P22" s="7">
        <f t="shared" si="8"/>
        <v>0</v>
      </c>
      <c r="S22" s="45">
        <f t="shared" si="9"/>
        <v>0</v>
      </c>
      <c r="T22" s="36">
        <f t="shared" si="7"/>
        <v>0</v>
      </c>
      <c r="V22" s="28">
        <v>2030</v>
      </c>
    </row>
    <row r="23" spans="2:22" x14ac:dyDescent="0.2">
      <c r="B23" s="29">
        <v>10</v>
      </c>
      <c r="C23" s="4">
        <f t="shared" si="11"/>
        <v>48370</v>
      </c>
      <c r="D23" s="30">
        <v>0</v>
      </c>
      <c r="E23" s="30">
        <f t="shared" si="10"/>
        <v>0</v>
      </c>
      <c r="H23" s="37">
        <v>9</v>
      </c>
      <c r="I23" s="38">
        <v>2032</v>
      </c>
      <c r="J23" s="43">
        <f t="shared" si="13"/>
        <v>0</v>
      </c>
      <c r="K23" s="43">
        <f t="shared" si="14"/>
        <v>0</v>
      </c>
      <c r="L23" s="44">
        <f t="shared" si="12"/>
        <v>0</v>
      </c>
      <c r="O23" s="34"/>
      <c r="P23" s="7">
        <f t="shared" si="8"/>
        <v>0</v>
      </c>
      <c r="S23" s="45">
        <f t="shared" si="9"/>
        <v>0</v>
      </c>
      <c r="T23" s="36">
        <f t="shared" si="7"/>
        <v>0</v>
      </c>
      <c r="V23" s="28">
        <v>2031</v>
      </c>
    </row>
    <row r="24" spans="2:22" x14ac:dyDescent="0.2">
      <c r="B24" s="29">
        <v>11</v>
      </c>
      <c r="C24" s="4">
        <f t="shared" si="11"/>
        <v>48735</v>
      </c>
      <c r="D24" s="30">
        <v>0</v>
      </c>
      <c r="E24" s="30">
        <f t="shared" si="10"/>
        <v>0</v>
      </c>
      <c r="H24" s="37">
        <v>10</v>
      </c>
      <c r="I24" s="38">
        <v>2033</v>
      </c>
      <c r="J24" s="43">
        <f t="shared" si="13"/>
        <v>0</v>
      </c>
      <c r="K24" s="43">
        <f t="shared" si="14"/>
        <v>0</v>
      </c>
      <c r="L24" s="44">
        <f t="shared" si="12"/>
        <v>0</v>
      </c>
      <c r="O24" s="34"/>
      <c r="P24" s="7">
        <f t="shared" si="8"/>
        <v>0</v>
      </c>
      <c r="S24" s="45">
        <f t="shared" si="9"/>
        <v>0</v>
      </c>
      <c r="T24" s="36">
        <f t="shared" si="7"/>
        <v>0</v>
      </c>
      <c r="V24" s="28">
        <v>2032</v>
      </c>
    </row>
    <row r="25" spans="2:22" x14ac:dyDescent="0.2">
      <c r="B25" s="29">
        <v>12</v>
      </c>
      <c r="C25" s="4">
        <f t="shared" si="11"/>
        <v>49100</v>
      </c>
      <c r="D25" s="30">
        <v>0</v>
      </c>
      <c r="E25" s="30">
        <f t="shared" si="10"/>
        <v>0</v>
      </c>
      <c r="H25" s="37">
        <v>11</v>
      </c>
      <c r="I25" s="38">
        <v>2034</v>
      </c>
      <c r="J25" s="43">
        <f t="shared" si="13"/>
        <v>0</v>
      </c>
      <c r="K25" s="43">
        <f>L24-J25</f>
        <v>0</v>
      </c>
      <c r="L25" s="44">
        <f t="shared" si="12"/>
        <v>0</v>
      </c>
      <c r="O25" s="24"/>
      <c r="P25" s="46">
        <f>SUM(P12:P24)</f>
        <v>2640000</v>
      </c>
      <c r="S25" s="45">
        <f t="shared" si="9"/>
        <v>0</v>
      </c>
      <c r="T25" s="36">
        <f t="shared" si="7"/>
        <v>0</v>
      </c>
      <c r="V25" s="28">
        <v>2033</v>
      </c>
    </row>
    <row r="26" spans="2:22" x14ac:dyDescent="0.2">
      <c r="B26" s="29">
        <v>13</v>
      </c>
      <c r="C26" s="4">
        <f t="shared" si="11"/>
        <v>49465</v>
      </c>
      <c r="D26" s="30">
        <v>0</v>
      </c>
      <c r="E26" s="30">
        <f t="shared" si="10"/>
        <v>0</v>
      </c>
      <c r="H26" s="37">
        <v>12</v>
      </c>
      <c r="I26" s="38">
        <v>2035</v>
      </c>
      <c r="J26" s="43">
        <f t="shared" si="13"/>
        <v>0</v>
      </c>
      <c r="K26" s="43">
        <f t="shared" si="14"/>
        <v>0</v>
      </c>
      <c r="L26" s="44">
        <f t="shared" si="12"/>
        <v>0</v>
      </c>
      <c r="O26" s="47"/>
      <c r="P26" s="48"/>
      <c r="S26" s="48"/>
      <c r="T26" s="49"/>
      <c r="V26" s="28"/>
    </row>
    <row r="27" spans="2:22" ht="13.5" thickBot="1" x14ac:dyDescent="0.25">
      <c r="B27" s="29"/>
      <c r="C27" s="4"/>
      <c r="H27" s="50">
        <v>13</v>
      </c>
      <c r="I27" s="38">
        <v>2036</v>
      </c>
      <c r="J27" s="43">
        <f t="shared" si="13"/>
        <v>0</v>
      </c>
      <c r="K27" s="43">
        <f t="shared" si="14"/>
        <v>0</v>
      </c>
      <c r="L27" s="51">
        <f t="shared" si="12"/>
        <v>0</v>
      </c>
    </row>
    <row r="28" spans="2:22" ht="13.5" thickBot="1" x14ac:dyDescent="0.25">
      <c r="C28" s="52" t="s">
        <v>2</v>
      </c>
      <c r="D28" s="53">
        <f>XNPV(D3,D13:D26,C13:C26)</f>
        <v>919285.91827560856</v>
      </c>
      <c r="E28" s="52"/>
      <c r="H28" s="54"/>
      <c r="I28" s="38"/>
      <c r="J28" s="43"/>
      <c r="K28" s="43"/>
      <c r="L28" s="49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O29" s="35">
        <f t="shared" ref="O29:O40" si="15">-K15+J15</f>
        <v>-46222.199689208988</v>
      </c>
      <c r="P29" s="36">
        <f>+D28</f>
        <v>919285.91827560856</v>
      </c>
      <c r="Q29" s="26" t="s">
        <v>31</v>
      </c>
      <c r="R29" s="26" t="s">
        <v>39</v>
      </c>
      <c r="S29" s="55">
        <f>+P29</f>
        <v>919285.91827560856</v>
      </c>
      <c r="T29" s="36">
        <f>+S12</f>
        <v>2503285.9182756087</v>
      </c>
      <c r="U29" s="26" t="s">
        <v>40</v>
      </c>
      <c r="V29" s="28">
        <v>2021</v>
      </c>
    </row>
    <row r="30" spans="2:22" x14ac:dyDescent="0.2">
      <c r="H30" s="29"/>
      <c r="I30" s="56"/>
      <c r="J30" s="18" t="s">
        <v>41</v>
      </c>
      <c r="K30" s="57"/>
      <c r="L30" s="8">
        <f>(D5-D4) /365*12</f>
        <v>60</v>
      </c>
      <c r="N30" s="26" t="s">
        <v>39</v>
      </c>
      <c r="O30" s="35">
        <f t="shared" si="15"/>
        <v>-45668.533979735876</v>
      </c>
      <c r="P30" s="36">
        <f t="shared" ref="P30:P40" si="16">+P29-O29</f>
        <v>965508.11796481756</v>
      </c>
      <c r="Q30" s="26" t="s">
        <v>42</v>
      </c>
      <c r="S30" s="34"/>
      <c r="T30" s="6">
        <f>+T29-S29</f>
        <v>1584000</v>
      </c>
      <c r="U30" s="26"/>
    </row>
    <row r="31" spans="2:22" x14ac:dyDescent="0.2">
      <c r="G31" s="7"/>
      <c r="J31" s="18" t="s">
        <v>43</v>
      </c>
      <c r="K31" s="58"/>
      <c r="L31" s="11">
        <f>D32/L30</f>
        <v>41721.431971260143</v>
      </c>
      <c r="M31" s="42"/>
      <c r="N31" s="26" t="s">
        <v>44</v>
      </c>
      <c r="O31" s="35">
        <f t="shared" si="15"/>
        <v>1011176.6519445535</v>
      </c>
      <c r="P31" s="36">
        <f t="shared" si="16"/>
        <v>1011176.6519445535</v>
      </c>
      <c r="Q31" s="26" t="s">
        <v>42</v>
      </c>
      <c r="S31" s="34"/>
    </row>
    <row r="32" spans="2:22" ht="13.5" thickBot="1" x14ac:dyDescent="0.25">
      <c r="C32" s="1" t="s">
        <v>45</v>
      </c>
      <c r="D32" s="59">
        <f>+D33+D34+D35+D36-D37</f>
        <v>2503285.9182756087</v>
      </c>
      <c r="G32" s="60"/>
      <c r="N32" s="26" t="s">
        <v>46</v>
      </c>
      <c r="O32" s="35">
        <f t="shared" si="15"/>
        <v>0</v>
      </c>
      <c r="P32" s="36">
        <f t="shared" si="16"/>
        <v>0</v>
      </c>
      <c r="Q32" s="26" t="s">
        <v>42</v>
      </c>
      <c r="S32" s="34"/>
    </row>
    <row r="33" spans="3:24" x14ac:dyDescent="0.2">
      <c r="C33" s="1" t="s">
        <v>47</v>
      </c>
      <c r="D33" s="30">
        <f>D28</f>
        <v>919285.91827560856</v>
      </c>
      <c r="I33" s="21" t="s">
        <v>27</v>
      </c>
      <c r="J33" s="22" t="s">
        <v>30</v>
      </c>
      <c r="K33" s="22" t="s">
        <v>48</v>
      </c>
      <c r="L33" s="61" t="s">
        <v>49</v>
      </c>
      <c r="N33" s="26" t="s">
        <v>50</v>
      </c>
      <c r="O33" s="35">
        <f t="shared" si="15"/>
        <v>0</v>
      </c>
      <c r="P33" s="36">
        <f t="shared" si="16"/>
        <v>0</v>
      </c>
      <c r="S33" s="34"/>
    </row>
    <row r="34" spans="3:24" x14ac:dyDescent="0.2">
      <c r="C34" s="1" t="s">
        <v>51</v>
      </c>
      <c r="D34" s="30">
        <v>0</v>
      </c>
      <c r="E34" s="11"/>
      <c r="I34" s="62">
        <f>D4</f>
        <v>45085</v>
      </c>
      <c r="J34" s="49">
        <f>+D32</f>
        <v>2503285.9182756087</v>
      </c>
      <c r="K34" s="63">
        <v>0</v>
      </c>
      <c r="L34" s="64">
        <v>0</v>
      </c>
      <c r="N34" s="26"/>
      <c r="O34" s="35">
        <f t="shared" si="15"/>
        <v>0</v>
      </c>
      <c r="P34" s="36">
        <f t="shared" si="16"/>
        <v>0</v>
      </c>
      <c r="S34" s="47"/>
    </row>
    <row r="35" spans="3:24" x14ac:dyDescent="0.2">
      <c r="C35" s="1" t="s">
        <v>52</v>
      </c>
      <c r="D35" s="65">
        <f>D6</f>
        <v>1584000</v>
      </c>
      <c r="E35" s="11"/>
      <c r="I35" s="62">
        <v>45473</v>
      </c>
      <c r="J35" s="49">
        <f t="shared" ref="J35:J49" si="17">J34-K35</f>
        <v>1971080.4737326298</v>
      </c>
      <c r="K35" s="49">
        <f t="shared" ref="K35:K49" si="18">L35*L$31</f>
        <v>532205.44454297877</v>
      </c>
      <c r="L35" s="66">
        <f>(I35-I34) /365*12</f>
        <v>12.756164383561645</v>
      </c>
      <c r="M35" s="10"/>
      <c r="N35" s="26"/>
      <c r="O35" s="35">
        <f t="shared" si="15"/>
        <v>0</v>
      </c>
      <c r="P35" s="36">
        <f t="shared" si="16"/>
        <v>0</v>
      </c>
      <c r="S35" s="47"/>
    </row>
    <row r="36" spans="3:24" x14ac:dyDescent="0.2">
      <c r="C36" s="1" t="s">
        <v>53</v>
      </c>
      <c r="D36" s="30">
        <v>0</v>
      </c>
      <c r="I36" s="62">
        <v>45838</v>
      </c>
      <c r="J36" s="49">
        <f t="shared" si="17"/>
        <v>1470423.290077508</v>
      </c>
      <c r="K36" s="49">
        <f t="shared" si="18"/>
        <v>500657.18365512171</v>
      </c>
      <c r="L36" s="67">
        <f>IF(L30-SUM(L35)&lt;12,L30-SUM(L35),12)</f>
        <v>12</v>
      </c>
      <c r="N36" s="26"/>
      <c r="O36" s="35">
        <f t="shared" si="15"/>
        <v>0</v>
      </c>
      <c r="P36" s="36">
        <f t="shared" si="16"/>
        <v>0</v>
      </c>
      <c r="S36" s="47"/>
    </row>
    <row r="37" spans="3:24" x14ac:dyDescent="0.2">
      <c r="C37" s="1" t="s">
        <v>54</v>
      </c>
      <c r="D37" s="30">
        <v>0</v>
      </c>
      <c r="I37" s="62">
        <v>46203</v>
      </c>
      <c r="J37" s="49">
        <f t="shared" si="17"/>
        <v>969766.10642238625</v>
      </c>
      <c r="K37" s="49">
        <f t="shared" si="18"/>
        <v>500657.18365512171</v>
      </c>
      <c r="L37" s="67">
        <f>IF(L30-SUM(L35:L36)&lt;12,L30-SUM(L35:L36),12)</f>
        <v>12</v>
      </c>
      <c r="N37" s="26"/>
      <c r="O37" s="35">
        <f t="shared" si="15"/>
        <v>0</v>
      </c>
      <c r="P37" s="36">
        <f t="shared" si="16"/>
        <v>0</v>
      </c>
      <c r="S37" s="47"/>
    </row>
    <row r="38" spans="3:24" x14ac:dyDescent="0.2">
      <c r="C38" s="52" t="s">
        <v>55</v>
      </c>
      <c r="E38" s="11"/>
      <c r="I38" s="62">
        <v>46568</v>
      </c>
      <c r="J38" s="49">
        <f t="shared" si="17"/>
        <v>469108.92276726454</v>
      </c>
      <c r="K38" s="49">
        <f t="shared" si="18"/>
        <v>500657.18365512171</v>
      </c>
      <c r="L38" s="67">
        <f>IF(L30-SUM(L35:L37)&lt;12,L30-SUM(L35:L37),12)</f>
        <v>12</v>
      </c>
      <c r="N38" s="26"/>
      <c r="O38" s="35">
        <f t="shared" si="15"/>
        <v>0</v>
      </c>
      <c r="P38" s="36">
        <f t="shared" si="16"/>
        <v>0</v>
      </c>
      <c r="S38" s="47"/>
    </row>
    <row r="39" spans="3:24" x14ac:dyDescent="0.2">
      <c r="I39" s="62">
        <v>46934</v>
      </c>
      <c r="J39" s="49">
        <f t="shared" si="17"/>
        <v>0</v>
      </c>
      <c r="K39" s="49">
        <f t="shared" si="18"/>
        <v>469108.92276726459</v>
      </c>
      <c r="L39" s="67">
        <f>IF(L30-SUM(L35:L38)&lt;12,L30-SUM(L35:L38),12)</f>
        <v>11.243835616438353</v>
      </c>
      <c r="N39" s="26"/>
      <c r="O39" s="35">
        <f t="shared" si="15"/>
        <v>0</v>
      </c>
      <c r="P39" s="36">
        <f t="shared" si="16"/>
        <v>0</v>
      </c>
      <c r="S39" s="47"/>
    </row>
    <row r="40" spans="3:24" x14ac:dyDescent="0.2">
      <c r="I40" s="62">
        <v>47299</v>
      </c>
      <c r="J40" s="49">
        <f t="shared" si="17"/>
        <v>0</v>
      </c>
      <c r="K40" s="49">
        <f t="shared" si="18"/>
        <v>0</v>
      </c>
      <c r="L40" s="68">
        <f>IF(L30-SUM(L35:L39)&lt;12,L30-SUM(L35:L39),12)</f>
        <v>0</v>
      </c>
      <c r="N40" s="26"/>
      <c r="O40" s="35">
        <f t="shared" si="15"/>
        <v>0</v>
      </c>
      <c r="P40" s="36">
        <f t="shared" si="16"/>
        <v>0</v>
      </c>
    </row>
    <row r="41" spans="3:24" x14ac:dyDescent="0.2">
      <c r="I41" s="62">
        <v>47664</v>
      </c>
      <c r="J41" s="49">
        <f t="shared" si="17"/>
        <v>0</v>
      </c>
      <c r="K41" s="49">
        <f t="shared" si="18"/>
        <v>0</v>
      </c>
      <c r="L41" s="67">
        <f>IF(L30-SUM(L35:L40)&lt;12,L30-SUM(L35:L40),12)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69"/>
      <c r="D42" s="69"/>
      <c r="E42" s="69" t="s">
        <v>77</v>
      </c>
      <c r="I42" s="62">
        <v>48029</v>
      </c>
      <c r="J42" s="49">
        <f t="shared" si="17"/>
        <v>0</v>
      </c>
      <c r="K42" s="49">
        <f t="shared" si="18"/>
        <v>0</v>
      </c>
      <c r="L42" s="67">
        <f>IF(L30-SUM(L35:L41)&lt;12,L30-SUM(L35:L41),12)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70"/>
      <c r="D43" s="71" t="s">
        <v>60</v>
      </c>
      <c r="E43" s="71" t="s">
        <v>61</v>
      </c>
      <c r="I43" s="62">
        <v>48395</v>
      </c>
      <c r="J43" s="49">
        <f t="shared" si="17"/>
        <v>0</v>
      </c>
      <c r="K43" s="49">
        <f t="shared" si="18"/>
        <v>0</v>
      </c>
      <c r="L43" s="67">
        <f>IF(L30-SUM(L35:L42)&lt;12,L30-SUM(L35:L42),12)</f>
        <v>0</v>
      </c>
      <c r="N43" s="26" t="s">
        <v>62</v>
      </c>
      <c r="O43" s="72">
        <f t="shared" ref="O43:O50" si="19">+P12</f>
        <v>1584000</v>
      </c>
      <c r="P43" s="73"/>
      <c r="R43" s="26" t="s">
        <v>39</v>
      </c>
      <c r="S43" s="74">
        <f t="shared" ref="S43:S55" si="20">K15</f>
        <v>46222.199689208988</v>
      </c>
      <c r="T43" s="75"/>
      <c r="U43" s="28">
        <v>2021</v>
      </c>
      <c r="V43" s="26" t="s">
        <v>63</v>
      </c>
      <c r="W43" s="27">
        <f t="shared" ref="W43:W55" si="21">K35</f>
        <v>532205.44454297877</v>
      </c>
      <c r="X43" s="6"/>
    </row>
    <row r="44" spans="3:24" x14ac:dyDescent="0.2">
      <c r="C44" s="71" t="s">
        <v>69</v>
      </c>
      <c r="D44" s="76">
        <f>D32</f>
        <v>2503285.9182756087</v>
      </c>
      <c r="E44" s="76"/>
      <c r="I44" s="62">
        <v>48760</v>
      </c>
      <c r="J44" s="49">
        <f t="shared" si="17"/>
        <v>0</v>
      </c>
      <c r="K44" s="49">
        <f t="shared" si="18"/>
        <v>0</v>
      </c>
      <c r="L44" s="67">
        <f>IF(L30-SUM(L35:L43)&lt;12,L30-SUM(L35:L43),12)</f>
        <v>0</v>
      </c>
      <c r="O44" s="72">
        <f t="shared" si="19"/>
        <v>0</v>
      </c>
      <c r="P44" s="73"/>
      <c r="R44" s="26" t="s">
        <v>44</v>
      </c>
      <c r="S44" s="77">
        <f t="shared" si="20"/>
        <v>45668.533979735876</v>
      </c>
      <c r="T44" s="47"/>
      <c r="U44" s="28">
        <v>2022</v>
      </c>
      <c r="V44" s="26" t="s">
        <v>64</v>
      </c>
      <c r="W44" s="78">
        <f t="shared" si="21"/>
        <v>500657.18365512171</v>
      </c>
    </row>
    <row r="45" spans="3:24" x14ac:dyDescent="0.2">
      <c r="C45" s="71" t="s">
        <v>70</v>
      </c>
      <c r="D45" s="76"/>
      <c r="E45" s="76">
        <f>D33</f>
        <v>919285.91827560856</v>
      </c>
      <c r="I45" s="62">
        <v>49125</v>
      </c>
      <c r="J45" s="49">
        <f t="shared" si="17"/>
        <v>0</v>
      </c>
      <c r="K45" s="49">
        <f t="shared" si="18"/>
        <v>0</v>
      </c>
      <c r="L45" s="67">
        <f>IF(L30-SUM(L35:L44)&lt;12,L30-SUM(L35:L44),12)</f>
        <v>0</v>
      </c>
      <c r="O45" s="72">
        <f t="shared" si="19"/>
        <v>0</v>
      </c>
      <c r="P45" s="73"/>
      <c r="R45" s="26" t="s">
        <v>46</v>
      </c>
      <c r="S45" s="77">
        <f t="shared" si="20"/>
        <v>44823.34805544652</v>
      </c>
      <c r="T45" s="47"/>
      <c r="U45" s="28">
        <v>2023</v>
      </c>
      <c r="V45" s="26" t="s">
        <v>65</v>
      </c>
      <c r="W45" s="78">
        <f t="shared" si="21"/>
        <v>500657.18365512171</v>
      </c>
    </row>
    <row r="46" spans="3:24" x14ac:dyDescent="0.2">
      <c r="C46" s="71" t="s">
        <v>71</v>
      </c>
      <c r="D46" s="76"/>
      <c r="E46" s="76">
        <f>D35</f>
        <v>1584000</v>
      </c>
      <c r="I46" s="62">
        <v>49490</v>
      </c>
      <c r="J46" s="49">
        <f t="shared" si="17"/>
        <v>0</v>
      </c>
      <c r="K46" s="49">
        <f t="shared" si="18"/>
        <v>0</v>
      </c>
      <c r="L46" s="67">
        <f>IF(L30-SUM(L35:L45)&lt;12,L30-SUM(L35:L45),12)</f>
        <v>0</v>
      </c>
      <c r="O46" s="72">
        <f t="shared" si="19"/>
        <v>1056000</v>
      </c>
      <c r="P46" s="73"/>
      <c r="R46" s="26" t="s">
        <v>50</v>
      </c>
      <c r="S46" s="77">
        <f t="shared" si="20"/>
        <v>0</v>
      </c>
      <c r="T46" s="47"/>
      <c r="U46" s="28">
        <v>2024</v>
      </c>
      <c r="V46" s="26" t="s">
        <v>66</v>
      </c>
      <c r="W46" s="78">
        <f t="shared" si="21"/>
        <v>500657.18365512171</v>
      </c>
    </row>
    <row r="47" spans="3:24" x14ac:dyDescent="0.2">
      <c r="C47" s="71" t="s">
        <v>67</v>
      </c>
      <c r="D47" s="79">
        <f>D44+D45+D46</f>
        <v>2503285.9182756087</v>
      </c>
      <c r="E47" s="79">
        <f>E45+E46</f>
        <v>2503285.9182756087</v>
      </c>
      <c r="I47" s="62">
        <v>49856</v>
      </c>
      <c r="J47" s="49">
        <f t="shared" si="17"/>
        <v>0</v>
      </c>
      <c r="K47" s="49">
        <f t="shared" si="18"/>
        <v>0</v>
      </c>
      <c r="L47" s="67">
        <f>IF(L30-SUM(L35:L46)&lt;12,L30-SUM(L35:L46),12)</f>
        <v>0</v>
      </c>
      <c r="O47" s="72">
        <f t="shared" si="19"/>
        <v>0</v>
      </c>
      <c r="P47" s="73"/>
      <c r="S47" s="77">
        <f t="shared" si="20"/>
        <v>0</v>
      </c>
      <c r="T47" s="47"/>
      <c r="U47" s="28">
        <v>2025</v>
      </c>
      <c r="W47" s="78">
        <f t="shared" si="21"/>
        <v>469108.92276726459</v>
      </c>
    </row>
    <row r="48" spans="3:24" x14ac:dyDescent="0.2">
      <c r="E48" s="80"/>
      <c r="I48" s="62">
        <v>50221</v>
      </c>
      <c r="J48" s="49">
        <f t="shared" si="17"/>
        <v>0</v>
      </c>
      <c r="K48" s="49">
        <f t="shared" si="18"/>
        <v>0</v>
      </c>
      <c r="L48" s="67">
        <f>IF(L30-SUM(L35:L47)&lt;12,L30-SUM(L35:L47),12)</f>
        <v>0</v>
      </c>
      <c r="O48" s="72">
        <f t="shared" si="19"/>
        <v>0</v>
      </c>
      <c r="P48" s="73"/>
      <c r="S48" s="77">
        <f t="shared" si="20"/>
        <v>0</v>
      </c>
      <c r="T48" s="47"/>
      <c r="U48" s="28">
        <v>2026</v>
      </c>
      <c r="W48" s="78">
        <f t="shared" si="21"/>
        <v>0</v>
      </c>
      <c r="X48" s="47"/>
    </row>
    <row r="49" spans="5:24" ht="13.5" thickBot="1" x14ac:dyDescent="0.25">
      <c r="E49" s="80"/>
      <c r="I49" s="62">
        <v>50586</v>
      </c>
      <c r="J49" s="81">
        <f t="shared" si="17"/>
        <v>0</v>
      </c>
      <c r="K49" s="81">
        <f t="shared" si="18"/>
        <v>0</v>
      </c>
      <c r="L49" s="82">
        <f>IF(L30-SUM(L35:L48)&lt;12,L30-SUM(L35:L48),12)</f>
        <v>0</v>
      </c>
      <c r="O49" s="72">
        <f t="shared" si="19"/>
        <v>0</v>
      </c>
      <c r="P49" s="73"/>
      <c r="S49" s="77">
        <f t="shared" si="20"/>
        <v>0</v>
      </c>
      <c r="T49" s="47"/>
      <c r="U49" s="28">
        <v>2027</v>
      </c>
      <c r="W49" s="78">
        <f t="shared" si="21"/>
        <v>0</v>
      </c>
      <c r="X49" s="47"/>
    </row>
    <row r="50" spans="5:24" x14ac:dyDescent="0.2">
      <c r="E50" s="80"/>
      <c r="O50" s="83">
        <f t="shared" si="19"/>
        <v>0</v>
      </c>
      <c r="P50" s="73"/>
      <c r="S50" s="77">
        <f t="shared" si="20"/>
        <v>0</v>
      </c>
      <c r="T50" s="47"/>
      <c r="U50" s="28">
        <v>2028</v>
      </c>
      <c r="W50" s="78">
        <f t="shared" si="21"/>
        <v>0</v>
      </c>
      <c r="X50" s="47"/>
    </row>
    <row r="51" spans="5:24" x14ac:dyDescent="0.2">
      <c r="E51" s="80"/>
      <c r="S51" s="77">
        <f t="shared" si="20"/>
        <v>0</v>
      </c>
      <c r="T51" s="47"/>
      <c r="U51" s="28">
        <v>2029</v>
      </c>
      <c r="W51" s="78">
        <f t="shared" si="21"/>
        <v>0</v>
      </c>
      <c r="X51" s="47"/>
    </row>
    <row r="52" spans="5:24" x14ac:dyDescent="0.2">
      <c r="S52" s="77">
        <f t="shared" si="20"/>
        <v>0</v>
      </c>
      <c r="T52" s="47"/>
      <c r="U52" s="28">
        <v>2030</v>
      </c>
      <c r="W52" s="78">
        <f t="shared" si="21"/>
        <v>0</v>
      </c>
      <c r="X52" s="47"/>
    </row>
    <row r="53" spans="5:24" x14ac:dyDescent="0.2">
      <c r="S53" s="77">
        <f t="shared" si="20"/>
        <v>0</v>
      </c>
      <c r="T53" s="47"/>
      <c r="U53" s="28">
        <v>2031</v>
      </c>
      <c r="W53" s="78">
        <f t="shared" si="21"/>
        <v>0</v>
      </c>
      <c r="X53" s="47"/>
    </row>
    <row r="54" spans="5:24" x14ac:dyDescent="0.2">
      <c r="S54" s="77">
        <f t="shared" si="20"/>
        <v>0</v>
      </c>
      <c r="T54" s="47"/>
      <c r="U54" s="28">
        <v>2032</v>
      </c>
      <c r="W54" s="78">
        <f t="shared" si="21"/>
        <v>0</v>
      </c>
      <c r="X54" s="47"/>
    </row>
    <row r="55" spans="5:24" x14ac:dyDescent="0.2">
      <c r="S55" s="77">
        <f t="shared" si="20"/>
        <v>0</v>
      </c>
      <c r="T55" s="47"/>
      <c r="U55" s="28">
        <v>2033</v>
      </c>
      <c r="W55" s="78">
        <f t="shared" si="21"/>
        <v>0</v>
      </c>
      <c r="X55" s="47"/>
    </row>
    <row r="56" spans="5:24" x14ac:dyDescent="0.2">
      <c r="S56" s="46">
        <f>SUM(S43:S55)</f>
        <v>136714.08172439138</v>
      </c>
      <c r="T56" s="75"/>
      <c r="W56" s="74">
        <f>SUM(W43:W55)</f>
        <v>2503285.9182756087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zoomScaleNormal="100" workbookViewId="0">
      <selection activeCell="D29" sqref="D29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5.140625" style="1" customWidth="1"/>
    <col min="7" max="7" width="12.140625" style="1" customWidth="1"/>
    <col min="8" max="8" width="5.85546875" style="1" bestFit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4.570312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75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5">
        <v>50000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0">
        <f>E2*1.1</f>
        <v>55000.000000000007</v>
      </c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44935</v>
      </c>
      <c r="E4" s="10">
        <f>E3*60</f>
        <v>3300000.0000000005</v>
      </c>
      <c r="G4" s="11"/>
      <c r="I4" s="4">
        <v>45107</v>
      </c>
      <c r="J4" s="6">
        <v>0</v>
      </c>
      <c r="K4" s="7">
        <v>0</v>
      </c>
      <c r="L4" s="8">
        <f t="shared" ref="L4" si="0">K34</f>
        <v>0</v>
      </c>
      <c r="M4" s="7">
        <v>0</v>
      </c>
      <c r="O4" s="6">
        <v>0</v>
      </c>
      <c r="P4" s="6">
        <v>0</v>
      </c>
    </row>
    <row r="5" spans="2:22" x14ac:dyDescent="0.2">
      <c r="C5" s="1" t="s">
        <v>11</v>
      </c>
      <c r="D5" s="12">
        <v>46760</v>
      </c>
      <c r="E5" s="84">
        <f>E3*60</f>
        <v>3300000.0000000005</v>
      </c>
      <c r="F5" s="85"/>
      <c r="G5" s="85"/>
      <c r="H5" s="85"/>
      <c r="I5" s="4">
        <v>45473</v>
      </c>
      <c r="J5" s="6">
        <f>J35</f>
        <v>2327178.0821917811</v>
      </c>
      <c r="K5" s="7">
        <f>L15</f>
        <v>0</v>
      </c>
      <c r="L5" s="8">
        <f>K35</f>
        <v>972821.91780821921</v>
      </c>
      <c r="M5" s="7">
        <f>K15</f>
        <v>0</v>
      </c>
      <c r="N5" s="7">
        <f>J15</f>
        <v>0</v>
      </c>
      <c r="O5" s="10">
        <v>0</v>
      </c>
      <c r="P5" s="6"/>
    </row>
    <row r="6" spans="2:22" x14ac:dyDescent="0.2">
      <c r="C6" s="1" t="s">
        <v>12</v>
      </c>
      <c r="D6" s="10">
        <v>3300000.0000000005</v>
      </c>
      <c r="E6" s="86"/>
      <c r="F6" s="85"/>
      <c r="G6" s="86"/>
      <c r="H6" s="85"/>
      <c r="I6" s="4">
        <v>45838</v>
      </c>
      <c r="J6" s="6">
        <f>J36</f>
        <v>1667178.0821917811</v>
      </c>
      <c r="K6" s="7">
        <f t="shared" ref="K6:K9" si="1">L16</f>
        <v>0</v>
      </c>
      <c r="L6" s="8">
        <f t="shared" ref="L6:L10" si="2">K36</f>
        <v>660000.00000000012</v>
      </c>
      <c r="M6" s="7">
        <f t="shared" ref="M6:M10" si="3">K16</f>
        <v>0</v>
      </c>
      <c r="N6" s="7">
        <f t="shared" ref="N6:N10" si="4">J16</f>
        <v>0</v>
      </c>
      <c r="O6" s="10">
        <v>0</v>
      </c>
    </row>
    <row r="7" spans="2:22" x14ac:dyDescent="0.2">
      <c r="C7" s="1" t="s">
        <v>13</v>
      </c>
      <c r="D7" s="10">
        <v>3300000.0000000005</v>
      </c>
      <c r="E7" s="14"/>
      <c r="G7" s="11"/>
      <c r="I7" s="4">
        <v>46203</v>
      </c>
      <c r="J7" s="6">
        <f t="shared" ref="J7:J10" si="5">J37</f>
        <v>1007178.082191781</v>
      </c>
      <c r="K7" s="7">
        <f t="shared" si="1"/>
        <v>0</v>
      </c>
      <c r="L7" s="8">
        <f t="shared" si="2"/>
        <v>660000.00000000012</v>
      </c>
      <c r="M7" s="7">
        <f t="shared" si="3"/>
        <v>0</v>
      </c>
      <c r="N7" s="7">
        <f>J17</f>
        <v>0</v>
      </c>
    </row>
    <row r="8" spans="2:22" x14ac:dyDescent="0.2">
      <c r="C8" s="1" t="s">
        <v>14</v>
      </c>
      <c r="D8" s="12">
        <f>D4</f>
        <v>44935</v>
      </c>
      <c r="E8" s="15"/>
      <c r="I8" s="4">
        <v>46568</v>
      </c>
      <c r="J8" s="6">
        <f t="shared" si="5"/>
        <v>347178.08219178091</v>
      </c>
      <c r="K8" s="7">
        <f t="shared" si="1"/>
        <v>0</v>
      </c>
      <c r="L8" s="8">
        <f t="shared" si="2"/>
        <v>660000.00000000012</v>
      </c>
      <c r="M8" s="7">
        <f t="shared" si="3"/>
        <v>0</v>
      </c>
      <c r="N8" s="7">
        <f t="shared" si="4"/>
        <v>0</v>
      </c>
    </row>
    <row r="9" spans="2:22" x14ac:dyDescent="0.2">
      <c r="C9" s="1" t="s">
        <v>15</v>
      </c>
      <c r="D9" s="16">
        <v>0</v>
      </c>
      <c r="E9" s="11"/>
      <c r="I9" s="4">
        <v>46934</v>
      </c>
      <c r="J9" s="6">
        <f t="shared" si="5"/>
        <v>0</v>
      </c>
      <c r="K9" s="7">
        <f t="shared" si="1"/>
        <v>0</v>
      </c>
      <c r="L9" s="8">
        <f t="shared" si="2"/>
        <v>347178.08219178102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5"/>
        <v>0</v>
      </c>
      <c r="K10" s="7">
        <f t="shared" ref="K10" si="6">L21</f>
        <v>0</v>
      </c>
      <c r="L10" s="8">
        <f t="shared" si="2"/>
        <v>0</v>
      </c>
      <c r="M10" s="7">
        <f t="shared" si="3"/>
        <v>0</v>
      </c>
      <c r="N10" s="7">
        <f t="shared" si="4"/>
        <v>0</v>
      </c>
    </row>
    <row r="11" spans="2:22" ht="13.5" thickBot="1" x14ac:dyDescent="0.25"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21" t="s">
        <v>23</v>
      </c>
      <c r="I12" s="22"/>
      <c r="J12" s="22"/>
      <c r="K12" s="22"/>
      <c r="L12" s="23"/>
      <c r="O12" s="24"/>
      <c r="P12" s="25">
        <f>+D6</f>
        <v>3300000.0000000005</v>
      </c>
      <c r="Q12" s="26" t="s">
        <v>24</v>
      </c>
      <c r="R12" s="26" t="s">
        <v>25</v>
      </c>
      <c r="S12" s="27">
        <f>+D32</f>
        <v>3300000.0000000005</v>
      </c>
      <c r="T12" s="6">
        <f t="shared" ref="T12:T25" si="7">+K35</f>
        <v>972821.91780821921</v>
      </c>
      <c r="U12" s="26" t="s">
        <v>26</v>
      </c>
      <c r="V12" s="28"/>
    </row>
    <row r="13" spans="2:22" x14ac:dyDescent="0.2">
      <c r="B13" s="29">
        <v>0</v>
      </c>
      <c r="C13" s="4">
        <f>D4</f>
        <v>44935</v>
      </c>
      <c r="D13" s="30">
        <v>0</v>
      </c>
      <c r="E13" s="30"/>
      <c r="H13" s="31" t="s">
        <v>19</v>
      </c>
      <c r="I13" s="32" t="s">
        <v>27</v>
      </c>
      <c r="J13" s="32" t="s">
        <v>28</v>
      </c>
      <c r="K13" s="32" t="s">
        <v>29</v>
      </c>
      <c r="L13" s="33" t="s">
        <v>30</v>
      </c>
      <c r="O13" s="34"/>
      <c r="P13" s="7">
        <f t="shared" ref="P13:P24" si="8">J15</f>
        <v>0</v>
      </c>
      <c r="Q13" s="26" t="s">
        <v>31</v>
      </c>
      <c r="R13" s="26" t="s">
        <v>32</v>
      </c>
      <c r="S13" s="35">
        <f t="shared" ref="S13:S25" si="9">+S12-T12</f>
        <v>2327178.0821917811</v>
      </c>
      <c r="T13" s="36">
        <f t="shared" si="7"/>
        <v>660000.00000000012</v>
      </c>
      <c r="U13" s="26" t="s">
        <v>33</v>
      </c>
      <c r="V13" s="28">
        <v>2021</v>
      </c>
    </row>
    <row r="14" spans="2:22" x14ac:dyDescent="0.2">
      <c r="B14" s="29">
        <v>1</v>
      </c>
      <c r="C14" s="4">
        <f>D8</f>
        <v>44935</v>
      </c>
      <c r="D14" s="30">
        <v>0</v>
      </c>
      <c r="E14" s="30">
        <f t="shared" ref="E14:E26" si="10">+D14*(1+$D$3)</f>
        <v>0</v>
      </c>
      <c r="H14" s="37">
        <v>0</v>
      </c>
      <c r="I14" s="38"/>
      <c r="J14" s="39"/>
      <c r="K14" s="40"/>
      <c r="L14" s="41">
        <f>D28</f>
        <v>0</v>
      </c>
      <c r="N14" s="42"/>
      <c r="O14" s="34"/>
      <c r="P14" s="7">
        <f t="shared" si="8"/>
        <v>0</v>
      </c>
      <c r="Q14" s="26" t="s">
        <v>34</v>
      </c>
      <c r="R14" s="26" t="s">
        <v>32</v>
      </c>
      <c r="S14" s="35">
        <f t="shared" si="9"/>
        <v>1667178.0821917811</v>
      </c>
      <c r="T14" s="36">
        <f t="shared" si="7"/>
        <v>660000.00000000012</v>
      </c>
      <c r="U14" s="26" t="s">
        <v>35</v>
      </c>
      <c r="V14" s="28">
        <v>2022</v>
      </c>
    </row>
    <row r="15" spans="2:22" x14ac:dyDescent="0.2">
      <c r="B15" s="29">
        <v>2</v>
      </c>
      <c r="C15" s="4">
        <f t="shared" ref="C15:C26" si="11">C14+365</f>
        <v>45300</v>
      </c>
      <c r="D15" s="30">
        <v>0</v>
      </c>
      <c r="E15" s="30">
        <f t="shared" si="10"/>
        <v>0</v>
      </c>
      <c r="H15" s="37">
        <v>1</v>
      </c>
      <c r="I15" s="38">
        <v>2024</v>
      </c>
      <c r="J15" s="43"/>
      <c r="K15" s="43">
        <f>(L14-J15)*D$3*L35/12</f>
        <v>0</v>
      </c>
      <c r="L15" s="44">
        <f>L14-J15+K15</f>
        <v>0</v>
      </c>
      <c r="M15" s="11">
        <f>K15/L35</f>
        <v>0</v>
      </c>
      <c r="O15" s="34"/>
      <c r="P15" s="7">
        <f t="shared" si="8"/>
        <v>0</v>
      </c>
      <c r="Q15" s="26" t="s">
        <v>36</v>
      </c>
      <c r="R15" s="26" t="s">
        <v>32</v>
      </c>
      <c r="S15" s="35">
        <f t="shared" si="9"/>
        <v>1007178.082191781</v>
      </c>
      <c r="T15" s="36">
        <f t="shared" si="7"/>
        <v>660000.00000000012</v>
      </c>
      <c r="U15" s="26" t="s">
        <v>37</v>
      </c>
      <c r="V15" s="28">
        <v>2023</v>
      </c>
    </row>
    <row r="16" spans="2:22" x14ac:dyDescent="0.2">
      <c r="B16" s="29">
        <v>3</v>
      </c>
      <c r="C16" s="4">
        <f t="shared" si="11"/>
        <v>45665</v>
      </c>
      <c r="D16" s="30">
        <v>0</v>
      </c>
      <c r="E16" s="30">
        <f t="shared" si="10"/>
        <v>0</v>
      </c>
      <c r="H16" s="37">
        <f>+H15+1</f>
        <v>2</v>
      </c>
      <c r="I16" s="38">
        <v>2025</v>
      </c>
      <c r="J16" s="43">
        <f>D14</f>
        <v>0</v>
      </c>
      <c r="K16" s="43">
        <f>(L15-J16)*D$3</f>
        <v>0</v>
      </c>
      <c r="L16" s="44">
        <f t="shared" ref="L16:L27" si="12">L15-J16+K16</f>
        <v>0</v>
      </c>
      <c r="O16" s="34"/>
      <c r="P16" s="7">
        <f t="shared" si="8"/>
        <v>0</v>
      </c>
      <c r="Q16" s="26" t="s">
        <v>38</v>
      </c>
      <c r="R16" s="26"/>
      <c r="S16" s="35">
        <f t="shared" si="9"/>
        <v>347178.08219178091</v>
      </c>
      <c r="T16" s="36">
        <f t="shared" si="7"/>
        <v>347178.08219178102</v>
      </c>
      <c r="V16" s="28">
        <v>2024</v>
      </c>
    </row>
    <row r="17" spans="2:22" x14ac:dyDescent="0.2">
      <c r="B17" s="29">
        <v>4</v>
      </c>
      <c r="C17" s="4">
        <f t="shared" si="11"/>
        <v>46030</v>
      </c>
      <c r="D17" s="30">
        <f>D7-D6</f>
        <v>0</v>
      </c>
      <c r="E17" s="30">
        <f t="shared" si="10"/>
        <v>0</v>
      </c>
      <c r="H17" s="37">
        <f>+H16+1</f>
        <v>3</v>
      </c>
      <c r="I17" s="38">
        <v>2026</v>
      </c>
      <c r="J17" s="43">
        <f>D17</f>
        <v>0</v>
      </c>
      <c r="K17" s="43">
        <f>J17-L16</f>
        <v>0</v>
      </c>
      <c r="L17" s="44">
        <f t="shared" si="12"/>
        <v>0</v>
      </c>
      <c r="O17" s="34"/>
      <c r="P17" s="7">
        <f t="shared" si="8"/>
        <v>0</v>
      </c>
      <c r="S17" s="35">
        <f t="shared" si="9"/>
        <v>0</v>
      </c>
      <c r="T17" s="36">
        <f t="shared" si="7"/>
        <v>0</v>
      </c>
      <c r="V17" s="28">
        <v>2025</v>
      </c>
    </row>
    <row r="18" spans="2:22" x14ac:dyDescent="0.2">
      <c r="B18" s="29">
        <v>5</v>
      </c>
      <c r="C18" s="4">
        <f t="shared" si="11"/>
        <v>46395</v>
      </c>
      <c r="D18" s="30">
        <v>0</v>
      </c>
      <c r="E18" s="30">
        <f t="shared" si="10"/>
        <v>0</v>
      </c>
      <c r="F18" s="10"/>
      <c r="H18" s="37">
        <v>4</v>
      </c>
      <c r="I18" s="38">
        <v>2027</v>
      </c>
      <c r="J18" s="43">
        <f t="shared" ref="J18:J27" si="13">D16</f>
        <v>0</v>
      </c>
      <c r="K18" s="43">
        <f>J18-L17</f>
        <v>0</v>
      </c>
      <c r="L18" s="44">
        <f t="shared" si="12"/>
        <v>0</v>
      </c>
      <c r="O18" s="34"/>
      <c r="P18" s="7">
        <f t="shared" si="8"/>
        <v>0</v>
      </c>
      <c r="S18" s="45">
        <f t="shared" si="9"/>
        <v>0</v>
      </c>
      <c r="T18" s="36">
        <f t="shared" si="7"/>
        <v>0</v>
      </c>
      <c r="V18" s="28">
        <v>2026</v>
      </c>
    </row>
    <row r="19" spans="2:22" x14ac:dyDescent="0.2">
      <c r="B19" s="29">
        <v>6</v>
      </c>
      <c r="C19" s="4">
        <f t="shared" si="11"/>
        <v>46760</v>
      </c>
      <c r="D19" s="30">
        <v>0</v>
      </c>
      <c r="E19" s="30">
        <f t="shared" si="10"/>
        <v>0</v>
      </c>
      <c r="H19" s="37">
        <v>5</v>
      </c>
      <c r="I19" s="38">
        <v>2028</v>
      </c>
      <c r="J19" s="43">
        <v>0</v>
      </c>
      <c r="K19" s="43">
        <f>J19-L18</f>
        <v>0</v>
      </c>
      <c r="L19" s="44">
        <f t="shared" si="12"/>
        <v>0</v>
      </c>
      <c r="O19" s="34"/>
      <c r="P19" s="7">
        <f t="shared" si="8"/>
        <v>0</v>
      </c>
      <c r="S19" s="45">
        <f t="shared" si="9"/>
        <v>0</v>
      </c>
      <c r="T19" s="36">
        <f t="shared" si="7"/>
        <v>0</v>
      </c>
      <c r="V19" s="28">
        <v>2027</v>
      </c>
    </row>
    <row r="20" spans="2:22" x14ac:dyDescent="0.2">
      <c r="B20" s="29">
        <v>7</v>
      </c>
      <c r="C20" s="4">
        <f t="shared" si="11"/>
        <v>47125</v>
      </c>
      <c r="D20" s="30">
        <v>0</v>
      </c>
      <c r="E20" s="30">
        <f t="shared" si="10"/>
        <v>0</v>
      </c>
      <c r="H20" s="37">
        <v>6</v>
      </c>
      <c r="I20" s="38">
        <v>2029</v>
      </c>
      <c r="J20" s="43">
        <f t="shared" si="13"/>
        <v>0</v>
      </c>
      <c r="K20" s="43">
        <f t="shared" ref="K20:K27" si="14">L19-J20</f>
        <v>0</v>
      </c>
      <c r="L20" s="44">
        <f t="shared" si="12"/>
        <v>0</v>
      </c>
      <c r="O20" s="34"/>
      <c r="P20" s="7">
        <f t="shared" si="8"/>
        <v>0</v>
      </c>
      <c r="S20" s="45">
        <f t="shared" si="9"/>
        <v>0</v>
      </c>
      <c r="T20" s="36">
        <f t="shared" si="7"/>
        <v>0</v>
      </c>
      <c r="V20" s="28">
        <v>2028</v>
      </c>
    </row>
    <row r="21" spans="2:22" x14ac:dyDescent="0.2">
      <c r="B21" s="29">
        <v>8</v>
      </c>
      <c r="C21" s="4">
        <f t="shared" si="11"/>
        <v>47490</v>
      </c>
      <c r="D21" s="30">
        <v>0</v>
      </c>
      <c r="E21" s="30">
        <f t="shared" si="10"/>
        <v>0</v>
      </c>
      <c r="H21" s="37">
        <v>7</v>
      </c>
      <c r="I21" s="38">
        <v>2030</v>
      </c>
      <c r="J21" s="43">
        <f t="shared" si="13"/>
        <v>0</v>
      </c>
      <c r="K21" s="43">
        <f t="shared" si="14"/>
        <v>0</v>
      </c>
      <c r="L21" s="44">
        <f t="shared" si="12"/>
        <v>0</v>
      </c>
      <c r="O21" s="34"/>
      <c r="P21" s="7">
        <f t="shared" si="8"/>
        <v>0</v>
      </c>
      <c r="S21" s="45">
        <f t="shared" si="9"/>
        <v>0</v>
      </c>
      <c r="T21" s="36">
        <f t="shared" si="7"/>
        <v>0</v>
      </c>
      <c r="V21" s="28">
        <v>2029</v>
      </c>
    </row>
    <row r="22" spans="2:22" x14ac:dyDescent="0.2">
      <c r="B22" s="29">
        <v>9</v>
      </c>
      <c r="C22" s="4">
        <f t="shared" si="11"/>
        <v>47855</v>
      </c>
      <c r="D22" s="30">
        <v>0</v>
      </c>
      <c r="E22" s="30">
        <f t="shared" si="10"/>
        <v>0</v>
      </c>
      <c r="H22" s="37">
        <v>8</v>
      </c>
      <c r="I22" s="38">
        <v>2031</v>
      </c>
      <c r="J22" s="43">
        <f t="shared" si="13"/>
        <v>0</v>
      </c>
      <c r="K22" s="43">
        <f t="shared" si="14"/>
        <v>0</v>
      </c>
      <c r="L22" s="44">
        <f t="shared" si="12"/>
        <v>0</v>
      </c>
      <c r="O22" s="34"/>
      <c r="P22" s="7">
        <f t="shared" si="8"/>
        <v>0</v>
      </c>
      <c r="S22" s="45">
        <f t="shared" si="9"/>
        <v>0</v>
      </c>
      <c r="T22" s="36">
        <f t="shared" si="7"/>
        <v>0</v>
      </c>
      <c r="V22" s="28">
        <v>2030</v>
      </c>
    </row>
    <row r="23" spans="2:22" x14ac:dyDescent="0.2">
      <c r="B23" s="29">
        <v>10</v>
      </c>
      <c r="C23" s="4">
        <f t="shared" si="11"/>
        <v>48220</v>
      </c>
      <c r="D23" s="30">
        <v>0</v>
      </c>
      <c r="E23" s="30">
        <f t="shared" si="10"/>
        <v>0</v>
      </c>
      <c r="H23" s="37">
        <v>9</v>
      </c>
      <c r="I23" s="38">
        <v>2032</v>
      </c>
      <c r="J23" s="43">
        <f t="shared" si="13"/>
        <v>0</v>
      </c>
      <c r="K23" s="43">
        <f t="shared" si="14"/>
        <v>0</v>
      </c>
      <c r="L23" s="44">
        <f t="shared" si="12"/>
        <v>0</v>
      </c>
      <c r="O23" s="34"/>
      <c r="P23" s="7">
        <f t="shared" si="8"/>
        <v>0</v>
      </c>
      <c r="S23" s="45">
        <f t="shared" si="9"/>
        <v>0</v>
      </c>
      <c r="T23" s="36">
        <f t="shared" si="7"/>
        <v>0</v>
      </c>
      <c r="V23" s="28">
        <v>2031</v>
      </c>
    </row>
    <row r="24" spans="2:22" x14ac:dyDescent="0.2">
      <c r="B24" s="29">
        <v>11</v>
      </c>
      <c r="C24" s="4">
        <f t="shared" si="11"/>
        <v>48585</v>
      </c>
      <c r="D24" s="30">
        <v>0</v>
      </c>
      <c r="E24" s="30">
        <f t="shared" si="10"/>
        <v>0</v>
      </c>
      <c r="H24" s="37">
        <v>10</v>
      </c>
      <c r="I24" s="38">
        <v>2033</v>
      </c>
      <c r="J24" s="43">
        <f t="shared" si="13"/>
        <v>0</v>
      </c>
      <c r="K24" s="43">
        <f t="shared" si="14"/>
        <v>0</v>
      </c>
      <c r="L24" s="44">
        <f t="shared" si="12"/>
        <v>0</v>
      </c>
      <c r="O24" s="34"/>
      <c r="P24" s="7">
        <f t="shared" si="8"/>
        <v>0</v>
      </c>
      <c r="S24" s="45">
        <f t="shared" si="9"/>
        <v>0</v>
      </c>
      <c r="T24" s="36">
        <f t="shared" si="7"/>
        <v>0</v>
      </c>
      <c r="V24" s="28">
        <v>2032</v>
      </c>
    </row>
    <row r="25" spans="2:22" x14ac:dyDescent="0.2">
      <c r="B25" s="29">
        <v>12</v>
      </c>
      <c r="C25" s="4">
        <f t="shared" si="11"/>
        <v>48950</v>
      </c>
      <c r="D25" s="30">
        <v>0</v>
      </c>
      <c r="E25" s="30">
        <f t="shared" si="10"/>
        <v>0</v>
      </c>
      <c r="H25" s="37">
        <v>11</v>
      </c>
      <c r="I25" s="38">
        <v>2034</v>
      </c>
      <c r="J25" s="43">
        <f t="shared" si="13"/>
        <v>0</v>
      </c>
      <c r="K25" s="43">
        <f>L24-J25</f>
        <v>0</v>
      </c>
      <c r="L25" s="44">
        <f t="shared" si="12"/>
        <v>0</v>
      </c>
      <c r="O25" s="24"/>
      <c r="P25" s="46">
        <f>SUM(P12:P24)</f>
        <v>3300000.0000000005</v>
      </c>
      <c r="S25" s="45">
        <f t="shared" si="9"/>
        <v>0</v>
      </c>
      <c r="T25" s="36">
        <f t="shared" si="7"/>
        <v>0</v>
      </c>
      <c r="V25" s="28">
        <v>2033</v>
      </c>
    </row>
    <row r="26" spans="2:22" x14ac:dyDescent="0.2">
      <c r="B26" s="29">
        <v>13</v>
      </c>
      <c r="C26" s="4">
        <f t="shared" si="11"/>
        <v>49315</v>
      </c>
      <c r="D26" s="30">
        <v>0</v>
      </c>
      <c r="E26" s="30">
        <f t="shared" si="10"/>
        <v>0</v>
      </c>
      <c r="H26" s="37">
        <v>12</v>
      </c>
      <c r="I26" s="38">
        <v>2035</v>
      </c>
      <c r="J26" s="43">
        <f t="shared" si="13"/>
        <v>0</v>
      </c>
      <c r="K26" s="43">
        <f t="shared" si="14"/>
        <v>0</v>
      </c>
      <c r="L26" s="44">
        <f t="shared" si="12"/>
        <v>0</v>
      </c>
      <c r="O26" s="47"/>
      <c r="P26" s="48"/>
      <c r="S26" s="48"/>
      <c r="T26" s="49"/>
      <c r="V26" s="28"/>
    </row>
    <row r="27" spans="2:22" ht="13.5" thickBot="1" x14ac:dyDescent="0.25">
      <c r="B27" s="29"/>
      <c r="C27" s="4"/>
      <c r="H27" s="50">
        <v>13</v>
      </c>
      <c r="I27" s="38">
        <v>2036</v>
      </c>
      <c r="J27" s="43">
        <f t="shared" si="13"/>
        <v>0</v>
      </c>
      <c r="K27" s="43">
        <f t="shared" si="14"/>
        <v>0</v>
      </c>
      <c r="L27" s="51">
        <f t="shared" si="12"/>
        <v>0</v>
      </c>
    </row>
    <row r="28" spans="2:22" ht="13.5" thickBot="1" x14ac:dyDescent="0.25">
      <c r="C28" s="52" t="s">
        <v>2</v>
      </c>
      <c r="D28" s="53">
        <f>XNPV(D3,D13:D26,C13:C26)</f>
        <v>0</v>
      </c>
      <c r="E28" s="52"/>
      <c r="H28" s="54"/>
      <c r="I28" s="38"/>
      <c r="J28" s="43"/>
      <c r="K28" s="43"/>
      <c r="L28" s="49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O29" s="35">
        <f t="shared" ref="O29:O40" si="15">-K15+J15</f>
        <v>0</v>
      </c>
      <c r="P29" s="36">
        <f>+D28</f>
        <v>0</v>
      </c>
      <c r="Q29" s="26" t="s">
        <v>31</v>
      </c>
      <c r="R29" s="26" t="s">
        <v>39</v>
      </c>
      <c r="S29" s="55">
        <f>+P29</f>
        <v>0</v>
      </c>
      <c r="T29" s="36">
        <f>+S12</f>
        <v>3300000.0000000005</v>
      </c>
      <c r="U29" s="26" t="s">
        <v>40</v>
      </c>
      <c r="V29" s="28">
        <v>2021</v>
      </c>
    </row>
    <row r="30" spans="2:22" x14ac:dyDescent="0.2">
      <c r="H30" s="29"/>
      <c r="I30" s="56"/>
      <c r="J30" s="18" t="s">
        <v>41</v>
      </c>
      <c r="K30" s="57"/>
      <c r="L30" s="8">
        <f>(D5-D4) /365*12</f>
        <v>60</v>
      </c>
      <c r="N30" s="26" t="s">
        <v>39</v>
      </c>
      <c r="O30" s="35">
        <f t="shared" si="15"/>
        <v>0</v>
      </c>
      <c r="P30" s="36">
        <f t="shared" ref="P30:P40" si="16">+P29-O29</f>
        <v>0</v>
      </c>
      <c r="Q30" s="26" t="s">
        <v>42</v>
      </c>
      <c r="S30" s="34"/>
      <c r="T30" s="6">
        <f>+T29-S29</f>
        <v>3300000.0000000005</v>
      </c>
      <c r="U30" s="26"/>
    </row>
    <row r="31" spans="2:22" x14ac:dyDescent="0.2">
      <c r="G31" s="7"/>
      <c r="J31" s="18" t="s">
        <v>43</v>
      </c>
      <c r="K31" s="58"/>
      <c r="L31" s="11">
        <f>D32/L30</f>
        <v>55000.000000000007</v>
      </c>
      <c r="M31" s="42"/>
      <c r="N31" s="26" t="s">
        <v>44</v>
      </c>
      <c r="O31" s="35">
        <f t="shared" si="15"/>
        <v>0</v>
      </c>
      <c r="P31" s="36">
        <f t="shared" si="16"/>
        <v>0</v>
      </c>
      <c r="Q31" s="26" t="s">
        <v>42</v>
      </c>
      <c r="S31" s="34"/>
    </row>
    <row r="32" spans="2:22" ht="13.5" thickBot="1" x14ac:dyDescent="0.25">
      <c r="C32" s="1" t="s">
        <v>45</v>
      </c>
      <c r="D32" s="59">
        <f>+D33+D34+D35+D36-D37</f>
        <v>3300000.0000000005</v>
      </c>
      <c r="G32" s="60"/>
      <c r="N32" s="26" t="s">
        <v>46</v>
      </c>
      <c r="O32" s="35">
        <f t="shared" si="15"/>
        <v>0</v>
      </c>
      <c r="P32" s="36">
        <f t="shared" si="16"/>
        <v>0</v>
      </c>
      <c r="Q32" s="26" t="s">
        <v>42</v>
      </c>
      <c r="S32" s="34"/>
    </row>
    <row r="33" spans="3:24" x14ac:dyDescent="0.2">
      <c r="C33" s="1" t="s">
        <v>47</v>
      </c>
      <c r="D33" s="30">
        <f>D28</f>
        <v>0</v>
      </c>
      <c r="I33" s="21" t="s">
        <v>27</v>
      </c>
      <c r="J33" s="22" t="s">
        <v>30</v>
      </c>
      <c r="K33" s="22" t="s">
        <v>48</v>
      </c>
      <c r="L33" s="61" t="s">
        <v>49</v>
      </c>
      <c r="N33" s="26" t="s">
        <v>50</v>
      </c>
      <c r="O33" s="35">
        <f t="shared" si="15"/>
        <v>0</v>
      </c>
      <c r="P33" s="36">
        <f t="shared" si="16"/>
        <v>0</v>
      </c>
      <c r="S33" s="34"/>
    </row>
    <row r="34" spans="3:24" x14ac:dyDescent="0.2">
      <c r="C34" s="1" t="s">
        <v>51</v>
      </c>
      <c r="D34" s="30">
        <v>0</v>
      </c>
      <c r="E34" s="11"/>
      <c r="I34" s="62">
        <f>D4</f>
        <v>44935</v>
      </c>
      <c r="J34" s="49">
        <f>+D32</f>
        <v>3300000.0000000005</v>
      </c>
      <c r="K34" s="63">
        <v>0</v>
      </c>
      <c r="L34" s="64">
        <v>0</v>
      </c>
      <c r="N34" s="26"/>
      <c r="O34" s="35">
        <f t="shared" si="15"/>
        <v>0</v>
      </c>
      <c r="P34" s="36">
        <f t="shared" si="16"/>
        <v>0</v>
      </c>
      <c r="S34" s="47"/>
    </row>
    <row r="35" spans="3:24" x14ac:dyDescent="0.2">
      <c r="C35" s="1" t="s">
        <v>52</v>
      </c>
      <c r="D35" s="65">
        <f>D6</f>
        <v>3300000.0000000005</v>
      </c>
      <c r="E35" s="11"/>
      <c r="I35" s="62">
        <v>45473</v>
      </c>
      <c r="J35" s="49">
        <f t="shared" ref="J35:J49" si="17">J34-K35</f>
        <v>2327178.0821917811</v>
      </c>
      <c r="K35" s="49">
        <f t="shared" ref="K35:K49" si="18">L35*L$31</f>
        <v>972821.91780821921</v>
      </c>
      <c r="L35" s="66">
        <f>(I35-I34) /365*12</f>
        <v>17.68767123287671</v>
      </c>
      <c r="M35" s="10"/>
      <c r="N35" s="26"/>
      <c r="O35" s="35">
        <f t="shared" si="15"/>
        <v>0</v>
      </c>
      <c r="P35" s="36">
        <f t="shared" si="16"/>
        <v>0</v>
      </c>
      <c r="S35" s="47"/>
    </row>
    <row r="36" spans="3:24" x14ac:dyDescent="0.2">
      <c r="C36" s="1" t="s">
        <v>53</v>
      </c>
      <c r="D36" s="30">
        <v>0</v>
      </c>
      <c r="I36" s="62">
        <v>45838</v>
      </c>
      <c r="J36" s="49">
        <f t="shared" si="17"/>
        <v>1667178.0821917811</v>
      </c>
      <c r="K36" s="49">
        <f t="shared" si="18"/>
        <v>660000.00000000012</v>
      </c>
      <c r="L36" s="67">
        <f>IF(L30-SUM(L35)&lt;12,L30-SUM(L35),12)</f>
        <v>12</v>
      </c>
      <c r="N36" s="26"/>
      <c r="O36" s="35">
        <f t="shared" si="15"/>
        <v>0</v>
      </c>
      <c r="P36" s="36">
        <f t="shared" si="16"/>
        <v>0</v>
      </c>
      <c r="S36" s="47"/>
    </row>
    <row r="37" spans="3:24" x14ac:dyDescent="0.2">
      <c r="C37" s="1" t="s">
        <v>54</v>
      </c>
      <c r="D37" s="30">
        <v>0</v>
      </c>
      <c r="I37" s="62">
        <v>46203</v>
      </c>
      <c r="J37" s="49">
        <f t="shared" si="17"/>
        <v>1007178.082191781</v>
      </c>
      <c r="K37" s="49">
        <f t="shared" si="18"/>
        <v>660000.00000000012</v>
      </c>
      <c r="L37" s="67">
        <f>IF(L30-SUM(L35:L36)&lt;12,L30-SUM(L35:L36),12)</f>
        <v>12</v>
      </c>
      <c r="N37" s="26"/>
      <c r="O37" s="35">
        <f t="shared" si="15"/>
        <v>0</v>
      </c>
      <c r="P37" s="36">
        <f t="shared" si="16"/>
        <v>0</v>
      </c>
      <c r="S37" s="47"/>
    </row>
    <row r="38" spans="3:24" x14ac:dyDescent="0.2">
      <c r="C38" s="52" t="s">
        <v>55</v>
      </c>
      <c r="E38" s="11"/>
      <c r="I38" s="62">
        <v>46568</v>
      </c>
      <c r="J38" s="49">
        <f t="shared" si="17"/>
        <v>347178.08219178091</v>
      </c>
      <c r="K38" s="49">
        <f t="shared" si="18"/>
        <v>660000.00000000012</v>
      </c>
      <c r="L38" s="67">
        <f>IF(L30-SUM(L35:L37)&lt;12,L30-SUM(L35:L37),12)</f>
        <v>12</v>
      </c>
      <c r="N38" s="26"/>
      <c r="O38" s="35">
        <f t="shared" si="15"/>
        <v>0</v>
      </c>
      <c r="P38" s="36">
        <f t="shared" si="16"/>
        <v>0</v>
      </c>
      <c r="S38" s="47"/>
    </row>
    <row r="39" spans="3:24" x14ac:dyDescent="0.2">
      <c r="I39" s="62">
        <v>46934</v>
      </c>
      <c r="J39" s="49">
        <f t="shared" si="17"/>
        <v>0</v>
      </c>
      <c r="K39" s="49">
        <f t="shared" si="18"/>
        <v>347178.08219178102</v>
      </c>
      <c r="L39" s="67">
        <f>IF(L30-SUM(L35:L38)&lt;12,L30-SUM(L35:L38),12)</f>
        <v>6.3123287671232902</v>
      </c>
      <c r="N39" s="26"/>
      <c r="O39" s="35">
        <f t="shared" si="15"/>
        <v>0</v>
      </c>
      <c r="P39" s="36">
        <f t="shared" si="16"/>
        <v>0</v>
      </c>
      <c r="S39" s="47"/>
    </row>
    <row r="40" spans="3:24" x14ac:dyDescent="0.2">
      <c r="I40" s="62">
        <v>47299</v>
      </c>
      <c r="J40" s="49">
        <f t="shared" si="17"/>
        <v>0</v>
      </c>
      <c r="K40" s="49">
        <f t="shared" si="18"/>
        <v>0</v>
      </c>
      <c r="L40" s="68">
        <f>IF(L30-SUM(L35:L39)&lt;12,L30-SUM(L35:L39),12)</f>
        <v>0</v>
      </c>
      <c r="N40" s="26"/>
      <c r="O40" s="35">
        <f t="shared" si="15"/>
        <v>0</v>
      </c>
      <c r="P40" s="36">
        <f t="shared" si="16"/>
        <v>0</v>
      </c>
    </row>
    <row r="41" spans="3:24" x14ac:dyDescent="0.2">
      <c r="I41" s="62">
        <v>47664</v>
      </c>
      <c r="J41" s="49">
        <f t="shared" si="17"/>
        <v>0</v>
      </c>
      <c r="K41" s="49">
        <f t="shared" si="18"/>
        <v>0</v>
      </c>
      <c r="L41" s="67">
        <f>IF(L30-SUM(L35:L40)&lt;12,L30-SUM(L35:L40),12)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69"/>
      <c r="D42" s="69"/>
      <c r="E42" s="69" t="s">
        <v>58</v>
      </c>
      <c r="I42" s="62">
        <v>48029</v>
      </c>
      <c r="J42" s="49">
        <f t="shared" si="17"/>
        <v>0</v>
      </c>
      <c r="K42" s="49">
        <f t="shared" si="18"/>
        <v>0</v>
      </c>
      <c r="L42" s="67">
        <f>IF(L30-SUM(L35:L41)&lt;12,L30-SUM(L35:L41),12)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70"/>
      <c r="D43" s="71" t="s">
        <v>60</v>
      </c>
      <c r="E43" s="71" t="s">
        <v>61</v>
      </c>
      <c r="I43" s="62">
        <v>48395</v>
      </c>
      <c r="J43" s="49">
        <f t="shared" si="17"/>
        <v>0</v>
      </c>
      <c r="K43" s="49">
        <f t="shared" si="18"/>
        <v>0</v>
      </c>
      <c r="L43" s="67">
        <f>IF(L30-SUM(L35:L42)&lt;12,L30-SUM(L35:L42),12)</f>
        <v>0</v>
      </c>
      <c r="N43" s="26" t="s">
        <v>62</v>
      </c>
      <c r="O43" s="72">
        <f t="shared" ref="O43:O50" si="19">+P12</f>
        <v>3300000.0000000005</v>
      </c>
      <c r="P43" s="73"/>
      <c r="R43" s="26" t="s">
        <v>39</v>
      </c>
      <c r="S43" s="74">
        <f t="shared" ref="S43:S55" si="20">K15</f>
        <v>0</v>
      </c>
      <c r="T43" s="75"/>
      <c r="U43" s="28">
        <v>2021</v>
      </c>
      <c r="V43" s="26" t="s">
        <v>63</v>
      </c>
      <c r="W43" s="27">
        <f t="shared" ref="W43:W55" si="21">K35</f>
        <v>972821.91780821921</v>
      </c>
      <c r="X43" s="6"/>
    </row>
    <row r="44" spans="3:24" x14ac:dyDescent="0.2">
      <c r="C44" s="71" t="s">
        <v>69</v>
      </c>
      <c r="D44" s="76">
        <f>D32</f>
        <v>3300000.0000000005</v>
      </c>
      <c r="E44" s="76"/>
      <c r="I44" s="62">
        <v>48760</v>
      </c>
      <c r="J44" s="49">
        <f t="shared" si="17"/>
        <v>0</v>
      </c>
      <c r="K44" s="49">
        <f t="shared" si="18"/>
        <v>0</v>
      </c>
      <c r="L44" s="67">
        <f>IF(L30-SUM(L35:L43)&lt;12,L30-SUM(L35:L43),12)</f>
        <v>0</v>
      </c>
      <c r="O44" s="72">
        <f t="shared" si="19"/>
        <v>0</v>
      </c>
      <c r="P44" s="73"/>
      <c r="R44" s="26" t="s">
        <v>44</v>
      </c>
      <c r="S44" s="77">
        <f t="shared" si="20"/>
        <v>0</v>
      </c>
      <c r="T44" s="47"/>
      <c r="U44" s="28">
        <v>2022</v>
      </c>
      <c r="V44" s="26" t="s">
        <v>64</v>
      </c>
      <c r="W44" s="78">
        <f t="shared" si="21"/>
        <v>660000.00000000012</v>
      </c>
    </row>
    <row r="45" spans="3:24" x14ac:dyDescent="0.2">
      <c r="C45" s="71" t="s">
        <v>70</v>
      </c>
      <c r="D45" s="76"/>
      <c r="E45" s="76">
        <f>D33</f>
        <v>0</v>
      </c>
      <c r="I45" s="62">
        <v>49125</v>
      </c>
      <c r="J45" s="49">
        <f t="shared" si="17"/>
        <v>0</v>
      </c>
      <c r="K45" s="49">
        <f t="shared" si="18"/>
        <v>0</v>
      </c>
      <c r="L45" s="67">
        <f>IF(L30-SUM(L35:L44)&lt;12,L30-SUM(L35:L44),12)</f>
        <v>0</v>
      </c>
      <c r="O45" s="72">
        <f t="shared" si="19"/>
        <v>0</v>
      </c>
      <c r="P45" s="73"/>
      <c r="R45" s="26" t="s">
        <v>46</v>
      </c>
      <c r="S45" s="77">
        <f t="shared" si="20"/>
        <v>0</v>
      </c>
      <c r="T45" s="47"/>
      <c r="U45" s="28">
        <v>2023</v>
      </c>
      <c r="V45" s="26" t="s">
        <v>65</v>
      </c>
      <c r="W45" s="78">
        <f t="shared" si="21"/>
        <v>660000.00000000012</v>
      </c>
    </row>
    <row r="46" spans="3:24" x14ac:dyDescent="0.2">
      <c r="C46" s="71" t="s">
        <v>76</v>
      </c>
      <c r="D46" s="76"/>
      <c r="E46" s="76">
        <f>D35</f>
        <v>3300000.0000000005</v>
      </c>
      <c r="I46" s="62">
        <v>49490</v>
      </c>
      <c r="J46" s="49">
        <f t="shared" si="17"/>
        <v>0</v>
      </c>
      <c r="K46" s="49">
        <f t="shared" si="18"/>
        <v>0</v>
      </c>
      <c r="L46" s="67">
        <f>IF(L30-SUM(L35:L45)&lt;12,L30-SUM(L35:L45),12)</f>
        <v>0</v>
      </c>
      <c r="O46" s="72">
        <f t="shared" si="19"/>
        <v>0</v>
      </c>
      <c r="P46" s="73"/>
      <c r="R46" s="26" t="s">
        <v>50</v>
      </c>
      <c r="S46" s="77">
        <f t="shared" si="20"/>
        <v>0</v>
      </c>
      <c r="T46" s="47"/>
      <c r="U46" s="28">
        <v>2024</v>
      </c>
      <c r="V46" s="26" t="s">
        <v>66</v>
      </c>
      <c r="W46" s="78">
        <f t="shared" si="21"/>
        <v>660000.00000000012</v>
      </c>
    </row>
    <row r="47" spans="3:24" x14ac:dyDescent="0.2">
      <c r="C47" s="71" t="s">
        <v>67</v>
      </c>
      <c r="D47" s="79">
        <f>D44+D45+D46</f>
        <v>3300000.0000000005</v>
      </c>
      <c r="E47" s="79">
        <f>E45+E46</f>
        <v>3300000.0000000005</v>
      </c>
      <c r="I47" s="62">
        <v>49856</v>
      </c>
      <c r="J47" s="49">
        <f t="shared" si="17"/>
        <v>0</v>
      </c>
      <c r="K47" s="49">
        <f t="shared" si="18"/>
        <v>0</v>
      </c>
      <c r="L47" s="67">
        <f>IF(L30-SUM(L35:L46)&lt;12,L30-SUM(L35:L46),12)</f>
        <v>0</v>
      </c>
      <c r="O47" s="72">
        <f t="shared" si="19"/>
        <v>0</v>
      </c>
      <c r="P47" s="73"/>
      <c r="S47" s="77">
        <f t="shared" si="20"/>
        <v>0</v>
      </c>
      <c r="T47" s="47"/>
      <c r="U47" s="28">
        <v>2025</v>
      </c>
      <c r="W47" s="78">
        <f t="shared" si="21"/>
        <v>347178.08219178102</v>
      </c>
    </row>
    <row r="48" spans="3:24" x14ac:dyDescent="0.2">
      <c r="E48" s="80"/>
      <c r="I48" s="62">
        <v>50221</v>
      </c>
      <c r="J48" s="49">
        <f t="shared" si="17"/>
        <v>0</v>
      </c>
      <c r="K48" s="49">
        <f t="shared" si="18"/>
        <v>0</v>
      </c>
      <c r="L48" s="67">
        <f>IF(L30-SUM(L35:L47)&lt;12,L30-SUM(L35:L47),12)</f>
        <v>0</v>
      </c>
      <c r="O48" s="72">
        <f t="shared" si="19"/>
        <v>0</v>
      </c>
      <c r="P48" s="73"/>
      <c r="S48" s="77">
        <f t="shared" si="20"/>
        <v>0</v>
      </c>
      <c r="T48" s="47"/>
      <c r="U48" s="28">
        <v>2026</v>
      </c>
      <c r="W48" s="78">
        <f t="shared" si="21"/>
        <v>0</v>
      </c>
      <c r="X48" s="47"/>
    </row>
    <row r="49" spans="5:24" ht="13.5" thickBot="1" x14ac:dyDescent="0.25">
      <c r="E49" s="80"/>
      <c r="I49" s="62">
        <v>50586</v>
      </c>
      <c r="J49" s="81">
        <f t="shared" si="17"/>
        <v>0</v>
      </c>
      <c r="K49" s="81">
        <f t="shared" si="18"/>
        <v>0</v>
      </c>
      <c r="L49" s="82">
        <f>IF(L30-SUM(L35:L48)&lt;12,L30-SUM(L35:L48),12)</f>
        <v>0</v>
      </c>
      <c r="O49" s="72">
        <f t="shared" si="19"/>
        <v>0</v>
      </c>
      <c r="P49" s="73"/>
      <c r="S49" s="77">
        <f t="shared" si="20"/>
        <v>0</v>
      </c>
      <c r="T49" s="47"/>
      <c r="U49" s="28">
        <v>2027</v>
      </c>
      <c r="W49" s="78">
        <f t="shared" si="21"/>
        <v>0</v>
      </c>
      <c r="X49" s="47"/>
    </row>
    <row r="50" spans="5:24" x14ac:dyDescent="0.2">
      <c r="E50" s="80"/>
      <c r="O50" s="83">
        <f t="shared" si="19"/>
        <v>0</v>
      </c>
      <c r="P50" s="73"/>
      <c r="S50" s="77">
        <f t="shared" si="20"/>
        <v>0</v>
      </c>
      <c r="T50" s="47"/>
      <c r="U50" s="28">
        <v>2028</v>
      </c>
      <c r="W50" s="78">
        <f t="shared" si="21"/>
        <v>0</v>
      </c>
      <c r="X50" s="47"/>
    </row>
    <row r="51" spans="5:24" x14ac:dyDescent="0.2">
      <c r="E51" s="80"/>
      <c r="S51" s="77">
        <f t="shared" si="20"/>
        <v>0</v>
      </c>
      <c r="T51" s="47"/>
      <c r="U51" s="28">
        <v>2029</v>
      </c>
      <c r="W51" s="78">
        <f t="shared" si="21"/>
        <v>0</v>
      </c>
      <c r="X51" s="47"/>
    </row>
    <row r="52" spans="5:24" x14ac:dyDescent="0.2">
      <c r="S52" s="77">
        <f t="shared" si="20"/>
        <v>0</v>
      </c>
      <c r="T52" s="47"/>
      <c r="U52" s="28">
        <v>2030</v>
      </c>
      <c r="W52" s="78">
        <f t="shared" si="21"/>
        <v>0</v>
      </c>
      <c r="X52" s="47"/>
    </row>
    <row r="53" spans="5:24" x14ac:dyDescent="0.2">
      <c r="S53" s="77">
        <f t="shared" si="20"/>
        <v>0</v>
      </c>
      <c r="T53" s="47"/>
      <c r="U53" s="28">
        <v>2031</v>
      </c>
      <c r="W53" s="78">
        <f t="shared" si="21"/>
        <v>0</v>
      </c>
      <c r="X53" s="47"/>
    </row>
    <row r="54" spans="5:24" x14ac:dyDescent="0.2">
      <c r="S54" s="77">
        <f t="shared" si="20"/>
        <v>0</v>
      </c>
      <c r="T54" s="47"/>
      <c r="U54" s="28">
        <v>2032</v>
      </c>
      <c r="W54" s="78">
        <f t="shared" si="21"/>
        <v>0</v>
      </c>
      <c r="X54" s="47"/>
    </row>
    <row r="55" spans="5:24" x14ac:dyDescent="0.2">
      <c r="S55" s="77">
        <f t="shared" si="20"/>
        <v>0</v>
      </c>
      <c r="T55" s="47"/>
      <c r="U55" s="28">
        <v>2033</v>
      </c>
      <c r="W55" s="78">
        <f t="shared" si="21"/>
        <v>0</v>
      </c>
      <c r="X55" s="47"/>
    </row>
    <row r="56" spans="5:24" x14ac:dyDescent="0.2">
      <c r="S56" s="46">
        <f>SUM(S43:S55)</f>
        <v>0</v>
      </c>
      <c r="T56" s="75"/>
      <c r="W56" s="74">
        <f>SUM(W43:W55)</f>
        <v>3300000.0000000005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topLeftCell="A16" workbookViewId="0">
      <selection activeCell="D29" sqref="D29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5.140625" style="1" customWidth="1"/>
    <col min="7" max="7" width="12.140625" style="1" customWidth="1"/>
    <col min="8" max="8" width="5.85546875" style="1" bestFit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4.570312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73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5">
        <v>30000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0">
        <f>E2*1.1</f>
        <v>33000</v>
      </c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44265</v>
      </c>
      <c r="E4" s="10">
        <f>E3*27</f>
        <v>891000</v>
      </c>
      <c r="G4" s="11"/>
      <c r="I4" s="4">
        <v>45107</v>
      </c>
      <c r="J4" s="6">
        <v>0</v>
      </c>
      <c r="K4" s="7">
        <v>0</v>
      </c>
      <c r="L4" s="8">
        <f t="shared" ref="L4" si="0">K34</f>
        <v>0</v>
      </c>
      <c r="M4" s="7">
        <v>0</v>
      </c>
      <c r="O4" s="6">
        <v>0</v>
      </c>
      <c r="P4" s="6">
        <v>0</v>
      </c>
    </row>
    <row r="5" spans="2:22" x14ac:dyDescent="0.2">
      <c r="C5" s="1" t="s">
        <v>11</v>
      </c>
      <c r="D5" s="12">
        <v>45086</v>
      </c>
      <c r="E5" s="84"/>
      <c r="F5" s="85"/>
      <c r="G5" s="85"/>
      <c r="H5" s="85"/>
      <c r="I5" s="4">
        <v>45473</v>
      </c>
      <c r="J5" s="6">
        <f>J35</f>
        <v>0</v>
      </c>
      <c r="K5" s="7">
        <f>L15</f>
        <v>0</v>
      </c>
      <c r="L5" s="8">
        <f>K35</f>
        <v>891000.00000000012</v>
      </c>
      <c r="M5" s="7">
        <f>K15</f>
        <v>0</v>
      </c>
      <c r="N5" s="7">
        <f>J15</f>
        <v>0</v>
      </c>
      <c r="O5" s="10">
        <v>0</v>
      </c>
      <c r="P5" s="6"/>
    </row>
    <row r="6" spans="2:22" x14ac:dyDescent="0.2">
      <c r="C6" s="1" t="s">
        <v>12</v>
      </c>
      <c r="D6" s="10">
        <v>891000</v>
      </c>
      <c r="E6" s="86"/>
      <c r="F6" s="85"/>
      <c r="G6" s="86"/>
      <c r="H6" s="85"/>
      <c r="I6" s="4">
        <v>45838</v>
      </c>
      <c r="J6" s="6">
        <f>J36</f>
        <v>0</v>
      </c>
      <c r="K6" s="7">
        <f t="shared" ref="K6:K9" si="1">L16</f>
        <v>0</v>
      </c>
      <c r="L6" s="8">
        <f t="shared" ref="L6:L10" si="2">K36</f>
        <v>0</v>
      </c>
      <c r="M6" s="7">
        <f t="shared" ref="M6:M10" si="3">K16</f>
        <v>0</v>
      </c>
      <c r="N6" s="7">
        <f t="shared" ref="N6:N10" si="4">J16</f>
        <v>0</v>
      </c>
      <c r="O6" s="10">
        <v>0</v>
      </c>
    </row>
    <row r="7" spans="2:22" x14ac:dyDescent="0.2">
      <c r="C7" s="1" t="s">
        <v>13</v>
      </c>
      <c r="D7" s="10">
        <v>891000</v>
      </c>
      <c r="E7" s="14"/>
      <c r="G7" s="11"/>
      <c r="I7" s="4">
        <v>46203</v>
      </c>
      <c r="J7" s="6">
        <f t="shared" ref="J7:J10" si="5">J37</f>
        <v>0</v>
      </c>
      <c r="K7" s="7">
        <f t="shared" si="1"/>
        <v>0</v>
      </c>
      <c r="L7" s="8">
        <f t="shared" si="2"/>
        <v>0</v>
      </c>
      <c r="M7" s="7">
        <f t="shared" si="3"/>
        <v>0</v>
      </c>
      <c r="N7" s="7">
        <f>J17</f>
        <v>0</v>
      </c>
    </row>
    <row r="8" spans="2:22" x14ac:dyDescent="0.2">
      <c r="C8" s="1" t="s">
        <v>14</v>
      </c>
      <c r="D8" s="12">
        <f>D4</f>
        <v>44265</v>
      </c>
      <c r="E8" s="15"/>
      <c r="I8" s="4">
        <v>46568</v>
      </c>
      <c r="J8" s="6">
        <f t="shared" si="5"/>
        <v>0</v>
      </c>
      <c r="K8" s="7">
        <f t="shared" si="1"/>
        <v>0</v>
      </c>
      <c r="L8" s="8">
        <f t="shared" si="2"/>
        <v>0</v>
      </c>
      <c r="M8" s="7">
        <f t="shared" si="3"/>
        <v>0</v>
      </c>
      <c r="N8" s="7">
        <f t="shared" si="4"/>
        <v>0</v>
      </c>
    </row>
    <row r="9" spans="2:22" x14ac:dyDescent="0.2">
      <c r="C9" s="1" t="s">
        <v>15</v>
      </c>
      <c r="D9" s="16">
        <v>0</v>
      </c>
      <c r="E9" s="11"/>
      <c r="I9" s="4">
        <v>46934</v>
      </c>
      <c r="J9" s="6">
        <f t="shared" si="5"/>
        <v>0</v>
      </c>
      <c r="K9" s="7">
        <f t="shared" si="1"/>
        <v>0</v>
      </c>
      <c r="L9" s="8">
        <f t="shared" si="2"/>
        <v>0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5"/>
        <v>0</v>
      </c>
      <c r="K10" s="7">
        <f t="shared" ref="K10" si="6">L21</f>
        <v>0</v>
      </c>
      <c r="L10" s="8">
        <f t="shared" si="2"/>
        <v>0</v>
      </c>
      <c r="M10" s="7">
        <f t="shared" si="3"/>
        <v>0</v>
      </c>
      <c r="N10" s="7">
        <f t="shared" si="4"/>
        <v>0</v>
      </c>
    </row>
    <row r="11" spans="2:22" ht="13.5" thickBot="1" x14ac:dyDescent="0.25"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21" t="s">
        <v>23</v>
      </c>
      <c r="I12" s="22"/>
      <c r="J12" s="22"/>
      <c r="K12" s="22"/>
      <c r="L12" s="23"/>
      <c r="O12" s="24"/>
      <c r="P12" s="25">
        <f>+D6</f>
        <v>891000</v>
      </c>
      <c r="Q12" s="26" t="s">
        <v>24</v>
      </c>
      <c r="R12" s="26" t="s">
        <v>25</v>
      </c>
      <c r="S12" s="27">
        <f>+D32</f>
        <v>891000</v>
      </c>
      <c r="T12" s="6">
        <f t="shared" ref="T12:T25" si="7">+K35</f>
        <v>891000.00000000012</v>
      </c>
      <c r="U12" s="26" t="s">
        <v>26</v>
      </c>
      <c r="V12" s="28"/>
    </row>
    <row r="13" spans="2:22" x14ac:dyDescent="0.2">
      <c r="B13" s="29">
        <v>0</v>
      </c>
      <c r="C13" s="4">
        <f>D4</f>
        <v>44265</v>
      </c>
      <c r="D13" s="30">
        <v>0</v>
      </c>
      <c r="E13" s="30"/>
      <c r="H13" s="31" t="s">
        <v>19</v>
      </c>
      <c r="I13" s="32" t="s">
        <v>27</v>
      </c>
      <c r="J13" s="32" t="s">
        <v>28</v>
      </c>
      <c r="K13" s="32" t="s">
        <v>29</v>
      </c>
      <c r="L13" s="33" t="s">
        <v>30</v>
      </c>
      <c r="O13" s="34"/>
      <c r="P13" s="7">
        <f t="shared" ref="P13:P24" si="8">J15</f>
        <v>0</v>
      </c>
      <c r="Q13" s="26" t="s">
        <v>31</v>
      </c>
      <c r="R13" s="26" t="s">
        <v>32</v>
      </c>
      <c r="S13" s="35">
        <f t="shared" ref="S13:S25" si="9">+S12-T12</f>
        <v>0</v>
      </c>
      <c r="T13" s="36">
        <f t="shared" si="7"/>
        <v>0</v>
      </c>
      <c r="U13" s="26" t="s">
        <v>33</v>
      </c>
      <c r="V13" s="28">
        <v>2021</v>
      </c>
    </row>
    <row r="14" spans="2:22" x14ac:dyDescent="0.2">
      <c r="B14" s="29">
        <v>1</v>
      </c>
      <c r="C14" s="4">
        <f>D8</f>
        <v>44265</v>
      </c>
      <c r="D14" s="30">
        <v>0</v>
      </c>
      <c r="E14" s="30">
        <f t="shared" ref="E14:E26" si="10">+D14*(1+$D$3)</f>
        <v>0</v>
      </c>
      <c r="H14" s="37">
        <v>0</v>
      </c>
      <c r="I14" s="38"/>
      <c r="J14" s="39"/>
      <c r="K14" s="40"/>
      <c r="L14" s="41">
        <f>D28</f>
        <v>0</v>
      </c>
      <c r="N14" s="42"/>
      <c r="O14" s="34"/>
      <c r="P14" s="7">
        <f t="shared" si="8"/>
        <v>0</v>
      </c>
      <c r="Q14" s="26" t="s">
        <v>34</v>
      </c>
      <c r="R14" s="26" t="s">
        <v>32</v>
      </c>
      <c r="S14" s="35">
        <f t="shared" si="9"/>
        <v>0</v>
      </c>
      <c r="T14" s="36">
        <f t="shared" si="7"/>
        <v>0</v>
      </c>
      <c r="U14" s="26" t="s">
        <v>35</v>
      </c>
      <c r="V14" s="28">
        <v>2022</v>
      </c>
    </row>
    <row r="15" spans="2:22" x14ac:dyDescent="0.2">
      <c r="B15" s="29">
        <v>2</v>
      </c>
      <c r="C15" s="4">
        <f t="shared" ref="C15:C26" si="11">C14+365</f>
        <v>44630</v>
      </c>
      <c r="D15" s="30">
        <v>0</v>
      </c>
      <c r="E15" s="30">
        <f t="shared" si="10"/>
        <v>0</v>
      </c>
      <c r="H15" s="37">
        <v>1</v>
      </c>
      <c r="I15" s="38">
        <v>2024</v>
      </c>
      <c r="J15" s="43"/>
      <c r="K15" s="43">
        <f>(L14-J15)*D$3*L35/12</f>
        <v>0</v>
      </c>
      <c r="L15" s="44">
        <f>L14-J15+K15</f>
        <v>0</v>
      </c>
      <c r="O15" s="34"/>
      <c r="P15" s="7">
        <f t="shared" si="8"/>
        <v>0</v>
      </c>
      <c r="Q15" s="26" t="s">
        <v>36</v>
      </c>
      <c r="R15" s="26" t="s">
        <v>32</v>
      </c>
      <c r="S15" s="35">
        <f t="shared" si="9"/>
        <v>0</v>
      </c>
      <c r="T15" s="36">
        <f t="shared" si="7"/>
        <v>0</v>
      </c>
      <c r="U15" s="26" t="s">
        <v>37</v>
      </c>
      <c r="V15" s="28">
        <v>2023</v>
      </c>
    </row>
    <row r="16" spans="2:22" x14ac:dyDescent="0.2">
      <c r="B16" s="29">
        <v>3</v>
      </c>
      <c r="C16" s="4">
        <f t="shared" si="11"/>
        <v>44995</v>
      </c>
      <c r="D16" s="30">
        <v>0</v>
      </c>
      <c r="E16" s="30">
        <f t="shared" si="10"/>
        <v>0</v>
      </c>
      <c r="H16" s="37">
        <f>+H15+1</f>
        <v>2</v>
      </c>
      <c r="I16" s="38">
        <v>2025</v>
      </c>
      <c r="J16" s="43">
        <f>D14</f>
        <v>0</v>
      </c>
      <c r="K16" s="43">
        <f>(L15-J16)*D$3</f>
        <v>0</v>
      </c>
      <c r="L16" s="44">
        <f t="shared" ref="L16:L27" si="12">L15-J16+K16</f>
        <v>0</v>
      </c>
      <c r="O16" s="34"/>
      <c r="P16" s="7">
        <f t="shared" si="8"/>
        <v>0</v>
      </c>
      <c r="Q16" s="26" t="s">
        <v>38</v>
      </c>
      <c r="R16" s="26"/>
      <c r="S16" s="35">
        <f t="shared" si="9"/>
        <v>0</v>
      </c>
      <c r="T16" s="36">
        <f t="shared" si="7"/>
        <v>0</v>
      </c>
      <c r="V16" s="28">
        <v>2024</v>
      </c>
    </row>
    <row r="17" spans="2:22" x14ac:dyDescent="0.2">
      <c r="B17" s="29">
        <v>4</v>
      </c>
      <c r="C17" s="4">
        <f t="shared" si="11"/>
        <v>45360</v>
      </c>
      <c r="D17" s="30">
        <v>0</v>
      </c>
      <c r="E17" s="30">
        <f t="shared" si="10"/>
        <v>0</v>
      </c>
      <c r="H17" s="37">
        <f>+H16+1</f>
        <v>3</v>
      </c>
      <c r="I17" s="38">
        <v>2026</v>
      </c>
      <c r="J17" s="43">
        <f>D17</f>
        <v>0</v>
      </c>
      <c r="K17" s="43">
        <f>J17-L16</f>
        <v>0</v>
      </c>
      <c r="L17" s="44">
        <f t="shared" si="12"/>
        <v>0</v>
      </c>
      <c r="O17" s="34"/>
      <c r="P17" s="7">
        <f t="shared" si="8"/>
        <v>0</v>
      </c>
      <c r="S17" s="35">
        <f t="shared" si="9"/>
        <v>0</v>
      </c>
      <c r="T17" s="36">
        <f t="shared" si="7"/>
        <v>0</v>
      </c>
      <c r="V17" s="28">
        <v>2025</v>
      </c>
    </row>
    <row r="18" spans="2:22" x14ac:dyDescent="0.2">
      <c r="B18" s="29">
        <v>5</v>
      </c>
      <c r="C18" s="4">
        <f t="shared" si="11"/>
        <v>45725</v>
      </c>
      <c r="D18" s="30">
        <v>0</v>
      </c>
      <c r="E18" s="30">
        <f t="shared" si="10"/>
        <v>0</v>
      </c>
      <c r="F18" s="10"/>
      <c r="H18" s="37">
        <v>4</v>
      </c>
      <c r="I18" s="38">
        <v>2027</v>
      </c>
      <c r="J18" s="43">
        <f t="shared" ref="J18:J27" si="13">D16</f>
        <v>0</v>
      </c>
      <c r="K18" s="43">
        <f>J18-L17</f>
        <v>0</v>
      </c>
      <c r="L18" s="44">
        <f t="shared" si="12"/>
        <v>0</v>
      </c>
      <c r="O18" s="34"/>
      <c r="P18" s="7">
        <f t="shared" si="8"/>
        <v>0</v>
      </c>
      <c r="S18" s="45">
        <f t="shared" si="9"/>
        <v>0</v>
      </c>
      <c r="T18" s="36">
        <f t="shared" si="7"/>
        <v>0</v>
      </c>
      <c r="V18" s="28">
        <v>2026</v>
      </c>
    </row>
    <row r="19" spans="2:22" x14ac:dyDescent="0.2">
      <c r="B19" s="29">
        <v>6</v>
      </c>
      <c r="C19" s="4">
        <f t="shared" si="11"/>
        <v>46090</v>
      </c>
      <c r="D19" s="30">
        <v>0</v>
      </c>
      <c r="E19" s="30">
        <f t="shared" si="10"/>
        <v>0</v>
      </c>
      <c r="H19" s="37">
        <v>5</v>
      </c>
      <c r="I19" s="38">
        <v>2028</v>
      </c>
      <c r="J19" s="43">
        <v>0</v>
      </c>
      <c r="K19" s="43">
        <f>J19-L18</f>
        <v>0</v>
      </c>
      <c r="L19" s="44">
        <f t="shared" si="12"/>
        <v>0</v>
      </c>
      <c r="O19" s="34"/>
      <c r="P19" s="7">
        <f t="shared" si="8"/>
        <v>0</v>
      </c>
      <c r="S19" s="45">
        <f t="shared" si="9"/>
        <v>0</v>
      </c>
      <c r="T19" s="36">
        <f t="shared" si="7"/>
        <v>0</v>
      </c>
      <c r="V19" s="28">
        <v>2027</v>
      </c>
    </row>
    <row r="20" spans="2:22" x14ac:dyDescent="0.2">
      <c r="B20" s="29">
        <v>7</v>
      </c>
      <c r="C20" s="4">
        <f t="shared" si="11"/>
        <v>46455</v>
      </c>
      <c r="D20" s="30">
        <v>0</v>
      </c>
      <c r="E20" s="30">
        <f t="shared" si="10"/>
        <v>0</v>
      </c>
      <c r="H20" s="37">
        <v>6</v>
      </c>
      <c r="I20" s="38">
        <v>2029</v>
      </c>
      <c r="J20" s="43">
        <f t="shared" si="13"/>
        <v>0</v>
      </c>
      <c r="K20" s="43">
        <f t="shared" ref="K20:K27" si="14">L19-J20</f>
        <v>0</v>
      </c>
      <c r="L20" s="44">
        <f t="shared" si="12"/>
        <v>0</v>
      </c>
      <c r="O20" s="34"/>
      <c r="P20" s="7">
        <f t="shared" si="8"/>
        <v>0</v>
      </c>
      <c r="S20" s="45">
        <f t="shared" si="9"/>
        <v>0</v>
      </c>
      <c r="T20" s="36">
        <f t="shared" si="7"/>
        <v>0</v>
      </c>
      <c r="V20" s="28">
        <v>2028</v>
      </c>
    </row>
    <row r="21" spans="2:22" x14ac:dyDescent="0.2">
      <c r="B21" s="29">
        <v>8</v>
      </c>
      <c r="C21" s="4">
        <f t="shared" si="11"/>
        <v>46820</v>
      </c>
      <c r="D21" s="30">
        <v>0</v>
      </c>
      <c r="E21" s="30">
        <f t="shared" si="10"/>
        <v>0</v>
      </c>
      <c r="H21" s="37">
        <v>7</v>
      </c>
      <c r="I21" s="38">
        <v>2030</v>
      </c>
      <c r="J21" s="43">
        <f t="shared" si="13"/>
        <v>0</v>
      </c>
      <c r="K21" s="43">
        <f t="shared" si="14"/>
        <v>0</v>
      </c>
      <c r="L21" s="44">
        <f t="shared" si="12"/>
        <v>0</v>
      </c>
      <c r="O21" s="34"/>
      <c r="P21" s="7">
        <f t="shared" si="8"/>
        <v>0</v>
      </c>
      <c r="S21" s="45">
        <f t="shared" si="9"/>
        <v>0</v>
      </c>
      <c r="T21" s="36">
        <f t="shared" si="7"/>
        <v>0</v>
      </c>
      <c r="V21" s="28">
        <v>2029</v>
      </c>
    </row>
    <row r="22" spans="2:22" x14ac:dyDescent="0.2">
      <c r="B22" s="29">
        <v>9</v>
      </c>
      <c r="C22" s="4">
        <f t="shared" si="11"/>
        <v>47185</v>
      </c>
      <c r="D22" s="30">
        <v>0</v>
      </c>
      <c r="E22" s="30">
        <f t="shared" si="10"/>
        <v>0</v>
      </c>
      <c r="H22" s="37">
        <v>8</v>
      </c>
      <c r="I22" s="38">
        <v>2031</v>
      </c>
      <c r="J22" s="43">
        <f t="shared" si="13"/>
        <v>0</v>
      </c>
      <c r="K22" s="43">
        <f t="shared" si="14"/>
        <v>0</v>
      </c>
      <c r="L22" s="44">
        <f t="shared" si="12"/>
        <v>0</v>
      </c>
      <c r="O22" s="34"/>
      <c r="P22" s="7">
        <f t="shared" si="8"/>
        <v>0</v>
      </c>
      <c r="S22" s="45">
        <f t="shared" si="9"/>
        <v>0</v>
      </c>
      <c r="T22" s="36">
        <f t="shared" si="7"/>
        <v>0</v>
      </c>
      <c r="V22" s="28">
        <v>2030</v>
      </c>
    </row>
    <row r="23" spans="2:22" x14ac:dyDescent="0.2">
      <c r="B23" s="29">
        <v>10</v>
      </c>
      <c r="C23" s="4">
        <f t="shared" si="11"/>
        <v>47550</v>
      </c>
      <c r="D23" s="30">
        <v>0</v>
      </c>
      <c r="E23" s="30">
        <f t="shared" si="10"/>
        <v>0</v>
      </c>
      <c r="H23" s="37">
        <v>9</v>
      </c>
      <c r="I23" s="38">
        <v>2032</v>
      </c>
      <c r="J23" s="43">
        <f t="shared" si="13"/>
        <v>0</v>
      </c>
      <c r="K23" s="43">
        <f t="shared" si="14"/>
        <v>0</v>
      </c>
      <c r="L23" s="44">
        <f t="shared" si="12"/>
        <v>0</v>
      </c>
      <c r="O23" s="34"/>
      <c r="P23" s="7">
        <f t="shared" si="8"/>
        <v>0</v>
      </c>
      <c r="S23" s="45">
        <f t="shared" si="9"/>
        <v>0</v>
      </c>
      <c r="T23" s="36">
        <f t="shared" si="7"/>
        <v>0</v>
      </c>
      <c r="V23" s="28">
        <v>2031</v>
      </c>
    </row>
    <row r="24" spans="2:22" x14ac:dyDescent="0.2">
      <c r="B24" s="29">
        <v>11</v>
      </c>
      <c r="C24" s="4">
        <f t="shared" si="11"/>
        <v>47915</v>
      </c>
      <c r="D24" s="30">
        <v>0</v>
      </c>
      <c r="E24" s="30">
        <f t="shared" si="10"/>
        <v>0</v>
      </c>
      <c r="H24" s="37">
        <v>10</v>
      </c>
      <c r="I24" s="38">
        <v>2033</v>
      </c>
      <c r="J24" s="43">
        <f t="shared" si="13"/>
        <v>0</v>
      </c>
      <c r="K24" s="43">
        <f t="shared" si="14"/>
        <v>0</v>
      </c>
      <c r="L24" s="44">
        <f t="shared" si="12"/>
        <v>0</v>
      </c>
      <c r="O24" s="34"/>
      <c r="P24" s="7">
        <f t="shared" si="8"/>
        <v>0</v>
      </c>
      <c r="S24" s="45">
        <f t="shared" si="9"/>
        <v>0</v>
      </c>
      <c r="T24" s="36">
        <f t="shared" si="7"/>
        <v>0</v>
      </c>
      <c r="V24" s="28">
        <v>2032</v>
      </c>
    </row>
    <row r="25" spans="2:22" x14ac:dyDescent="0.2">
      <c r="B25" s="29">
        <v>12</v>
      </c>
      <c r="C25" s="4">
        <f t="shared" si="11"/>
        <v>48280</v>
      </c>
      <c r="D25" s="30">
        <v>0</v>
      </c>
      <c r="E25" s="30">
        <f t="shared" si="10"/>
        <v>0</v>
      </c>
      <c r="H25" s="37">
        <v>11</v>
      </c>
      <c r="I25" s="38">
        <v>2034</v>
      </c>
      <c r="J25" s="43">
        <f t="shared" si="13"/>
        <v>0</v>
      </c>
      <c r="K25" s="43">
        <f>L24-J25</f>
        <v>0</v>
      </c>
      <c r="L25" s="44">
        <f t="shared" si="12"/>
        <v>0</v>
      </c>
      <c r="O25" s="24"/>
      <c r="P25" s="46">
        <f>SUM(P12:P24)</f>
        <v>891000</v>
      </c>
      <c r="S25" s="45">
        <f t="shared" si="9"/>
        <v>0</v>
      </c>
      <c r="T25" s="36">
        <f t="shared" si="7"/>
        <v>0</v>
      </c>
      <c r="V25" s="28">
        <v>2033</v>
      </c>
    </row>
    <row r="26" spans="2:22" x14ac:dyDescent="0.2">
      <c r="B26" s="29">
        <v>13</v>
      </c>
      <c r="C26" s="4">
        <f t="shared" si="11"/>
        <v>48645</v>
      </c>
      <c r="D26" s="30">
        <v>0</v>
      </c>
      <c r="E26" s="30">
        <f t="shared" si="10"/>
        <v>0</v>
      </c>
      <c r="H26" s="37">
        <v>12</v>
      </c>
      <c r="I26" s="38">
        <v>2035</v>
      </c>
      <c r="J26" s="43">
        <f t="shared" si="13"/>
        <v>0</v>
      </c>
      <c r="K26" s="43">
        <f t="shared" si="14"/>
        <v>0</v>
      </c>
      <c r="L26" s="44">
        <f t="shared" si="12"/>
        <v>0</v>
      </c>
      <c r="O26" s="47"/>
      <c r="P26" s="48"/>
      <c r="S26" s="48"/>
      <c r="T26" s="49"/>
      <c r="V26" s="28"/>
    </row>
    <row r="27" spans="2:22" ht="13.5" thickBot="1" x14ac:dyDescent="0.25">
      <c r="B27" s="29"/>
      <c r="C27" s="4"/>
      <c r="H27" s="50">
        <v>13</v>
      </c>
      <c r="I27" s="38">
        <v>2036</v>
      </c>
      <c r="J27" s="43">
        <f t="shared" si="13"/>
        <v>0</v>
      </c>
      <c r="K27" s="43">
        <f t="shared" si="14"/>
        <v>0</v>
      </c>
      <c r="L27" s="51">
        <f t="shared" si="12"/>
        <v>0</v>
      </c>
    </row>
    <row r="28" spans="2:22" ht="13.5" thickBot="1" x14ac:dyDescent="0.25">
      <c r="C28" s="52" t="s">
        <v>2</v>
      </c>
      <c r="D28" s="53">
        <f>XNPV(D3,D13:D26,C13:C26)</f>
        <v>0</v>
      </c>
      <c r="E28" s="52"/>
      <c r="H28" s="54"/>
      <c r="I28" s="38"/>
      <c r="J28" s="43"/>
      <c r="K28" s="43"/>
      <c r="L28" s="49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O29" s="35">
        <f t="shared" ref="O29:O40" si="15">-K15+J15</f>
        <v>0</v>
      </c>
      <c r="P29" s="36">
        <f>+D28</f>
        <v>0</v>
      </c>
      <c r="Q29" s="26" t="s">
        <v>31</v>
      </c>
      <c r="R29" s="26" t="s">
        <v>39</v>
      </c>
      <c r="S29" s="55">
        <f>+P29</f>
        <v>0</v>
      </c>
      <c r="T29" s="36">
        <f>+S12</f>
        <v>891000</v>
      </c>
      <c r="U29" s="26" t="s">
        <v>40</v>
      </c>
      <c r="V29" s="28">
        <v>2021</v>
      </c>
    </row>
    <row r="30" spans="2:22" x14ac:dyDescent="0.2">
      <c r="H30" s="29"/>
      <c r="I30" s="56"/>
      <c r="J30" s="18" t="s">
        <v>41</v>
      </c>
      <c r="K30" s="57"/>
      <c r="L30" s="8">
        <f>(D5-D4) /365*12</f>
        <v>26.991780821917811</v>
      </c>
      <c r="N30" s="26" t="s">
        <v>39</v>
      </c>
      <c r="O30" s="35">
        <f t="shared" si="15"/>
        <v>0</v>
      </c>
      <c r="P30" s="36">
        <f t="shared" ref="P30:P40" si="16">+P29-O29</f>
        <v>0</v>
      </c>
      <c r="Q30" s="26" t="s">
        <v>42</v>
      </c>
      <c r="S30" s="34"/>
      <c r="T30" s="6">
        <f>+T29-S29</f>
        <v>891000</v>
      </c>
      <c r="U30" s="26"/>
    </row>
    <row r="31" spans="2:22" x14ac:dyDescent="0.2">
      <c r="G31" s="7"/>
      <c r="J31" s="18" t="s">
        <v>43</v>
      </c>
      <c r="K31" s="58"/>
      <c r="L31" s="11">
        <f>D32/L30</f>
        <v>33010.048721071864</v>
      </c>
      <c r="M31" s="42"/>
      <c r="N31" s="26" t="s">
        <v>44</v>
      </c>
      <c r="O31" s="35">
        <f t="shared" si="15"/>
        <v>0</v>
      </c>
      <c r="P31" s="36">
        <f t="shared" si="16"/>
        <v>0</v>
      </c>
      <c r="Q31" s="26" t="s">
        <v>42</v>
      </c>
      <c r="S31" s="34"/>
    </row>
    <row r="32" spans="2:22" ht="13.5" thickBot="1" x14ac:dyDescent="0.25">
      <c r="C32" s="1" t="s">
        <v>45</v>
      </c>
      <c r="D32" s="59">
        <f>+D33+D34+D35+D36-D37</f>
        <v>891000</v>
      </c>
      <c r="G32" s="60"/>
      <c r="N32" s="26" t="s">
        <v>46</v>
      </c>
      <c r="O32" s="35">
        <f t="shared" si="15"/>
        <v>0</v>
      </c>
      <c r="P32" s="36">
        <f t="shared" si="16"/>
        <v>0</v>
      </c>
      <c r="Q32" s="26" t="s">
        <v>42</v>
      </c>
      <c r="S32" s="34"/>
    </row>
    <row r="33" spans="3:24" x14ac:dyDescent="0.2">
      <c r="C33" s="1" t="s">
        <v>47</v>
      </c>
      <c r="D33" s="30">
        <f>D28</f>
        <v>0</v>
      </c>
      <c r="I33" s="21" t="s">
        <v>27</v>
      </c>
      <c r="J33" s="22" t="s">
        <v>30</v>
      </c>
      <c r="K33" s="22" t="s">
        <v>48</v>
      </c>
      <c r="L33" s="61" t="s">
        <v>49</v>
      </c>
      <c r="N33" s="26" t="s">
        <v>50</v>
      </c>
      <c r="O33" s="35">
        <f t="shared" si="15"/>
        <v>0</v>
      </c>
      <c r="P33" s="36">
        <f t="shared" si="16"/>
        <v>0</v>
      </c>
      <c r="S33" s="34"/>
    </row>
    <row r="34" spans="3:24" x14ac:dyDescent="0.2">
      <c r="C34" s="1" t="s">
        <v>51</v>
      </c>
      <c r="D34" s="30">
        <v>0</v>
      </c>
      <c r="E34" s="11"/>
      <c r="I34" s="62">
        <f>D4</f>
        <v>44265</v>
      </c>
      <c r="J34" s="49">
        <f>+D32</f>
        <v>891000</v>
      </c>
      <c r="K34" s="63">
        <v>0</v>
      </c>
      <c r="L34" s="64">
        <v>0</v>
      </c>
      <c r="N34" s="26"/>
      <c r="O34" s="35">
        <f t="shared" si="15"/>
        <v>0</v>
      </c>
      <c r="P34" s="36">
        <f t="shared" si="16"/>
        <v>0</v>
      </c>
      <c r="S34" s="47"/>
    </row>
    <row r="35" spans="3:24" x14ac:dyDescent="0.2">
      <c r="C35" s="1" t="s">
        <v>52</v>
      </c>
      <c r="D35" s="65">
        <f>D6</f>
        <v>891000</v>
      </c>
      <c r="E35" s="11"/>
      <c r="I35" s="62">
        <f>D5</f>
        <v>45086</v>
      </c>
      <c r="J35" s="49">
        <f>J34-K35</f>
        <v>0</v>
      </c>
      <c r="K35" s="49">
        <f t="shared" ref="K35:K49" si="17">L35*L$31</f>
        <v>891000.00000000012</v>
      </c>
      <c r="L35" s="66">
        <f>(I35-I34) /365*12</f>
        <v>26.991780821917811</v>
      </c>
      <c r="M35" s="10"/>
      <c r="N35" s="26"/>
      <c r="O35" s="35">
        <f t="shared" si="15"/>
        <v>0</v>
      </c>
      <c r="P35" s="36">
        <f t="shared" si="16"/>
        <v>0</v>
      </c>
      <c r="S35" s="47"/>
    </row>
    <row r="36" spans="3:24" x14ac:dyDescent="0.2">
      <c r="C36" s="1" t="s">
        <v>53</v>
      </c>
      <c r="D36" s="30">
        <v>0</v>
      </c>
      <c r="I36" s="62">
        <v>45838</v>
      </c>
      <c r="J36" s="49">
        <f t="shared" ref="J36:J49" si="18">J35-K36</f>
        <v>0</v>
      </c>
      <c r="K36" s="49">
        <f t="shared" si="17"/>
        <v>0</v>
      </c>
      <c r="L36" s="67">
        <f>IF(L30-SUM(L35)&lt;12,L30-SUM(L35),12)</f>
        <v>0</v>
      </c>
      <c r="N36" s="26"/>
      <c r="O36" s="35">
        <f t="shared" si="15"/>
        <v>0</v>
      </c>
      <c r="P36" s="36">
        <f t="shared" si="16"/>
        <v>0</v>
      </c>
      <c r="S36" s="47"/>
    </row>
    <row r="37" spans="3:24" x14ac:dyDescent="0.2">
      <c r="C37" s="1" t="s">
        <v>54</v>
      </c>
      <c r="D37" s="30">
        <v>0</v>
      </c>
      <c r="I37" s="62">
        <v>46203</v>
      </c>
      <c r="J37" s="49">
        <f t="shared" si="18"/>
        <v>0</v>
      </c>
      <c r="K37" s="49">
        <f t="shared" si="17"/>
        <v>0</v>
      </c>
      <c r="L37" s="67">
        <f>IF(L30-SUM(L35:L36)&lt;12,L30-SUM(L35:L36),12)</f>
        <v>0</v>
      </c>
      <c r="N37" s="26"/>
      <c r="O37" s="35">
        <f t="shared" si="15"/>
        <v>0</v>
      </c>
      <c r="P37" s="36">
        <f t="shared" si="16"/>
        <v>0</v>
      </c>
      <c r="S37" s="47"/>
    </row>
    <row r="38" spans="3:24" x14ac:dyDescent="0.2">
      <c r="C38" s="52" t="s">
        <v>55</v>
      </c>
      <c r="E38" s="11"/>
      <c r="I38" s="62">
        <v>46568</v>
      </c>
      <c r="J38" s="49">
        <f t="shared" si="18"/>
        <v>0</v>
      </c>
      <c r="K38" s="49">
        <f t="shared" si="17"/>
        <v>0</v>
      </c>
      <c r="L38" s="67">
        <f>IF(L30-SUM(L35:L37)&lt;12,L30-SUM(L35:L37),12)</f>
        <v>0</v>
      </c>
      <c r="N38" s="26"/>
      <c r="O38" s="35">
        <f t="shared" si="15"/>
        <v>0</v>
      </c>
      <c r="P38" s="36">
        <f t="shared" si="16"/>
        <v>0</v>
      </c>
      <c r="S38" s="47"/>
    </row>
    <row r="39" spans="3:24" x14ac:dyDescent="0.2">
      <c r="I39" s="62">
        <v>46934</v>
      </c>
      <c r="J39" s="49">
        <f t="shared" si="18"/>
        <v>0</v>
      </c>
      <c r="K39" s="49">
        <f t="shared" si="17"/>
        <v>0</v>
      </c>
      <c r="L39" s="67">
        <f>IF(L30-SUM(L35:L38)&lt;12,L30-SUM(L35:L38),12)</f>
        <v>0</v>
      </c>
      <c r="N39" s="26"/>
      <c r="O39" s="35">
        <f t="shared" si="15"/>
        <v>0</v>
      </c>
      <c r="P39" s="36">
        <f t="shared" si="16"/>
        <v>0</v>
      </c>
      <c r="S39" s="47"/>
    </row>
    <row r="40" spans="3:24" x14ac:dyDescent="0.2">
      <c r="I40" s="62">
        <v>47299</v>
      </c>
      <c r="J40" s="49">
        <f t="shared" si="18"/>
        <v>0</v>
      </c>
      <c r="K40" s="49">
        <f t="shared" si="17"/>
        <v>0</v>
      </c>
      <c r="L40" s="68">
        <f>IF(L30-SUM(L35:L39)&lt;12,L30-SUM(L35:L39),12)</f>
        <v>0</v>
      </c>
      <c r="N40" s="26"/>
      <c r="O40" s="35">
        <f t="shared" si="15"/>
        <v>0</v>
      </c>
      <c r="P40" s="36">
        <f t="shared" si="16"/>
        <v>0</v>
      </c>
    </row>
    <row r="41" spans="3:24" x14ac:dyDescent="0.2">
      <c r="I41" s="62">
        <v>47664</v>
      </c>
      <c r="J41" s="49">
        <f t="shared" si="18"/>
        <v>0</v>
      </c>
      <c r="K41" s="49">
        <f t="shared" si="17"/>
        <v>0</v>
      </c>
      <c r="L41" s="67">
        <f>IF(L30-SUM(L35:L40)&lt;12,L30-SUM(L35:L40),12)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69"/>
      <c r="D42" s="69"/>
      <c r="E42" s="69" t="s">
        <v>58</v>
      </c>
      <c r="I42" s="62">
        <v>48029</v>
      </c>
      <c r="J42" s="49">
        <f t="shared" si="18"/>
        <v>0</v>
      </c>
      <c r="K42" s="49">
        <f t="shared" si="17"/>
        <v>0</v>
      </c>
      <c r="L42" s="67">
        <f>IF(L30-SUM(L35:L41)&lt;12,L30-SUM(L35:L41),12)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70"/>
      <c r="D43" s="71" t="s">
        <v>60</v>
      </c>
      <c r="E43" s="71" t="s">
        <v>61</v>
      </c>
      <c r="I43" s="62">
        <v>48395</v>
      </c>
      <c r="J43" s="49">
        <f t="shared" si="18"/>
        <v>0</v>
      </c>
      <c r="K43" s="49">
        <f t="shared" si="17"/>
        <v>0</v>
      </c>
      <c r="L43" s="67">
        <f>IF(L30-SUM(L35:L42)&lt;12,L30-SUM(L35:L42),12)</f>
        <v>0</v>
      </c>
      <c r="N43" s="26" t="s">
        <v>62</v>
      </c>
      <c r="O43" s="72">
        <f t="shared" ref="O43:O50" si="19">+P12</f>
        <v>891000</v>
      </c>
      <c r="P43" s="73"/>
      <c r="R43" s="26" t="s">
        <v>39</v>
      </c>
      <c r="S43" s="74">
        <f t="shared" ref="S43:S55" si="20">K15</f>
        <v>0</v>
      </c>
      <c r="T43" s="75"/>
      <c r="U43" s="28">
        <v>2021</v>
      </c>
      <c r="V43" s="26" t="s">
        <v>63</v>
      </c>
      <c r="W43" s="27">
        <f t="shared" ref="W43:W55" si="21">K35</f>
        <v>891000.00000000012</v>
      </c>
      <c r="X43" s="6"/>
    </row>
    <row r="44" spans="3:24" x14ac:dyDescent="0.2">
      <c r="C44" s="71" t="s">
        <v>69</v>
      </c>
      <c r="D44" s="76">
        <f>D32</f>
        <v>891000</v>
      </c>
      <c r="E44" s="76"/>
      <c r="I44" s="62">
        <v>48760</v>
      </c>
      <c r="J44" s="49">
        <f t="shared" si="18"/>
        <v>0</v>
      </c>
      <c r="K44" s="49">
        <f t="shared" si="17"/>
        <v>0</v>
      </c>
      <c r="L44" s="67">
        <f>IF(L30-SUM(L35:L43)&lt;12,L30-SUM(L35:L43),12)</f>
        <v>0</v>
      </c>
      <c r="O44" s="72">
        <f t="shared" si="19"/>
        <v>0</v>
      </c>
      <c r="P44" s="73"/>
      <c r="R44" s="26" t="s">
        <v>44</v>
      </c>
      <c r="S44" s="77">
        <f t="shared" si="20"/>
        <v>0</v>
      </c>
      <c r="T44" s="47"/>
      <c r="U44" s="28">
        <v>2022</v>
      </c>
      <c r="V44" s="26" t="s">
        <v>64</v>
      </c>
      <c r="W44" s="78">
        <f t="shared" si="21"/>
        <v>0</v>
      </c>
    </row>
    <row r="45" spans="3:24" x14ac:dyDescent="0.2">
      <c r="C45" s="71" t="s">
        <v>70</v>
      </c>
      <c r="D45" s="76"/>
      <c r="E45" s="76">
        <f>D33</f>
        <v>0</v>
      </c>
      <c r="I45" s="62">
        <v>49125</v>
      </c>
      <c r="J45" s="49">
        <f t="shared" si="18"/>
        <v>0</v>
      </c>
      <c r="K45" s="49">
        <f t="shared" si="17"/>
        <v>0</v>
      </c>
      <c r="L45" s="67">
        <f>IF(L30-SUM(L35:L44)&lt;12,L30-SUM(L35:L44),12)</f>
        <v>0</v>
      </c>
      <c r="O45" s="72">
        <f t="shared" si="19"/>
        <v>0</v>
      </c>
      <c r="P45" s="73"/>
      <c r="R45" s="26" t="s">
        <v>46</v>
      </c>
      <c r="S45" s="77">
        <f t="shared" si="20"/>
        <v>0</v>
      </c>
      <c r="T45" s="47"/>
      <c r="U45" s="28">
        <v>2023</v>
      </c>
      <c r="V45" s="26" t="s">
        <v>65</v>
      </c>
      <c r="W45" s="78">
        <f t="shared" si="21"/>
        <v>0</v>
      </c>
    </row>
    <row r="46" spans="3:24" x14ac:dyDescent="0.2">
      <c r="C46" s="71" t="s">
        <v>71</v>
      </c>
      <c r="D46" s="76"/>
      <c r="E46" s="76">
        <f>D35</f>
        <v>891000</v>
      </c>
      <c r="I46" s="62">
        <v>49490</v>
      </c>
      <c r="J46" s="49">
        <f t="shared" si="18"/>
        <v>0</v>
      </c>
      <c r="K46" s="49">
        <f t="shared" si="17"/>
        <v>0</v>
      </c>
      <c r="L46" s="67">
        <f>IF(L30-SUM(L35:L45)&lt;12,L30-SUM(L35:L45),12)</f>
        <v>0</v>
      </c>
      <c r="O46" s="72">
        <f t="shared" si="19"/>
        <v>0</v>
      </c>
      <c r="P46" s="73"/>
      <c r="R46" s="26" t="s">
        <v>50</v>
      </c>
      <c r="S46" s="77">
        <f t="shared" si="20"/>
        <v>0</v>
      </c>
      <c r="T46" s="47"/>
      <c r="U46" s="28">
        <v>2024</v>
      </c>
      <c r="V46" s="26" t="s">
        <v>66</v>
      </c>
      <c r="W46" s="78">
        <f t="shared" si="21"/>
        <v>0</v>
      </c>
    </row>
    <row r="47" spans="3:24" x14ac:dyDescent="0.2">
      <c r="C47" s="71" t="s">
        <v>67</v>
      </c>
      <c r="D47" s="79">
        <f>D44+D45+D46</f>
        <v>891000</v>
      </c>
      <c r="E47" s="79">
        <f>E45+E46</f>
        <v>891000</v>
      </c>
      <c r="I47" s="62">
        <v>49856</v>
      </c>
      <c r="J47" s="49">
        <f t="shared" si="18"/>
        <v>0</v>
      </c>
      <c r="K47" s="49">
        <f t="shared" si="17"/>
        <v>0</v>
      </c>
      <c r="L47" s="67">
        <f>IF(L30-SUM(L35:L46)&lt;12,L30-SUM(L35:L46),12)</f>
        <v>0</v>
      </c>
      <c r="O47" s="72">
        <f t="shared" si="19"/>
        <v>0</v>
      </c>
      <c r="P47" s="73"/>
      <c r="S47" s="77">
        <f t="shared" si="20"/>
        <v>0</v>
      </c>
      <c r="T47" s="47"/>
      <c r="U47" s="28">
        <v>2025</v>
      </c>
      <c r="W47" s="78">
        <f t="shared" si="21"/>
        <v>0</v>
      </c>
    </row>
    <row r="48" spans="3:24" x14ac:dyDescent="0.2">
      <c r="E48" s="80"/>
      <c r="I48" s="62">
        <v>50221</v>
      </c>
      <c r="J48" s="49">
        <f t="shared" si="18"/>
        <v>0</v>
      </c>
      <c r="K48" s="49">
        <f t="shared" si="17"/>
        <v>0</v>
      </c>
      <c r="L48" s="67">
        <f>IF(L30-SUM(L35:L47)&lt;12,L30-SUM(L35:L47),12)</f>
        <v>0</v>
      </c>
      <c r="O48" s="72">
        <f t="shared" si="19"/>
        <v>0</v>
      </c>
      <c r="P48" s="73"/>
      <c r="S48" s="77">
        <f t="shared" si="20"/>
        <v>0</v>
      </c>
      <c r="T48" s="47"/>
      <c r="U48" s="28">
        <v>2026</v>
      </c>
      <c r="W48" s="78">
        <f t="shared" si="21"/>
        <v>0</v>
      </c>
      <c r="X48" s="47"/>
    </row>
    <row r="49" spans="5:24" ht="13.5" thickBot="1" x14ac:dyDescent="0.25">
      <c r="E49" s="80"/>
      <c r="I49" s="62">
        <v>50586</v>
      </c>
      <c r="J49" s="81">
        <f t="shared" si="18"/>
        <v>0</v>
      </c>
      <c r="K49" s="81">
        <f t="shared" si="17"/>
        <v>0</v>
      </c>
      <c r="L49" s="82">
        <f>IF(L30-SUM(L35:L48)&lt;12,L30-SUM(L35:L48),12)</f>
        <v>0</v>
      </c>
      <c r="O49" s="72">
        <f t="shared" si="19"/>
        <v>0</v>
      </c>
      <c r="P49" s="73"/>
      <c r="S49" s="77">
        <f t="shared" si="20"/>
        <v>0</v>
      </c>
      <c r="T49" s="47"/>
      <c r="U49" s="28">
        <v>2027</v>
      </c>
      <c r="W49" s="78">
        <f t="shared" si="21"/>
        <v>0</v>
      </c>
      <c r="X49" s="47"/>
    </row>
    <row r="50" spans="5:24" x14ac:dyDescent="0.2">
      <c r="E50" s="80"/>
      <c r="O50" s="83">
        <f t="shared" si="19"/>
        <v>0</v>
      </c>
      <c r="P50" s="73"/>
      <c r="S50" s="77">
        <f t="shared" si="20"/>
        <v>0</v>
      </c>
      <c r="T50" s="47"/>
      <c r="U50" s="28">
        <v>2028</v>
      </c>
      <c r="W50" s="78">
        <f t="shared" si="21"/>
        <v>0</v>
      </c>
      <c r="X50" s="47"/>
    </row>
    <row r="51" spans="5:24" x14ac:dyDescent="0.2">
      <c r="E51" s="80"/>
      <c r="S51" s="77">
        <f t="shared" si="20"/>
        <v>0</v>
      </c>
      <c r="T51" s="47"/>
      <c r="U51" s="28">
        <v>2029</v>
      </c>
      <c r="W51" s="78">
        <f t="shared" si="21"/>
        <v>0</v>
      </c>
      <c r="X51" s="47"/>
    </row>
    <row r="52" spans="5:24" x14ac:dyDescent="0.2">
      <c r="S52" s="77">
        <f t="shared" si="20"/>
        <v>0</v>
      </c>
      <c r="T52" s="47"/>
      <c r="U52" s="28">
        <v>2030</v>
      </c>
      <c r="W52" s="78">
        <f t="shared" si="21"/>
        <v>0</v>
      </c>
      <c r="X52" s="47"/>
    </row>
    <row r="53" spans="5:24" x14ac:dyDescent="0.2">
      <c r="S53" s="77">
        <f t="shared" si="20"/>
        <v>0</v>
      </c>
      <c r="T53" s="47"/>
      <c r="U53" s="28">
        <v>2031</v>
      </c>
      <c r="W53" s="78">
        <f t="shared" si="21"/>
        <v>0</v>
      </c>
      <c r="X53" s="47"/>
    </row>
    <row r="54" spans="5:24" x14ac:dyDescent="0.2">
      <c r="S54" s="77">
        <f t="shared" si="20"/>
        <v>0</v>
      </c>
      <c r="T54" s="47"/>
      <c r="U54" s="28">
        <v>2032</v>
      </c>
      <c r="W54" s="78">
        <f t="shared" si="21"/>
        <v>0</v>
      </c>
      <c r="X54" s="47"/>
    </row>
    <row r="55" spans="5:24" x14ac:dyDescent="0.2">
      <c r="S55" s="77">
        <f t="shared" si="20"/>
        <v>0</v>
      </c>
      <c r="T55" s="47"/>
      <c r="U55" s="28">
        <v>2033</v>
      </c>
      <c r="W55" s="78">
        <f t="shared" si="21"/>
        <v>0</v>
      </c>
      <c r="X55" s="47"/>
    </row>
    <row r="56" spans="5:24" x14ac:dyDescent="0.2">
      <c r="S56" s="46">
        <f>SUM(S43:S55)</f>
        <v>0</v>
      </c>
      <c r="T56" s="75"/>
      <c r="W56" s="74">
        <f>SUM(W43:W55)</f>
        <v>891000.00000000012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topLeftCell="A13" workbookViewId="0">
      <selection activeCell="D29" sqref="D29"/>
    </sheetView>
  </sheetViews>
  <sheetFormatPr defaultColWidth="8.7109375" defaultRowHeight="12.75" x14ac:dyDescent="0.2"/>
  <cols>
    <col min="1" max="1" width="8.7109375" style="1"/>
    <col min="2" max="2" width="5.85546875" style="1" bestFit="1" customWidth="1"/>
    <col min="3" max="3" width="23.7109375" style="1" customWidth="1"/>
    <col min="4" max="4" width="17.42578125" style="29" customWidth="1"/>
    <col min="5" max="5" width="17.85546875" style="1" customWidth="1"/>
    <col min="6" max="6" width="13.140625" style="1" customWidth="1"/>
    <col min="7" max="7" width="8.42578125" style="1" customWidth="1"/>
    <col min="8" max="8" width="7.28515625" style="1" customWidth="1"/>
    <col min="9" max="9" width="13.85546875" style="1" customWidth="1"/>
    <col min="10" max="10" width="16.85546875" style="1" customWidth="1"/>
    <col min="11" max="11" width="13.7109375" style="1" customWidth="1"/>
    <col min="12" max="12" width="14.7109375" style="1" customWidth="1"/>
    <col min="13" max="13" width="12.7109375" style="1" customWidth="1"/>
    <col min="14" max="14" width="8" style="1" customWidth="1"/>
    <col min="15" max="15" width="13.42578125" style="1" customWidth="1"/>
    <col min="16" max="16" width="17.28515625" style="1" bestFit="1" customWidth="1"/>
    <col min="17" max="18" width="2.42578125" style="1" bestFit="1" customWidth="1"/>
    <col min="19" max="20" width="12.28515625" style="1" customWidth="1"/>
    <col min="21" max="22" width="5.5703125" style="1" bestFit="1" customWidth="1"/>
    <col min="23" max="23" width="12" style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ht="18.75" customHeight="1" x14ac:dyDescent="0.2">
      <c r="C1" s="90" t="s">
        <v>78</v>
      </c>
      <c r="D1" s="91"/>
      <c r="E1" s="85">
        <v>70.349999999999994</v>
      </c>
      <c r="I1" s="90" t="s">
        <v>0</v>
      </c>
      <c r="J1" s="90" t="s">
        <v>1</v>
      </c>
      <c r="K1" s="90" t="s">
        <v>2</v>
      </c>
      <c r="L1" s="90" t="s">
        <v>3</v>
      </c>
      <c r="M1" s="90" t="s">
        <v>4</v>
      </c>
      <c r="O1" s="3" t="s">
        <v>6</v>
      </c>
      <c r="P1" s="3" t="s">
        <v>7</v>
      </c>
    </row>
    <row r="2" spans="2:22" x14ac:dyDescent="0.2">
      <c r="C2" s="85"/>
      <c r="D2" s="92"/>
      <c r="E2" s="93">
        <v>12000</v>
      </c>
      <c r="I2" s="4">
        <v>44377</v>
      </c>
      <c r="J2" s="94">
        <v>0</v>
      </c>
      <c r="K2" s="7">
        <v>0</v>
      </c>
      <c r="L2" s="6">
        <v>0</v>
      </c>
      <c r="M2" s="7">
        <v>0</v>
      </c>
      <c r="O2" s="6">
        <v>0</v>
      </c>
      <c r="P2" s="6">
        <v>0</v>
      </c>
    </row>
    <row r="3" spans="2:22" x14ac:dyDescent="0.2">
      <c r="C3" s="95" t="s">
        <v>9</v>
      </c>
      <c r="D3" s="96">
        <v>4.7300000000000002E-2</v>
      </c>
      <c r="E3" s="97">
        <f>E2*31</f>
        <v>372000</v>
      </c>
      <c r="F3" s="11">
        <f>E3*0.02</f>
        <v>7440</v>
      </c>
      <c r="G3" s="1" t="s">
        <v>79</v>
      </c>
      <c r="I3" s="4">
        <v>44742</v>
      </c>
      <c r="J3" s="94">
        <v>0</v>
      </c>
      <c r="K3" s="7">
        <v>0</v>
      </c>
      <c r="L3" s="6">
        <v>0</v>
      </c>
      <c r="M3" s="7">
        <v>0</v>
      </c>
      <c r="O3" s="6">
        <v>0</v>
      </c>
      <c r="P3" s="6">
        <v>0</v>
      </c>
    </row>
    <row r="4" spans="2:22" x14ac:dyDescent="0.2">
      <c r="C4" s="95" t="s">
        <v>10</v>
      </c>
      <c r="D4" s="98">
        <v>44235</v>
      </c>
      <c r="E4" s="86">
        <f>E3*1.15</f>
        <v>427799.99999999994</v>
      </c>
      <c r="F4" s="11">
        <f>E3*0.15</f>
        <v>55800</v>
      </c>
      <c r="G4" s="1" t="s">
        <v>80</v>
      </c>
      <c r="I4" s="4">
        <v>45107</v>
      </c>
      <c r="J4" s="99"/>
      <c r="K4" s="100"/>
      <c r="L4" s="100"/>
      <c r="M4" s="7"/>
      <c r="O4" s="6">
        <v>0</v>
      </c>
      <c r="P4" s="6">
        <v>0</v>
      </c>
    </row>
    <row r="5" spans="2:22" x14ac:dyDescent="0.2">
      <c r="C5" s="95" t="s">
        <v>11</v>
      </c>
      <c r="D5" s="101">
        <v>45174</v>
      </c>
      <c r="E5" s="86"/>
      <c r="F5" s="11">
        <f>F4/2</f>
        <v>27900</v>
      </c>
      <c r="G5" s="1" t="s">
        <v>81</v>
      </c>
      <c r="I5" s="4">
        <v>45473</v>
      </c>
      <c r="J5" s="99">
        <f>J34</f>
        <v>0</v>
      </c>
      <c r="K5" s="100"/>
      <c r="L5" s="100">
        <f>K34</f>
        <v>427799.99999999994</v>
      </c>
      <c r="M5" s="7"/>
      <c r="O5" s="102">
        <v>0</v>
      </c>
      <c r="P5" s="6">
        <f>D6</f>
        <v>427799.99999999994</v>
      </c>
    </row>
    <row r="6" spans="2:22" ht="15.75" x14ac:dyDescent="0.25">
      <c r="C6" s="95" t="s">
        <v>12</v>
      </c>
      <c r="D6" s="103">
        <v>427799.99999999994</v>
      </c>
      <c r="E6" s="86"/>
      <c r="F6" s="11"/>
      <c r="I6" s="4">
        <v>45838</v>
      </c>
      <c r="J6" s="99">
        <f>J35</f>
        <v>0</v>
      </c>
      <c r="K6" s="6"/>
      <c r="L6" s="100">
        <f>K35</f>
        <v>0</v>
      </c>
      <c r="M6" s="7"/>
      <c r="O6" s="102">
        <v>0</v>
      </c>
      <c r="P6" s="104">
        <v>0</v>
      </c>
    </row>
    <row r="7" spans="2:22" ht="15.75" x14ac:dyDescent="0.25">
      <c r="C7" s="95" t="s">
        <v>13</v>
      </c>
      <c r="D7" s="103">
        <v>427799.99999999994</v>
      </c>
      <c r="E7" s="86"/>
      <c r="F7" s="11"/>
      <c r="I7" s="4">
        <v>46203</v>
      </c>
      <c r="J7" s="99">
        <f>J36</f>
        <v>0</v>
      </c>
      <c r="K7" s="6"/>
      <c r="L7" s="100">
        <f>K36</f>
        <v>0</v>
      </c>
      <c r="M7" s="7"/>
    </row>
    <row r="8" spans="2:22" ht="15.75" x14ac:dyDescent="0.25">
      <c r="C8" s="95" t="s">
        <v>14</v>
      </c>
      <c r="D8" s="105">
        <f>D4</f>
        <v>44235</v>
      </c>
      <c r="E8" s="85"/>
      <c r="I8" s="4"/>
      <c r="J8" s="99">
        <f>J37</f>
        <v>0</v>
      </c>
      <c r="L8" s="100">
        <f>K37</f>
        <v>0</v>
      </c>
      <c r="M8" s="106"/>
    </row>
    <row r="9" spans="2:22" x14ac:dyDescent="0.2">
      <c r="C9" s="95" t="s">
        <v>15</v>
      </c>
      <c r="D9" s="107">
        <v>0</v>
      </c>
      <c r="E9" s="99"/>
      <c r="I9" s="4"/>
      <c r="J9" s="99"/>
      <c r="L9" s="100"/>
    </row>
    <row r="10" spans="2:22" ht="13.5" thickBot="1" x14ac:dyDescent="0.25">
      <c r="D10" s="108"/>
      <c r="E10" s="1" t="s">
        <v>82</v>
      </c>
    </row>
    <row r="11" spans="2:22" x14ac:dyDescent="0.2">
      <c r="H11" s="21" t="s">
        <v>23</v>
      </c>
      <c r="I11" s="22"/>
      <c r="J11" s="22"/>
      <c r="K11" s="22"/>
      <c r="L11" s="23"/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31" t="s">
        <v>19</v>
      </c>
      <c r="I12" s="32" t="s">
        <v>27</v>
      </c>
      <c r="J12" s="32" t="s">
        <v>28</v>
      </c>
      <c r="K12" s="32" t="s">
        <v>29</v>
      </c>
      <c r="L12" s="33" t="s">
        <v>30</v>
      </c>
      <c r="O12" s="24"/>
      <c r="P12" s="25">
        <f>+D6</f>
        <v>427799.99999999994</v>
      </c>
      <c r="Q12" s="26" t="s">
        <v>24</v>
      </c>
      <c r="R12" s="26" t="s">
        <v>25</v>
      </c>
      <c r="S12" s="27">
        <f>+D32</f>
        <v>427799.99999999994</v>
      </c>
      <c r="T12" s="6">
        <f t="shared" ref="T12:T25" si="0">+K34</f>
        <v>427799.99999999994</v>
      </c>
      <c r="U12" s="26" t="s">
        <v>26</v>
      </c>
      <c r="V12" s="28"/>
    </row>
    <row r="13" spans="2:22" x14ac:dyDescent="0.2">
      <c r="B13" s="29">
        <v>0</v>
      </c>
      <c r="C13" s="4">
        <f>D4</f>
        <v>44235</v>
      </c>
      <c r="D13" s="108">
        <v>0</v>
      </c>
      <c r="E13" s="109"/>
      <c r="H13" s="37">
        <v>0</v>
      </c>
      <c r="I13" s="38">
        <v>2022</v>
      </c>
      <c r="J13" s="110"/>
      <c r="K13" s="111"/>
      <c r="L13" s="41">
        <f>D28</f>
        <v>0</v>
      </c>
      <c r="M13" s="11">
        <f>K14/L34</f>
        <v>0</v>
      </c>
      <c r="O13" s="34"/>
      <c r="P13" s="7">
        <f t="shared" ref="P13:P24" si="1">J14</f>
        <v>0</v>
      </c>
      <c r="Q13" s="26" t="s">
        <v>31</v>
      </c>
      <c r="R13" s="26" t="s">
        <v>32</v>
      </c>
      <c r="S13" s="35">
        <f>+S12-T12</f>
        <v>0</v>
      </c>
      <c r="T13" s="36">
        <f t="shared" si="0"/>
        <v>0</v>
      </c>
      <c r="U13" s="26" t="s">
        <v>33</v>
      </c>
      <c r="V13" s="28">
        <v>2019</v>
      </c>
    </row>
    <row r="14" spans="2:22" x14ac:dyDescent="0.2">
      <c r="B14" s="29">
        <v>1</v>
      </c>
      <c r="C14" s="4">
        <f>D8</f>
        <v>44235</v>
      </c>
      <c r="D14" s="108">
        <v>0</v>
      </c>
      <c r="E14" s="109">
        <f t="shared" ref="E14:E26" si="2">+D14*(1+$D$3)</f>
        <v>0</v>
      </c>
      <c r="H14" s="37">
        <v>1</v>
      </c>
      <c r="I14" s="38">
        <v>2023</v>
      </c>
      <c r="J14" s="112">
        <v>0</v>
      </c>
      <c r="K14" s="112">
        <f>(L13-J14)*D$3*L34/12</f>
        <v>0</v>
      </c>
      <c r="L14" s="44">
        <f>L13-J14+K14</f>
        <v>0</v>
      </c>
      <c r="N14" s="42"/>
      <c r="O14" s="34"/>
      <c r="P14" s="7">
        <f t="shared" si="1"/>
        <v>0</v>
      </c>
      <c r="Q14" s="26" t="s">
        <v>34</v>
      </c>
      <c r="R14" s="26" t="s">
        <v>32</v>
      </c>
      <c r="S14" s="35">
        <f>+S13-T13</f>
        <v>0</v>
      </c>
      <c r="T14" s="36">
        <f t="shared" si="0"/>
        <v>0</v>
      </c>
      <c r="U14" s="26" t="s">
        <v>35</v>
      </c>
      <c r="V14" s="28">
        <v>2020</v>
      </c>
    </row>
    <row r="15" spans="2:22" x14ac:dyDescent="0.2">
      <c r="B15" s="29">
        <v>2</v>
      </c>
      <c r="C15" s="4">
        <f>C14+365</f>
        <v>44600</v>
      </c>
      <c r="D15" s="108">
        <v>0</v>
      </c>
      <c r="E15" s="109">
        <f t="shared" si="2"/>
        <v>0</v>
      </c>
      <c r="H15" s="37">
        <f t="shared" ref="H15:H16" si="3">+H14+1</f>
        <v>2</v>
      </c>
      <c r="I15" s="38">
        <v>2024</v>
      </c>
      <c r="J15" s="112">
        <v>0</v>
      </c>
      <c r="K15" s="112">
        <f t="shared" ref="K15:K19" si="4">(L14-J15)*D$3*L35/12</f>
        <v>0</v>
      </c>
      <c r="L15" s="44">
        <f t="shared" ref="L15:L26" si="5">L14-J15+K15</f>
        <v>0</v>
      </c>
      <c r="O15" s="34"/>
      <c r="P15" s="7">
        <f t="shared" si="1"/>
        <v>0</v>
      </c>
      <c r="Q15" s="26" t="s">
        <v>36</v>
      </c>
      <c r="R15" s="26" t="s">
        <v>32</v>
      </c>
      <c r="S15" s="35">
        <f>+S14-T14</f>
        <v>0</v>
      </c>
      <c r="T15" s="36">
        <f t="shared" si="0"/>
        <v>0</v>
      </c>
      <c r="U15" s="26" t="s">
        <v>37</v>
      </c>
      <c r="V15" s="28">
        <v>2021</v>
      </c>
    </row>
    <row r="16" spans="2:22" x14ac:dyDescent="0.2">
      <c r="B16" s="29">
        <v>3</v>
      </c>
      <c r="C16" s="4">
        <f t="shared" ref="C16:C26" si="6">C15+365</f>
        <v>44965</v>
      </c>
      <c r="D16" s="108">
        <v>0</v>
      </c>
      <c r="E16" s="109">
        <f t="shared" si="2"/>
        <v>0</v>
      </c>
      <c r="H16" s="37">
        <f t="shared" si="3"/>
        <v>3</v>
      </c>
      <c r="I16" s="38">
        <v>2025</v>
      </c>
      <c r="J16" s="112">
        <f>D14</f>
        <v>0</v>
      </c>
      <c r="K16" s="112">
        <f>J16-L15</f>
        <v>0</v>
      </c>
      <c r="L16" s="44">
        <f t="shared" si="5"/>
        <v>0</v>
      </c>
      <c r="O16" s="34"/>
      <c r="P16" s="7">
        <f t="shared" si="1"/>
        <v>0</v>
      </c>
      <c r="Q16" s="26" t="s">
        <v>38</v>
      </c>
      <c r="R16" s="26"/>
      <c r="S16" s="35">
        <f>+S15-T15</f>
        <v>0</v>
      </c>
      <c r="T16" s="36">
        <f t="shared" si="0"/>
        <v>0</v>
      </c>
      <c r="V16" s="28">
        <v>2022</v>
      </c>
    </row>
    <row r="17" spans="2:22" x14ac:dyDescent="0.2">
      <c r="B17" s="29">
        <v>4</v>
      </c>
      <c r="C17" s="4">
        <f t="shared" si="6"/>
        <v>45330</v>
      </c>
      <c r="D17" s="108">
        <v>0</v>
      </c>
      <c r="E17" s="109">
        <f t="shared" si="2"/>
        <v>0</v>
      </c>
      <c r="H17" s="37">
        <v>4</v>
      </c>
      <c r="I17" s="38">
        <v>2026</v>
      </c>
      <c r="J17" s="112">
        <v>0</v>
      </c>
      <c r="K17" s="112">
        <f t="shared" si="4"/>
        <v>0</v>
      </c>
      <c r="L17" s="44">
        <f t="shared" si="5"/>
        <v>0</v>
      </c>
      <c r="O17" s="34"/>
      <c r="P17" s="7">
        <f t="shared" si="1"/>
        <v>0</v>
      </c>
      <c r="S17" s="35">
        <f t="shared" ref="S17:S25" si="7">+S16-T16</f>
        <v>0</v>
      </c>
      <c r="T17" s="36">
        <f t="shared" si="0"/>
        <v>0</v>
      </c>
      <c r="V17" s="28">
        <v>2023</v>
      </c>
    </row>
    <row r="18" spans="2:22" x14ac:dyDescent="0.2">
      <c r="B18" s="29">
        <v>5</v>
      </c>
      <c r="C18" s="4">
        <f t="shared" si="6"/>
        <v>45695</v>
      </c>
      <c r="D18" s="108">
        <v>0</v>
      </c>
      <c r="E18" s="109">
        <f t="shared" si="2"/>
        <v>0</v>
      </c>
      <c r="F18" s="102"/>
      <c r="H18" s="37">
        <v>5</v>
      </c>
      <c r="I18" s="38">
        <v>2027</v>
      </c>
      <c r="J18" s="112">
        <v>0</v>
      </c>
      <c r="K18" s="112">
        <f t="shared" si="4"/>
        <v>0</v>
      </c>
      <c r="L18" s="44">
        <f t="shared" si="5"/>
        <v>0</v>
      </c>
      <c r="O18" s="34"/>
      <c r="P18" s="7">
        <f t="shared" si="1"/>
        <v>0</v>
      </c>
      <c r="S18" s="113">
        <f t="shared" si="7"/>
        <v>0</v>
      </c>
      <c r="T18" s="36">
        <f t="shared" si="0"/>
        <v>0</v>
      </c>
      <c r="V18" s="28">
        <v>2024</v>
      </c>
    </row>
    <row r="19" spans="2:22" x14ac:dyDescent="0.2">
      <c r="B19" s="29">
        <v>6</v>
      </c>
      <c r="C19" s="4">
        <f t="shared" si="6"/>
        <v>46060</v>
      </c>
      <c r="D19" s="108">
        <v>0</v>
      </c>
      <c r="E19" s="109">
        <f t="shared" si="2"/>
        <v>0</v>
      </c>
      <c r="H19" s="37">
        <v>6</v>
      </c>
      <c r="I19" s="38">
        <v>2028</v>
      </c>
      <c r="J19" s="112">
        <f t="shared" ref="J19:J26" si="8">+D19</f>
        <v>0</v>
      </c>
      <c r="K19" s="112">
        <f t="shared" si="4"/>
        <v>0</v>
      </c>
      <c r="L19" s="44">
        <f t="shared" si="5"/>
        <v>0</v>
      </c>
      <c r="O19" s="34"/>
      <c r="P19" s="7">
        <f t="shared" si="1"/>
        <v>0</v>
      </c>
      <c r="S19" s="113">
        <f t="shared" si="7"/>
        <v>0</v>
      </c>
      <c r="T19" s="36">
        <f t="shared" si="0"/>
        <v>0</v>
      </c>
      <c r="V19" s="28">
        <v>2025</v>
      </c>
    </row>
    <row r="20" spans="2:22" x14ac:dyDescent="0.2">
      <c r="B20" s="29">
        <v>7</v>
      </c>
      <c r="C20" s="4">
        <f t="shared" si="6"/>
        <v>46425</v>
      </c>
      <c r="D20" s="108">
        <v>0</v>
      </c>
      <c r="E20" s="109">
        <f t="shared" si="2"/>
        <v>0</v>
      </c>
      <c r="H20" s="37">
        <v>7</v>
      </c>
      <c r="I20" s="38">
        <v>2029</v>
      </c>
      <c r="J20" s="112">
        <f t="shared" si="8"/>
        <v>0</v>
      </c>
      <c r="K20" s="112">
        <f t="shared" ref="K20:K26" si="9">(L19-J20)*D$3</f>
        <v>0</v>
      </c>
      <c r="L20" s="44">
        <f t="shared" si="5"/>
        <v>0</v>
      </c>
      <c r="O20" s="34"/>
      <c r="P20" s="7">
        <f t="shared" si="1"/>
        <v>0</v>
      </c>
      <c r="S20" s="113">
        <f t="shared" si="7"/>
        <v>0</v>
      </c>
      <c r="T20" s="36">
        <f t="shared" si="0"/>
        <v>0</v>
      </c>
      <c r="V20" s="28">
        <v>2026</v>
      </c>
    </row>
    <row r="21" spans="2:22" x14ac:dyDescent="0.2">
      <c r="B21" s="29">
        <v>8</v>
      </c>
      <c r="C21" s="4">
        <f t="shared" si="6"/>
        <v>46790</v>
      </c>
      <c r="D21" s="108">
        <v>0</v>
      </c>
      <c r="E21" s="109">
        <f t="shared" si="2"/>
        <v>0</v>
      </c>
      <c r="H21" s="37">
        <v>8</v>
      </c>
      <c r="I21" s="38">
        <v>2030</v>
      </c>
      <c r="J21" s="112">
        <f t="shared" si="8"/>
        <v>0</v>
      </c>
      <c r="K21" s="112">
        <f t="shared" si="9"/>
        <v>0</v>
      </c>
      <c r="L21" s="44">
        <f t="shared" si="5"/>
        <v>0</v>
      </c>
      <c r="O21" s="34"/>
      <c r="P21" s="7">
        <f t="shared" si="1"/>
        <v>0</v>
      </c>
      <c r="S21" s="113">
        <f t="shared" si="7"/>
        <v>0</v>
      </c>
      <c r="T21" s="36">
        <f t="shared" si="0"/>
        <v>0</v>
      </c>
      <c r="V21" s="28">
        <v>2027</v>
      </c>
    </row>
    <row r="22" spans="2:22" x14ac:dyDescent="0.2">
      <c r="B22" s="29">
        <v>9</v>
      </c>
      <c r="C22" s="4">
        <f t="shared" si="6"/>
        <v>47155</v>
      </c>
      <c r="D22" s="108">
        <v>0</v>
      </c>
      <c r="E22" s="109">
        <f t="shared" si="2"/>
        <v>0</v>
      </c>
      <c r="H22" s="37">
        <v>9</v>
      </c>
      <c r="I22" s="38">
        <v>2031</v>
      </c>
      <c r="J22" s="112">
        <f t="shared" si="8"/>
        <v>0</v>
      </c>
      <c r="K22" s="112">
        <f t="shared" si="9"/>
        <v>0</v>
      </c>
      <c r="L22" s="44">
        <f t="shared" si="5"/>
        <v>0</v>
      </c>
      <c r="O22" s="34"/>
      <c r="P22" s="7">
        <f t="shared" si="1"/>
        <v>0</v>
      </c>
      <c r="S22" s="113">
        <f t="shared" si="7"/>
        <v>0</v>
      </c>
      <c r="T22" s="36">
        <f t="shared" si="0"/>
        <v>0</v>
      </c>
      <c r="V22" s="28">
        <v>2028</v>
      </c>
    </row>
    <row r="23" spans="2:22" x14ac:dyDescent="0.2">
      <c r="B23" s="29">
        <v>10</v>
      </c>
      <c r="C23" s="4">
        <f t="shared" si="6"/>
        <v>47520</v>
      </c>
      <c r="D23" s="108">
        <v>0</v>
      </c>
      <c r="E23" s="109">
        <f t="shared" si="2"/>
        <v>0</v>
      </c>
      <c r="H23" s="37">
        <v>10</v>
      </c>
      <c r="I23" s="38">
        <v>2032</v>
      </c>
      <c r="J23" s="112">
        <f t="shared" si="8"/>
        <v>0</v>
      </c>
      <c r="K23" s="112">
        <f t="shared" si="9"/>
        <v>0</v>
      </c>
      <c r="L23" s="44">
        <f t="shared" si="5"/>
        <v>0</v>
      </c>
      <c r="O23" s="34"/>
      <c r="P23" s="7">
        <f t="shared" si="1"/>
        <v>0</v>
      </c>
      <c r="S23" s="113">
        <f t="shared" si="7"/>
        <v>0</v>
      </c>
      <c r="T23" s="36">
        <f t="shared" si="0"/>
        <v>0</v>
      </c>
      <c r="V23" s="28">
        <v>2029</v>
      </c>
    </row>
    <row r="24" spans="2:22" x14ac:dyDescent="0.2">
      <c r="B24" s="29">
        <v>11</v>
      </c>
      <c r="C24" s="4">
        <f t="shared" si="6"/>
        <v>47885</v>
      </c>
      <c r="D24" s="108">
        <v>0</v>
      </c>
      <c r="E24" s="109">
        <f t="shared" si="2"/>
        <v>0</v>
      </c>
      <c r="H24" s="37">
        <v>11</v>
      </c>
      <c r="I24" s="38">
        <v>2033</v>
      </c>
      <c r="J24" s="112">
        <f t="shared" si="8"/>
        <v>0</v>
      </c>
      <c r="K24" s="112">
        <f t="shared" si="9"/>
        <v>0</v>
      </c>
      <c r="L24" s="44">
        <f t="shared" si="5"/>
        <v>0</v>
      </c>
      <c r="O24" s="34"/>
      <c r="P24" s="7">
        <f t="shared" si="1"/>
        <v>0</v>
      </c>
      <c r="S24" s="113">
        <f t="shared" si="7"/>
        <v>0</v>
      </c>
      <c r="T24" s="36">
        <f t="shared" si="0"/>
        <v>0</v>
      </c>
      <c r="V24" s="28">
        <v>2030</v>
      </c>
    </row>
    <row r="25" spans="2:22" x14ac:dyDescent="0.2">
      <c r="B25" s="29">
        <v>12</v>
      </c>
      <c r="C25" s="4">
        <f t="shared" si="6"/>
        <v>48250</v>
      </c>
      <c r="D25" s="108">
        <v>0</v>
      </c>
      <c r="E25" s="109">
        <f t="shared" si="2"/>
        <v>0</v>
      </c>
      <c r="H25" s="37">
        <v>12</v>
      </c>
      <c r="I25" s="38">
        <v>2034</v>
      </c>
      <c r="J25" s="112">
        <f t="shared" si="8"/>
        <v>0</v>
      </c>
      <c r="K25" s="112">
        <f t="shared" si="9"/>
        <v>0</v>
      </c>
      <c r="L25" s="44">
        <f t="shared" si="5"/>
        <v>0</v>
      </c>
      <c r="O25" s="24"/>
      <c r="P25" s="46">
        <f>SUM(P12:P24)</f>
        <v>427799.99999999994</v>
      </c>
      <c r="S25" s="113">
        <f t="shared" si="7"/>
        <v>0</v>
      </c>
      <c r="T25" s="36">
        <f t="shared" si="0"/>
        <v>0</v>
      </c>
      <c r="V25" s="28">
        <v>2031</v>
      </c>
    </row>
    <row r="26" spans="2:22" ht="13.5" thickBot="1" x14ac:dyDescent="0.25">
      <c r="B26" s="29">
        <v>13</v>
      </c>
      <c r="C26" s="4">
        <f t="shared" si="6"/>
        <v>48615</v>
      </c>
      <c r="D26" s="108">
        <v>0</v>
      </c>
      <c r="E26" s="109">
        <f t="shared" si="2"/>
        <v>0</v>
      </c>
      <c r="H26" s="50">
        <v>13</v>
      </c>
      <c r="I26" s="38">
        <v>2035</v>
      </c>
      <c r="J26" s="114">
        <f t="shared" si="8"/>
        <v>0</v>
      </c>
      <c r="K26" s="114">
        <f t="shared" si="9"/>
        <v>0</v>
      </c>
      <c r="L26" s="51">
        <f t="shared" si="5"/>
        <v>0</v>
      </c>
      <c r="O26" s="47"/>
      <c r="P26" s="48"/>
      <c r="S26" s="48"/>
      <c r="T26" s="49"/>
      <c r="V26" s="28"/>
    </row>
    <row r="27" spans="2:22" x14ac:dyDescent="0.2">
      <c r="B27" s="29"/>
      <c r="C27" s="4"/>
      <c r="H27" s="54"/>
      <c r="I27" s="38"/>
      <c r="J27" s="112"/>
      <c r="K27" s="112"/>
      <c r="L27" s="49"/>
    </row>
    <row r="28" spans="2:22" ht="13.5" thickBot="1" x14ac:dyDescent="0.25">
      <c r="C28" s="52" t="s">
        <v>2</v>
      </c>
      <c r="D28" s="115">
        <f>XNPV(D3,D13:D26,C13:C26)</f>
        <v>0</v>
      </c>
      <c r="E28" s="52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H29" s="29"/>
      <c r="I29" s="56"/>
      <c r="J29" s="18" t="s">
        <v>41</v>
      </c>
      <c r="K29" s="116"/>
      <c r="L29" s="117">
        <f>(D5-D4)/365*12</f>
        <v>30.871232876712327</v>
      </c>
      <c r="M29" s="42"/>
      <c r="O29" s="35">
        <f t="shared" ref="O29:O40" si="10">-K14+J14</f>
        <v>0</v>
      </c>
      <c r="P29" s="36">
        <f>+D28</f>
        <v>0</v>
      </c>
      <c r="Q29" s="26" t="s">
        <v>31</v>
      </c>
      <c r="R29" s="26" t="s">
        <v>39</v>
      </c>
      <c r="S29" s="55">
        <f>+P29</f>
        <v>0</v>
      </c>
      <c r="T29" s="36">
        <f>+S12</f>
        <v>427799.99999999994</v>
      </c>
      <c r="U29" s="26" t="s">
        <v>40</v>
      </c>
      <c r="V29" s="28">
        <v>2019</v>
      </c>
    </row>
    <row r="30" spans="2:22" x14ac:dyDescent="0.2">
      <c r="J30" s="18" t="s">
        <v>43</v>
      </c>
      <c r="K30" s="58"/>
      <c r="L30" s="11">
        <f>D32/L29</f>
        <v>13857.561235356761</v>
      </c>
      <c r="N30" s="26" t="s">
        <v>39</v>
      </c>
      <c r="O30" s="35">
        <f t="shared" si="10"/>
        <v>0</v>
      </c>
      <c r="P30" s="36">
        <f>+P29-O29</f>
        <v>0</v>
      </c>
      <c r="Q30" s="26" t="s">
        <v>42</v>
      </c>
      <c r="S30" s="34"/>
      <c r="T30" s="6">
        <f>+T29-S29</f>
        <v>427799.99999999994</v>
      </c>
      <c r="U30" s="26"/>
    </row>
    <row r="31" spans="2:22" ht="13.5" thickBot="1" x14ac:dyDescent="0.25">
      <c r="N31" s="26" t="s">
        <v>44</v>
      </c>
      <c r="O31" s="35">
        <f t="shared" si="10"/>
        <v>0</v>
      </c>
      <c r="P31" s="36">
        <f>+P30-O30</f>
        <v>0</v>
      </c>
      <c r="Q31" s="26" t="s">
        <v>42</v>
      </c>
      <c r="S31" s="34"/>
    </row>
    <row r="32" spans="2:22" x14ac:dyDescent="0.2">
      <c r="C32" s="1" t="s">
        <v>45</v>
      </c>
      <c r="D32" s="118">
        <f>+D33+D34+D35+D36-D37</f>
        <v>427799.99999999994</v>
      </c>
      <c r="I32" s="21" t="s">
        <v>27</v>
      </c>
      <c r="J32" s="22" t="s">
        <v>30</v>
      </c>
      <c r="K32" s="22" t="s">
        <v>48</v>
      </c>
      <c r="L32" s="61" t="s">
        <v>49</v>
      </c>
      <c r="N32" s="26" t="s">
        <v>46</v>
      </c>
      <c r="O32" s="35">
        <f t="shared" si="10"/>
        <v>0</v>
      </c>
      <c r="P32" s="36">
        <f t="shared" ref="P32:P39" si="11">+P31-O31</f>
        <v>0</v>
      </c>
      <c r="Q32" s="26" t="s">
        <v>42</v>
      </c>
      <c r="S32" s="34"/>
    </row>
    <row r="33" spans="3:24" x14ac:dyDescent="0.2">
      <c r="C33" s="1" t="s">
        <v>47</v>
      </c>
      <c r="D33" s="119">
        <f>D28</f>
        <v>0</v>
      </c>
      <c r="I33" s="62">
        <f>D4</f>
        <v>44235</v>
      </c>
      <c r="J33" s="49">
        <f>+D32</f>
        <v>427799.99999999994</v>
      </c>
      <c r="K33" s="63">
        <v>0</v>
      </c>
      <c r="L33" s="64">
        <v>0</v>
      </c>
      <c r="N33" s="26" t="s">
        <v>50</v>
      </c>
      <c r="O33" s="35">
        <f t="shared" si="10"/>
        <v>0</v>
      </c>
      <c r="P33" s="36">
        <f t="shared" si="11"/>
        <v>0</v>
      </c>
      <c r="S33" s="34"/>
    </row>
    <row r="34" spans="3:24" x14ac:dyDescent="0.2">
      <c r="C34" s="1" t="s">
        <v>51</v>
      </c>
      <c r="D34" s="119">
        <v>0</v>
      </c>
      <c r="I34" s="62">
        <f>D5</f>
        <v>45174</v>
      </c>
      <c r="J34" s="49">
        <f>J33-K34</f>
        <v>0</v>
      </c>
      <c r="K34" s="49">
        <f t="shared" ref="K34:K46" si="12">L34*L$30</f>
        <v>427799.99999999994</v>
      </c>
      <c r="L34" s="120">
        <f>(I34-I33)/365*12</f>
        <v>30.871232876712327</v>
      </c>
      <c r="N34" s="26"/>
      <c r="O34" s="35">
        <f t="shared" si="10"/>
        <v>0</v>
      </c>
      <c r="P34" s="36">
        <f t="shared" si="11"/>
        <v>0</v>
      </c>
      <c r="S34" s="47"/>
    </row>
    <row r="35" spans="3:24" x14ac:dyDescent="0.2">
      <c r="C35" s="1" t="s">
        <v>52</v>
      </c>
      <c r="D35" s="119">
        <f>D6</f>
        <v>427799.99999999994</v>
      </c>
      <c r="I35" s="62">
        <v>45473</v>
      </c>
      <c r="J35" s="49">
        <f t="shared" ref="J35:J36" si="13">J34-K35</f>
        <v>0</v>
      </c>
      <c r="K35" s="49">
        <f t="shared" si="12"/>
        <v>0</v>
      </c>
      <c r="L35" s="67">
        <f>IF(L29-SUM(L34)&lt;12,L29-SUM(L34),12)</f>
        <v>0</v>
      </c>
      <c r="N35" s="26"/>
      <c r="O35" s="35">
        <f t="shared" si="10"/>
        <v>0</v>
      </c>
      <c r="P35" s="36">
        <f t="shared" si="11"/>
        <v>0</v>
      </c>
      <c r="S35" s="47"/>
    </row>
    <row r="36" spans="3:24" x14ac:dyDescent="0.2">
      <c r="C36" s="1" t="s">
        <v>53</v>
      </c>
      <c r="D36" s="108">
        <v>0</v>
      </c>
      <c r="I36" s="62">
        <v>45838</v>
      </c>
      <c r="J36" s="49">
        <f t="shared" si="13"/>
        <v>0</v>
      </c>
      <c r="K36" s="49">
        <f t="shared" si="12"/>
        <v>0</v>
      </c>
      <c r="L36" s="67">
        <f>IF(L29-SUM(L34:L35)&lt;12,L29-SUM(L34:L35),12)</f>
        <v>0</v>
      </c>
      <c r="N36" s="26"/>
      <c r="O36" s="35">
        <f t="shared" si="10"/>
        <v>0</v>
      </c>
      <c r="P36" s="36">
        <f t="shared" si="11"/>
        <v>0</v>
      </c>
      <c r="S36" s="47"/>
    </row>
    <row r="37" spans="3:24" x14ac:dyDescent="0.2">
      <c r="C37" s="1" t="s">
        <v>54</v>
      </c>
      <c r="D37" s="108">
        <v>0</v>
      </c>
      <c r="I37" s="62">
        <v>46203</v>
      </c>
      <c r="J37" s="112">
        <f>J36-K37</f>
        <v>0</v>
      </c>
      <c r="K37" s="49">
        <f t="shared" si="12"/>
        <v>0</v>
      </c>
      <c r="L37" s="67">
        <f>IF(L29-SUM(L34:L36)&lt;12,L29-SUM(L34:L36),12)</f>
        <v>0</v>
      </c>
      <c r="N37" s="26"/>
      <c r="O37" s="35">
        <f t="shared" si="10"/>
        <v>0</v>
      </c>
      <c r="P37" s="36">
        <f t="shared" si="11"/>
        <v>0</v>
      </c>
      <c r="S37" s="47"/>
    </row>
    <row r="38" spans="3:24" x14ac:dyDescent="0.2">
      <c r="C38" s="52" t="s">
        <v>55</v>
      </c>
      <c r="I38" s="62">
        <v>46568</v>
      </c>
      <c r="J38" s="112">
        <f>J37-K38</f>
        <v>0</v>
      </c>
      <c r="K38" s="49">
        <f t="shared" si="12"/>
        <v>0</v>
      </c>
      <c r="L38" s="67">
        <f>IF(L29-SUM(L34:L37)&lt;12,L29-SUM(L34:L37),12)</f>
        <v>0</v>
      </c>
      <c r="N38" s="26"/>
      <c r="O38" s="35">
        <f t="shared" si="10"/>
        <v>0</v>
      </c>
      <c r="P38" s="36">
        <f t="shared" si="11"/>
        <v>0</v>
      </c>
      <c r="S38" s="47"/>
    </row>
    <row r="39" spans="3:24" x14ac:dyDescent="0.2">
      <c r="E39" s="1" t="s">
        <v>83</v>
      </c>
      <c r="I39" s="62">
        <v>46934</v>
      </c>
      <c r="J39" s="112">
        <f>J38-K39</f>
        <v>0</v>
      </c>
      <c r="K39" s="49">
        <f t="shared" si="12"/>
        <v>0</v>
      </c>
      <c r="L39" s="67">
        <f>IF(L29-SUM(L34:L38)&lt;12,L29-SUM(L34:L38),12)</f>
        <v>0</v>
      </c>
      <c r="N39" s="26"/>
      <c r="O39" s="35">
        <f t="shared" si="10"/>
        <v>0</v>
      </c>
      <c r="P39" s="36">
        <f t="shared" si="11"/>
        <v>0</v>
      </c>
      <c r="S39" s="47"/>
    </row>
    <row r="40" spans="3:24" x14ac:dyDescent="0.2">
      <c r="I40" s="62">
        <v>47299</v>
      </c>
      <c r="J40" s="112">
        <f>J39-K40</f>
        <v>0</v>
      </c>
      <c r="K40" s="49">
        <f t="shared" si="12"/>
        <v>0</v>
      </c>
      <c r="L40" s="67">
        <f>IF(L29-SUM(L34:L39)&lt;12,L29-SUM(L34:L39),12)</f>
        <v>0</v>
      </c>
      <c r="N40" s="26"/>
      <c r="O40" s="35">
        <f t="shared" si="10"/>
        <v>0</v>
      </c>
      <c r="P40" s="36">
        <f>+P39-O39</f>
        <v>0</v>
      </c>
    </row>
    <row r="41" spans="3:24" x14ac:dyDescent="0.2">
      <c r="I41" s="62">
        <v>47664</v>
      </c>
      <c r="J41" s="112">
        <f t="shared" ref="J41:J46" si="14">J40-K41</f>
        <v>0</v>
      </c>
      <c r="K41" s="49">
        <f t="shared" si="12"/>
        <v>0</v>
      </c>
      <c r="L41" s="67">
        <f>IF(L29-SUM(L34:L40)&lt;12,L29-SUM(L34:L40),12)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52"/>
      <c r="D42" s="121" t="s">
        <v>60</v>
      </c>
      <c r="E42" s="122" t="s">
        <v>61</v>
      </c>
      <c r="I42" s="62">
        <v>48029</v>
      </c>
      <c r="J42" s="112">
        <f t="shared" si="14"/>
        <v>0</v>
      </c>
      <c r="K42" s="49">
        <f t="shared" si="12"/>
        <v>0</v>
      </c>
      <c r="L42" s="67">
        <f>IF(L29-SUM(L34:L41)&lt;12,L29-SUM(L34:L41),12)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123" t="s">
        <v>84</v>
      </c>
      <c r="D43" s="124">
        <f>D32</f>
        <v>427799.99999999994</v>
      </c>
      <c r="E43" s="124"/>
      <c r="I43" s="62">
        <v>48395</v>
      </c>
      <c r="J43" s="112">
        <f t="shared" si="14"/>
        <v>0</v>
      </c>
      <c r="K43" s="49">
        <f t="shared" si="12"/>
        <v>0</v>
      </c>
      <c r="L43" s="67">
        <f>IF(L29-SUM(L34:L42)&lt;12,L29-SUM(L34:L42),12)</f>
        <v>0</v>
      </c>
      <c r="N43" s="26" t="s">
        <v>62</v>
      </c>
      <c r="O43" s="72">
        <f>+P12</f>
        <v>427799.99999999994</v>
      </c>
      <c r="P43" s="73"/>
      <c r="R43" s="26" t="s">
        <v>39</v>
      </c>
      <c r="S43" s="74">
        <f>K14</f>
        <v>0</v>
      </c>
      <c r="T43" s="75"/>
      <c r="U43" s="28">
        <v>2019</v>
      </c>
      <c r="V43" s="26" t="s">
        <v>63</v>
      </c>
      <c r="W43" s="27">
        <f>K34</f>
        <v>427799.99999999994</v>
      </c>
      <c r="X43" s="6"/>
    </row>
    <row r="44" spans="3:24" x14ac:dyDescent="0.2">
      <c r="C44" s="125" t="s">
        <v>85</v>
      </c>
      <c r="D44" s="124"/>
      <c r="E44" s="124">
        <f>D35</f>
        <v>427799.99999999994</v>
      </c>
      <c r="I44" s="62">
        <v>48760</v>
      </c>
      <c r="J44" s="112">
        <f t="shared" si="14"/>
        <v>0</v>
      </c>
      <c r="K44" s="49">
        <f t="shared" si="12"/>
        <v>0</v>
      </c>
      <c r="L44" s="67">
        <f>IF(L29-SUM(L34:L43)&lt;12,L29-SUM(L34:L43),12)</f>
        <v>0</v>
      </c>
      <c r="O44" s="72">
        <f t="shared" ref="O44:O50" si="15">+P13</f>
        <v>0</v>
      </c>
      <c r="P44" s="73"/>
      <c r="R44" s="26" t="s">
        <v>44</v>
      </c>
      <c r="S44" s="77">
        <f t="shared" ref="S44:S55" si="16">K15</f>
        <v>0</v>
      </c>
      <c r="T44" s="47"/>
      <c r="U44" s="28">
        <v>2020</v>
      </c>
      <c r="V44" s="26" t="s">
        <v>64</v>
      </c>
      <c r="W44" s="78">
        <f t="shared" ref="W44:W48" si="17">K35</f>
        <v>0</v>
      </c>
    </row>
    <row r="45" spans="3:24" x14ac:dyDescent="0.2">
      <c r="C45" s="125" t="s">
        <v>61</v>
      </c>
      <c r="D45" s="124"/>
      <c r="E45" s="124"/>
      <c r="I45" s="62">
        <v>49125</v>
      </c>
      <c r="J45" s="112">
        <f t="shared" si="14"/>
        <v>0</v>
      </c>
      <c r="K45" s="49">
        <f t="shared" si="12"/>
        <v>0</v>
      </c>
      <c r="L45" s="67">
        <f>IF(L29-SUM(L34:L44)&lt;12,L29-SUM(L34:L44),12)</f>
        <v>0</v>
      </c>
      <c r="O45" s="72">
        <f t="shared" si="15"/>
        <v>0</v>
      </c>
      <c r="P45" s="73"/>
      <c r="R45" s="26" t="s">
        <v>46</v>
      </c>
      <c r="S45" s="77">
        <f t="shared" si="16"/>
        <v>0</v>
      </c>
      <c r="T45" s="47"/>
      <c r="U45" s="28">
        <v>2021</v>
      </c>
      <c r="V45" s="26" t="s">
        <v>65</v>
      </c>
      <c r="W45" s="78">
        <f t="shared" si="17"/>
        <v>0</v>
      </c>
    </row>
    <row r="46" spans="3:24" ht="13.5" thickBot="1" x14ac:dyDescent="0.25">
      <c r="C46" s="125" t="s">
        <v>67</v>
      </c>
      <c r="D46" s="124"/>
      <c r="E46" s="124"/>
      <c r="I46" s="62">
        <v>49490</v>
      </c>
      <c r="J46" s="114">
        <f t="shared" si="14"/>
        <v>0</v>
      </c>
      <c r="K46" s="81">
        <f t="shared" si="12"/>
        <v>0</v>
      </c>
      <c r="L46" s="82">
        <f>IF(L29-SUM(L34:L45)&lt;12,L29-SUM(L34:L45),12)</f>
        <v>0</v>
      </c>
      <c r="O46" s="72">
        <f t="shared" si="15"/>
        <v>0</v>
      </c>
      <c r="P46" s="73"/>
      <c r="R46" s="26" t="s">
        <v>50</v>
      </c>
      <c r="S46" s="77">
        <f t="shared" si="16"/>
        <v>0</v>
      </c>
      <c r="T46" s="47"/>
      <c r="U46" s="28">
        <v>2022</v>
      </c>
      <c r="V46" s="26" t="s">
        <v>66</v>
      </c>
      <c r="W46" s="78">
        <f t="shared" si="17"/>
        <v>0</v>
      </c>
    </row>
    <row r="47" spans="3:24" x14ac:dyDescent="0.2">
      <c r="O47" s="72">
        <f t="shared" si="15"/>
        <v>0</v>
      </c>
      <c r="P47" s="73"/>
      <c r="S47" s="77">
        <f t="shared" si="16"/>
        <v>0</v>
      </c>
      <c r="T47" s="47"/>
      <c r="U47" s="28">
        <v>2023</v>
      </c>
      <c r="W47" s="78">
        <f t="shared" si="17"/>
        <v>0</v>
      </c>
    </row>
    <row r="48" spans="3:24" x14ac:dyDescent="0.2">
      <c r="O48" s="72">
        <f t="shared" si="15"/>
        <v>0</v>
      </c>
      <c r="P48" s="73"/>
      <c r="S48" s="77">
        <f t="shared" si="16"/>
        <v>0</v>
      </c>
      <c r="T48" s="47"/>
      <c r="U48" s="28">
        <v>2024</v>
      </c>
      <c r="W48" s="78">
        <f t="shared" si="17"/>
        <v>0</v>
      </c>
      <c r="X48" s="47"/>
    </row>
    <row r="49" spans="15:24" x14ac:dyDescent="0.2">
      <c r="O49" s="72">
        <f t="shared" si="15"/>
        <v>0</v>
      </c>
      <c r="P49" s="73"/>
      <c r="S49" s="77">
        <f t="shared" si="16"/>
        <v>0</v>
      </c>
      <c r="T49" s="47"/>
      <c r="U49" s="28">
        <v>2025</v>
      </c>
      <c r="W49" s="78">
        <f>K40</f>
        <v>0</v>
      </c>
      <c r="X49" s="47"/>
    </row>
    <row r="50" spans="15:24" x14ac:dyDescent="0.2">
      <c r="O50" s="83">
        <f t="shared" si="15"/>
        <v>0</v>
      </c>
      <c r="P50" s="73"/>
      <c r="S50" s="77">
        <f t="shared" si="16"/>
        <v>0</v>
      </c>
      <c r="T50" s="47"/>
      <c r="U50" s="28">
        <v>2026</v>
      </c>
      <c r="W50" s="78">
        <f t="shared" ref="W50:W53" si="18">K41</f>
        <v>0</v>
      </c>
      <c r="X50" s="47"/>
    </row>
    <row r="51" spans="15:24" x14ac:dyDescent="0.2">
      <c r="S51" s="77">
        <f t="shared" si="16"/>
        <v>0</v>
      </c>
      <c r="T51" s="47"/>
      <c r="U51" s="28">
        <v>2027</v>
      </c>
      <c r="W51" s="78">
        <f t="shared" si="18"/>
        <v>0</v>
      </c>
      <c r="X51" s="47"/>
    </row>
    <row r="52" spans="15:24" x14ac:dyDescent="0.2">
      <c r="S52" s="77">
        <f t="shared" si="16"/>
        <v>0</v>
      </c>
      <c r="T52" s="47"/>
      <c r="U52" s="28">
        <v>2028</v>
      </c>
      <c r="W52" s="78">
        <f t="shared" si="18"/>
        <v>0</v>
      </c>
      <c r="X52" s="47"/>
    </row>
    <row r="53" spans="15:24" x14ac:dyDescent="0.2">
      <c r="S53" s="77">
        <f t="shared" si="16"/>
        <v>0</v>
      </c>
      <c r="T53" s="47"/>
      <c r="U53" s="28">
        <v>2029</v>
      </c>
      <c r="W53" s="78">
        <f t="shared" si="18"/>
        <v>0</v>
      </c>
      <c r="X53" s="47"/>
    </row>
    <row r="54" spans="15:24" x14ac:dyDescent="0.2">
      <c r="S54" s="77">
        <f t="shared" si="16"/>
        <v>0</v>
      </c>
      <c r="T54" s="47"/>
      <c r="U54" s="28">
        <v>2030</v>
      </c>
      <c r="W54" s="78">
        <f>K45</f>
        <v>0</v>
      </c>
      <c r="X54" s="47"/>
    </row>
    <row r="55" spans="15:24" x14ac:dyDescent="0.2">
      <c r="S55" s="77">
        <f t="shared" si="16"/>
        <v>0</v>
      </c>
      <c r="T55" s="47"/>
      <c r="U55" s="28">
        <v>2031</v>
      </c>
      <c r="W55" s="78">
        <f>K46</f>
        <v>0</v>
      </c>
      <c r="X55" s="47"/>
    </row>
    <row r="56" spans="15:24" x14ac:dyDescent="0.2">
      <c r="S56" s="46">
        <f>SUM(S43:S55)</f>
        <v>0</v>
      </c>
      <c r="T56" s="75"/>
      <c r="W56" s="74">
        <f>SUM(W43:W55)</f>
        <v>427799.99999999994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topLeftCell="A22" workbookViewId="0">
      <selection activeCell="D29" sqref="D29"/>
    </sheetView>
  </sheetViews>
  <sheetFormatPr defaultColWidth="8.7109375" defaultRowHeight="12.75" x14ac:dyDescent="0.2"/>
  <cols>
    <col min="1" max="1" width="8.7109375" style="1"/>
    <col min="2" max="2" width="5.85546875" style="1" bestFit="1" customWidth="1"/>
    <col min="3" max="3" width="22.42578125" style="1" customWidth="1"/>
    <col min="4" max="4" width="17.42578125" style="29" customWidth="1"/>
    <col min="5" max="5" width="17.85546875" style="1" customWidth="1"/>
    <col min="6" max="6" width="13.140625" style="1" customWidth="1"/>
    <col min="7" max="7" width="8.42578125" style="1" customWidth="1"/>
    <col min="8" max="8" width="7.28515625" style="1" customWidth="1"/>
    <col min="9" max="9" width="13.85546875" style="1" customWidth="1"/>
    <col min="10" max="10" width="16.85546875" style="1" customWidth="1"/>
    <col min="11" max="11" width="13.7109375" style="1" customWidth="1"/>
    <col min="12" max="12" width="14.7109375" style="1" customWidth="1"/>
    <col min="13" max="13" width="12.7109375" style="1" customWidth="1"/>
    <col min="14" max="14" width="8" style="1" customWidth="1"/>
    <col min="15" max="15" width="13.42578125" style="1" customWidth="1"/>
    <col min="16" max="16" width="17.28515625" style="1" bestFit="1" customWidth="1"/>
    <col min="17" max="18" width="2.42578125" style="1" bestFit="1" customWidth="1"/>
    <col min="19" max="20" width="12.28515625" style="1" customWidth="1"/>
    <col min="21" max="22" width="5.5703125" style="1" bestFit="1" customWidth="1"/>
    <col min="23" max="23" width="12" style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ht="18.75" customHeight="1" x14ac:dyDescent="0.2">
      <c r="C1" s="90" t="s">
        <v>86</v>
      </c>
      <c r="D1" s="91"/>
      <c r="E1" s="85">
        <v>70.349999999999994</v>
      </c>
      <c r="F1" s="1" t="s">
        <v>87</v>
      </c>
      <c r="G1" s="1" t="s">
        <v>87</v>
      </c>
      <c r="I1" s="90" t="s">
        <v>0</v>
      </c>
      <c r="J1" s="90" t="s">
        <v>1</v>
      </c>
      <c r="K1" s="90" t="s">
        <v>2</v>
      </c>
      <c r="L1" s="90" t="s">
        <v>3</v>
      </c>
      <c r="M1" s="90" t="s">
        <v>4</v>
      </c>
      <c r="O1" s="3" t="s">
        <v>6</v>
      </c>
      <c r="P1" s="3" t="s">
        <v>7</v>
      </c>
    </row>
    <row r="2" spans="2:22" x14ac:dyDescent="0.2">
      <c r="C2" s="85"/>
      <c r="D2" s="92"/>
      <c r="E2" s="93">
        <v>18000</v>
      </c>
      <c r="I2" s="4">
        <v>44377</v>
      </c>
      <c r="J2" s="94">
        <v>0</v>
      </c>
      <c r="K2" s="7">
        <v>0</v>
      </c>
      <c r="L2" s="6">
        <v>0</v>
      </c>
      <c r="M2" s="7">
        <v>0</v>
      </c>
      <c r="O2" s="6">
        <v>0</v>
      </c>
      <c r="P2" s="6">
        <v>0</v>
      </c>
    </row>
    <row r="3" spans="2:22" x14ac:dyDescent="0.2">
      <c r="C3" s="95" t="s">
        <v>9</v>
      </c>
      <c r="D3" s="96">
        <v>4.7300000000000002E-2</v>
      </c>
      <c r="E3" s="97">
        <f>E2*31</f>
        <v>558000</v>
      </c>
      <c r="F3" s="11">
        <f>E3*0.02</f>
        <v>11160</v>
      </c>
      <c r="G3" s="1" t="s">
        <v>79</v>
      </c>
      <c r="I3" s="4">
        <v>44742</v>
      </c>
      <c r="J3" s="94">
        <v>0</v>
      </c>
      <c r="K3" s="7">
        <v>0</v>
      </c>
      <c r="L3" s="6">
        <v>0</v>
      </c>
      <c r="M3" s="7">
        <v>0</v>
      </c>
      <c r="O3" s="6">
        <v>0</v>
      </c>
      <c r="P3" s="6">
        <v>0</v>
      </c>
    </row>
    <row r="4" spans="2:22" ht="13.5" customHeight="1" x14ac:dyDescent="0.2">
      <c r="C4" s="95" t="s">
        <v>10</v>
      </c>
      <c r="D4" s="98">
        <v>44235</v>
      </c>
      <c r="E4" s="86">
        <f>E3*1.15</f>
        <v>641700</v>
      </c>
      <c r="F4" s="11">
        <f>E3*0.15</f>
        <v>83700</v>
      </c>
      <c r="G4" s="1" t="s">
        <v>80</v>
      </c>
      <c r="I4" s="4">
        <v>45107</v>
      </c>
      <c r="J4" s="99"/>
      <c r="K4" s="100"/>
      <c r="L4" s="100"/>
      <c r="M4" s="7"/>
      <c r="O4" s="6">
        <v>0</v>
      </c>
      <c r="P4" s="6">
        <v>0</v>
      </c>
    </row>
    <row r="5" spans="2:22" x14ac:dyDescent="0.2">
      <c r="C5" s="95" t="s">
        <v>11</v>
      </c>
      <c r="D5" s="101">
        <v>45174</v>
      </c>
      <c r="E5" s="86"/>
      <c r="F5" s="11">
        <f>F4/2</f>
        <v>41850</v>
      </c>
      <c r="I5" s="4">
        <v>45473</v>
      </c>
      <c r="J5" s="99">
        <f>J34</f>
        <v>0</v>
      </c>
      <c r="K5" s="100"/>
      <c r="L5" s="100">
        <f>K34</f>
        <v>641700</v>
      </c>
      <c r="M5" s="7"/>
      <c r="O5" s="102">
        <v>0</v>
      </c>
      <c r="P5" s="6">
        <f>D6</f>
        <v>641700</v>
      </c>
    </row>
    <row r="6" spans="2:22" ht="15.75" x14ac:dyDescent="0.25">
      <c r="C6" s="95" t="s">
        <v>12</v>
      </c>
      <c r="D6" s="103">
        <v>641700</v>
      </c>
      <c r="E6" s="86"/>
      <c r="F6" s="11" t="s">
        <v>88</v>
      </c>
      <c r="I6" s="4">
        <v>45838</v>
      </c>
      <c r="J6" s="99">
        <f>J35</f>
        <v>0</v>
      </c>
      <c r="K6" s="6"/>
      <c r="L6" s="100">
        <f>K35</f>
        <v>0</v>
      </c>
      <c r="M6" s="7"/>
      <c r="O6" s="102">
        <v>0</v>
      </c>
      <c r="P6" s="104">
        <v>0</v>
      </c>
    </row>
    <row r="7" spans="2:22" ht="15.75" x14ac:dyDescent="0.25">
      <c r="C7" s="95" t="s">
        <v>13</v>
      </c>
      <c r="D7" s="103">
        <v>641700</v>
      </c>
      <c r="E7" s="86"/>
      <c r="F7" s="11"/>
      <c r="I7" s="4">
        <v>46203</v>
      </c>
      <c r="J7" s="99">
        <f>J36</f>
        <v>0</v>
      </c>
      <c r="K7" s="6"/>
      <c r="L7" s="100">
        <f>K36</f>
        <v>0</v>
      </c>
      <c r="M7" s="7"/>
    </row>
    <row r="8" spans="2:22" ht="15.75" x14ac:dyDescent="0.25">
      <c r="C8" s="95" t="s">
        <v>14</v>
      </c>
      <c r="D8" s="105">
        <f>D4</f>
        <v>44235</v>
      </c>
      <c r="E8" s="85"/>
      <c r="J8" s="99">
        <f>J37</f>
        <v>0</v>
      </c>
      <c r="L8" s="100">
        <f>K37</f>
        <v>0</v>
      </c>
      <c r="M8" s="106"/>
    </row>
    <row r="9" spans="2:22" x14ac:dyDescent="0.2">
      <c r="C9" s="95" t="s">
        <v>15</v>
      </c>
      <c r="D9" s="107">
        <v>0</v>
      </c>
      <c r="E9" s="99"/>
      <c r="J9" s="99"/>
      <c r="L9" s="100"/>
    </row>
    <row r="10" spans="2:22" ht="13.5" thickBot="1" x14ac:dyDescent="0.25">
      <c r="D10" s="108"/>
      <c r="E10" s="1" t="s">
        <v>82</v>
      </c>
    </row>
    <row r="11" spans="2:22" x14ac:dyDescent="0.2">
      <c r="H11" s="21" t="s">
        <v>23</v>
      </c>
      <c r="I11" s="22"/>
      <c r="J11" s="22"/>
      <c r="K11" s="22"/>
      <c r="L11" s="23"/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31" t="s">
        <v>19</v>
      </c>
      <c r="I12" s="32" t="s">
        <v>27</v>
      </c>
      <c r="J12" s="32" t="s">
        <v>28</v>
      </c>
      <c r="K12" s="32" t="s">
        <v>29</v>
      </c>
      <c r="L12" s="33" t="s">
        <v>30</v>
      </c>
      <c r="O12" s="24"/>
      <c r="P12" s="25">
        <f>+D6</f>
        <v>641700</v>
      </c>
      <c r="Q12" s="26" t="s">
        <v>24</v>
      </c>
      <c r="R12" s="26" t="s">
        <v>25</v>
      </c>
      <c r="S12" s="27">
        <f>+D32</f>
        <v>641700</v>
      </c>
      <c r="T12" s="6">
        <f t="shared" ref="T12:T25" si="0">+K34</f>
        <v>641700</v>
      </c>
      <c r="U12" s="26" t="s">
        <v>26</v>
      </c>
      <c r="V12" s="28"/>
    </row>
    <row r="13" spans="2:22" x14ac:dyDescent="0.2">
      <c r="B13" s="29">
        <v>0</v>
      </c>
      <c r="C13" s="4">
        <f>D4</f>
        <v>44235</v>
      </c>
      <c r="D13" s="108">
        <v>0</v>
      </c>
      <c r="E13" s="109"/>
      <c r="H13" s="37">
        <v>0</v>
      </c>
      <c r="I13" s="38">
        <v>2022</v>
      </c>
      <c r="J13" s="110"/>
      <c r="K13" s="111"/>
      <c r="L13" s="41">
        <f>D28</f>
        <v>0</v>
      </c>
      <c r="M13" s="11">
        <f>K14/L34</f>
        <v>0</v>
      </c>
      <c r="O13" s="34"/>
      <c r="P13" s="7">
        <f t="shared" ref="P13:P24" si="1">J14</f>
        <v>0</v>
      </c>
      <c r="Q13" s="26" t="s">
        <v>31</v>
      </c>
      <c r="R13" s="26" t="s">
        <v>32</v>
      </c>
      <c r="S13" s="35">
        <f>+S12-T12</f>
        <v>0</v>
      </c>
      <c r="T13" s="36">
        <f t="shared" si="0"/>
        <v>0</v>
      </c>
      <c r="U13" s="26" t="s">
        <v>33</v>
      </c>
      <c r="V13" s="28">
        <v>2019</v>
      </c>
    </row>
    <row r="14" spans="2:22" x14ac:dyDescent="0.2">
      <c r="B14" s="29">
        <v>1</v>
      </c>
      <c r="C14" s="4">
        <f>D8</f>
        <v>44235</v>
      </c>
      <c r="D14" s="108">
        <v>0</v>
      </c>
      <c r="E14" s="109">
        <f t="shared" ref="E14:E26" si="2">+D14*(1+$D$3)</f>
        <v>0</v>
      </c>
      <c r="H14" s="37">
        <v>1</v>
      </c>
      <c r="I14" s="38">
        <v>2023</v>
      </c>
      <c r="J14" s="112">
        <v>0</v>
      </c>
      <c r="K14" s="112">
        <f>(L13-J14)*D$3*L34/12</f>
        <v>0</v>
      </c>
      <c r="L14" s="44">
        <f>L13-J14+K14</f>
        <v>0</v>
      </c>
      <c r="N14" s="42"/>
      <c r="O14" s="34"/>
      <c r="P14" s="7">
        <f t="shared" si="1"/>
        <v>0</v>
      </c>
      <c r="Q14" s="26" t="s">
        <v>34</v>
      </c>
      <c r="R14" s="26" t="s">
        <v>32</v>
      </c>
      <c r="S14" s="35">
        <f>+S13-T13</f>
        <v>0</v>
      </c>
      <c r="T14" s="36">
        <f t="shared" si="0"/>
        <v>0</v>
      </c>
      <c r="U14" s="26" t="s">
        <v>35</v>
      </c>
      <c r="V14" s="28">
        <v>2020</v>
      </c>
    </row>
    <row r="15" spans="2:22" x14ac:dyDescent="0.2">
      <c r="B15" s="29">
        <v>2</v>
      </c>
      <c r="C15" s="4">
        <f>C14+365</f>
        <v>44600</v>
      </c>
      <c r="D15" s="108">
        <v>0</v>
      </c>
      <c r="E15" s="109">
        <f t="shared" si="2"/>
        <v>0</v>
      </c>
      <c r="H15" s="37">
        <f t="shared" ref="H15:H16" si="3">+H14+1</f>
        <v>2</v>
      </c>
      <c r="I15" s="38">
        <v>2024</v>
      </c>
      <c r="J15" s="112">
        <v>0</v>
      </c>
      <c r="K15" s="112">
        <f t="shared" ref="K15:K19" si="4">(L14-J15)*D$3*L35/12</f>
        <v>0</v>
      </c>
      <c r="L15" s="44">
        <f t="shared" ref="L15:L26" si="5">L14-J15+K15</f>
        <v>0</v>
      </c>
      <c r="O15" s="34"/>
      <c r="P15" s="7">
        <f t="shared" si="1"/>
        <v>0</v>
      </c>
      <c r="Q15" s="26" t="s">
        <v>36</v>
      </c>
      <c r="R15" s="26" t="s">
        <v>32</v>
      </c>
      <c r="S15" s="35">
        <f>+S14-T14</f>
        <v>0</v>
      </c>
      <c r="T15" s="36">
        <f t="shared" si="0"/>
        <v>0</v>
      </c>
      <c r="U15" s="26" t="s">
        <v>37</v>
      </c>
      <c r="V15" s="28">
        <v>2021</v>
      </c>
    </row>
    <row r="16" spans="2:22" x14ac:dyDescent="0.2">
      <c r="B16" s="29">
        <v>3</v>
      </c>
      <c r="C16" s="4">
        <f t="shared" ref="C16:C26" si="6">C15+365</f>
        <v>44965</v>
      </c>
      <c r="D16" s="108">
        <v>0</v>
      </c>
      <c r="E16" s="109">
        <f t="shared" si="2"/>
        <v>0</v>
      </c>
      <c r="H16" s="37">
        <f t="shared" si="3"/>
        <v>3</v>
      </c>
      <c r="I16" s="38">
        <v>2025</v>
      </c>
      <c r="J16" s="112">
        <f>D14</f>
        <v>0</v>
      </c>
      <c r="K16" s="112">
        <f>J16-L15</f>
        <v>0</v>
      </c>
      <c r="L16" s="44">
        <f t="shared" si="5"/>
        <v>0</v>
      </c>
      <c r="O16" s="34"/>
      <c r="P16" s="7">
        <f t="shared" si="1"/>
        <v>0</v>
      </c>
      <c r="Q16" s="26" t="s">
        <v>38</v>
      </c>
      <c r="R16" s="26"/>
      <c r="S16" s="35">
        <f>+S15-T15</f>
        <v>0</v>
      </c>
      <c r="T16" s="36">
        <f t="shared" si="0"/>
        <v>0</v>
      </c>
      <c r="V16" s="28">
        <v>2022</v>
      </c>
    </row>
    <row r="17" spans="2:22" x14ac:dyDescent="0.2">
      <c r="B17" s="29">
        <v>4</v>
      </c>
      <c r="C17" s="4">
        <f t="shared" si="6"/>
        <v>45330</v>
      </c>
      <c r="D17" s="108">
        <v>0</v>
      </c>
      <c r="E17" s="109">
        <f t="shared" si="2"/>
        <v>0</v>
      </c>
      <c r="H17" s="37">
        <v>4</v>
      </c>
      <c r="I17" s="38">
        <v>2026</v>
      </c>
      <c r="J17" s="112">
        <v>0</v>
      </c>
      <c r="K17" s="112">
        <f t="shared" si="4"/>
        <v>0</v>
      </c>
      <c r="L17" s="44">
        <f t="shared" si="5"/>
        <v>0</v>
      </c>
      <c r="O17" s="34"/>
      <c r="P17" s="7">
        <f t="shared" si="1"/>
        <v>0</v>
      </c>
      <c r="S17" s="35">
        <f t="shared" ref="S17:S25" si="7">+S16-T16</f>
        <v>0</v>
      </c>
      <c r="T17" s="36">
        <f t="shared" si="0"/>
        <v>0</v>
      </c>
      <c r="V17" s="28">
        <v>2023</v>
      </c>
    </row>
    <row r="18" spans="2:22" x14ac:dyDescent="0.2">
      <c r="B18" s="29">
        <v>5</v>
      </c>
      <c r="C18" s="4">
        <f t="shared" si="6"/>
        <v>45695</v>
      </c>
      <c r="D18" s="108">
        <v>0</v>
      </c>
      <c r="E18" s="109">
        <f t="shared" si="2"/>
        <v>0</v>
      </c>
      <c r="F18" s="102"/>
      <c r="H18" s="37">
        <v>5</v>
      </c>
      <c r="I18" s="38">
        <v>2027</v>
      </c>
      <c r="J18" s="112">
        <v>0</v>
      </c>
      <c r="K18" s="112">
        <f t="shared" si="4"/>
        <v>0</v>
      </c>
      <c r="L18" s="44">
        <f t="shared" si="5"/>
        <v>0</v>
      </c>
      <c r="O18" s="34"/>
      <c r="P18" s="7">
        <f t="shared" si="1"/>
        <v>0</v>
      </c>
      <c r="S18" s="113">
        <f t="shared" si="7"/>
        <v>0</v>
      </c>
      <c r="T18" s="36">
        <f t="shared" si="0"/>
        <v>0</v>
      </c>
      <c r="V18" s="28">
        <v>2024</v>
      </c>
    </row>
    <row r="19" spans="2:22" x14ac:dyDescent="0.2">
      <c r="B19" s="29">
        <v>6</v>
      </c>
      <c r="C19" s="4">
        <f t="shared" si="6"/>
        <v>46060</v>
      </c>
      <c r="D19" s="108">
        <v>0</v>
      </c>
      <c r="E19" s="109">
        <f t="shared" si="2"/>
        <v>0</v>
      </c>
      <c r="H19" s="37">
        <v>6</v>
      </c>
      <c r="I19" s="38">
        <v>2028</v>
      </c>
      <c r="J19" s="112">
        <f t="shared" ref="J19:J26" si="8">+D19</f>
        <v>0</v>
      </c>
      <c r="K19" s="112">
        <f t="shared" si="4"/>
        <v>0</v>
      </c>
      <c r="L19" s="44">
        <f t="shared" si="5"/>
        <v>0</v>
      </c>
      <c r="O19" s="34"/>
      <c r="P19" s="7">
        <f t="shared" si="1"/>
        <v>0</v>
      </c>
      <c r="S19" s="113">
        <f t="shared" si="7"/>
        <v>0</v>
      </c>
      <c r="T19" s="36">
        <f t="shared" si="0"/>
        <v>0</v>
      </c>
      <c r="V19" s="28">
        <v>2025</v>
      </c>
    </row>
    <row r="20" spans="2:22" x14ac:dyDescent="0.2">
      <c r="B20" s="29">
        <v>7</v>
      </c>
      <c r="C20" s="4">
        <f t="shared" si="6"/>
        <v>46425</v>
      </c>
      <c r="D20" s="108">
        <v>0</v>
      </c>
      <c r="E20" s="109">
        <f t="shared" si="2"/>
        <v>0</v>
      </c>
      <c r="H20" s="37">
        <v>7</v>
      </c>
      <c r="I20" s="38">
        <v>2029</v>
      </c>
      <c r="J20" s="112">
        <f t="shared" si="8"/>
        <v>0</v>
      </c>
      <c r="K20" s="112">
        <f t="shared" ref="K20:K26" si="9">(L19-J20)*D$3</f>
        <v>0</v>
      </c>
      <c r="L20" s="44">
        <f t="shared" si="5"/>
        <v>0</v>
      </c>
      <c r="O20" s="34"/>
      <c r="P20" s="7">
        <f t="shared" si="1"/>
        <v>0</v>
      </c>
      <c r="S20" s="113">
        <f t="shared" si="7"/>
        <v>0</v>
      </c>
      <c r="T20" s="36">
        <f t="shared" si="0"/>
        <v>0</v>
      </c>
      <c r="V20" s="28">
        <v>2026</v>
      </c>
    </row>
    <row r="21" spans="2:22" ht="15" x14ac:dyDescent="0.25">
      <c r="B21" s="29">
        <v>8</v>
      </c>
      <c r="C21" s="4">
        <f t="shared" si="6"/>
        <v>46790</v>
      </c>
      <c r="D21" s="108">
        <v>0</v>
      </c>
      <c r="E21" s="109">
        <f t="shared" si="2"/>
        <v>0</v>
      </c>
      <c r="H21" s="37">
        <v>8</v>
      </c>
      <c r="I21" s="38">
        <v>2030</v>
      </c>
      <c r="J21" s="112">
        <f t="shared" si="8"/>
        <v>0</v>
      </c>
      <c r="K21" s="112">
        <f t="shared" si="9"/>
        <v>0</v>
      </c>
      <c r="L21" s="44">
        <f t="shared" si="5"/>
        <v>0</v>
      </c>
      <c r="M21" s="139" t="s">
        <v>97</v>
      </c>
      <c r="O21" s="34"/>
      <c r="P21" s="7">
        <f t="shared" si="1"/>
        <v>0</v>
      </c>
      <c r="S21" s="113">
        <f t="shared" si="7"/>
        <v>0</v>
      </c>
      <c r="T21" s="36">
        <f t="shared" si="0"/>
        <v>0</v>
      </c>
      <c r="V21" s="28">
        <v>2027</v>
      </c>
    </row>
    <row r="22" spans="2:22" x14ac:dyDescent="0.2">
      <c r="B22" s="29">
        <v>9</v>
      </c>
      <c r="C22" s="4">
        <f t="shared" si="6"/>
        <v>47155</v>
      </c>
      <c r="D22" s="108">
        <v>0</v>
      </c>
      <c r="E22" s="109">
        <f t="shared" si="2"/>
        <v>0</v>
      </c>
      <c r="H22" s="37">
        <v>9</v>
      </c>
      <c r="I22" s="38">
        <v>2031</v>
      </c>
      <c r="J22" s="112">
        <f t="shared" si="8"/>
        <v>0</v>
      </c>
      <c r="K22" s="112">
        <f t="shared" si="9"/>
        <v>0</v>
      </c>
      <c r="L22" s="44">
        <f t="shared" si="5"/>
        <v>0</v>
      </c>
      <c r="O22" s="34"/>
      <c r="P22" s="7">
        <f t="shared" si="1"/>
        <v>0</v>
      </c>
      <c r="S22" s="113">
        <f t="shared" si="7"/>
        <v>0</v>
      </c>
      <c r="T22" s="36">
        <f t="shared" si="0"/>
        <v>0</v>
      </c>
      <c r="V22" s="28">
        <v>2028</v>
      </c>
    </row>
    <row r="23" spans="2:22" x14ac:dyDescent="0.2">
      <c r="B23" s="29">
        <v>10</v>
      </c>
      <c r="C23" s="4">
        <f t="shared" si="6"/>
        <v>47520</v>
      </c>
      <c r="D23" s="108">
        <v>0</v>
      </c>
      <c r="E23" s="109">
        <f t="shared" si="2"/>
        <v>0</v>
      </c>
      <c r="H23" s="37">
        <v>10</v>
      </c>
      <c r="I23" s="38">
        <v>2032</v>
      </c>
      <c r="J23" s="112">
        <f t="shared" si="8"/>
        <v>0</v>
      </c>
      <c r="K23" s="112">
        <f t="shared" si="9"/>
        <v>0</v>
      </c>
      <c r="L23" s="44">
        <f t="shared" si="5"/>
        <v>0</v>
      </c>
      <c r="O23" s="34"/>
      <c r="P23" s="7">
        <f t="shared" si="1"/>
        <v>0</v>
      </c>
      <c r="S23" s="113">
        <f t="shared" si="7"/>
        <v>0</v>
      </c>
      <c r="T23" s="36">
        <f t="shared" si="0"/>
        <v>0</v>
      </c>
      <c r="V23" s="28">
        <v>2029</v>
      </c>
    </row>
    <row r="24" spans="2:22" x14ac:dyDescent="0.2">
      <c r="B24" s="29">
        <v>11</v>
      </c>
      <c r="C24" s="4">
        <f t="shared" si="6"/>
        <v>47885</v>
      </c>
      <c r="D24" s="108">
        <v>0</v>
      </c>
      <c r="E24" s="109">
        <f t="shared" si="2"/>
        <v>0</v>
      </c>
      <c r="H24" s="37">
        <v>11</v>
      </c>
      <c r="I24" s="38">
        <v>2033</v>
      </c>
      <c r="J24" s="112">
        <f t="shared" si="8"/>
        <v>0</v>
      </c>
      <c r="K24" s="112">
        <f t="shared" si="9"/>
        <v>0</v>
      </c>
      <c r="L24" s="44">
        <f t="shared" si="5"/>
        <v>0</v>
      </c>
      <c r="O24" s="34"/>
      <c r="P24" s="7">
        <f t="shared" si="1"/>
        <v>0</v>
      </c>
      <c r="S24" s="113">
        <f t="shared" si="7"/>
        <v>0</v>
      </c>
      <c r="T24" s="36">
        <f t="shared" si="0"/>
        <v>0</v>
      </c>
      <c r="V24" s="28">
        <v>2030</v>
      </c>
    </row>
    <row r="25" spans="2:22" x14ac:dyDescent="0.2">
      <c r="B25" s="29">
        <v>12</v>
      </c>
      <c r="C25" s="4">
        <f t="shared" si="6"/>
        <v>48250</v>
      </c>
      <c r="D25" s="108">
        <v>0</v>
      </c>
      <c r="E25" s="109">
        <f t="shared" si="2"/>
        <v>0</v>
      </c>
      <c r="H25" s="37">
        <v>12</v>
      </c>
      <c r="I25" s="38">
        <v>2034</v>
      </c>
      <c r="J25" s="112">
        <f t="shared" si="8"/>
        <v>0</v>
      </c>
      <c r="K25" s="112">
        <f t="shared" si="9"/>
        <v>0</v>
      </c>
      <c r="L25" s="44">
        <f t="shared" si="5"/>
        <v>0</v>
      </c>
      <c r="O25" s="24"/>
      <c r="P25" s="46">
        <f>SUM(P12:P24)</f>
        <v>641700</v>
      </c>
      <c r="S25" s="113">
        <f t="shared" si="7"/>
        <v>0</v>
      </c>
      <c r="T25" s="36">
        <f t="shared" si="0"/>
        <v>0</v>
      </c>
      <c r="V25" s="28">
        <v>2031</v>
      </c>
    </row>
    <row r="26" spans="2:22" ht="13.5" thickBot="1" x14ac:dyDescent="0.25">
      <c r="B26" s="29">
        <v>13</v>
      </c>
      <c r="C26" s="4">
        <f t="shared" si="6"/>
        <v>48615</v>
      </c>
      <c r="D26" s="108">
        <v>0</v>
      </c>
      <c r="E26" s="109">
        <f t="shared" si="2"/>
        <v>0</v>
      </c>
      <c r="H26" s="50">
        <v>13</v>
      </c>
      <c r="I26" s="38">
        <v>2035</v>
      </c>
      <c r="J26" s="114">
        <f t="shared" si="8"/>
        <v>0</v>
      </c>
      <c r="K26" s="114">
        <f t="shared" si="9"/>
        <v>0</v>
      </c>
      <c r="L26" s="51">
        <f t="shared" si="5"/>
        <v>0</v>
      </c>
      <c r="O26" s="47"/>
      <c r="P26" s="48"/>
      <c r="S26" s="48"/>
      <c r="T26" s="49"/>
      <c r="V26" s="28"/>
    </row>
    <row r="27" spans="2:22" x14ac:dyDescent="0.2">
      <c r="B27" s="29"/>
      <c r="C27" s="4"/>
      <c r="H27" s="54"/>
      <c r="I27" s="38"/>
      <c r="J27" s="112"/>
      <c r="K27" s="112"/>
      <c r="L27" s="49"/>
    </row>
    <row r="28" spans="2:22" ht="13.5" thickBot="1" x14ac:dyDescent="0.25">
      <c r="C28" s="52" t="s">
        <v>2</v>
      </c>
      <c r="D28" s="115">
        <f>XNPV(D3,D13:D26,C13:C26)</f>
        <v>0</v>
      </c>
      <c r="E28" s="52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H29" s="29"/>
      <c r="I29" s="56"/>
      <c r="J29" s="18" t="s">
        <v>41</v>
      </c>
      <c r="K29" s="116"/>
      <c r="L29" s="117">
        <f>(D5-D4)/365*12</f>
        <v>30.871232876712327</v>
      </c>
      <c r="M29" s="42"/>
      <c r="O29" s="35">
        <f t="shared" ref="O29:O40" si="10">-K14+J14</f>
        <v>0</v>
      </c>
      <c r="P29" s="36">
        <f>+D28</f>
        <v>0</v>
      </c>
      <c r="Q29" s="26" t="s">
        <v>31</v>
      </c>
      <c r="R29" s="26" t="s">
        <v>39</v>
      </c>
      <c r="S29" s="55">
        <f>+P29</f>
        <v>0</v>
      </c>
      <c r="T29" s="36">
        <f>+S12</f>
        <v>641700</v>
      </c>
      <c r="U29" s="26" t="s">
        <v>40</v>
      </c>
      <c r="V29" s="28">
        <v>2019</v>
      </c>
    </row>
    <row r="30" spans="2:22" x14ac:dyDescent="0.2">
      <c r="J30" s="18" t="s">
        <v>43</v>
      </c>
      <c r="K30" s="58"/>
      <c r="L30" s="11">
        <f>D32/L29</f>
        <v>20786.341853035145</v>
      </c>
      <c r="N30" s="26" t="s">
        <v>39</v>
      </c>
      <c r="O30" s="35">
        <f t="shared" si="10"/>
        <v>0</v>
      </c>
      <c r="P30" s="36">
        <f>+P29-O29</f>
        <v>0</v>
      </c>
      <c r="Q30" s="26" t="s">
        <v>42</v>
      </c>
      <c r="S30" s="34"/>
      <c r="T30" s="6">
        <f>+T29-S29</f>
        <v>641700</v>
      </c>
      <c r="U30" s="26"/>
    </row>
    <row r="31" spans="2:22" ht="13.5" thickBot="1" x14ac:dyDescent="0.25">
      <c r="N31" s="26" t="s">
        <v>44</v>
      </c>
      <c r="O31" s="35">
        <f t="shared" si="10"/>
        <v>0</v>
      </c>
      <c r="P31" s="36">
        <f>+P30-O30</f>
        <v>0</v>
      </c>
      <c r="Q31" s="26" t="s">
        <v>42</v>
      </c>
      <c r="S31" s="34"/>
    </row>
    <row r="32" spans="2:22" x14ac:dyDescent="0.2">
      <c r="C32" s="1" t="s">
        <v>45</v>
      </c>
      <c r="D32" s="118">
        <f>+D33+D34+D35+D36-D37</f>
        <v>641700</v>
      </c>
      <c r="I32" s="21" t="s">
        <v>27</v>
      </c>
      <c r="J32" s="22" t="s">
        <v>30</v>
      </c>
      <c r="K32" s="22" t="s">
        <v>48</v>
      </c>
      <c r="L32" s="61" t="s">
        <v>49</v>
      </c>
      <c r="N32" s="26" t="s">
        <v>46</v>
      </c>
      <c r="O32" s="35">
        <f t="shared" si="10"/>
        <v>0</v>
      </c>
      <c r="P32" s="36">
        <f t="shared" ref="P32:P39" si="11">+P31-O31</f>
        <v>0</v>
      </c>
      <c r="Q32" s="26" t="s">
        <v>42</v>
      </c>
      <c r="S32" s="34"/>
    </row>
    <row r="33" spans="3:24" x14ac:dyDescent="0.2">
      <c r="C33" s="1" t="s">
        <v>47</v>
      </c>
      <c r="D33" s="119">
        <f>D28</f>
        <v>0</v>
      </c>
      <c r="I33" s="62">
        <f>D4</f>
        <v>44235</v>
      </c>
      <c r="J33" s="49">
        <f>+D32</f>
        <v>641700</v>
      </c>
      <c r="K33" s="63">
        <v>0</v>
      </c>
      <c r="L33" s="64">
        <v>0</v>
      </c>
      <c r="N33" s="26" t="s">
        <v>50</v>
      </c>
      <c r="O33" s="35">
        <f t="shared" si="10"/>
        <v>0</v>
      </c>
      <c r="P33" s="36">
        <f t="shared" si="11"/>
        <v>0</v>
      </c>
      <c r="S33" s="34"/>
    </row>
    <row r="34" spans="3:24" x14ac:dyDescent="0.2">
      <c r="C34" s="1" t="s">
        <v>51</v>
      </c>
      <c r="D34" s="119">
        <v>0</v>
      </c>
      <c r="I34" s="62">
        <f>D5</f>
        <v>45174</v>
      </c>
      <c r="J34" s="49">
        <f>J33-K34</f>
        <v>0</v>
      </c>
      <c r="K34" s="49">
        <f t="shared" ref="K34:K46" si="12">L34*L$30</f>
        <v>641700</v>
      </c>
      <c r="L34" s="120">
        <f>(I34-I33)/365*12</f>
        <v>30.871232876712327</v>
      </c>
      <c r="N34" s="26"/>
      <c r="O34" s="35">
        <f t="shared" si="10"/>
        <v>0</v>
      </c>
      <c r="P34" s="36">
        <f t="shared" si="11"/>
        <v>0</v>
      </c>
      <c r="S34" s="47"/>
    </row>
    <row r="35" spans="3:24" x14ac:dyDescent="0.2">
      <c r="C35" s="1" t="s">
        <v>52</v>
      </c>
      <c r="D35" s="119">
        <f>D6</f>
        <v>641700</v>
      </c>
      <c r="I35" s="62">
        <v>45473</v>
      </c>
      <c r="J35" s="49">
        <f t="shared" ref="J35:J36" si="13">J34-K35</f>
        <v>0</v>
      </c>
      <c r="K35" s="49">
        <f t="shared" si="12"/>
        <v>0</v>
      </c>
      <c r="L35" s="67">
        <f>IF(L29-SUM(L34)&lt;12,L29-SUM(L34),12)</f>
        <v>0</v>
      </c>
      <c r="N35" s="26"/>
      <c r="O35" s="35">
        <f t="shared" si="10"/>
        <v>0</v>
      </c>
      <c r="P35" s="36">
        <f t="shared" si="11"/>
        <v>0</v>
      </c>
      <c r="S35" s="47"/>
    </row>
    <row r="36" spans="3:24" x14ac:dyDescent="0.2">
      <c r="C36" s="1" t="s">
        <v>53</v>
      </c>
      <c r="D36" s="108">
        <v>0</v>
      </c>
      <c r="I36" s="62">
        <v>45838</v>
      </c>
      <c r="J36" s="49">
        <f t="shared" si="13"/>
        <v>0</v>
      </c>
      <c r="K36" s="49">
        <f t="shared" si="12"/>
        <v>0</v>
      </c>
      <c r="L36" s="67">
        <f>IF(L29-SUM(L34:L35)&lt;12,L29-SUM(L34:L35),12)</f>
        <v>0</v>
      </c>
      <c r="N36" s="26"/>
      <c r="O36" s="35">
        <f t="shared" si="10"/>
        <v>0</v>
      </c>
      <c r="P36" s="36">
        <f t="shared" si="11"/>
        <v>0</v>
      </c>
      <c r="S36" s="47"/>
    </row>
    <row r="37" spans="3:24" x14ac:dyDescent="0.2">
      <c r="C37" s="1" t="s">
        <v>54</v>
      </c>
      <c r="D37" s="108">
        <v>0</v>
      </c>
      <c r="I37" s="62">
        <v>46203</v>
      </c>
      <c r="J37" s="112">
        <f>J36-K37</f>
        <v>0</v>
      </c>
      <c r="K37" s="49">
        <f t="shared" si="12"/>
        <v>0</v>
      </c>
      <c r="L37" s="67">
        <f>IF(L29-SUM(L34:L36)&lt;12,L29-SUM(L34:L36),12)</f>
        <v>0</v>
      </c>
      <c r="N37" s="26"/>
      <c r="O37" s="35">
        <f t="shared" si="10"/>
        <v>0</v>
      </c>
      <c r="P37" s="36">
        <f t="shared" si="11"/>
        <v>0</v>
      </c>
      <c r="S37" s="47"/>
    </row>
    <row r="38" spans="3:24" x14ac:dyDescent="0.2">
      <c r="C38" s="52" t="s">
        <v>55</v>
      </c>
      <c r="I38" s="62">
        <v>46568</v>
      </c>
      <c r="J38" s="112">
        <f>J37-K38</f>
        <v>0</v>
      </c>
      <c r="K38" s="49">
        <f t="shared" si="12"/>
        <v>0</v>
      </c>
      <c r="L38" s="67">
        <f>IF(L29-SUM(L34:L37)&lt;12,L29-SUM(L34:L37),12)</f>
        <v>0</v>
      </c>
      <c r="N38" s="26"/>
      <c r="O38" s="35">
        <f t="shared" si="10"/>
        <v>0</v>
      </c>
      <c r="P38" s="36">
        <f t="shared" si="11"/>
        <v>0</v>
      </c>
      <c r="S38" s="47"/>
    </row>
    <row r="39" spans="3:24" x14ac:dyDescent="0.2">
      <c r="E39" s="1" t="s">
        <v>83</v>
      </c>
      <c r="I39" s="62">
        <v>46934</v>
      </c>
      <c r="J39" s="112">
        <f>J38-K39</f>
        <v>0</v>
      </c>
      <c r="K39" s="49">
        <f t="shared" si="12"/>
        <v>0</v>
      </c>
      <c r="L39" s="67">
        <f>IF(L29-SUM(L34:L38)&lt;12,L29-SUM(L34:L38),12)</f>
        <v>0</v>
      </c>
      <c r="N39" s="26"/>
      <c r="O39" s="35">
        <f t="shared" si="10"/>
        <v>0</v>
      </c>
      <c r="P39" s="36">
        <f t="shared" si="11"/>
        <v>0</v>
      </c>
      <c r="S39" s="47"/>
    </row>
    <row r="40" spans="3:24" x14ac:dyDescent="0.2">
      <c r="D40" s="29" t="s">
        <v>89</v>
      </c>
      <c r="I40" s="62">
        <v>47299</v>
      </c>
      <c r="J40" s="112">
        <f>J39-K40</f>
        <v>0</v>
      </c>
      <c r="K40" s="49">
        <f t="shared" si="12"/>
        <v>0</v>
      </c>
      <c r="L40" s="67">
        <f>IF(L29-SUM(L34:L39)&lt;12,L29-SUM(L34:L39),12)</f>
        <v>0</v>
      </c>
      <c r="N40" s="26"/>
      <c r="O40" s="35">
        <f t="shared" si="10"/>
        <v>0</v>
      </c>
      <c r="P40" s="36">
        <f>+P39-O39</f>
        <v>0</v>
      </c>
    </row>
    <row r="41" spans="3:24" x14ac:dyDescent="0.2">
      <c r="I41" s="62">
        <v>47664</v>
      </c>
      <c r="J41" s="112">
        <f t="shared" ref="J41:J46" si="14">J40-K41</f>
        <v>0</v>
      </c>
      <c r="K41" s="49">
        <f t="shared" si="12"/>
        <v>0</v>
      </c>
      <c r="L41" s="67">
        <f>IF(L29-SUM(L34:L40)&lt;12,L29-SUM(L34:L40),12)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52"/>
      <c r="D42" s="121" t="s">
        <v>60</v>
      </c>
      <c r="E42" s="122" t="s">
        <v>61</v>
      </c>
      <c r="I42" s="62">
        <v>48029</v>
      </c>
      <c r="J42" s="112">
        <f t="shared" si="14"/>
        <v>0</v>
      </c>
      <c r="K42" s="49">
        <f t="shared" si="12"/>
        <v>0</v>
      </c>
      <c r="L42" s="67">
        <f>IF(L29-SUM(L34:L41)&lt;12,L29-SUM(L34:L41),12)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123" t="s">
        <v>84</v>
      </c>
      <c r="D43" s="124">
        <f>D32</f>
        <v>641700</v>
      </c>
      <c r="E43" s="124"/>
      <c r="I43" s="62">
        <v>48395</v>
      </c>
      <c r="J43" s="112">
        <f t="shared" si="14"/>
        <v>0</v>
      </c>
      <c r="K43" s="49">
        <f t="shared" si="12"/>
        <v>0</v>
      </c>
      <c r="L43" s="67">
        <f>IF(L29-SUM(L34:L42)&lt;12,L29-SUM(L34:L42),12)</f>
        <v>0</v>
      </c>
      <c r="N43" s="26" t="s">
        <v>62</v>
      </c>
      <c r="O43" s="72">
        <f>+P12</f>
        <v>641700</v>
      </c>
      <c r="P43" s="73"/>
      <c r="R43" s="26" t="s">
        <v>39</v>
      </c>
      <c r="S43" s="74">
        <f>K14</f>
        <v>0</v>
      </c>
      <c r="T43" s="75"/>
      <c r="U43" s="28">
        <v>2019</v>
      </c>
      <c r="V43" s="26" t="s">
        <v>63</v>
      </c>
      <c r="W43" s="27">
        <f>K34</f>
        <v>641700</v>
      </c>
      <c r="X43" s="6"/>
    </row>
    <row r="44" spans="3:24" x14ac:dyDescent="0.2">
      <c r="C44" s="125" t="s">
        <v>90</v>
      </c>
      <c r="D44" s="124"/>
      <c r="E44" s="124">
        <f>D35</f>
        <v>641700</v>
      </c>
      <c r="I44" s="62">
        <v>48760</v>
      </c>
      <c r="J44" s="112">
        <f t="shared" si="14"/>
        <v>0</v>
      </c>
      <c r="K44" s="49">
        <f t="shared" si="12"/>
        <v>0</v>
      </c>
      <c r="L44" s="67">
        <f>IF(L29-SUM(L34:L43)&lt;12,L29-SUM(L34:L43),12)</f>
        <v>0</v>
      </c>
      <c r="O44" s="72">
        <f t="shared" ref="O44:O50" si="15">+P13</f>
        <v>0</v>
      </c>
      <c r="P44" s="73"/>
      <c r="R44" s="26" t="s">
        <v>44</v>
      </c>
      <c r="S44" s="77">
        <f t="shared" ref="S44:S55" si="16">K15</f>
        <v>0</v>
      </c>
      <c r="T44" s="47"/>
      <c r="U44" s="28">
        <v>2020</v>
      </c>
      <c r="V44" s="26" t="s">
        <v>64</v>
      </c>
      <c r="W44" s="78">
        <f t="shared" ref="W44:W48" si="17">K35</f>
        <v>0</v>
      </c>
    </row>
    <row r="45" spans="3:24" x14ac:dyDescent="0.2">
      <c r="C45" s="125" t="s">
        <v>61</v>
      </c>
      <c r="D45" s="124"/>
      <c r="E45" s="124"/>
      <c r="I45" s="62">
        <v>49125</v>
      </c>
      <c r="J45" s="112">
        <f t="shared" si="14"/>
        <v>0</v>
      </c>
      <c r="K45" s="49">
        <f t="shared" si="12"/>
        <v>0</v>
      </c>
      <c r="L45" s="67">
        <f>IF(L29-SUM(L34:L44)&lt;12,L29-SUM(L34:L44),12)</f>
        <v>0</v>
      </c>
      <c r="O45" s="72">
        <f t="shared" si="15"/>
        <v>0</v>
      </c>
      <c r="P45" s="73"/>
      <c r="R45" s="26" t="s">
        <v>46</v>
      </c>
      <c r="S45" s="77">
        <f t="shared" si="16"/>
        <v>0</v>
      </c>
      <c r="T45" s="47"/>
      <c r="U45" s="28">
        <v>2021</v>
      </c>
      <c r="V45" s="26" t="s">
        <v>65</v>
      </c>
      <c r="W45" s="78">
        <f t="shared" si="17"/>
        <v>0</v>
      </c>
    </row>
    <row r="46" spans="3:24" ht="13.5" thickBot="1" x14ac:dyDescent="0.25">
      <c r="C46" s="125" t="s">
        <v>67</v>
      </c>
      <c r="D46" s="124"/>
      <c r="E46" s="124"/>
      <c r="I46" s="62">
        <v>49490</v>
      </c>
      <c r="J46" s="114">
        <f t="shared" si="14"/>
        <v>0</v>
      </c>
      <c r="K46" s="81">
        <f t="shared" si="12"/>
        <v>0</v>
      </c>
      <c r="L46" s="82">
        <f>IF(L29-SUM(L34:L45)&lt;12,L29-SUM(L34:L45),12)</f>
        <v>0</v>
      </c>
      <c r="O46" s="72">
        <f t="shared" si="15"/>
        <v>0</v>
      </c>
      <c r="P46" s="73"/>
      <c r="R46" s="26" t="s">
        <v>50</v>
      </c>
      <c r="S46" s="77">
        <f t="shared" si="16"/>
        <v>0</v>
      </c>
      <c r="T46" s="47"/>
      <c r="U46" s="28">
        <v>2022</v>
      </c>
      <c r="V46" s="26" t="s">
        <v>66</v>
      </c>
      <c r="W46" s="78">
        <f t="shared" si="17"/>
        <v>0</v>
      </c>
    </row>
    <row r="47" spans="3:24" x14ac:dyDescent="0.2">
      <c r="O47" s="72">
        <f t="shared" si="15"/>
        <v>0</v>
      </c>
      <c r="P47" s="73"/>
      <c r="S47" s="77">
        <f t="shared" si="16"/>
        <v>0</v>
      </c>
      <c r="T47" s="47"/>
      <c r="U47" s="28">
        <v>2023</v>
      </c>
      <c r="W47" s="78">
        <f t="shared" si="17"/>
        <v>0</v>
      </c>
    </row>
    <row r="48" spans="3:24" x14ac:dyDescent="0.2">
      <c r="O48" s="72">
        <f t="shared" si="15"/>
        <v>0</v>
      </c>
      <c r="P48" s="73"/>
      <c r="S48" s="77">
        <f t="shared" si="16"/>
        <v>0</v>
      </c>
      <c r="T48" s="47"/>
      <c r="U48" s="28">
        <v>2024</v>
      </c>
      <c r="W48" s="78">
        <f t="shared" si="17"/>
        <v>0</v>
      </c>
      <c r="X48" s="47"/>
    </row>
    <row r="49" spans="15:24" x14ac:dyDescent="0.2">
      <c r="O49" s="72">
        <f t="shared" si="15"/>
        <v>0</v>
      </c>
      <c r="P49" s="73"/>
      <c r="S49" s="77">
        <f t="shared" si="16"/>
        <v>0</v>
      </c>
      <c r="T49" s="47"/>
      <c r="U49" s="28">
        <v>2025</v>
      </c>
      <c r="W49" s="78">
        <f>K40</f>
        <v>0</v>
      </c>
      <c r="X49" s="47"/>
    </row>
    <row r="50" spans="15:24" x14ac:dyDescent="0.2">
      <c r="O50" s="83">
        <f t="shared" si="15"/>
        <v>0</v>
      </c>
      <c r="P50" s="73"/>
      <c r="S50" s="77">
        <f t="shared" si="16"/>
        <v>0</v>
      </c>
      <c r="T50" s="47"/>
      <c r="U50" s="28">
        <v>2026</v>
      </c>
      <c r="W50" s="78">
        <f t="shared" ref="W50:W53" si="18">K41</f>
        <v>0</v>
      </c>
      <c r="X50" s="47"/>
    </row>
    <row r="51" spans="15:24" x14ac:dyDescent="0.2">
      <c r="S51" s="77">
        <f t="shared" si="16"/>
        <v>0</v>
      </c>
      <c r="T51" s="47"/>
      <c r="U51" s="28">
        <v>2027</v>
      </c>
      <c r="W51" s="78">
        <f t="shared" si="18"/>
        <v>0</v>
      </c>
      <c r="X51" s="47"/>
    </row>
    <row r="52" spans="15:24" x14ac:dyDescent="0.2">
      <c r="S52" s="77">
        <f t="shared" si="16"/>
        <v>0</v>
      </c>
      <c r="T52" s="47"/>
      <c r="U52" s="28">
        <v>2028</v>
      </c>
      <c r="W52" s="78">
        <f t="shared" si="18"/>
        <v>0</v>
      </c>
      <c r="X52" s="47"/>
    </row>
    <row r="53" spans="15:24" x14ac:dyDescent="0.2">
      <c r="S53" s="77">
        <f t="shared" si="16"/>
        <v>0</v>
      </c>
      <c r="T53" s="47"/>
      <c r="U53" s="28">
        <v>2029</v>
      </c>
      <c r="W53" s="78">
        <f t="shared" si="18"/>
        <v>0</v>
      </c>
      <c r="X53" s="47"/>
    </row>
    <row r="54" spans="15:24" x14ac:dyDescent="0.2">
      <c r="S54" s="77">
        <f t="shared" si="16"/>
        <v>0</v>
      </c>
      <c r="T54" s="47"/>
      <c r="U54" s="28">
        <v>2030</v>
      </c>
      <c r="W54" s="78">
        <f>K45</f>
        <v>0</v>
      </c>
      <c r="X54" s="47"/>
    </row>
    <row r="55" spans="15:24" x14ac:dyDescent="0.2">
      <c r="S55" s="77">
        <f t="shared" si="16"/>
        <v>0</v>
      </c>
      <c r="T55" s="47"/>
      <c r="U55" s="28">
        <v>2031</v>
      </c>
      <c r="W55" s="78">
        <f>K46</f>
        <v>0</v>
      </c>
      <c r="X55" s="47"/>
    </row>
    <row r="56" spans="15:24" x14ac:dyDescent="0.2">
      <c r="S56" s="46">
        <f>SUM(S43:S55)</f>
        <v>0</v>
      </c>
      <c r="T56" s="75"/>
      <c r="W56" s="74">
        <f>SUM(W43:W55)</f>
        <v>641700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topLeftCell="A19" workbookViewId="0">
      <selection activeCell="D29" sqref="D29"/>
    </sheetView>
  </sheetViews>
  <sheetFormatPr defaultColWidth="8.7109375" defaultRowHeight="12.75" x14ac:dyDescent="0.2"/>
  <cols>
    <col min="1" max="1" width="4.42578125" style="1" customWidth="1"/>
    <col min="2" max="2" width="5.85546875" style="1" bestFit="1" customWidth="1"/>
    <col min="3" max="3" width="31.85546875" style="1" bestFit="1" customWidth="1"/>
    <col min="4" max="4" width="14.5703125" style="1" bestFit="1" customWidth="1"/>
    <col min="5" max="5" width="18.7109375" style="1" customWidth="1"/>
    <col min="6" max="6" width="13.140625" style="1" customWidth="1"/>
    <col min="7" max="7" width="17" style="1" customWidth="1"/>
    <col min="8" max="8" width="13.140625" style="1" customWidth="1"/>
    <col min="9" max="9" width="13.85546875" style="1" customWidth="1"/>
    <col min="10" max="10" width="13.140625" style="1" customWidth="1"/>
    <col min="11" max="11" width="15.42578125" style="1" customWidth="1"/>
    <col min="12" max="12" width="15.140625" style="1" customWidth="1"/>
    <col min="13" max="13" width="14.5703125" style="1" customWidth="1"/>
    <col min="14" max="14" width="12.7109375" style="1" customWidth="1"/>
    <col min="15" max="15" width="14.5703125" style="1" bestFit="1" customWidth="1"/>
    <col min="16" max="16" width="17.28515625" style="1" bestFit="1" customWidth="1"/>
    <col min="17" max="17" width="3.85546875" style="1" customWidth="1"/>
    <col min="18" max="18" width="4" style="1" customWidth="1"/>
    <col min="19" max="19" width="12.140625" style="1" customWidth="1"/>
    <col min="20" max="20" width="12.7109375" style="1" customWidth="1"/>
    <col min="21" max="22" width="5.5703125" style="1" bestFit="1" customWidth="1"/>
    <col min="23" max="23" width="10.85546875" style="1" bestFit="1" customWidth="1"/>
    <col min="24" max="24" width="10.42578125" style="1" customWidth="1"/>
    <col min="25" max="25" width="3.85546875" style="1" customWidth="1"/>
    <col min="26" max="16384" width="8.7109375" style="1"/>
  </cols>
  <sheetData>
    <row r="1" spans="2:22" x14ac:dyDescent="0.2">
      <c r="C1" s="2" t="s">
        <v>91</v>
      </c>
      <c r="E1" s="1">
        <v>192.5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</row>
    <row r="2" spans="2:22" x14ac:dyDescent="0.2">
      <c r="C2" s="1" t="s">
        <v>8</v>
      </c>
      <c r="D2" s="4">
        <v>45108</v>
      </c>
      <c r="E2" s="126">
        <v>30000</v>
      </c>
      <c r="F2" s="1" t="s">
        <v>92</v>
      </c>
      <c r="G2" s="1">
        <f>E2*1.15</f>
        <v>34500</v>
      </c>
      <c r="I2" s="4">
        <v>44377</v>
      </c>
      <c r="J2" s="6">
        <v>0</v>
      </c>
      <c r="K2" s="7">
        <v>0</v>
      </c>
      <c r="L2" s="8">
        <v>0</v>
      </c>
      <c r="M2" s="7">
        <v>0</v>
      </c>
      <c r="O2" s="6">
        <v>0</v>
      </c>
      <c r="P2" s="6">
        <v>0</v>
      </c>
    </row>
    <row r="3" spans="2:22" x14ac:dyDescent="0.2">
      <c r="C3" s="1" t="s">
        <v>9</v>
      </c>
      <c r="D3" s="9">
        <v>4.7300000000000002E-2</v>
      </c>
      <c r="E3" s="127">
        <f>E2*60</f>
        <v>1800000</v>
      </c>
      <c r="F3" s="11">
        <f>E3*0.02</f>
        <v>36000</v>
      </c>
      <c r="G3" s="11"/>
      <c r="I3" s="4">
        <v>44742</v>
      </c>
      <c r="J3" s="6">
        <v>0</v>
      </c>
      <c r="K3" s="7">
        <v>0</v>
      </c>
      <c r="L3" s="8">
        <v>0</v>
      </c>
      <c r="M3" s="7">
        <v>0</v>
      </c>
      <c r="O3" s="6">
        <v>0</v>
      </c>
      <c r="P3" s="6">
        <v>0</v>
      </c>
    </row>
    <row r="4" spans="2:22" x14ac:dyDescent="0.2">
      <c r="C4" s="1" t="s">
        <v>10</v>
      </c>
      <c r="D4" s="4">
        <v>45025</v>
      </c>
      <c r="E4" s="127">
        <f>E3*1.15</f>
        <v>2069999.9999999998</v>
      </c>
      <c r="F4" s="11">
        <f>E3*0.15</f>
        <v>270000</v>
      </c>
      <c r="G4" s="11"/>
      <c r="I4" s="4">
        <v>45107</v>
      </c>
      <c r="J4" s="6">
        <v>0</v>
      </c>
      <c r="K4" s="7">
        <v>0</v>
      </c>
      <c r="L4" s="8">
        <f t="shared" ref="L4" si="0">K34</f>
        <v>0</v>
      </c>
      <c r="M4" s="7">
        <v>0</v>
      </c>
      <c r="O4" s="6">
        <v>0</v>
      </c>
      <c r="P4" s="6">
        <v>0</v>
      </c>
    </row>
    <row r="5" spans="2:22" x14ac:dyDescent="0.2">
      <c r="C5" s="1" t="s">
        <v>11</v>
      </c>
      <c r="D5" s="12">
        <v>46850</v>
      </c>
      <c r="E5" s="128"/>
      <c r="F5" s="86">
        <f>F4/2</f>
        <v>135000</v>
      </c>
      <c r="G5" s="85"/>
      <c r="H5" s="85"/>
      <c r="I5" s="4">
        <v>45473</v>
      </c>
      <c r="J5" s="6">
        <f>J35</f>
        <v>1561857.5342465751</v>
      </c>
      <c r="K5" s="7">
        <f>L15</f>
        <v>0</v>
      </c>
      <c r="L5" s="8">
        <f>K35</f>
        <v>508142.46575342456</v>
      </c>
      <c r="M5" s="7">
        <f>K15</f>
        <v>0</v>
      </c>
      <c r="N5" s="7">
        <f>J15</f>
        <v>0</v>
      </c>
      <c r="O5" s="127">
        <v>0</v>
      </c>
      <c r="P5" s="6"/>
    </row>
    <row r="6" spans="2:22" x14ac:dyDescent="0.2">
      <c r="C6" s="1" t="s">
        <v>12</v>
      </c>
      <c r="D6" s="127">
        <v>2069999.9999999998</v>
      </c>
      <c r="E6" s="86"/>
      <c r="F6" s="85"/>
      <c r="G6" s="86"/>
      <c r="H6" s="85"/>
      <c r="I6" s="4">
        <v>45838</v>
      </c>
      <c r="J6" s="6">
        <f>J36</f>
        <v>1147857.5342465751</v>
      </c>
      <c r="K6" s="7">
        <f t="shared" ref="K6:K9" si="1">L16</f>
        <v>0</v>
      </c>
      <c r="L6" s="8">
        <f t="shared" ref="L6:L10" si="2">K36</f>
        <v>413999.99999999988</v>
      </c>
      <c r="M6" s="7">
        <f t="shared" ref="M6:M10" si="3">K16</f>
        <v>0</v>
      </c>
      <c r="N6" s="7">
        <f t="shared" ref="N6:N10" si="4">J16</f>
        <v>0</v>
      </c>
      <c r="O6" s="127">
        <v>0</v>
      </c>
    </row>
    <row r="7" spans="2:22" x14ac:dyDescent="0.2">
      <c r="C7" s="1" t="s">
        <v>13</v>
      </c>
      <c r="D7" s="127">
        <v>2069999.9999999998</v>
      </c>
      <c r="E7" s="129"/>
      <c r="G7" s="11"/>
      <c r="I7" s="4">
        <v>46203</v>
      </c>
      <c r="J7" s="6">
        <f t="shared" ref="J7:J10" si="5">J37</f>
        <v>733857.5342465752</v>
      </c>
      <c r="K7" s="7">
        <f t="shared" si="1"/>
        <v>0</v>
      </c>
      <c r="L7" s="8">
        <f t="shared" si="2"/>
        <v>413999.99999999988</v>
      </c>
      <c r="M7" s="7">
        <f t="shared" si="3"/>
        <v>0</v>
      </c>
      <c r="N7" s="7">
        <f>J17</f>
        <v>0</v>
      </c>
    </row>
    <row r="8" spans="2:22" x14ac:dyDescent="0.2">
      <c r="C8" s="1" t="s">
        <v>14</v>
      </c>
      <c r="D8" s="12">
        <f>D4</f>
        <v>45025</v>
      </c>
      <c r="E8" s="15"/>
      <c r="I8" s="4">
        <v>46568</v>
      </c>
      <c r="J8" s="6">
        <f t="shared" si="5"/>
        <v>319857.53424657532</v>
      </c>
      <c r="K8" s="7">
        <f t="shared" si="1"/>
        <v>0</v>
      </c>
      <c r="L8" s="8">
        <f t="shared" si="2"/>
        <v>413999.99999999988</v>
      </c>
      <c r="M8" s="7">
        <f t="shared" si="3"/>
        <v>0</v>
      </c>
      <c r="N8" s="7">
        <f t="shared" si="4"/>
        <v>0</v>
      </c>
    </row>
    <row r="9" spans="2:22" x14ac:dyDescent="0.2">
      <c r="C9" s="1" t="s">
        <v>15</v>
      </c>
      <c r="D9" s="130">
        <v>0</v>
      </c>
      <c r="E9" s="11"/>
      <c r="I9" s="4">
        <v>46934</v>
      </c>
      <c r="J9" s="6">
        <f t="shared" si="5"/>
        <v>0</v>
      </c>
      <c r="K9" s="7">
        <f t="shared" si="1"/>
        <v>0</v>
      </c>
      <c r="L9" s="8">
        <f t="shared" si="2"/>
        <v>319857.53424657538</v>
      </c>
      <c r="M9" s="7">
        <f t="shared" si="3"/>
        <v>0</v>
      </c>
      <c r="N9" s="7">
        <f t="shared" si="4"/>
        <v>0</v>
      </c>
    </row>
    <row r="10" spans="2:22" x14ac:dyDescent="0.2">
      <c r="C10" s="13" t="s">
        <v>16</v>
      </c>
      <c r="D10" s="17"/>
      <c r="E10" s="11"/>
      <c r="I10" s="4">
        <v>47299</v>
      </c>
      <c r="J10" s="6">
        <f t="shared" si="5"/>
        <v>0</v>
      </c>
      <c r="K10" s="7">
        <f t="shared" ref="K10" si="6">L21</f>
        <v>0</v>
      </c>
      <c r="L10" s="8">
        <f t="shared" si="2"/>
        <v>0</v>
      </c>
      <c r="M10" s="7">
        <f t="shared" si="3"/>
        <v>0</v>
      </c>
      <c r="N10" s="7">
        <f t="shared" si="4"/>
        <v>0</v>
      </c>
    </row>
    <row r="11" spans="2:22" ht="13.5" thickBot="1" x14ac:dyDescent="0.25">
      <c r="O11" s="144" t="s">
        <v>17</v>
      </c>
      <c r="P11" s="144"/>
      <c r="S11" s="144" t="s">
        <v>18</v>
      </c>
      <c r="T11" s="144"/>
    </row>
    <row r="12" spans="2:22" x14ac:dyDescent="0.2">
      <c r="B12" s="18" t="s">
        <v>19</v>
      </c>
      <c r="C12" s="19" t="s">
        <v>20</v>
      </c>
      <c r="D12" s="19" t="s">
        <v>21</v>
      </c>
      <c r="E12" s="20" t="s">
        <v>22</v>
      </c>
      <c r="H12" s="21" t="s">
        <v>23</v>
      </c>
      <c r="I12" s="22"/>
      <c r="J12" s="22"/>
      <c r="K12" s="22"/>
      <c r="L12" s="23"/>
      <c r="O12" s="24"/>
      <c r="P12" s="25">
        <f>+D6</f>
        <v>2069999.9999999998</v>
      </c>
      <c r="Q12" s="26" t="s">
        <v>24</v>
      </c>
      <c r="R12" s="26" t="s">
        <v>25</v>
      </c>
      <c r="S12" s="27">
        <f>+D32</f>
        <v>2069999.9999999998</v>
      </c>
      <c r="T12" s="6">
        <f t="shared" ref="T12:T25" si="7">+K35</f>
        <v>508142.46575342456</v>
      </c>
      <c r="U12" s="26" t="s">
        <v>26</v>
      </c>
      <c r="V12" s="28"/>
    </row>
    <row r="13" spans="2:22" x14ac:dyDescent="0.2">
      <c r="B13" s="29">
        <v>0</v>
      </c>
      <c r="C13" s="4">
        <f>D4</f>
        <v>45025</v>
      </c>
      <c r="D13" s="30">
        <v>0</v>
      </c>
      <c r="E13" s="30"/>
      <c r="H13" s="31" t="s">
        <v>19</v>
      </c>
      <c r="I13" s="32" t="s">
        <v>27</v>
      </c>
      <c r="J13" s="32" t="s">
        <v>28</v>
      </c>
      <c r="K13" s="32" t="s">
        <v>29</v>
      </c>
      <c r="L13" s="33" t="s">
        <v>30</v>
      </c>
      <c r="O13" s="34"/>
      <c r="P13" s="7">
        <f t="shared" ref="P13:P24" si="8">J15</f>
        <v>0</v>
      </c>
      <c r="Q13" s="26" t="s">
        <v>31</v>
      </c>
      <c r="R13" s="26" t="s">
        <v>32</v>
      </c>
      <c r="S13" s="35">
        <f t="shared" ref="S13:S25" si="9">+S12-T12</f>
        <v>1561857.5342465751</v>
      </c>
      <c r="T13" s="36">
        <f t="shared" si="7"/>
        <v>413999.99999999988</v>
      </c>
      <c r="U13" s="26" t="s">
        <v>33</v>
      </c>
      <c r="V13" s="28">
        <v>2021</v>
      </c>
    </row>
    <row r="14" spans="2:22" x14ac:dyDescent="0.2">
      <c r="B14" s="29">
        <v>1</v>
      </c>
      <c r="C14" s="4">
        <f>D8</f>
        <v>45025</v>
      </c>
      <c r="D14" s="30">
        <v>0</v>
      </c>
      <c r="E14" s="30">
        <f t="shared" ref="E14:E26" si="10">+D14*(1+$D$3)</f>
        <v>0</v>
      </c>
      <c r="H14" s="37">
        <v>0</v>
      </c>
      <c r="I14" s="38"/>
      <c r="J14" s="131"/>
      <c r="K14" s="132"/>
      <c r="L14" s="41">
        <f>D28</f>
        <v>0</v>
      </c>
      <c r="N14" s="42"/>
      <c r="O14" s="34"/>
      <c r="P14" s="7">
        <f t="shared" si="8"/>
        <v>0</v>
      </c>
      <c r="Q14" s="26" t="s">
        <v>34</v>
      </c>
      <c r="R14" s="26" t="s">
        <v>32</v>
      </c>
      <c r="S14" s="35">
        <f t="shared" si="9"/>
        <v>1147857.5342465751</v>
      </c>
      <c r="T14" s="36">
        <f t="shared" si="7"/>
        <v>413999.99999999988</v>
      </c>
      <c r="U14" s="26" t="s">
        <v>35</v>
      </c>
      <c r="V14" s="28">
        <v>2022</v>
      </c>
    </row>
    <row r="15" spans="2:22" x14ac:dyDescent="0.2">
      <c r="B15" s="29">
        <v>2</v>
      </c>
      <c r="C15" s="4">
        <f t="shared" ref="C15:C26" si="11">C14+365</f>
        <v>45390</v>
      </c>
      <c r="D15" s="30">
        <v>0</v>
      </c>
      <c r="E15" s="30">
        <f t="shared" si="10"/>
        <v>0</v>
      </c>
      <c r="H15" s="37">
        <v>1</v>
      </c>
      <c r="I15" s="38">
        <v>2024</v>
      </c>
      <c r="J15" s="133"/>
      <c r="K15" s="133">
        <f>(L14-J15)*D$3*L35/12</f>
        <v>0</v>
      </c>
      <c r="L15" s="44">
        <f>L14-J15+K15</f>
        <v>0</v>
      </c>
      <c r="M15" s="11">
        <f>K15/L35</f>
        <v>0</v>
      </c>
      <c r="O15" s="34"/>
      <c r="P15" s="7">
        <f t="shared" si="8"/>
        <v>0</v>
      </c>
      <c r="Q15" s="26" t="s">
        <v>36</v>
      </c>
      <c r="R15" s="26" t="s">
        <v>32</v>
      </c>
      <c r="S15" s="35">
        <f t="shared" si="9"/>
        <v>733857.5342465752</v>
      </c>
      <c r="T15" s="36">
        <f t="shared" si="7"/>
        <v>413999.99999999988</v>
      </c>
      <c r="U15" s="26" t="s">
        <v>37</v>
      </c>
      <c r="V15" s="28">
        <v>2023</v>
      </c>
    </row>
    <row r="16" spans="2:22" x14ac:dyDescent="0.2">
      <c r="B16" s="29">
        <v>3</v>
      </c>
      <c r="C16" s="4">
        <f t="shared" si="11"/>
        <v>45755</v>
      </c>
      <c r="D16" s="30">
        <v>0</v>
      </c>
      <c r="E16" s="30">
        <f t="shared" si="10"/>
        <v>0</v>
      </c>
      <c r="H16" s="37">
        <f>+H15+1</f>
        <v>2</v>
      </c>
      <c r="I16" s="38">
        <v>2025</v>
      </c>
      <c r="J16" s="133">
        <f>D14</f>
        <v>0</v>
      </c>
      <c r="K16" s="133">
        <f>(L15-J16)*D$3</f>
        <v>0</v>
      </c>
      <c r="L16" s="44">
        <f t="shared" ref="L16:L27" si="12">L15-J16+K16</f>
        <v>0</v>
      </c>
      <c r="O16" s="34"/>
      <c r="P16" s="7">
        <f t="shared" si="8"/>
        <v>0</v>
      </c>
      <c r="Q16" s="26" t="s">
        <v>38</v>
      </c>
      <c r="R16" s="26"/>
      <c r="S16" s="35">
        <f t="shared" si="9"/>
        <v>319857.53424657532</v>
      </c>
      <c r="T16" s="36">
        <f t="shared" si="7"/>
        <v>319857.53424657538</v>
      </c>
      <c r="V16" s="28">
        <v>2024</v>
      </c>
    </row>
    <row r="17" spans="2:22" x14ac:dyDescent="0.2">
      <c r="B17" s="29">
        <v>4</v>
      </c>
      <c r="C17" s="4">
        <f t="shared" si="11"/>
        <v>46120</v>
      </c>
      <c r="D17" s="30">
        <f>D7-D6</f>
        <v>0</v>
      </c>
      <c r="E17" s="30">
        <f t="shared" si="10"/>
        <v>0</v>
      </c>
      <c r="H17" s="37">
        <f>+H16+1</f>
        <v>3</v>
      </c>
      <c r="I17" s="38">
        <v>2026</v>
      </c>
      <c r="J17" s="133">
        <f>D17</f>
        <v>0</v>
      </c>
      <c r="K17" s="133">
        <f>J17-L16</f>
        <v>0</v>
      </c>
      <c r="L17" s="44">
        <f t="shared" si="12"/>
        <v>0</v>
      </c>
      <c r="O17" s="34"/>
      <c r="P17" s="7">
        <f t="shared" si="8"/>
        <v>0</v>
      </c>
      <c r="S17" s="35">
        <f t="shared" si="9"/>
        <v>0</v>
      </c>
      <c r="T17" s="36">
        <f t="shared" si="7"/>
        <v>0</v>
      </c>
      <c r="V17" s="28">
        <v>2025</v>
      </c>
    </row>
    <row r="18" spans="2:22" x14ac:dyDescent="0.2">
      <c r="B18" s="29">
        <v>5</v>
      </c>
      <c r="C18" s="4">
        <f t="shared" si="11"/>
        <v>46485</v>
      </c>
      <c r="D18" s="30">
        <v>0</v>
      </c>
      <c r="E18" s="30">
        <f t="shared" si="10"/>
        <v>0</v>
      </c>
      <c r="F18" s="127"/>
      <c r="H18" s="37">
        <v>4</v>
      </c>
      <c r="I18" s="38">
        <v>2027</v>
      </c>
      <c r="J18" s="133">
        <f t="shared" ref="J18:J27" si="13">D16</f>
        <v>0</v>
      </c>
      <c r="K18" s="133">
        <f>J18-L17</f>
        <v>0</v>
      </c>
      <c r="L18" s="44">
        <f t="shared" si="12"/>
        <v>0</v>
      </c>
      <c r="O18" s="34"/>
      <c r="P18" s="7">
        <f t="shared" si="8"/>
        <v>0</v>
      </c>
      <c r="S18" s="134">
        <f t="shared" si="9"/>
        <v>0</v>
      </c>
      <c r="T18" s="36">
        <f t="shared" si="7"/>
        <v>0</v>
      </c>
      <c r="V18" s="28">
        <v>2026</v>
      </c>
    </row>
    <row r="19" spans="2:22" x14ac:dyDescent="0.2">
      <c r="B19" s="29">
        <v>6</v>
      </c>
      <c r="C19" s="4">
        <f t="shared" si="11"/>
        <v>46850</v>
      </c>
      <c r="D19" s="30">
        <v>0</v>
      </c>
      <c r="E19" s="30">
        <f t="shared" si="10"/>
        <v>0</v>
      </c>
      <c r="H19" s="37">
        <v>5</v>
      </c>
      <c r="I19" s="38">
        <v>2028</v>
      </c>
      <c r="J19" s="133">
        <v>0</v>
      </c>
      <c r="K19" s="133">
        <f>J19-L18</f>
        <v>0</v>
      </c>
      <c r="L19" s="44">
        <f t="shared" si="12"/>
        <v>0</v>
      </c>
      <c r="O19" s="34"/>
      <c r="P19" s="7">
        <f t="shared" si="8"/>
        <v>0</v>
      </c>
      <c r="S19" s="134">
        <f t="shared" si="9"/>
        <v>0</v>
      </c>
      <c r="T19" s="36">
        <f t="shared" si="7"/>
        <v>0</v>
      </c>
      <c r="V19" s="28">
        <v>2027</v>
      </c>
    </row>
    <row r="20" spans="2:22" x14ac:dyDescent="0.2">
      <c r="B20" s="29">
        <v>7</v>
      </c>
      <c r="C20" s="4">
        <f t="shared" si="11"/>
        <v>47215</v>
      </c>
      <c r="D20" s="30">
        <v>0</v>
      </c>
      <c r="E20" s="30">
        <f t="shared" si="10"/>
        <v>0</v>
      </c>
      <c r="H20" s="37">
        <v>6</v>
      </c>
      <c r="I20" s="38">
        <v>2029</v>
      </c>
      <c r="J20" s="133">
        <f t="shared" si="13"/>
        <v>0</v>
      </c>
      <c r="K20" s="133">
        <f t="shared" ref="K20:K27" si="14">L19-J20</f>
        <v>0</v>
      </c>
      <c r="L20" s="44">
        <f t="shared" si="12"/>
        <v>0</v>
      </c>
      <c r="O20" s="34"/>
      <c r="P20" s="7">
        <f t="shared" si="8"/>
        <v>0</v>
      </c>
      <c r="S20" s="134">
        <f t="shared" si="9"/>
        <v>0</v>
      </c>
      <c r="T20" s="36">
        <f t="shared" si="7"/>
        <v>0</v>
      </c>
      <c r="V20" s="28">
        <v>2028</v>
      </c>
    </row>
    <row r="21" spans="2:22" x14ac:dyDescent="0.2">
      <c r="B21" s="29">
        <v>8</v>
      </c>
      <c r="C21" s="4">
        <f t="shared" si="11"/>
        <v>47580</v>
      </c>
      <c r="D21" s="30">
        <v>0</v>
      </c>
      <c r="E21" s="30">
        <f t="shared" si="10"/>
        <v>0</v>
      </c>
      <c r="H21" s="37">
        <v>7</v>
      </c>
      <c r="I21" s="38">
        <v>2030</v>
      </c>
      <c r="J21" s="133">
        <f t="shared" si="13"/>
        <v>0</v>
      </c>
      <c r="K21" s="133">
        <f t="shared" si="14"/>
        <v>0</v>
      </c>
      <c r="L21" s="44">
        <f t="shared" si="12"/>
        <v>0</v>
      </c>
      <c r="O21" s="34"/>
      <c r="P21" s="7">
        <f t="shared" si="8"/>
        <v>0</v>
      </c>
      <c r="S21" s="134">
        <f t="shared" si="9"/>
        <v>0</v>
      </c>
      <c r="T21" s="36">
        <f t="shared" si="7"/>
        <v>0</v>
      </c>
      <c r="V21" s="28">
        <v>2029</v>
      </c>
    </row>
    <row r="22" spans="2:22" x14ac:dyDescent="0.2">
      <c r="B22" s="29">
        <v>9</v>
      </c>
      <c r="C22" s="4">
        <f t="shared" si="11"/>
        <v>47945</v>
      </c>
      <c r="D22" s="30">
        <v>0</v>
      </c>
      <c r="E22" s="30">
        <f t="shared" si="10"/>
        <v>0</v>
      </c>
      <c r="H22" s="37">
        <v>8</v>
      </c>
      <c r="I22" s="38">
        <v>2031</v>
      </c>
      <c r="J22" s="133">
        <f t="shared" si="13"/>
        <v>0</v>
      </c>
      <c r="K22" s="133">
        <f t="shared" si="14"/>
        <v>0</v>
      </c>
      <c r="L22" s="44">
        <f t="shared" si="12"/>
        <v>0</v>
      </c>
      <c r="O22" s="34"/>
      <c r="P22" s="7">
        <f t="shared" si="8"/>
        <v>0</v>
      </c>
      <c r="S22" s="134">
        <f t="shared" si="9"/>
        <v>0</v>
      </c>
      <c r="T22" s="36">
        <f t="shared" si="7"/>
        <v>0</v>
      </c>
      <c r="V22" s="28">
        <v>2030</v>
      </c>
    </row>
    <row r="23" spans="2:22" x14ac:dyDescent="0.2">
      <c r="B23" s="29">
        <v>10</v>
      </c>
      <c r="C23" s="4">
        <f t="shared" si="11"/>
        <v>48310</v>
      </c>
      <c r="D23" s="30">
        <v>0</v>
      </c>
      <c r="E23" s="30">
        <f t="shared" si="10"/>
        <v>0</v>
      </c>
      <c r="H23" s="37">
        <v>9</v>
      </c>
      <c r="I23" s="38">
        <v>2032</v>
      </c>
      <c r="J23" s="133">
        <f t="shared" si="13"/>
        <v>0</v>
      </c>
      <c r="K23" s="133">
        <f t="shared" si="14"/>
        <v>0</v>
      </c>
      <c r="L23" s="44">
        <f t="shared" si="12"/>
        <v>0</v>
      </c>
      <c r="O23" s="34"/>
      <c r="P23" s="7">
        <f t="shared" si="8"/>
        <v>0</v>
      </c>
      <c r="S23" s="134">
        <f t="shared" si="9"/>
        <v>0</v>
      </c>
      <c r="T23" s="36">
        <f t="shared" si="7"/>
        <v>0</v>
      </c>
      <c r="V23" s="28">
        <v>2031</v>
      </c>
    </row>
    <row r="24" spans="2:22" x14ac:dyDescent="0.2">
      <c r="B24" s="29">
        <v>11</v>
      </c>
      <c r="C24" s="4">
        <f t="shared" si="11"/>
        <v>48675</v>
      </c>
      <c r="D24" s="30">
        <v>0</v>
      </c>
      <c r="E24" s="30">
        <f t="shared" si="10"/>
        <v>0</v>
      </c>
      <c r="H24" s="37">
        <v>10</v>
      </c>
      <c r="I24" s="38">
        <v>2033</v>
      </c>
      <c r="J24" s="133">
        <f t="shared" si="13"/>
        <v>0</v>
      </c>
      <c r="K24" s="133">
        <f t="shared" si="14"/>
        <v>0</v>
      </c>
      <c r="L24" s="44">
        <f t="shared" si="12"/>
        <v>0</v>
      </c>
      <c r="O24" s="34"/>
      <c r="P24" s="7">
        <f t="shared" si="8"/>
        <v>0</v>
      </c>
      <c r="S24" s="134">
        <f t="shared" si="9"/>
        <v>0</v>
      </c>
      <c r="T24" s="36">
        <f t="shared" si="7"/>
        <v>0</v>
      </c>
      <c r="V24" s="28">
        <v>2032</v>
      </c>
    </row>
    <row r="25" spans="2:22" x14ac:dyDescent="0.2">
      <c r="B25" s="29">
        <v>12</v>
      </c>
      <c r="C25" s="4">
        <f t="shared" si="11"/>
        <v>49040</v>
      </c>
      <c r="D25" s="30">
        <v>0</v>
      </c>
      <c r="E25" s="30">
        <f t="shared" si="10"/>
        <v>0</v>
      </c>
      <c r="H25" s="37">
        <v>11</v>
      </c>
      <c r="I25" s="38">
        <v>2034</v>
      </c>
      <c r="J25" s="133">
        <f t="shared" si="13"/>
        <v>0</v>
      </c>
      <c r="K25" s="133">
        <f>L24-J25</f>
        <v>0</v>
      </c>
      <c r="L25" s="44">
        <f t="shared" si="12"/>
        <v>0</v>
      </c>
      <c r="O25" s="24"/>
      <c r="P25" s="46">
        <f>SUM(P12:P24)</f>
        <v>2069999.9999999998</v>
      </c>
      <c r="S25" s="134">
        <f t="shared" si="9"/>
        <v>0</v>
      </c>
      <c r="T25" s="36">
        <f t="shared" si="7"/>
        <v>0</v>
      </c>
      <c r="V25" s="28">
        <v>2033</v>
      </c>
    </row>
    <row r="26" spans="2:22" x14ac:dyDescent="0.2">
      <c r="B26" s="29">
        <v>13</v>
      </c>
      <c r="C26" s="4">
        <f t="shared" si="11"/>
        <v>49405</v>
      </c>
      <c r="D26" s="30">
        <v>0</v>
      </c>
      <c r="E26" s="30">
        <f t="shared" si="10"/>
        <v>0</v>
      </c>
      <c r="H26" s="37">
        <v>12</v>
      </c>
      <c r="I26" s="38">
        <v>2035</v>
      </c>
      <c r="J26" s="133">
        <f t="shared" si="13"/>
        <v>0</v>
      </c>
      <c r="K26" s="133">
        <f t="shared" si="14"/>
        <v>0</v>
      </c>
      <c r="L26" s="44">
        <f t="shared" si="12"/>
        <v>0</v>
      </c>
      <c r="O26" s="47"/>
      <c r="P26" s="48"/>
      <c r="S26" s="48"/>
      <c r="T26" s="49"/>
      <c r="V26" s="28"/>
    </row>
    <row r="27" spans="2:22" ht="13.5" thickBot="1" x14ac:dyDescent="0.25">
      <c r="B27" s="29"/>
      <c r="C27" s="4"/>
      <c r="H27" s="50">
        <v>13</v>
      </c>
      <c r="I27" s="38">
        <v>2036</v>
      </c>
      <c r="J27" s="133">
        <f t="shared" si="13"/>
        <v>0</v>
      </c>
      <c r="K27" s="133">
        <f t="shared" si="14"/>
        <v>0</v>
      </c>
      <c r="L27" s="51">
        <f t="shared" si="12"/>
        <v>0</v>
      </c>
    </row>
    <row r="28" spans="2:22" ht="13.5" thickBot="1" x14ac:dyDescent="0.25">
      <c r="C28" s="52" t="s">
        <v>2</v>
      </c>
      <c r="D28" s="135">
        <f>XNPV(D3,D13:D26,C13:C26)</f>
        <v>0</v>
      </c>
      <c r="E28" s="52"/>
      <c r="H28" s="54"/>
      <c r="I28" s="38"/>
      <c r="J28" s="133"/>
      <c r="K28" s="133"/>
      <c r="L28" s="49"/>
      <c r="O28" s="144" t="s">
        <v>2</v>
      </c>
      <c r="P28" s="144"/>
      <c r="S28" s="144" t="s">
        <v>6</v>
      </c>
      <c r="T28" s="144"/>
    </row>
    <row r="29" spans="2:22" ht="13.5" thickTop="1" x14ac:dyDescent="0.2">
      <c r="C29" s="52"/>
      <c r="O29" s="35">
        <f t="shared" ref="O29:O40" si="15">-K15+J15</f>
        <v>0</v>
      </c>
      <c r="P29" s="36">
        <f>+D28</f>
        <v>0</v>
      </c>
      <c r="Q29" s="26" t="s">
        <v>31</v>
      </c>
      <c r="R29" s="26" t="s">
        <v>39</v>
      </c>
      <c r="S29" s="55">
        <f>+P29</f>
        <v>0</v>
      </c>
      <c r="T29" s="36">
        <f>+S12</f>
        <v>2069999.9999999998</v>
      </c>
      <c r="U29" s="26" t="s">
        <v>40</v>
      </c>
      <c r="V29" s="28">
        <v>2021</v>
      </c>
    </row>
    <row r="30" spans="2:22" x14ac:dyDescent="0.2">
      <c r="H30" s="29"/>
      <c r="I30" s="56"/>
      <c r="J30" s="18" t="s">
        <v>41</v>
      </c>
      <c r="K30" s="136"/>
      <c r="L30" s="8">
        <f>(D5-D4) /365*12</f>
        <v>60</v>
      </c>
      <c r="N30" s="26" t="s">
        <v>39</v>
      </c>
      <c r="O30" s="35">
        <f t="shared" si="15"/>
        <v>0</v>
      </c>
      <c r="P30" s="36">
        <f t="shared" ref="P30:P40" si="16">+P29-O29</f>
        <v>0</v>
      </c>
      <c r="Q30" s="26" t="s">
        <v>42</v>
      </c>
      <c r="S30" s="34"/>
      <c r="T30" s="6">
        <f>+T29-S29</f>
        <v>2069999.9999999998</v>
      </c>
      <c r="U30" s="26"/>
    </row>
    <row r="31" spans="2:22" x14ac:dyDescent="0.2">
      <c r="G31" s="7">
        <f>'[1]Shire 2024 '!$M$55*6</f>
        <v>206999.99999999994</v>
      </c>
      <c r="J31" s="18" t="s">
        <v>43</v>
      </c>
      <c r="K31" s="58"/>
      <c r="L31" s="11">
        <f>D32/L30</f>
        <v>34499.999999999993</v>
      </c>
      <c r="M31" s="42"/>
      <c r="N31" s="26" t="s">
        <v>44</v>
      </c>
      <c r="O31" s="35">
        <f t="shared" si="15"/>
        <v>0</v>
      </c>
      <c r="P31" s="36">
        <f t="shared" si="16"/>
        <v>0</v>
      </c>
      <c r="Q31" s="26" t="s">
        <v>42</v>
      </c>
      <c r="S31" s="34"/>
    </row>
    <row r="32" spans="2:22" ht="13.5" thickBot="1" x14ac:dyDescent="0.25">
      <c r="C32" s="1" t="s">
        <v>45</v>
      </c>
      <c r="D32" s="59">
        <f>+D33+D34+D35+D36-D37</f>
        <v>2069999.9999999998</v>
      </c>
      <c r="G32" s="60">
        <f>'[1]Shire 2024 '!$H$55*L31</f>
        <v>25142.465753424647</v>
      </c>
      <c r="N32" s="26" t="s">
        <v>46</v>
      </c>
      <c r="O32" s="35">
        <f t="shared" si="15"/>
        <v>0</v>
      </c>
      <c r="P32" s="36">
        <f t="shared" si="16"/>
        <v>0</v>
      </c>
      <c r="Q32" s="26" t="s">
        <v>42</v>
      </c>
      <c r="S32" s="34"/>
    </row>
    <row r="33" spans="3:24" x14ac:dyDescent="0.2">
      <c r="C33" s="1" t="s">
        <v>47</v>
      </c>
      <c r="D33" s="30">
        <f>D28</f>
        <v>0</v>
      </c>
      <c r="G33" s="11">
        <f>G31+G32</f>
        <v>232142.46575342459</v>
      </c>
      <c r="I33" s="21" t="s">
        <v>27</v>
      </c>
      <c r="J33" s="22" t="s">
        <v>30</v>
      </c>
      <c r="K33" s="22" t="s">
        <v>48</v>
      </c>
      <c r="L33" s="61" t="s">
        <v>49</v>
      </c>
      <c r="N33" s="26" t="s">
        <v>50</v>
      </c>
      <c r="O33" s="35">
        <f t="shared" si="15"/>
        <v>0</v>
      </c>
      <c r="P33" s="36">
        <f t="shared" si="16"/>
        <v>0</v>
      </c>
      <c r="S33" s="34"/>
    </row>
    <row r="34" spans="3:24" x14ac:dyDescent="0.2">
      <c r="C34" s="1" t="s">
        <v>51</v>
      </c>
      <c r="D34" s="30">
        <v>0</v>
      </c>
      <c r="E34" s="11"/>
      <c r="G34" s="11"/>
      <c r="I34" s="62">
        <f>D4</f>
        <v>45025</v>
      </c>
      <c r="J34" s="49">
        <f>+D32</f>
        <v>2069999.9999999998</v>
      </c>
      <c r="K34" s="63">
        <v>0</v>
      </c>
      <c r="L34" s="64">
        <v>0</v>
      </c>
      <c r="N34" s="26"/>
      <c r="O34" s="35">
        <f t="shared" si="15"/>
        <v>0</v>
      </c>
      <c r="P34" s="36">
        <f t="shared" si="16"/>
        <v>0</v>
      </c>
      <c r="S34" s="47"/>
    </row>
    <row r="35" spans="3:24" x14ac:dyDescent="0.2">
      <c r="C35" s="1" t="s">
        <v>52</v>
      </c>
      <c r="D35" s="65">
        <f>D6</f>
        <v>2069999.9999999998</v>
      </c>
      <c r="E35" s="11"/>
      <c r="G35" s="6"/>
      <c r="I35" s="62">
        <v>45473</v>
      </c>
      <c r="J35" s="49">
        <f t="shared" ref="J35:J49" si="17">J34-K35</f>
        <v>1561857.5342465751</v>
      </c>
      <c r="K35" s="49">
        <f t="shared" ref="K35:K49" si="18">L35*L$31</f>
        <v>508142.46575342456</v>
      </c>
      <c r="L35" s="66">
        <f>(I35-I34) /365*12</f>
        <v>14.728767123287671</v>
      </c>
      <c r="M35" s="127"/>
      <c r="N35" s="26"/>
      <c r="O35" s="35">
        <f t="shared" si="15"/>
        <v>0</v>
      </c>
      <c r="P35" s="36">
        <f t="shared" si="16"/>
        <v>0</v>
      </c>
      <c r="S35" s="47"/>
    </row>
    <row r="36" spans="3:24" x14ac:dyDescent="0.2">
      <c r="C36" s="1" t="s">
        <v>53</v>
      </c>
      <c r="D36" s="30">
        <v>0</v>
      </c>
      <c r="G36" s="126"/>
      <c r="I36" s="62">
        <v>45838</v>
      </c>
      <c r="J36" s="49">
        <f t="shared" si="17"/>
        <v>1147857.5342465751</v>
      </c>
      <c r="K36" s="49">
        <f t="shared" si="18"/>
        <v>413999.99999999988</v>
      </c>
      <c r="L36" s="67">
        <f>IF(L30-SUM(L35)&lt;12,L30-SUM(L35),12)</f>
        <v>12</v>
      </c>
      <c r="N36" s="26"/>
      <c r="O36" s="35">
        <f t="shared" si="15"/>
        <v>0</v>
      </c>
      <c r="P36" s="36">
        <f t="shared" si="16"/>
        <v>0</v>
      </c>
      <c r="S36" s="47"/>
    </row>
    <row r="37" spans="3:24" x14ac:dyDescent="0.2">
      <c r="C37" s="1" t="s">
        <v>54</v>
      </c>
      <c r="D37" s="30">
        <v>0</v>
      </c>
      <c r="I37" s="62">
        <v>46203</v>
      </c>
      <c r="J37" s="49">
        <f t="shared" si="17"/>
        <v>733857.5342465752</v>
      </c>
      <c r="K37" s="49">
        <f t="shared" si="18"/>
        <v>413999.99999999988</v>
      </c>
      <c r="L37" s="67">
        <f>IF(L30-SUM(L35:L36)&lt;12,L30-SUM(L35:L36),12)</f>
        <v>12</v>
      </c>
      <c r="N37" s="26"/>
      <c r="O37" s="35">
        <f t="shared" si="15"/>
        <v>0</v>
      </c>
      <c r="P37" s="36">
        <f t="shared" si="16"/>
        <v>0</v>
      </c>
      <c r="S37" s="47"/>
    </row>
    <row r="38" spans="3:24" x14ac:dyDescent="0.2">
      <c r="C38" s="52" t="s">
        <v>55</v>
      </c>
      <c r="E38" s="11"/>
      <c r="I38" s="62">
        <v>46568</v>
      </c>
      <c r="J38" s="49">
        <f t="shared" si="17"/>
        <v>319857.53424657532</v>
      </c>
      <c r="K38" s="49">
        <f t="shared" si="18"/>
        <v>413999.99999999988</v>
      </c>
      <c r="L38" s="67">
        <f>IF(L30-SUM(L35:L37)&lt;12,L30-SUM(L35:L37),12)</f>
        <v>12</v>
      </c>
      <c r="N38" s="26"/>
      <c r="O38" s="35">
        <f t="shared" si="15"/>
        <v>0</v>
      </c>
      <c r="P38" s="36">
        <f t="shared" si="16"/>
        <v>0</v>
      </c>
      <c r="S38" s="47"/>
    </row>
    <row r="39" spans="3:24" x14ac:dyDescent="0.2">
      <c r="I39" s="62">
        <v>46934</v>
      </c>
      <c r="J39" s="49">
        <f t="shared" si="17"/>
        <v>0</v>
      </c>
      <c r="K39" s="49">
        <f t="shared" si="18"/>
        <v>319857.53424657538</v>
      </c>
      <c r="L39" s="67">
        <f>IF(L30-SUM(L35:L38)&lt;12,L30-SUM(L35:L38),12)</f>
        <v>9.2712328767123324</v>
      </c>
      <c r="N39" s="26"/>
      <c r="O39" s="35">
        <f t="shared" si="15"/>
        <v>0</v>
      </c>
      <c r="P39" s="36">
        <f t="shared" si="16"/>
        <v>0</v>
      </c>
      <c r="S39" s="47"/>
    </row>
    <row r="40" spans="3:24" x14ac:dyDescent="0.2">
      <c r="I40" s="62">
        <v>47299</v>
      </c>
      <c r="J40" s="49">
        <f t="shared" si="17"/>
        <v>0</v>
      </c>
      <c r="K40" s="49">
        <f t="shared" si="18"/>
        <v>0</v>
      </c>
      <c r="L40" s="68">
        <f>IF(L30-SUM(L35:L39)&lt;12,L30-SUM(L35:L39),12)</f>
        <v>0</v>
      </c>
      <c r="N40" s="26"/>
      <c r="O40" s="35">
        <f t="shared" si="15"/>
        <v>0</v>
      </c>
      <c r="P40" s="36">
        <f t="shared" si="16"/>
        <v>0</v>
      </c>
    </row>
    <row r="41" spans="3:24" x14ac:dyDescent="0.2">
      <c r="I41" s="62">
        <v>47664</v>
      </c>
      <c r="J41" s="49">
        <f t="shared" si="17"/>
        <v>0</v>
      </c>
      <c r="K41" s="49">
        <f t="shared" si="18"/>
        <v>0</v>
      </c>
      <c r="L41" s="67">
        <f>IF(L30-SUM(L35:L40)&lt;12,L30-SUM(L35:L40),12)</f>
        <v>0</v>
      </c>
      <c r="S41" s="142" t="s">
        <v>56</v>
      </c>
      <c r="T41" s="142"/>
      <c r="W41" s="142" t="s">
        <v>57</v>
      </c>
      <c r="X41" s="142"/>
    </row>
    <row r="42" spans="3:24" x14ac:dyDescent="0.2">
      <c r="C42" s="70"/>
      <c r="D42" s="71" t="s">
        <v>60</v>
      </c>
      <c r="E42" s="71" t="s">
        <v>61</v>
      </c>
      <c r="I42" s="62">
        <v>48029</v>
      </c>
      <c r="J42" s="49">
        <f t="shared" si="17"/>
        <v>0</v>
      </c>
      <c r="K42" s="49">
        <f t="shared" si="18"/>
        <v>0</v>
      </c>
      <c r="L42" s="67">
        <f>IF(L30-SUM(L35:L41)&lt;12,L30-SUM(L35:L41),12)</f>
        <v>0</v>
      </c>
      <c r="O42" s="144" t="s">
        <v>59</v>
      </c>
      <c r="P42" s="144"/>
      <c r="S42" s="142"/>
      <c r="T42" s="143"/>
      <c r="W42" s="142"/>
      <c r="X42" s="143"/>
    </row>
    <row r="43" spans="3:24" x14ac:dyDescent="0.2">
      <c r="C43" s="71" t="s">
        <v>93</v>
      </c>
      <c r="D43" s="137">
        <f>D32</f>
        <v>2069999.9999999998</v>
      </c>
      <c r="E43" s="137"/>
      <c r="I43" s="62">
        <v>48395</v>
      </c>
      <c r="J43" s="49">
        <f t="shared" si="17"/>
        <v>0</v>
      </c>
      <c r="K43" s="49">
        <f t="shared" si="18"/>
        <v>0</v>
      </c>
      <c r="L43" s="67">
        <f>IF(L30-SUM(L35:L42)&lt;12,L30-SUM(L35:L42),12)</f>
        <v>0</v>
      </c>
      <c r="N43" s="26" t="s">
        <v>62</v>
      </c>
      <c r="O43" s="72">
        <f t="shared" ref="O43:O50" si="19">+P12</f>
        <v>2069999.9999999998</v>
      </c>
      <c r="P43" s="73"/>
      <c r="R43" s="26" t="s">
        <v>39</v>
      </c>
      <c r="S43" s="74">
        <f t="shared" ref="S43:S55" si="20">K15</f>
        <v>0</v>
      </c>
      <c r="T43" s="75"/>
      <c r="U43" s="28">
        <v>2021</v>
      </c>
      <c r="V43" s="26" t="s">
        <v>63</v>
      </c>
      <c r="W43" s="27">
        <f t="shared" ref="W43:W55" si="21">K35</f>
        <v>508142.46575342456</v>
      </c>
      <c r="X43" s="6"/>
    </row>
    <row r="44" spans="3:24" x14ac:dyDescent="0.2">
      <c r="C44" s="71" t="s">
        <v>94</v>
      </c>
      <c r="D44" s="137"/>
      <c r="E44" s="137">
        <f>D33</f>
        <v>0</v>
      </c>
      <c r="I44" s="62">
        <v>48760</v>
      </c>
      <c r="J44" s="49">
        <f t="shared" si="17"/>
        <v>0</v>
      </c>
      <c r="K44" s="49">
        <f t="shared" si="18"/>
        <v>0</v>
      </c>
      <c r="L44" s="67">
        <f>IF(L30-SUM(L35:L43)&lt;12,L30-SUM(L35:L43),12)</f>
        <v>0</v>
      </c>
      <c r="O44" s="72">
        <f t="shared" si="19"/>
        <v>0</v>
      </c>
      <c r="P44" s="73"/>
      <c r="R44" s="26" t="s">
        <v>44</v>
      </c>
      <c r="S44" s="77">
        <f t="shared" si="20"/>
        <v>0</v>
      </c>
      <c r="T44" s="47"/>
      <c r="U44" s="28">
        <v>2022</v>
      </c>
      <c r="V44" s="26" t="s">
        <v>64</v>
      </c>
      <c r="W44" s="78">
        <f t="shared" si="21"/>
        <v>413999.99999999988</v>
      </c>
    </row>
    <row r="45" spans="3:24" x14ac:dyDescent="0.2">
      <c r="C45" s="71"/>
      <c r="D45" s="137"/>
      <c r="E45" s="137">
        <f>D35</f>
        <v>2069999.9999999998</v>
      </c>
      <c r="I45" s="62">
        <v>49125</v>
      </c>
      <c r="J45" s="49">
        <f t="shared" si="17"/>
        <v>0</v>
      </c>
      <c r="K45" s="49">
        <f t="shared" si="18"/>
        <v>0</v>
      </c>
      <c r="L45" s="67">
        <f>IF(L30-SUM(L35:L44)&lt;12,L30-SUM(L35:L44),12)</f>
        <v>0</v>
      </c>
      <c r="O45" s="72">
        <f t="shared" si="19"/>
        <v>0</v>
      </c>
      <c r="P45" s="73"/>
      <c r="R45" s="26" t="s">
        <v>46</v>
      </c>
      <c r="S45" s="77">
        <f t="shared" si="20"/>
        <v>0</v>
      </c>
      <c r="T45" s="47"/>
      <c r="U45" s="28">
        <v>2023</v>
      </c>
      <c r="V45" s="26" t="s">
        <v>65</v>
      </c>
      <c r="W45" s="78">
        <f t="shared" si="21"/>
        <v>413999.99999999988</v>
      </c>
    </row>
    <row r="46" spans="3:24" x14ac:dyDescent="0.2">
      <c r="C46" s="71" t="s">
        <v>67</v>
      </c>
      <c r="D46" s="138">
        <f>D43+D44+D45</f>
        <v>2069999.9999999998</v>
      </c>
      <c r="E46" s="138">
        <f>E44+E45</f>
        <v>2069999.9999999998</v>
      </c>
      <c r="I46" s="62">
        <v>49490</v>
      </c>
      <c r="J46" s="49">
        <f t="shared" si="17"/>
        <v>0</v>
      </c>
      <c r="K46" s="49">
        <f t="shared" si="18"/>
        <v>0</v>
      </c>
      <c r="L46" s="67">
        <f>IF(L30-SUM(L35:L45)&lt;12,L30-SUM(L35:L45),12)</f>
        <v>0</v>
      </c>
      <c r="O46" s="72">
        <f t="shared" si="19"/>
        <v>0</v>
      </c>
      <c r="P46" s="73"/>
      <c r="R46" s="26" t="s">
        <v>50</v>
      </c>
      <c r="S46" s="77">
        <f t="shared" si="20"/>
        <v>0</v>
      </c>
      <c r="T46" s="47"/>
      <c r="U46" s="28">
        <v>2024</v>
      </c>
      <c r="V46" s="26" t="s">
        <v>66</v>
      </c>
      <c r="W46" s="78">
        <f t="shared" si="21"/>
        <v>413999.99999999988</v>
      </c>
    </row>
    <row r="47" spans="3:24" x14ac:dyDescent="0.2">
      <c r="E47" s="80"/>
      <c r="G47" s="127">
        <f>G46*1.15</f>
        <v>0</v>
      </c>
      <c r="I47" s="62">
        <v>49856</v>
      </c>
      <c r="J47" s="49">
        <f t="shared" si="17"/>
        <v>0</v>
      </c>
      <c r="K47" s="49">
        <f t="shared" si="18"/>
        <v>0</v>
      </c>
      <c r="L47" s="67">
        <f>IF(L30-SUM(L35:L46)&lt;12,L30-SUM(L35:L46),12)</f>
        <v>0</v>
      </c>
      <c r="O47" s="72">
        <f t="shared" si="19"/>
        <v>0</v>
      </c>
      <c r="P47" s="73"/>
      <c r="S47" s="77">
        <f t="shared" si="20"/>
        <v>0</v>
      </c>
      <c r="T47" s="47"/>
      <c r="U47" s="28">
        <v>2025</v>
      </c>
      <c r="W47" s="78">
        <f t="shared" si="21"/>
        <v>319857.53424657538</v>
      </c>
    </row>
    <row r="48" spans="3:24" x14ac:dyDescent="0.2">
      <c r="E48" s="80"/>
      <c r="I48" s="62">
        <v>50221</v>
      </c>
      <c r="J48" s="49">
        <f t="shared" si="17"/>
        <v>0</v>
      </c>
      <c r="K48" s="49">
        <f t="shared" si="18"/>
        <v>0</v>
      </c>
      <c r="L48" s="67">
        <f>IF(L30-SUM(L35:L47)&lt;12,L30-SUM(L35:L47),12)</f>
        <v>0</v>
      </c>
      <c r="O48" s="72">
        <f t="shared" si="19"/>
        <v>0</v>
      </c>
      <c r="P48" s="73"/>
      <c r="S48" s="77">
        <f t="shared" si="20"/>
        <v>0</v>
      </c>
      <c r="T48" s="47"/>
      <c r="U48" s="28">
        <v>2026</v>
      </c>
      <c r="W48" s="78">
        <f t="shared" si="21"/>
        <v>0</v>
      </c>
      <c r="X48" s="47"/>
    </row>
    <row r="49" spans="5:24" ht="13.5" thickBot="1" x14ac:dyDescent="0.25">
      <c r="E49" s="80"/>
      <c r="I49" s="62">
        <v>50586</v>
      </c>
      <c r="J49" s="81">
        <f t="shared" si="17"/>
        <v>0</v>
      </c>
      <c r="K49" s="81">
        <f t="shared" si="18"/>
        <v>0</v>
      </c>
      <c r="L49" s="82">
        <f>IF(L30-SUM(L35:L48)&lt;12,L30-SUM(L35:L48),12)</f>
        <v>0</v>
      </c>
      <c r="O49" s="72">
        <f t="shared" si="19"/>
        <v>0</v>
      </c>
      <c r="P49" s="73"/>
      <c r="S49" s="77">
        <f t="shared" si="20"/>
        <v>0</v>
      </c>
      <c r="T49" s="47"/>
      <c r="U49" s="28">
        <v>2027</v>
      </c>
      <c r="W49" s="78">
        <f t="shared" si="21"/>
        <v>0</v>
      </c>
      <c r="X49" s="47"/>
    </row>
    <row r="50" spans="5:24" x14ac:dyDescent="0.2">
      <c r="E50" s="80"/>
      <c r="O50" s="83">
        <f t="shared" si="19"/>
        <v>0</v>
      </c>
      <c r="P50" s="73"/>
      <c r="S50" s="77">
        <f t="shared" si="20"/>
        <v>0</v>
      </c>
      <c r="T50" s="47"/>
      <c r="U50" s="28">
        <v>2028</v>
      </c>
      <c r="W50" s="78">
        <f t="shared" si="21"/>
        <v>0</v>
      </c>
      <c r="X50" s="47"/>
    </row>
    <row r="51" spans="5:24" x14ac:dyDescent="0.2">
      <c r="S51" s="77">
        <f t="shared" si="20"/>
        <v>0</v>
      </c>
      <c r="T51" s="47"/>
      <c r="U51" s="28">
        <v>2029</v>
      </c>
      <c r="W51" s="78">
        <f t="shared" si="21"/>
        <v>0</v>
      </c>
      <c r="X51" s="47"/>
    </row>
    <row r="52" spans="5:24" x14ac:dyDescent="0.2">
      <c r="S52" s="77">
        <f t="shared" si="20"/>
        <v>0</v>
      </c>
      <c r="T52" s="47"/>
      <c r="U52" s="28">
        <v>2030</v>
      </c>
      <c r="W52" s="78">
        <f t="shared" si="21"/>
        <v>0</v>
      </c>
      <c r="X52" s="47"/>
    </row>
    <row r="53" spans="5:24" x14ac:dyDescent="0.2">
      <c r="S53" s="77">
        <f t="shared" si="20"/>
        <v>0</v>
      </c>
      <c r="T53" s="47"/>
      <c r="U53" s="28">
        <v>2031</v>
      </c>
      <c r="W53" s="78">
        <f t="shared" si="21"/>
        <v>0</v>
      </c>
      <c r="X53" s="47"/>
    </row>
    <row r="54" spans="5:24" x14ac:dyDescent="0.2">
      <c r="S54" s="77">
        <f t="shared" si="20"/>
        <v>0</v>
      </c>
      <c r="T54" s="47"/>
      <c r="U54" s="28">
        <v>2032</v>
      </c>
      <c r="W54" s="78">
        <f t="shared" si="21"/>
        <v>0</v>
      </c>
      <c r="X54" s="47"/>
    </row>
    <row r="55" spans="5:24" x14ac:dyDescent="0.2">
      <c r="S55" s="77">
        <f t="shared" si="20"/>
        <v>0</v>
      </c>
      <c r="T55" s="47"/>
      <c r="U55" s="28">
        <v>2033</v>
      </c>
      <c r="W55" s="78">
        <f t="shared" si="21"/>
        <v>0</v>
      </c>
      <c r="X55" s="47"/>
    </row>
    <row r="56" spans="5:24" x14ac:dyDescent="0.2">
      <c r="S56" s="46">
        <f>SUM(S43:S55)</f>
        <v>0</v>
      </c>
      <c r="T56" s="75"/>
      <c r="W56" s="74">
        <f>SUM(W43:W55)</f>
        <v>2069999.9999999998</v>
      </c>
      <c r="X56" s="75"/>
    </row>
  </sheetData>
  <mergeCells count="7">
    <mergeCell ref="W41:X42"/>
    <mergeCell ref="O42:P42"/>
    <mergeCell ref="O11:P11"/>
    <mergeCell ref="S11:T11"/>
    <mergeCell ref="O28:P28"/>
    <mergeCell ref="S28:T28"/>
    <mergeCell ref="S41:T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</vt:lpstr>
      <vt:lpstr>Fatsi br</vt:lpstr>
      <vt:lpstr>Soloda Br</vt:lpstr>
      <vt:lpstr>Shiraro </vt:lpstr>
      <vt:lpstr>Melese Zenawi </vt:lpstr>
      <vt:lpstr>Soloda Br Expired </vt:lpstr>
      <vt:lpstr>Shire Branch(1)</vt:lpstr>
      <vt:lpstr>shire Branch (2)</vt:lpstr>
      <vt:lpstr>Adi-Nebried</vt:lpstr>
      <vt:lpstr>Maray</vt:lpstr>
      <vt:lpstr>Naedier Adet</vt:lpstr>
      <vt:lpstr>Additional zana branch </vt:lpstr>
      <vt:lpstr>Tahtay adyabo Expaired</vt:lpstr>
      <vt:lpstr>Tahtay adyabo 1 (2)</vt:lpstr>
      <vt:lpstr>Edaga-hamus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2023-12-08T06:49:59Z</dcterms:modified>
</cp:coreProperties>
</file>