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lieser Aguilar\Dev\HIS-Downloader\"/>
    </mc:Choice>
  </mc:AlternateContent>
  <xr:revisionPtr revIDLastSave="0" documentId="13_ncr:1_{B00223AB-BCB8-4FCC-BA48-8073313843D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BASE" sheetId="1" r:id="rId1"/>
    <sheet name="EPV" sheetId="2" r:id="rId2"/>
    <sheet name="ENOS" sheetId="3" r:id="rId3"/>
    <sheet name="GUÍA NACIONAL DE VIGILANCIA2015" sheetId="6" r:id="rId4"/>
    <sheet name="GUÍA NACIONAL DE VIGILANCIA2022" sheetId="7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2" i="7" l="1"/>
  <c r="AA72" i="7"/>
  <c r="Z72" i="7"/>
  <c r="Y72" i="7"/>
  <c r="X72" i="7"/>
  <c r="W72" i="7"/>
  <c r="AC72" i="7" s="1"/>
  <c r="AB69" i="7"/>
  <c r="AA69" i="7"/>
  <c r="Z69" i="7"/>
  <c r="Y69" i="7"/>
  <c r="X69" i="7"/>
  <c r="W69" i="7"/>
  <c r="W66" i="7"/>
  <c r="X66" i="7"/>
  <c r="Y66" i="7"/>
  <c r="Z66" i="7"/>
  <c r="AA66" i="7"/>
  <c r="AB66" i="7"/>
  <c r="W65" i="7"/>
  <c r="X65" i="7"/>
  <c r="Y65" i="7"/>
  <c r="Z65" i="7"/>
  <c r="AA65" i="7"/>
  <c r="AB65" i="7"/>
  <c r="AB64" i="7"/>
  <c r="AA64" i="7"/>
  <c r="Z64" i="7"/>
  <c r="Y64" i="7"/>
  <c r="X64" i="7"/>
  <c r="W64" i="7"/>
  <c r="AB63" i="7"/>
  <c r="AA63" i="7"/>
  <c r="Z63" i="7"/>
  <c r="Y63" i="7"/>
  <c r="X63" i="7"/>
  <c r="W63" i="7"/>
  <c r="AB62" i="7"/>
  <c r="AA62" i="7"/>
  <c r="Z62" i="7"/>
  <c r="Y62" i="7"/>
  <c r="X62" i="7"/>
  <c r="W62" i="7"/>
  <c r="AB61" i="7"/>
  <c r="AA61" i="7"/>
  <c r="Z61" i="7"/>
  <c r="Y61" i="7"/>
  <c r="X61" i="7"/>
  <c r="W61" i="7"/>
  <c r="AB60" i="7"/>
  <c r="AA60" i="7"/>
  <c r="Z60" i="7"/>
  <c r="Y60" i="7"/>
  <c r="X60" i="7"/>
  <c r="W60" i="7"/>
  <c r="AB59" i="7"/>
  <c r="AA59" i="7"/>
  <c r="Z59" i="7"/>
  <c r="Y59" i="7"/>
  <c r="X59" i="7"/>
  <c r="W59" i="7"/>
  <c r="AB55" i="7"/>
  <c r="AA55" i="7"/>
  <c r="Z55" i="7"/>
  <c r="Y55" i="7"/>
  <c r="X55" i="7"/>
  <c r="W55" i="7"/>
  <c r="W52" i="7"/>
  <c r="X52" i="7"/>
  <c r="Y52" i="7"/>
  <c r="Z52" i="7"/>
  <c r="AA52" i="7"/>
  <c r="AB52" i="7"/>
  <c r="W51" i="7"/>
  <c r="X51" i="7"/>
  <c r="Y51" i="7"/>
  <c r="Z51" i="7"/>
  <c r="AA51" i="7"/>
  <c r="AB51" i="7"/>
  <c r="W50" i="7"/>
  <c r="X50" i="7"/>
  <c r="Y50" i="7"/>
  <c r="Z50" i="7"/>
  <c r="AA50" i="7"/>
  <c r="AB50" i="7"/>
  <c r="W49" i="7"/>
  <c r="X49" i="7"/>
  <c r="Y49" i="7"/>
  <c r="Z49" i="7"/>
  <c r="AA49" i="7"/>
  <c r="AB49" i="7"/>
  <c r="W48" i="7"/>
  <c r="X48" i="7"/>
  <c r="Y48" i="7"/>
  <c r="Z48" i="7"/>
  <c r="AA48" i="7"/>
  <c r="AB48" i="7"/>
  <c r="AB47" i="7"/>
  <c r="AA47" i="7"/>
  <c r="Z47" i="7"/>
  <c r="Y47" i="7"/>
  <c r="X47" i="7"/>
  <c r="W47" i="7"/>
  <c r="W43" i="7"/>
  <c r="X43" i="7"/>
  <c r="Y43" i="7"/>
  <c r="Z43" i="7"/>
  <c r="AA43" i="7"/>
  <c r="AB43" i="7"/>
  <c r="W42" i="7"/>
  <c r="X42" i="7"/>
  <c r="Y42" i="7"/>
  <c r="Z42" i="7"/>
  <c r="AA42" i="7"/>
  <c r="AB42" i="7"/>
  <c r="W41" i="7"/>
  <c r="X41" i="7"/>
  <c r="Y41" i="7"/>
  <c r="Z41" i="7"/>
  <c r="AA41" i="7"/>
  <c r="AB41" i="7"/>
  <c r="W40" i="7"/>
  <c r="X40" i="7"/>
  <c r="Y40" i="7"/>
  <c r="Z40" i="7"/>
  <c r="AA40" i="7"/>
  <c r="AB40" i="7"/>
  <c r="AB39" i="7"/>
  <c r="AA39" i="7"/>
  <c r="Z39" i="7"/>
  <c r="Y39" i="7"/>
  <c r="X39" i="7"/>
  <c r="W39" i="7"/>
  <c r="AB36" i="7"/>
  <c r="AA36" i="7"/>
  <c r="Z36" i="7"/>
  <c r="Y36" i="7"/>
  <c r="X36" i="7"/>
  <c r="W36" i="7"/>
  <c r="AB32" i="7"/>
  <c r="AA32" i="7"/>
  <c r="Z32" i="7"/>
  <c r="Y32" i="7"/>
  <c r="X32" i="7"/>
  <c r="W32" i="7"/>
  <c r="W29" i="7"/>
  <c r="X29" i="7"/>
  <c r="Y29" i="7"/>
  <c r="Z29" i="7"/>
  <c r="AA29" i="7"/>
  <c r="AB29" i="7"/>
  <c r="W28" i="7"/>
  <c r="X28" i="7"/>
  <c r="Y28" i="7"/>
  <c r="Z28" i="7"/>
  <c r="AA28" i="7"/>
  <c r="AB28" i="7"/>
  <c r="AB27" i="7"/>
  <c r="AA27" i="7"/>
  <c r="Z27" i="7"/>
  <c r="Y27" i="7"/>
  <c r="X27" i="7"/>
  <c r="W27" i="7"/>
  <c r="AB26" i="7"/>
  <c r="AA26" i="7"/>
  <c r="Z26" i="7"/>
  <c r="Y26" i="7"/>
  <c r="X26" i="7"/>
  <c r="W26" i="7"/>
  <c r="AB25" i="7"/>
  <c r="AA25" i="7"/>
  <c r="Z25" i="7"/>
  <c r="Y25" i="7"/>
  <c r="X25" i="7"/>
  <c r="W25" i="7"/>
  <c r="W22" i="7"/>
  <c r="X22" i="7"/>
  <c r="Y22" i="7"/>
  <c r="Z22" i="7"/>
  <c r="AA22" i="7"/>
  <c r="AB22" i="7"/>
  <c r="W21" i="7"/>
  <c r="X21" i="7"/>
  <c r="Y21" i="7"/>
  <c r="Z21" i="7"/>
  <c r="AA21" i="7"/>
  <c r="AB21" i="7"/>
  <c r="AB20" i="7"/>
  <c r="AA20" i="7"/>
  <c r="Z20" i="7"/>
  <c r="Y20" i="7"/>
  <c r="X20" i="7"/>
  <c r="W20" i="7"/>
  <c r="AB17" i="7"/>
  <c r="AA17" i="7"/>
  <c r="Z17" i="7"/>
  <c r="Y17" i="7"/>
  <c r="X17" i="7"/>
  <c r="W17" i="7"/>
  <c r="W13" i="7"/>
  <c r="X13" i="7"/>
  <c r="Y13" i="7"/>
  <c r="Z13" i="7"/>
  <c r="AA13" i="7"/>
  <c r="AB13" i="7"/>
  <c r="W12" i="7"/>
  <c r="X12" i="7"/>
  <c r="Y12" i="7"/>
  <c r="Z12" i="7"/>
  <c r="AA12" i="7"/>
  <c r="AB12" i="7"/>
  <c r="AB11" i="7"/>
  <c r="AA11" i="7"/>
  <c r="Z11" i="7"/>
  <c r="Y11" i="7"/>
  <c r="X11" i="7"/>
  <c r="W11" i="7"/>
  <c r="AB8" i="7"/>
  <c r="AA8" i="7"/>
  <c r="Z8" i="7"/>
  <c r="Y8" i="7"/>
  <c r="X8" i="7"/>
  <c r="W8" i="7"/>
  <c r="S36" i="7"/>
  <c r="R36" i="7"/>
  <c r="Q36" i="7"/>
  <c r="P36" i="7"/>
  <c r="O36" i="7"/>
  <c r="N36" i="7"/>
  <c r="N33" i="7"/>
  <c r="O33" i="7"/>
  <c r="P33" i="7"/>
  <c r="Q33" i="7"/>
  <c r="R33" i="7"/>
  <c r="S33" i="7"/>
  <c r="S32" i="7"/>
  <c r="R32" i="7"/>
  <c r="Q32" i="7"/>
  <c r="P32" i="7"/>
  <c r="O32" i="7"/>
  <c r="N32" i="7"/>
  <c r="S31" i="7"/>
  <c r="R31" i="7"/>
  <c r="Q31" i="7"/>
  <c r="P31" i="7"/>
  <c r="O31" i="7"/>
  <c r="N31" i="7"/>
  <c r="S30" i="7"/>
  <c r="R30" i="7"/>
  <c r="Q30" i="7"/>
  <c r="P30" i="7"/>
  <c r="O30" i="7"/>
  <c r="N30" i="7"/>
  <c r="N27" i="7"/>
  <c r="O27" i="7"/>
  <c r="T27" i="7" s="1"/>
  <c r="P27" i="7"/>
  <c r="Q27" i="7"/>
  <c r="R27" i="7"/>
  <c r="S27" i="7"/>
  <c r="N26" i="7"/>
  <c r="O26" i="7"/>
  <c r="P26" i="7"/>
  <c r="Q26" i="7"/>
  <c r="R26" i="7"/>
  <c r="S26" i="7"/>
  <c r="S25" i="7"/>
  <c r="R25" i="7"/>
  <c r="Q25" i="7"/>
  <c r="P25" i="7"/>
  <c r="O25" i="7"/>
  <c r="N25" i="7"/>
  <c r="S22" i="7"/>
  <c r="R22" i="7"/>
  <c r="Q22" i="7"/>
  <c r="P22" i="7"/>
  <c r="O22" i="7"/>
  <c r="N22" i="7"/>
  <c r="S19" i="7"/>
  <c r="R19" i="7"/>
  <c r="Q19" i="7"/>
  <c r="P19" i="7"/>
  <c r="O19" i="7"/>
  <c r="N19" i="7"/>
  <c r="S16" i="7"/>
  <c r="R16" i="7"/>
  <c r="Q16" i="7"/>
  <c r="P16" i="7"/>
  <c r="O16" i="7"/>
  <c r="N16" i="7"/>
  <c r="S13" i="7"/>
  <c r="R13" i="7"/>
  <c r="Q13" i="7"/>
  <c r="P13" i="7"/>
  <c r="O13" i="7"/>
  <c r="N13" i="7"/>
  <c r="EF5" i="7"/>
  <c r="EE5" i="7"/>
  <c r="ED5" i="7"/>
  <c r="EC5" i="7"/>
  <c r="EB5" i="7"/>
  <c r="EA5" i="7"/>
  <c r="DW5" i="7"/>
  <c r="DV5" i="7"/>
  <c r="DU5" i="7"/>
  <c r="DT5" i="7"/>
  <c r="DS5" i="7"/>
  <c r="DR5" i="7"/>
  <c r="DN5" i="7"/>
  <c r="DM5" i="7"/>
  <c r="DL5" i="7"/>
  <c r="DK5" i="7"/>
  <c r="DJ5" i="7"/>
  <c r="DI5" i="7"/>
  <c r="DE5" i="7"/>
  <c r="DD5" i="7"/>
  <c r="DC5" i="7"/>
  <c r="DB5" i="7"/>
  <c r="DA5" i="7"/>
  <c r="CZ5" i="7"/>
  <c r="CV5" i="7"/>
  <c r="CU5" i="7"/>
  <c r="CT5" i="7"/>
  <c r="CS5" i="7"/>
  <c r="CR5" i="7"/>
  <c r="CQ5" i="7"/>
  <c r="CM5" i="7"/>
  <c r="CL5" i="7"/>
  <c r="CK5" i="7"/>
  <c r="CJ5" i="7"/>
  <c r="CI5" i="7"/>
  <c r="CH5" i="7"/>
  <c r="BY5" i="7"/>
  <c r="BZ5" i="7"/>
  <c r="CA5" i="7"/>
  <c r="CB5" i="7"/>
  <c r="CC5" i="7"/>
  <c r="CD5" i="7"/>
  <c r="BU5" i="7"/>
  <c r="BT5" i="7"/>
  <c r="BS5" i="7"/>
  <c r="BR5" i="7"/>
  <c r="BQ5" i="7"/>
  <c r="BP5" i="7"/>
  <c r="BL5" i="7"/>
  <c r="BK5" i="7"/>
  <c r="BJ5" i="7"/>
  <c r="BI5" i="7"/>
  <c r="BH5" i="7"/>
  <c r="BG5" i="7"/>
  <c r="AX7" i="7"/>
  <c r="AY7" i="7"/>
  <c r="AZ7" i="7"/>
  <c r="BA7" i="7"/>
  <c r="BB7" i="7"/>
  <c r="BC7" i="7"/>
  <c r="AX6" i="7"/>
  <c r="AY6" i="7"/>
  <c r="AZ6" i="7"/>
  <c r="BA6" i="7"/>
  <c r="BB6" i="7"/>
  <c r="BC6" i="7"/>
  <c r="BC5" i="7"/>
  <c r="BB5" i="7"/>
  <c r="BA5" i="7"/>
  <c r="AZ5" i="7"/>
  <c r="AY5" i="7"/>
  <c r="AX5" i="7"/>
  <c r="AT5" i="7"/>
  <c r="AS5" i="7"/>
  <c r="AR5" i="7"/>
  <c r="AQ5" i="7"/>
  <c r="AP5" i="7"/>
  <c r="AO5" i="7"/>
  <c r="AK5" i="7"/>
  <c r="AJ5" i="7"/>
  <c r="AI5" i="7"/>
  <c r="AH5" i="7"/>
  <c r="AG5" i="7"/>
  <c r="AF5" i="7"/>
  <c r="AB5" i="7"/>
  <c r="AA5" i="7"/>
  <c r="Z5" i="7"/>
  <c r="Y5" i="7"/>
  <c r="X5" i="7"/>
  <c r="W5" i="7"/>
  <c r="S10" i="7"/>
  <c r="R10" i="7"/>
  <c r="Q10" i="7"/>
  <c r="P10" i="7"/>
  <c r="O10" i="7"/>
  <c r="N10" i="7"/>
  <c r="S9" i="7"/>
  <c r="R9" i="7"/>
  <c r="Q9" i="7"/>
  <c r="P9" i="7"/>
  <c r="O9" i="7"/>
  <c r="N9" i="7"/>
  <c r="N6" i="7"/>
  <c r="O6" i="7"/>
  <c r="P6" i="7"/>
  <c r="Q6" i="7"/>
  <c r="R6" i="7"/>
  <c r="S6" i="7"/>
  <c r="J79" i="7"/>
  <c r="I79" i="7"/>
  <c r="H79" i="7"/>
  <c r="G79" i="7"/>
  <c r="F79" i="7"/>
  <c r="E79" i="7"/>
  <c r="J76" i="7"/>
  <c r="I76" i="7"/>
  <c r="H76" i="7"/>
  <c r="G76" i="7"/>
  <c r="F76" i="7"/>
  <c r="E76" i="7"/>
  <c r="J73" i="7"/>
  <c r="I73" i="7"/>
  <c r="H73" i="7"/>
  <c r="G73" i="7"/>
  <c r="F73" i="7"/>
  <c r="E73" i="7"/>
  <c r="J70" i="7"/>
  <c r="I70" i="7"/>
  <c r="H70" i="7"/>
  <c r="G70" i="7"/>
  <c r="F70" i="7"/>
  <c r="E70" i="7"/>
  <c r="J67" i="7"/>
  <c r="I67" i="7"/>
  <c r="H67" i="7"/>
  <c r="G67" i="7"/>
  <c r="F67" i="7"/>
  <c r="E67" i="7"/>
  <c r="J64" i="7"/>
  <c r="I64" i="7"/>
  <c r="H64" i="7"/>
  <c r="G64" i="7"/>
  <c r="F64" i="7"/>
  <c r="E64" i="7"/>
  <c r="J61" i="7"/>
  <c r="I61" i="7"/>
  <c r="H61" i="7"/>
  <c r="G61" i="7"/>
  <c r="F61" i="7"/>
  <c r="E61" i="7"/>
  <c r="J58" i="7"/>
  <c r="I58" i="7"/>
  <c r="H58" i="7"/>
  <c r="G58" i="7"/>
  <c r="F58" i="7"/>
  <c r="E58" i="7"/>
  <c r="J55" i="7"/>
  <c r="I55" i="7"/>
  <c r="H55" i="7"/>
  <c r="G55" i="7"/>
  <c r="F55" i="7"/>
  <c r="E55" i="7"/>
  <c r="J52" i="7"/>
  <c r="I52" i="7"/>
  <c r="H52" i="7"/>
  <c r="G52" i="7"/>
  <c r="F52" i="7"/>
  <c r="E52" i="7"/>
  <c r="J49" i="7"/>
  <c r="I49" i="7"/>
  <c r="H49" i="7"/>
  <c r="G49" i="7"/>
  <c r="F49" i="7"/>
  <c r="E49" i="7"/>
  <c r="E45" i="7"/>
  <c r="F45" i="7"/>
  <c r="G45" i="7"/>
  <c r="H45" i="7"/>
  <c r="I45" i="7"/>
  <c r="J45" i="7"/>
  <c r="J44" i="7"/>
  <c r="I44" i="7"/>
  <c r="H44" i="7"/>
  <c r="G44" i="7"/>
  <c r="F44" i="7"/>
  <c r="E44" i="7"/>
  <c r="J41" i="7"/>
  <c r="I41" i="7"/>
  <c r="H41" i="7"/>
  <c r="G41" i="7"/>
  <c r="F41" i="7"/>
  <c r="E41" i="7"/>
  <c r="J38" i="7"/>
  <c r="I38" i="7"/>
  <c r="H38" i="7"/>
  <c r="G38" i="7"/>
  <c r="F38" i="7"/>
  <c r="E38" i="7"/>
  <c r="E35" i="7"/>
  <c r="F35" i="7"/>
  <c r="G35" i="7"/>
  <c r="H35" i="7"/>
  <c r="I35" i="7"/>
  <c r="J35" i="7"/>
  <c r="E34" i="7"/>
  <c r="F34" i="7"/>
  <c r="G34" i="7"/>
  <c r="H34" i="7"/>
  <c r="I34" i="7"/>
  <c r="J34" i="7"/>
  <c r="E33" i="7"/>
  <c r="F33" i="7"/>
  <c r="G33" i="7"/>
  <c r="H33" i="7"/>
  <c r="I33" i="7"/>
  <c r="J33" i="7"/>
  <c r="E32" i="7"/>
  <c r="F32" i="7"/>
  <c r="G32" i="7"/>
  <c r="H32" i="7"/>
  <c r="I32" i="7"/>
  <c r="J32" i="7"/>
  <c r="E31" i="7"/>
  <c r="F31" i="7"/>
  <c r="G31" i="7"/>
  <c r="H31" i="7"/>
  <c r="I31" i="7"/>
  <c r="J31" i="7"/>
  <c r="J30" i="7"/>
  <c r="I30" i="7"/>
  <c r="H30" i="7"/>
  <c r="G30" i="7"/>
  <c r="F30" i="7"/>
  <c r="E30" i="7"/>
  <c r="E27" i="7"/>
  <c r="F27" i="7"/>
  <c r="G27" i="7"/>
  <c r="H27" i="7"/>
  <c r="I27" i="7"/>
  <c r="J27" i="7"/>
  <c r="E26" i="7"/>
  <c r="F26" i="7"/>
  <c r="G26" i="7"/>
  <c r="H26" i="7"/>
  <c r="I26" i="7"/>
  <c r="J26" i="7"/>
  <c r="E25" i="7"/>
  <c r="F25" i="7"/>
  <c r="G25" i="7"/>
  <c r="H25" i="7"/>
  <c r="I25" i="7"/>
  <c r="J25" i="7"/>
  <c r="E24" i="7"/>
  <c r="F24" i="7"/>
  <c r="G24" i="7"/>
  <c r="H24" i="7"/>
  <c r="I24" i="7"/>
  <c r="J24" i="7"/>
  <c r="E23" i="7"/>
  <c r="F23" i="7"/>
  <c r="G23" i="7"/>
  <c r="H23" i="7"/>
  <c r="I23" i="7"/>
  <c r="J23" i="7"/>
  <c r="E22" i="7"/>
  <c r="F22" i="7"/>
  <c r="G22" i="7"/>
  <c r="H22" i="7"/>
  <c r="I22" i="7"/>
  <c r="J22" i="7"/>
  <c r="E21" i="7"/>
  <c r="F21" i="7"/>
  <c r="G21" i="7"/>
  <c r="H21" i="7"/>
  <c r="I21" i="7"/>
  <c r="J21" i="7"/>
  <c r="E20" i="7"/>
  <c r="F20" i="7"/>
  <c r="G20" i="7"/>
  <c r="H20" i="7"/>
  <c r="I20" i="7"/>
  <c r="J20" i="7"/>
  <c r="E19" i="7"/>
  <c r="F19" i="7"/>
  <c r="G19" i="7"/>
  <c r="H19" i="7"/>
  <c r="I19" i="7"/>
  <c r="J19" i="7"/>
  <c r="E18" i="7"/>
  <c r="F18" i="7"/>
  <c r="G18" i="7"/>
  <c r="H18" i="7"/>
  <c r="I18" i="7"/>
  <c r="J18" i="7"/>
  <c r="E17" i="7"/>
  <c r="F17" i="7"/>
  <c r="G17" i="7"/>
  <c r="H17" i="7"/>
  <c r="I17" i="7"/>
  <c r="J17" i="7"/>
  <c r="E16" i="7"/>
  <c r="F16" i="7"/>
  <c r="G16" i="7"/>
  <c r="H16" i="7"/>
  <c r="I16" i="7"/>
  <c r="J16" i="7"/>
  <c r="E15" i="7"/>
  <c r="F15" i="7"/>
  <c r="G15" i="7"/>
  <c r="H15" i="7"/>
  <c r="I15" i="7"/>
  <c r="J15" i="7"/>
  <c r="E14" i="7"/>
  <c r="F14" i="7"/>
  <c r="G14" i="7"/>
  <c r="H14" i="7"/>
  <c r="I14" i="7"/>
  <c r="J14" i="7"/>
  <c r="J13" i="7"/>
  <c r="I13" i="7"/>
  <c r="H13" i="7"/>
  <c r="G13" i="7"/>
  <c r="F13" i="7"/>
  <c r="E13" i="7"/>
  <c r="S5" i="7"/>
  <c r="R5" i="7"/>
  <c r="Q5" i="7"/>
  <c r="P5" i="7"/>
  <c r="O5" i="7"/>
  <c r="N5" i="7"/>
  <c r="H6" i="7"/>
  <c r="G6" i="7"/>
  <c r="F6" i="7"/>
  <c r="E6" i="7"/>
  <c r="H5" i="7"/>
  <c r="G5" i="7"/>
  <c r="F5" i="7"/>
  <c r="E5" i="7"/>
  <c r="E10" i="7"/>
  <c r="F10" i="7"/>
  <c r="G10" i="7"/>
  <c r="H10" i="7"/>
  <c r="I10" i="7"/>
  <c r="J10" i="7"/>
  <c r="E9" i="7"/>
  <c r="F9" i="7"/>
  <c r="G9" i="7"/>
  <c r="H9" i="7"/>
  <c r="I9" i="7"/>
  <c r="J9" i="7"/>
  <c r="E8" i="7"/>
  <c r="F8" i="7"/>
  <c r="G8" i="7"/>
  <c r="H8" i="7"/>
  <c r="I8" i="7"/>
  <c r="J8" i="7"/>
  <c r="E7" i="7"/>
  <c r="F7" i="7"/>
  <c r="G7" i="7"/>
  <c r="H7" i="7"/>
  <c r="I7" i="7"/>
  <c r="J7" i="7"/>
  <c r="J5" i="7"/>
  <c r="I5" i="7"/>
  <c r="P72" i="6"/>
  <c r="O72" i="6"/>
  <c r="N72" i="6"/>
  <c r="M72" i="6"/>
  <c r="L72" i="6"/>
  <c r="K72" i="6"/>
  <c r="P71" i="6"/>
  <c r="O71" i="6"/>
  <c r="N71" i="6"/>
  <c r="M71" i="6"/>
  <c r="L71" i="6"/>
  <c r="K71" i="6"/>
  <c r="P70" i="6"/>
  <c r="O70" i="6"/>
  <c r="N70" i="6"/>
  <c r="M70" i="6"/>
  <c r="L70" i="6"/>
  <c r="K70" i="6"/>
  <c r="P69" i="6"/>
  <c r="O69" i="6"/>
  <c r="N69" i="6"/>
  <c r="M69" i="6"/>
  <c r="L69" i="6"/>
  <c r="K69" i="6"/>
  <c r="P68" i="6"/>
  <c r="O68" i="6"/>
  <c r="N68" i="6"/>
  <c r="M68" i="6"/>
  <c r="L68" i="6"/>
  <c r="K68" i="6"/>
  <c r="G68" i="6"/>
  <c r="G66" i="6" s="1"/>
  <c r="F68" i="6"/>
  <c r="F66" i="6" s="1"/>
  <c r="E68" i="6"/>
  <c r="E66" i="6" s="1"/>
  <c r="D68" i="6"/>
  <c r="D66" i="6" s="1"/>
  <c r="C68" i="6"/>
  <c r="C66" i="6" s="1"/>
  <c r="B68" i="6"/>
  <c r="AC65" i="6"/>
  <c r="AD65" i="6"/>
  <c r="AE65" i="6"/>
  <c r="AF65" i="6"/>
  <c r="AG65" i="6"/>
  <c r="AH65" i="6"/>
  <c r="AC64" i="6"/>
  <c r="AD64" i="6"/>
  <c r="AE64" i="6"/>
  <c r="AF64" i="6"/>
  <c r="AG64" i="6"/>
  <c r="AH64" i="6"/>
  <c r="AC63" i="6"/>
  <c r="AD63" i="6"/>
  <c r="AE63" i="6"/>
  <c r="AF63" i="6"/>
  <c r="AG63" i="6"/>
  <c r="AH63" i="6"/>
  <c r="AC62" i="6"/>
  <c r="AD62" i="6"/>
  <c r="AE62" i="6"/>
  <c r="AF62" i="6"/>
  <c r="AG62" i="6"/>
  <c r="AH62" i="6"/>
  <c r="AH61" i="6"/>
  <c r="AG61" i="6"/>
  <c r="AF61" i="6"/>
  <c r="AE61" i="6"/>
  <c r="AD61" i="6"/>
  <c r="AC61" i="6"/>
  <c r="Y61" i="6"/>
  <c r="Y59" i="6" s="1"/>
  <c r="X61" i="6"/>
  <c r="X59" i="6" s="1"/>
  <c r="W61" i="6"/>
  <c r="W59" i="6" s="1"/>
  <c r="V61" i="6"/>
  <c r="V59" i="6" s="1"/>
  <c r="U61" i="6"/>
  <c r="U59" i="6" s="1"/>
  <c r="T61" i="6"/>
  <c r="AH56" i="6"/>
  <c r="AH54" i="6" s="1"/>
  <c r="AG56" i="6"/>
  <c r="AG54" i="6" s="1"/>
  <c r="AF56" i="6"/>
  <c r="AF54" i="6" s="1"/>
  <c r="AE56" i="6"/>
  <c r="AE54" i="6" s="1"/>
  <c r="AD56" i="6"/>
  <c r="AD54" i="6" s="1"/>
  <c r="AC56" i="6"/>
  <c r="K63" i="6"/>
  <c r="L63" i="6"/>
  <c r="M63" i="6"/>
  <c r="N63" i="6"/>
  <c r="O63" i="6"/>
  <c r="P63" i="6"/>
  <c r="K62" i="6"/>
  <c r="L62" i="6"/>
  <c r="M62" i="6"/>
  <c r="N62" i="6"/>
  <c r="O62" i="6"/>
  <c r="P62" i="6"/>
  <c r="P61" i="6"/>
  <c r="O61" i="6"/>
  <c r="N61" i="6"/>
  <c r="M61" i="6"/>
  <c r="L61" i="6"/>
  <c r="K61" i="6"/>
  <c r="B63" i="6"/>
  <c r="C63" i="6"/>
  <c r="D63" i="6"/>
  <c r="E63" i="6"/>
  <c r="F63" i="6"/>
  <c r="G63" i="6"/>
  <c r="B62" i="6"/>
  <c r="C62" i="6"/>
  <c r="D62" i="6"/>
  <c r="E62" i="6"/>
  <c r="F62" i="6"/>
  <c r="G62" i="6"/>
  <c r="G61" i="6"/>
  <c r="F61" i="6"/>
  <c r="E61" i="6"/>
  <c r="D61" i="6"/>
  <c r="C61" i="6"/>
  <c r="B61" i="6"/>
  <c r="Y56" i="6"/>
  <c r="Y54" i="6" s="1"/>
  <c r="X56" i="6"/>
  <c r="X54" i="6" s="1"/>
  <c r="W56" i="6"/>
  <c r="W54" i="6" s="1"/>
  <c r="V56" i="6"/>
  <c r="V54" i="6" s="1"/>
  <c r="U56" i="6"/>
  <c r="U54" i="6" s="1"/>
  <c r="T56" i="6"/>
  <c r="P56" i="6"/>
  <c r="P54" i="6" s="1"/>
  <c r="O56" i="6"/>
  <c r="O54" i="6" s="1"/>
  <c r="N56" i="6"/>
  <c r="N54" i="6" s="1"/>
  <c r="M56" i="6"/>
  <c r="M54" i="6" s="1"/>
  <c r="L56" i="6"/>
  <c r="L54" i="6" s="1"/>
  <c r="K56" i="6"/>
  <c r="G56" i="6"/>
  <c r="G54" i="6" s="1"/>
  <c r="F56" i="6"/>
  <c r="F54" i="6" s="1"/>
  <c r="E56" i="6"/>
  <c r="E54" i="6" s="1"/>
  <c r="D56" i="6"/>
  <c r="D54" i="6" s="1"/>
  <c r="C56" i="6"/>
  <c r="C54" i="6" s="1"/>
  <c r="B56" i="6"/>
  <c r="AH51" i="6"/>
  <c r="AH49" i="6" s="1"/>
  <c r="AG51" i="6"/>
  <c r="AG49" i="6" s="1"/>
  <c r="AF51" i="6"/>
  <c r="AF49" i="6" s="1"/>
  <c r="AE51" i="6"/>
  <c r="AE49" i="6" s="1"/>
  <c r="AD51" i="6"/>
  <c r="AD49" i="6" s="1"/>
  <c r="AC51" i="6"/>
  <c r="Y51" i="6"/>
  <c r="Y49" i="6" s="1"/>
  <c r="X51" i="6"/>
  <c r="X49" i="6" s="1"/>
  <c r="W51" i="6"/>
  <c r="W49" i="6" s="1"/>
  <c r="V51" i="6"/>
  <c r="V49" i="6" s="1"/>
  <c r="U51" i="6"/>
  <c r="U49" i="6" s="1"/>
  <c r="T51" i="6"/>
  <c r="P51" i="6"/>
  <c r="P49" i="6" s="1"/>
  <c r="O51" i="6"/>
  <c r="O49" i="6" s="1"/>
  <c r="N51" i="6"/>
  <c r="N49" i="6" s="1"/>
  <c r="M51" i="6"/>
  <c r="M49" i="6" s="1"/>
  <c r="L51" i="6"/>
  <c r="L49" i="6" s="1"/>
  <c r="K51" i="6"/>
  <c r="K49" i="6" s="1"/>
  <c r="AH46" i="6"/>
  <c r="AH44" i="6" s="1"/>
  <c r="AG46" i="6"/>
  <c r="AG44" i="6" s="1"/>
  <c r="AF46" i="6"/>
  <c r="AF44" i="6" s="1"/>
  <c r="AE46" i="6"/>
  <c r="AE44" i="6" s="1"/>
  <c r="AD46" i="6"/>
  <c r="AD44" i="6" s="1"/>
  <c r="AC46" i="6"/>
  <c r="Y46" i="6"/>
  <c r="Y44" i="6" s="1"/>
  <c r="X46" i="6"/>
  <c r="X44" i="6" s="1"/>
  <c r="W46" i="6"/>
  <c r="W44" i="6" s="1"/>
  <c r="V46" i="6"/>
  <c r="V44" i="6" s="1"/>
  <c r="U46" i="6"/>
  <c r="U44" i="6" s="1"/>
  <c r="T46" i="6"/>
  <c r="P46" i="6"/>
  <c r="P44" i="6" s="1"/>
  <c r="O46" i="6"/>
  <c r="O44" i="6" s="1"/>
  <c r="N46" i="6"/>
  <c r="N44" i="6" s="1"/>
  <c r="M46" i="6"/>
  <c r="M44" i="6" s="1"/>
  <c r="L46" i="6"/>
  <c r="L44" i="6" s="1"/>
  <c r="K46" i="6"/>
  <c r="B50" i="6"/>
  <c r="C50" i="6"/>
  <c r="D50" i="6"/>
  <c r="E50" i="6"/>
  <c r="F50" i="6"/>
  <c r="G50" i="6"/>
  <c r="B49" i="6"/>
  <c r="C49" i="6"/>
  <c r="D49" i="6"/>
  <c r="E49" i="6"/>
  <c r="F49" i="6"/>
  <c r="G49" i="6"/>
  <c r="B48" i="6"/>
  <c r="C48" i="6"/>
  <c r="D48" i="6"/>
  <c r="E48" i="6"/>
  <c r="F48" i="6"/>
  <c r="G48" i="6"/>
  <c r="B47" i="6"/>
  <c r="C47" i="6"/>
  <c r="D47" i="6"/>
  <c r="E47" i="6"/>
  <c r="F47" i="6"/>
  <c r="G47" i="6"/>
  <c r="G46" i="6"/>
  <c r="F46" i="6"/>
  <c r="E46" i="6"/>
  <c r="D46" i="6"/>
  <c r="C46" i="6"/>
  <c r="B46" i="6"/>
  <c r="AH41" i="6"/>
  <c r="AG41" i="6"/>
  <c r="AF41" i="6"/>
  <c r="AE41" i="6"/>
  <c r="AD41" i="6"/>
  <c r="AC41" i="6"/>
  <c r="AH40" i="6"/>
  <c r="AG40" i="6"/>
  <c r="AF40" i="6"/>
  <c r="AE40" i="6"/>
  <c r="AD40" i="6"/>
  <c r="AC40" i="6"/>
  <c r="T41" i="6"/>
  <c r="U41" i="6"/>
  <c r="V41" i="6"/>
  <c r="W41" i="6"/>
  <c r="X41" i="6"/>
  <c r="Y41" i="6"/>
  <c r="Y40" i="6"/>
  <c r="X40" i="6"/>
  <c r="W40" i="6"/>
  <c r="V40" i="6"/>
  <c r="U40" i="6"/>
  <c r="T40" i="6"/>
  <c r="P40" i="6"/>
  <c r="P38" i="6" s="1"/>
  <c r="O40" i="6"/>
  <c r="O38" i="6" s="1"/>
  <c r="N40" i="6"/>
  <c r="N38" i="6" s="1"/>
  <c r="M40" i="6"/>
  <c r="M38" i="6" s="1"/>
  <c r="L40" i="6"/>
  <c r="L38" i="6" s="1"/>
  <c r="K40" i="6"/>
  <c r="G40" i="6"/>
  <c r="G38" i="6" s="1"/>
  <c r="F40" i="6"/>
  <c r="F38" i="6" s="1"/>
  <c r="E40" i="6"/>
  <c r="E38" i="6" s="1"/>
  <c r="D40" i="6"/>
  <c r="D38" i="6" s="1"/>
  <c r="C40" i="6"/>
  <c r="C38" i="6" s="1"/>
  <c r="B40" i="6"/>
  <c r="AH35" i="6"/>
  <c r="AH33" i="6" s="1"/>
  <c r="AG35" i="6"/>
  <c r="AG33" i="6" s="1"/>
  <c r="AF35" i="6"/>
  <c r="AF33" i="6" s="1"/>
  <c r="AE35" i="6"/>
  <c r="AE33" i="6" s="1"/>
  <c r="AD35" i="6"/>
  <c r="AD33" i="6" s="1"/>
  <c r="AC35" i="6"/>
  <c r="T35" i="6"/>
  <c r="U35" i="6"/>
  <c r="V35" i="6"/>
  <c r="W35" i="6"/>
  <c r="X35" i="6"/>
  <c r="Y35" i="6"/>
  <c r="Y34" i="6"/>
  <c r="X34" i="6"/>
  <c r="W34" i="6"/>
  <c r="V34" i="6"/>
  <c r="U34" i="6"/>
  <c r="T34" i="6"/>
  <c r="P35" i="6"/>
  <c r="P33" i="6" s="1"/>
  <c r="O35" i="6"/>
  <c r="O33" i="6" s="1"/>
  <c r="N35" i="6"/>
  <c r="N33" i="6" s="1"/>
  <c r="M35" i="6"/>
  <c r="M33" i="6" s="1"/>
  <c r="L35" i="6"/>
  <c r="L33" i="6" s="1"/>
  <c r="K35" i="6"/>
  <c r="G35" i="6"/>
  <c r="G33" i="6" s="1"/>
  <c r="F35" i="6"/>
  <c r="F33" i="6" s="1"/>
  <c r="E35" i="6"/>
  <c r="E33" i="6" s="1"/>
  <c r="D35" i="6"/>
  <c r="D33" i="6" s="1"/>
  <c r="C35" i="6"/>
  <c r="C33" i="6" s="1"/>
  <c r="B35" i="6"/>
  <c r="G30" i="6"/>
  <c r="G28" i="6" s="1"/>
  <c r="F30" i="6"/>
  <c r="F28" i="6" s="1"/>
  <c r="E30" i="6"/>
  <c r="E28" i="6" s="1"/>
  <c r="D30" i="6"/>
  <c r="D28" i="6" s="1"/>
  <c r="C30" i="6"/>
  <c r="C28" i="6" s="1"/>
  <c r="B30" i="6"/>
  <c r="P30" i="6"/>
  <c r="P28" i="6" s="1"/>
  <c r="O30" i="6"/>
  <c r="O28" i="6" s="1"/>
  <c r="N30" i="6"/>
  <c r="N28" i="6" s="1"/>
  <c r="M30" i="6"/>
  <c r="M28" i="6" s="1"/>
  <c r="L30" i="6"/>
  <c r="L28" i="6" s="1"/>
  <c r="K30" i="6"/>
  <c r="K28" i="6" s="1"/>
  <c r="AC28" i="6"/>
  <c r="AC29" i="6"/>
  <c r="AD28" i="6"/>
  <c r="AD29" i="6"/>
  <c r="AE28" i="6"/>
  <c r="AE29" i="6"/>
  <c r="AF28" i="6"/>
  <c r="AF29" i="6"/>
  <c r="AG28" i="6"/>
  <c r="AG29" i="6"/>
  <c r="AH28" i="6"/>
  <c r="AH29" i="6"/>
  <c r="AH27" i="6"/>
  <c r="AG27" i="6"/>
  <c r="AF27" i="6"/>
  <c r="AE27" i="6"/>
  <c r="AD27" i="6"/>
  <c r="AC27" i="6"/>
  <c r="AH26" i="6"/>
  <c r="AG26" i="6"/>
  <c r="AF26" i="6"/>
  <c r="AE26" i="6"/>
  <c r="AD26" i="6"/>
  <c r="AC26" i="6"/>
  <c r="AH25" i="6"/>
  <c r="AG25" i="6"/>
  <c r="AF25" i="6"/>
  <c r="AE25" i="6"/>
  <c r="AD25" i="6"/>
  <c r="AC25" i="6"/>
  <c r="T27" i="6"/>
  <c r="U27" i="6"/>
  <c r="V27" i="6"/>
  <c r="W27" i="6"/>
  <c r="X27" i="6"/>
  <c r="Y27" i="6"/>
  <c r="T26" i="6"/>
  <c r="U26" i="6"/>
  <c r="V26" i="6"/>
  <c r="W26" i="6"/>
  <c r="X26" i="6"/>
  <c r="Y26" i="6"/>
  <c r="Y25" i="6"/>
  <c r="X25" i="6"/>
  <c r="W25" i="6"/>
  <c r="V25" i="6"/>
  <c r="U25" i="6"/>
  <c r="T25" i="6"/>
  <c r="AH20" i="6"/>
  <c r="AH18" i="6" s="1"/>
  <c r="AG20" i="6"/>
  <c r="AG18" i="6" s="1"/>
  <c r="AF20" i="6"/>
  <c r="AF18" i="6" s="1"/>
  <c r="AE20" i="6"/>
  <c r="AE18" i="6" s="1"/>
  <c r="AD20" i="6"/>
  <c r="AD18" i="6" s="1"/>
  <c r="AC20" i="6"/>
  <c r="Y20" i="6"/>
  <c r="X20" i="6"/>
  <c r="W20" i="6"/>
  <c r="V20" i="6"/>
  <c r="U20" i="6"/>
  <c r="T20" i="6"/>
  <c r="P25" i="6"/>
  <c r="P23" i="6" s="1"/>
  <c r="O25" i="6"/>
  <c r="O23" i="6" s="1"/>
  <c r="N25" i="6"/>
  <c r="N23" i="6" s="1"/>
  <c r="M25" i="6"/>
  <c r="M23" i="6" s="1"/>
  <c r="L25" i="6"/>
  <c r="L23" i="6" s="1"/>
  <c r="K25" i="6"/>
  <c r="P20" i="6"/>
  <c r="P18" i="6" s="1"/>
  <c r="O20" i="6"/>
  <c r="O18" i="6" s="1"/>
  <c r="N20" i="6"/>
  <c r="N18" i="6" s="1"/>
  <c r="M20" i="6"/>
  <c r="M18" i="6" s="1"/>
  <c r="L20" i="6"/>
  <c r="L18" i="6" s="1"/>
  <c r="K20" i="6"/>
  <c r="AH15" i="6"/>
  <c r="AH13" i="6" s="1"/>
  <c r="AG15" i="6"/>
  <c r="AG13" i="6" s="1"/>
  <c r="AF15" i="6"/>
  <c r="AF13" i="6" s="1"/>
  <c r="AE15" i="6"/>
  <c r="AE13" i="6" s="1"/>
  <c r="AD15" i="6"/>
  <c r="AD13" i="6" s="1"/>
  <c r="AC15" i="6"/>
  <c r="Y15" i="6"/>
  <c r="Y13" i="6" s="1"/>
  <c r="X15" i="6"/>
  <c r="X13" i="6" s="1"/>
  <c r="W15" i="6"/>
  <c r="W13" i="6" s="1"/>
  <c r="V15" i="6"/>
  <c r="V13" i="6" s="1"/>
  <c r="U15" i="6"/>
  <c r="U13" i="6" s="1"/>
  <c r="T15" i="6"/>
  <c r="P15" i="6"/>
  <c r="P13" i="6" s="1"/>
  <c r="O15" i="6"/>
  <c r="O13" i="6" s="1"/>
  <c r="N15" i="6"/>
  <c r="N13" i="6" s="1"/>
  <c r="M15" i="6"/>
  <c r="M13" i="6" s="1"/>
  <c r="L15" i="6"/>
  <c r="L13" i="6" s="1"/>
  <c r="K15" i="6"/>
  <c r="AH10" i="6"/>
  <c r="AH8" i="6" s="1"/>
  <c r="AG10" i="6"/>
  <c r="AG8" i="6" s="1"/>
  <c r="AF10" i="6"/>
  <c r="AF8" i="6" s="1"/>
  <c r="AE10" i="6"/>
  <c r="AE8" i="6" s="1"/>
  <c r="AD10" i="6"/>
  <c r="AD8" i="6" s="1"/>
  <c r="AC10" i="6"/>
  <c r="Y10" i="6"/>
  <c r="Y8" i="6" s="1"/>
  <c r="X10" i="6"/>
  <c r="X8" i="6" s="1"/>
  <c r="W10" i="6"/>
  <c r="W8" i="6" s="1"/>
  <c r="V10" i="6"/>
  <c r="V8" i="6" s="1"/>
  <c r="U10" i="6"/>
  <c r="U8" i="6" s="1"/>
  <c r="T10" i="6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K13" i="2"/>
  <c r="K14" i="2"/>
  <c r="K15" i="2"/>
  <c r="L12" i="2"/>
  <c r="L13" i="2"/>
  <c r="L14" i="2"/>
  <c r="L15" i="2"/>
  <c r="M12" i="2"/>
  <c r="M13" i="2"/>
  <c r="M14" i="2"/>
  <c r="M15" i="2"/>
  <c r="N12" i="2"/>
  <c r="N13" i="2"/>
  <c r="N14" i="2"/>
  <c r="N15" i="2"/>
  <c r="O12" i="2"/>
  <c r="O13" i="2"/>
  <c r="O14" i="2"/>
  <c r="O15" i="2"/>
  <c r="P12" i="2"/>
  <c r="P13" i="2"/>
  <c r="P14" i="2"/>
  <c r="P15" i="2"/>
  <c r="B5" i="2"/>
  <c r="B24" i="6"/>
  <c r="C24" i="6"/>
  <c r="D24" i="6"/>
  <c r="E24" i="6"/>
  <c r="F24" i="6"/>
  <c r="G24" i="6"/>
  <c r="B23" i="6"/>
  <c r="C23" i="6"/>
  <c r="D23" i="6"/>
  <c r="E23" i="6"/>
  <c r="F23" i="6"/>
  <c r="G23" i="6"/>
  <c r="B22" i="6"/>
  <c r="C22" i="6"/>
  <c r="D22" i="6"/>
  <c r="E22" i="6"/>
  <c r="F22" i="6"/>
  <c r="G22" i="6"/>
  <c r="B21" i="6"/>
  <c r="C21" i="6"/>
  <c r="D21" i="6"/>
  <c r="E21" i="6"/>
  <c r="F21" i="6"/>
  <c r="G21" i="6"/>
  <c r="B20" i="6"/>
  <c r="C20" i="6"/>
  <c r="D20" i="6"/>
  <c r="E20" i="6"/>
  <c r="F20" i="6"/>
  <c r="G20" i="6"/>
  <c r="B19" i="6"/>
  <c r="C19" i="6"/>
  <c r="D19" i="6"/>
  <c r="E19" i="6"/>
  <c r="F19" i="6"/>
  <c r="G19" i="6"/>
  <c r="B18" i="6"/>
  <c r="C18" i="6"/>
  <c r="D18" i="6"/>
  <c r="E18" i="6"/>
  <c r="F18" i="6"/>
  <c r="G18" i="6"/>
  <c r="B17" i="6"/>
  <c r="C17" i="6"/>
  <c r="D17" i="6"/>
  <c r="E17" i="6"/>
  <c r="F17" i="6"/>
  <c r="G17" i="6"/>
  <c r="B16" i="6"/>
  <c r="C16" i="6"/>
  <c r="D16" i="6"/>
  <c r="E16" i="6"/>
  <c r="F16" i="6"/>
  <c r="G16" i="6"/>
  <c r="B15" i="6"/>
  <c r="C15" i="6"/>
  <c r="D15" i="6"/>
  <c r="E15" i="6"/>
  <c r="F15" i="6"/>
  <c r="G15" i="6"/>
  <c r="B14" i="6"/>
  <c r="C14" i="6"/>
  <c r="D14" i="6"/>
  <c r="E14" i="6"/>
  <c r="F14" i="6"/>
  <c r="G14" i="6"/>
  <c r="B13" i="6"/>
  <c r="C13" i="6"/>
  <c r="D13" i="6"/>
  <c r="E13" i="6"/>
  <c r="F13" i="6"/>
  <c r="G13" i="6"/>
  <c r="B12" i="6"/>
  <c r="C12" i="6"/>
  <c r="D12" i="6"/>
  <c r="E12" i="6"/>
  <c r="F12" i="6"/>
  <c r="G12" i="6"/>
  <c r="K6" i="6"/>
  <c r="L6" i="6"/>
  <c r="M6" i="6"/>
  <c r="N6" i="6"/>
  <c r="O6" i="6"/>
  <c r="P6" i="6"/>
  <c r="K7" i="6"/>
  <c r="L7" i="6"/>
  <c r="M7" i="6"/>
  <c r="N7" i="6"/>
  <c r="O7" i="6"/>
  <c r="P7" i="6"/>
  <c r="K8" i="6"/>
  <c r="L8" i="6"/>
  <c r="M8" i="6"/>
  <c r="N8" i="6"/>
  <c r="O8" i="6"/>
  <c r="P8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AH5" i="6"/>
  <c r="AG5" i="6"/>
  <c r="AF5" i="6"/>
  <c r="AE5" i="6"/>
  <c r="AD5" i="6"/>
  <c r="AC5" i="6"/>
  <c r="Y5" i="6"/>
  <c r="X5" i="6"/>
  <c r="W5" i="6"/>
  <c r="V5" i="6"/>
  <c r="U5" i="6"/>
  <c r="T5" i="6"/>
  <c r="P5" i="6"/>
  <c r="O5" i="6"/>
  <c r="N5" i="6"/>
  <c r="M5" i="6"/>
  <c r="L5" i="6"/>
  <c r="K5" i="6"/>
  <c r="G5" i="6"/>
  <c r="F5" i="6"/>
  <c r="E5" i="6"/>
  <c r="D5" i="6"/>
  <c r="C5" i="6"/>
  <c r="B5" i="6"/>
  <c r="AC43" i="7" l="1"/>
  <c r="AC66" i="7"/>
  <c r="AC22" i="7"/>
  <c r="AC52" i="7"/>
  <c r="AC21" i="7"/>
  <c r="AC27" i="7"/>
  <c r="AC36" i="7"/>
  <c r="DO5" i="7"/>
  <c r="T16" i="7"/>
  <c r="AC28" i="7"/>
  <c r="AC65" i="7"/>
  <c r="AC26" i="7"/>
  <c r="AC51" i="7"/>
  <c r="AC17" i="7"/>
  <c r="AC29" i="7"/>
  <c r="AC69" i="7"/>
  <c r="T33" i="7"/>
  <c r="AC12" i="7"/>
  <c r="AC42" i="7"/>
  <c r="AC20" i="7"/>
  <c r="AC55" i="7"/>
  <c r="T26" i="7"/>
  <c r="T36" i="7"/>
  <c r="AC13" i="7"/>
  <c r="AC64" i="7"/>
  <c r="AC63" i="7"/>
  <c r="AC62" i="7"/>
  <c r="AC59" i="7"/>
  <c r="AC61" i="7"/>
  <c r="AC60" i="7"/>
  <c r="AC50" i="7"/>
  <c r="AC49" i="7"/>
  <c r="AC48" i="7"/>
  <c r="AC47" i="7"/>
  <c r="AC41" i="7"/>
  <c r="AC40" i="7"/>
  <c r="AC39" i="7"/>
  <c r="AC32" i="7"/>
  <c r="AC25" i="7"/>
  <c r="AC11" i="7"/>
  <c r="T25" i="7"/>
  <c r="T22" i="7"/>
  <c r="AC8" i="7"/>
  <c r="T32" i="7"/>
  <c r="T31" i="7"/>
  <c r="T30" i="7"/>
  <c r="T19" i="7"/>
  <c r="T13" i="7"/>
  <c r="EG5" i="7"/>
  <c r="DX5" i="7"/>
  <c r="CN5" i="7"/>
  <c r="DF5" i="7"/>
  <c r="CE5" i="7"/>
  <c r="CW5" i="7"/>
  <c r="AU5" i="7"/>
  <c r="BM5" i="7"/>
  <c r="AL5" i="7"/>
  <c r="BD5" i="7"/>
  <c r="BV5" i="7"/>
  <c r="K27" i="7"/>
  <c r="K35" i="7"/>
  <c r="K45" i="7"/>
  <c r="T6" i="7"/>
  <c r="BD7" i="7"/>
  <c r="BD6" i="7"/>
  <c r="K38" i="7"/>
  <c r="K44" i="7"/>
  <c r="K49" i="7"/>
  <c r="K61" i="7"/>
  <c r="K67" i="7"/>
  <c r="T9" i="7"/>
  <c r="H68" i="6"/>
  <c r="AC5" i="7"/>
  <c r="K41" i="7"/>
  <c r="K58" i="7"/>
  <c r="K64" i="7"/>
  <c r="K70" i="7"/>
  <c r="K76" i="7"/>
  <c r="T10" i="7"/>
  <c r="K10" i="7"/>
  <c r="K73" i="7"/>
  <c r="K79" i="7"/>
  <c r="K55" i="7"/>
  <c r="K52" i="7"/>
  <c r="K34" i="7"/>
  <c r="K33" i="7"/>
  <c r="K32" i="7"/>
  <c r="K31" i="7"/>
  <c r="K30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T5" i="7"/>
  <c r="K9" i="7"/>
  <c r="K8" i="7"/>
  <c r="K7" i="7"/>
  <c r="K5" i="7"/>
  <c r="H46" i="6"/>
  <c r="Z46" i="6"/>
  <c r="Q56" i="6"/>
  <c r="AI56" i="6"/>
  <c r="Q6" i="2"/>
  <c r="Q63" i="6"/>
  <c r="C59" i="6"/>
  <c r="D59" i="6"/>
  <c r="E59" i="6"/>
  <c r="G59" i="6"/>
  <c r="H63" i="6"/>
  <c r="Q68" i="6"/>
  <c r="Q70" i="6"/>
  <c r="Q72" i="6"/>
  <c r="Q71" i="6"/>
  <c r="Q69" i="6"/>
  <c r="L66" i="6"/>
  <c r="M66" i="6"/>
  <c r="O66" i="6"/>
  <c r="P66" i="6"/>
  <c r="N66" i="6"/>
  <c r="K66" i="6"/>
  <c r="B66" i="6"/>
  <c r="A66" i="6" s="1"/>
  <c r="AI65" i="6"/>
  <c r="AD59" i="6"/>
  <c r="AE59" i="6"/>
  <c r="AI64" i="6"/>
  <c r="AI63" i="6"/>
  <c r="AI62" i="6"/>
  <c r="AI61" i="6"/>
  <c r="AF59" i="6"/>
  <c r="AG59" i="6"/>
  <c r="AH59" i="6"/>
  <c r="AC59" i="6"/>
  <c r="Z61" i="6"/>
  <c r="T59" i="6"/>
  <c r="S59" i="6" s="1"/>
  <c r="AC54" i="6"/>
  <c r="AB54" i="6" s="1"/>
  <c r="Q62" i="6"/>
  <c r="L59" i="6"/>
  <c r="N59" i="6"/>
  <c r="O59" i="6"/>
  <c r="M59" i="6"/>
  <c r="P59" i="6"/>
  <c r="Q61" i="6"/>
  <c r="K59" i="6"/>
  <c r="H62" i="6"/>
  <c r="F59" i="6"/>
  <c r="H61" i="6"/>
  <c r="B59" i="6"/>
  <c r="Z56" i="6"/>
  <c r="T54" i="6"/>
  <c r="S54" i="6" s="1"/>
  <c r="K54" i="6"/>
  <c r="J54" i="6" s="1"/>
  <c r="AI51" i="6"/>
  <c r="H50" i="6"/>
  <c r="AI41" i="6"/>
  <c r="Q46" i="6"/>
  <c r="Z51" i="6"/>
  <c r="H56" i="6"/>
  <c r="B54" i="6"/>
  <c r="A54" i="6" s="1"/>
  <c r="AC49" i="6"/>
  <c r="AB49" i="6" s="1"/>
  <c r="T49" i="6"/>
  <c r="S49" i="6" s="1"/>
  <c r="J49" i="6"/>
  <c r="Q51" i="6"/>
  <c r="AI46" i="6"/>
  <c r="AC44" i="6"/>
  <c r="AB44" i="6" s="1"/>
  <c r="T44" i="6"/>
  <c r="S44" i="6" s="1"/>
  <c r="K44" i="6"/>
  <c r="J44" i="6" s="1"/>
  <c r="H49" i="6"/>
  <c r="C44" i="6"/>
  <c r="F44" i="6"/>
  <c r="H48" i="6"/>
  <c r="H47" i="6"/>
  <c r="D44" i="6"/>
  <c r="E44" i="6"/>
  <c r="G44" i="6"/>
  <c r="B44" i="6"/>
  <c r="AC38" i="6"/>
  <c r="AE38" i="6"/>
  <c r="AF38" i="6"/>
  <c r="AG38" i="6"/>
  <c r="AH38" i="6"/>
  <c r="AD38" i="6"/>
  <c r="AI40" i="6"/>
  <c r="U38" i="6"/>
  <c r="V38" i="6"/>
  <c r="W38" i="6"/>
  <c r="X38" i="6"/>
  <c r="Y38" i="6"/>
  <c r="Z41" i="6"/>
  <c r="Q40" i="6"/>
  <c r="Z40" i="6"/>
  <c r="T38" i="6"/>
  <c r="K38" i="6"/>
  <c r="J38" i="6" s="1"/>
  <c r="H40" i="6"/>
  <c r="W32" i="6"/>
  <c r="B38" i="6"/>
  <c r="A38" i="6" s="1"/>
  <c r="Z25" i="6"/>
  <c r="AI26" i="6"/>
  <c r="H35" i="6"/>
  <c r="T32" i="6"/>
  <c r="Z26" i="6"/>
  <c r="Z35" i="6"/>
  <c r="U32" i="6"/>
  <c r="V32" i="6"/>
  <c r="AI28" i="6"/>
  <c r="AI35" i="6"/>
  <c r="Z27" i="6"/>
  <c r="Q25" i="6"/>
  <c r="H30" i="6"/>
  <c r="Z10" i="6"/>
  <c r="Q15" i="6"/>
  <c r="AI15" i="6"/>
  <c r="AI20" i="6"/>
  <c r="AI25" i="6"/>
  <c r="AI29" i="6"/>
  <c r="AC33" i="6"/>
  <c r="AB33" i="6" s="1"/>
  <c r="X32" i="6"/>
  <c r="Y32" i="6"/>
  <c r="Z34" i="6"/>
  <c r="Q35" i="6"/>
  <c r="K33" i="6"/>
  <c r="J33" i="6" s="1"/>
  <c r="B33" i="6"/>
  <c r="A33" i="6" s="1"/>
  <c r="B28" i="6"/>
  <c r="A28" i="6" s="1"/>
  <c r="J28" i="6"/>
  <c r="Q30" i="6"/>
  <c r="AI27" i="6"/>
  <c r="AE23" i="6"/>
  <c r="AF23" i="6"/>
  <c r="AG23" i="6"/>
  <c r="AH23" i="6"/>
  <c r="AD23" i="6"/>
  <c r="AC23" i="6"/>
  <c r="U23" i="6"/>
  <c r="V23" i="6"/>
  <c r="W23" i="6"/>
  <c r="X23" i="6"/>
  <c r="Y23" i="6"/>
  <c r="T23" i="6"/>
  <c r="AC18" i="6"/>
  <c r="AB18" i="6" s="1"/>
  <c r="T18" i="6"/>
  <c r="U18" i="6"/>
  <c r="V18" i="6"/>
  <c r="W18" i="6"/>
  <c r="X18" i="6"/>
  <c r="Y18" i="6"/>
  <c r="Z15" i="6"/>
  <c r="Z20" i="6"/>
  <c r="K23" i="6"/>
  <c r="J23" i="6" s="1"/>
  <c r="Q20" i="6"/>
  <c r="K18" i="6"/>
  <c r="J18" i="6" s="1"/>
  <c r="AC13" i="6"/>
  <c r="AB13" i="6" s="1"/>
  <c r="T13" i="6"/>
  <c r="S13" i="6" s="1"/>
  <c r="K13" i="6"/>
  <c r="J13" i="6" s="1"/>
  <c r="AI10" i="6"/>
  <c r="AC8" i="6"/>
  <c r="AB8" i="6" s="1"/>
  <c r="T8" i="6"/>
  <c r="S8" i="6" s="1"/>
  <c r="Q12" i="2"/>
  <c r="Q15" i="2"/>
  <c r="Q10" i="2"/>
  <c r="Q8" i="2"/>
  <c r="Q14" i="2"/>
  <c r="Q11" i="2"/>
  <c r="Q9" i="2"/>
  <c r="Q7" i="2"/>
  <c r="Q13" i="2"/>
  <c r="Q5" i="2"/>
  <c r="H24" i="6"/>
  <c r="H23" i="6"/>
  <c r="H22" i="6"/>
  <c r="H21" i="6"/>
  <c r="H20" i="6"/>
  <c r="H19" i="6"/>
  <c r="H18" i="6"/>
  <c r="H17" i="6"/>
  <c r="H16" i="6"/>
  <c r="H15" i="6"/>
  <c r="H14" i="6"/>
  <c r="H13" i="6"/>
  <c r="Q8" i="6"/>
  <c r="H12" i="6"/>
  <c r="AD3" i="6"/>
  <c r="F3" i="6"/>
  <c r="Q7" i="6"/>
  <c r="Q6" i="6"/>
  <c r="L3" i="6"/>
  <c r="AH3" i="6"/>
  <c r="AC3" i="6"/>
  <c r="N3" i="6"/>
  <c r="AG3" i="6"/>
  <c r="B3" i="6"/>
  <c r="G3" i="6"/>
  <c r="M3" i="6"/>
  <c r="D3" i="6"/>
  <c r="E3" i="6"/>
  <c r="O3" i="6"/>
  <c r="P3" i="6"/>
  <c r="Z5" i="6"/>
  <c r="H6" i="6"/>
  <c r="X3" i="6"/>
  <c r="AE3" i="6"/>
  <c r="H9" i="6"/>
  <c r="AF3" i="6"/>
  <c r="H11" i="6"/>
  <c r="C3" i="6"/>
  <c r="V3" i="6"/>
  <c r="U3" i="6"/>
  <c r="H8" i="6"/>
  <c r="W3" i="6"/>
  <c r="H10" i="6"/>
  <c r="Q5" i="6"/>
  <c r="H7" i="6"/>
  <c r="AI5" i="6"/>
  <c r="T3" i="6"/>
  <c r="K3" i="6"/>
  <c r="Y3" i="6"/>
  <c r="H5" i="6"/>
  <c r="H5" i="3"/>
  <c r="B5" i="3"/>
  <c r="AE214" i="3"/>
  <c r="AD214" i="3"/>
  <c r="AC214" i="3"/>
  <c r="AB214" i="3"/>
  <c r="AA214" i="3"/>
  <c r="Z214" i="3"/>
  <c r="V214" i="3"/>
  <c r="U214" i="3"/>
  <c r="T214" i="3"/>
  <c r="S214" i="3"/>
  <c r="R214" i="3"/>
  <c r="Q214" i="3"/>
  <c r="AE213" i="3"/>
  <c r="AD213" i="3"/>
  <c r="AC213" i="3"/>
  <c r="AB213" i="3"/>
  <c r="AA213" i="3"/>
  <c r="Z213" i="3"/>
  <c r="V213" i="3"/>
  <c r="U213" i="3"/>
  <c r="T213" i="3"/>
  <c r="S213" i="3"/>
  <c r="R213" i="3"/>
  <c r="Q213" i="3"/>
  <c r="AE212" i="3"/>
  <c r="AD212" i="3"/>
  <c r="AC212" i="3"/>
  <c r="AB212" i="3"/>
  <c r="AA212" i="3"/>
  <c r="Z212" i="3"/>
  <c r="V212" i="3"/>
  <c r="U212" i="3"/>
  <c r="T212" i="3"/>
  <c r="S212" i="3"/>
  <c r="R212" i="3"/>
  <c r="Q212" i="3"/>
  <c r="AE211" i="3"/>
  <c r="AD211" i="3"/>
  <c r="AC211" i="3"/>
  <c r="AB211" i="3"/>
  <c r="AA211" i="3"/>
  <c r="Z211" i="3"/>
  <c r="V211" i="3"/>
  <c r="U211" i="3"/>
  <c r="T211" i="3"/>
  <c r="S211" i="3"/>
  <c r="R211" i="3"/>
  <c r="Q211" i="3"/>
  <c r="AE210" i="3"/>
  <c r="AD210" i="3"/>
  <c r="AC210" i="3"/>
  <c r="AB210" i="3"/>
  <c r="AA210" i="3"/>
  <c r="Z210" i="3"/>
  <c r="V210" i="3"/>
  <c r="U210" i="3"/>
  <c r="T210" i="3"/>
  <c r="S210" i="3"/>
  <c r="R210" i="3"/>
  <c r="Q210" i="3"/>
  <c r="AE209" i="3"/>
  <c r="AD209" i="3"/>
  <c r="AC209" i="3"/>
  <c r="AB209" i="3"/>
  <c r="AA209" i="3"/>
  <c r="Z209" i="3"/>
  <c r="V209" i="3"/>
  <c r="U209" i="3"/>
  <c r="T209" i="3"/>
  <c r="S209" i="3"/>
  <c r="R209" i="3"/>
  <c r="Q209" i="3"/>
  <c r="AE208" i="3"/>
  <c r="AD208" i="3"/>
  <c r="AC208" i="3"/>
  <c r="AB208" i="3"/>
  <c r="AA208" i="3"/>
  <c r="Z208" i="3"/>
  <c r="V208" i="3"/>
  <c r="U208" i="3"/>
  <c r="T208" i="3"/>
  <c r="S208" i="3"/>
  <c r="R208" i="3"/>
  <c r="Q208" i="3"/>
  <c r="AE207" i="3"/>
  <c r="AD207" i="3"/>
  <c r="AC207" i="3"/>
  <c r="AB207" i="3"/>
  <c r="AA207" i="3"/>
  <c r="Z207" i="3"/>
  <c r="V207" i="3"/>
  <c r="U207" i="3"/>
  <c r="T207" i="3"/>
  <c r="S207" i="3"/>
  <c r="R207" i="3"/>
  <c r="Q207" i="3"/>
  <c r="AE203" i="3"/>
  <c r="AD203" i="3"/>
  <c r="AC203" i="3"/>
  <c r="AB203" i="3"/>
  <c r="AA203" i="3"/>
  <c r="Z203" i="3"/>
  <c r="V203" i="3"/>
  <c r="U203" i="3"/>
  <c r="T203" i="3"/>
  <c r="S203" i="3"/>
  <c r="R203" i="3"/>
  <c r="Q203" i="3"/>
  <c r="AE202" i="3"/>
  <c r="AD202" i="3"/>
  <c r="AC202" i="3"/>
  <c r="AB202" i="3"/>
  <c r="AA202" i="3"/>
  <c r="Z202" i="3"/>
  <c r="V202" i="3"/>
  <c r="U202" i="3"/>
  <c r="T202" i="3"/>
  <c r="S202" i="3"/>
  <c r="R202" i="3"/>
  <c r="Q202" i="3"/>
  <c r="AE201" i="3"/>
  <c r="AD201" i="3"/>
  <c r="AC201" i="3"/>
  <c r="AB201" i="3"/>
  <c r="AA201" i="3"/>
  <c r="Z201" i="3"/>
  <c r="V201" i="3"/>
  <c r="U201" i="3"/>
  <c r="T201" i="3"/>
  <c r="S201" i="3"/>
  <c r="R201" i="3"/>
  <c r="Q201" i="3"/>
  <c r="AE200" i="3"/>
  <c r="AD200" i="3"/>
  <c r="AC200" i="3"/>
  <c r="AB200" i="3"/>
  <c r="AA200" i="3"/>
  <c r="Z200" i="3"/>
  <c r="V200" i="3"/>
  <c r="U200" i="3"/>
  <c r="T200" i="3"/>
  <c r="S200" i="3"/>
  <c r="R200" i="3"/>
  <c r="Q200" i="3"/>
  <c r="AE199" i="3"/>
  <c r="AD199" i="3"/>
  <c r="AC199" i="3"/>
  <c r="AB199" i="3"/>
  <c r="AA199" i="3"/>
  <c r="Z199" i="3"/>
  <c r="V199" i="3"/>
  <c r="U199" i="3"/>
  <c r="T199" i="3"/>
  <c r="S199" i="3"/>
  <c r="R199" i="3"/>
  <c r="Q199" i="3"/>
  <c r="AE198" i="3"/>
  <c r="AD198" i="3"/>
  <c r="AC198" i="3"/>
  <c r="AB198" i="3"/>
  <c r="AA198" i="3"/>
  <c r="Z198" i="3"/>
  <c r="V198" i="3"/>
  <c r="U198" i="3"/>
  <c r="T198" i="3"/>
  <c r="S198" i="3"/>
  <c r="R198" i="3"/>
  <c r="Q198" i="3"/>
  <c r="AE197" i="3"/>
  <c r="AD197" i="3"/>
  <c r="AC197" i="3"/>
  <c r="AB197" i="3"/>
  <c r="AA197" i="3"/>
  <c r="Z197" i="3"/>
  <c r="V197" i="3"/>
  <c r="U197" i="3"/>
  <c r="T197" i="3"/>
  <c r="S197" i="3"/>
  <c r="R197" i="3"/>
  <c r="Q197" i="3"/>
  <c r="AE196" i="3"/>
  <c r="AD196" i="3"/>
  <c r="AC196" i="3"/>
  <c r="AB196" i="3"/>
  <c r="AA196" i="3"/>
  <c r="Z196" i="3"/>
  <c r="V196" i="3"/>
  <c r="U196" i="3"/>
  <c r="T196" i="3"/>
  <c r="S196" i="3"/>
  <c r="R196" i="3"/>
  <c r="Q196" i="3"/>
  <c r="AE192" i="3"/>
  <c r="AD192" i="3"/>
  <c r="AC192" i="3"/>
  <c r="AB192" i="3"/>
  <c r="AA192" i="3"/>
  <c r="Z192" i="3"/>
  <c r="V192" i="3"/>
  <c r="U192" i="3"/>
  <c r="T192" i="3"/>
  <c r="S192" i="3"/>
  <c r="R192" i="3"/>
  <c r="Q192" i="3"/>
  <c r="AE191" i="3"/>
  <c r="AD191" i="3"/>
  <c r="AC191" i="3"/>
  <c r="AB191" i="3"/>
  <c r="AA191" i="3"/>
  <c r="Z191" i="3"/>
  <c r="V191" i="3"/>
  <c r="U191" i="3"/>
  <c r="T191" i="3"/>
  <c r="S191" i="3"/>
  <c r="R191" i="3"/>
  <c r="Q191" i="3"/>
  <c r="AE190" i="3"/>
  <c r="AD190" i="3"/>
  <c r="AC190" i="3"/>
  <c r="AB190" i="3"/>
  <c r="AA190" i="3"/>
  <c r="Z190" i="3"/>
  <c r="V190" i="3"/>
  <c r="U190" i="3"/>
  <c r="T190" i="3"/>
  <c r="S190" i="3"/>
  <c r="R190" i="3"/>
  <c r="Q190" i="3"/>
  <c r="AE189" i="3"/>
  <c r="AD189" i="3"/>
  <c r="AC189" i="3"/>
  <c r="AB189" i="3"/>
  <c r="AA189" i="3"/>
  <c r="Z189" i="3"/>
  <c r="V189" i="3"/>
  <c r="U189" i="3"/>
  <c r="T189" i="3"/>
  <c r="S189" i="3"/>
  <c r="R189" i="3"/>
  <c r="Q189" i="3"/>
  <c r="AE188" i="3"/>
  <c r="AD188" i="3"/>
  <c r="AC188" i="3"/>
  <c r="AB188" i="3"/>
  <c r="AA188" i="3"/>
  <c r="Z188" i="3"/>
  <c r="V188" i="3"/>
  <c r="U188" i="3"/>
  <c r="T188" i="3"/>
  <c r="S188" i="3"/>
  <c r="R188" i="3"/>
  <c r="Q188" i="3"/>
  <c r="AE187" i="3"/>
  <c r="AD187" i="3"/>
  <c r="AC187" i="3"/>
  <c r="AB187" i="3"/>
  <c r="AA187" i="3"/>
  <c r="Z187" i="3"/>
  <c r="V187" i="3"/>
  <c r="U187" i="3"/>
  <c r="T187" i="3"/>
  <c r="S187" i="3"/>
  <c r="R187" i="3"/>
  <c r="Q187" i="3"/>
  <c r="AE186" i="3"/>
  <c r="AD186" i="3"/>
  <c r="AC186" i="3"/>
  <c r="AB186" i="3"/>
  <c r="AA186" i="3"/>
  <c r="Z186" i="3"/>
  <c r="V186" i="3"/>
  <c r="U186" i="3"/>
  <c r="T186" i="3"/>
  <c r="S186" i="3"/>
  <c r="R186" i="3"/>
  <c r="Q186" i="3"/>
  <c r="AE185" i="3"/>
  <c r="AD185" i="3"/>
  <c r="AC185" i="3"/>
  <c r="AB185" i="3"/>
  <c r="AA185" i="3"/>
  <c r="Z185" i="3"/>
  <c r="V185" i="3"/>
  <c r="U185" i="3"/>
  <c r="T185" i="3"/>
  <c r="S185" i="3"/>
  <c r="R185" i="3"/>
  <c r="Q185" i="3"/>
  <c r="AE181" i="3"/>
  <c r="AD181" i="3"/>
  <c r="AC181" i="3"/>
  <c r="AB181" i="3"/>
  <c r="AA181" i="3"/>
  <c r="Z181" i="3"/>
  <c r="V181" i="3"/>
  <c r="U181" i="3"/>
  <c r="T181" i="3"/>
  <c r="S181" i="3"/>
  <c r="R181" i="3"/>
  <c r="Q181" i="3"/>
  <c r="AE180" i="3"/>
  <c r="AD180" i="3"/>
  <c r="AC180" i="3"/>
  <c r="AB180" i="3"/>
  <c r="AA180" i="3"/>
  <c r="Z180" i="3"/>
  <c r="V180" i="3"/>
  <c r="U180" i="3"/>
  <c r="T180" i="3"/>
  <c r="S180" i="3"/>
  <c r="R180" i="3"/>
  <c r="Q180" i="3"/>
  <c r="AE179" i="3"/>
  <c r="AD179" i="3"/>
  <c r="AC179" i="3"/>
  <c r="AB179" i="3"/>
  <c r="AA179" i="3"/>
  <c r="Z179" i="3"/>
  <c r="V179" i="3"/>
  <c r="U179" i="3"/>
  <c r="T179" i="3"/>
  <c r="S179" i="3"/>
  <c r="R179" i="3"/>
  <c r="Q179" i="3"/>
  <c r="AE175" i="3"/>
  <c r="AD175" i="3"/>
  <c r="AC175" i="3"/>
  <c r="AB175" i="3"/>
  <c r="AA175" i="3"/>
  <c r="Z175" i="3"/>
  <c r="V175" i="3"/>
  <c r="U175" i="3"/>
  <c r="T175" i="3"/>
  <c r="S175" i="3"/>
  <c r="R175" i="3"/>
  <c r="Q175" i="3"/>
  <c r="AE174" i="3"/>
  <c r="AD174" i="3"/>
  <c r="AC174" i="3"/>
  <c r="AB174" i="3"/>
  <c r="AA174" i="3"/>
  <c r="Z174" i="3"/>
  <c r="V174" i="3"/>
  <c r="U174" i="3"/>
  <c r="T174" i="3"/>
  <c r="S174" i="3"/>
  <c r="R174" i="3"/>
  <c r="Q174" i="3"/>
  <c r="AE173" i="3"/>
  <c r="AD173" i="3"/>
  <c r="AC173" i="3"/>
  <c r="AB173" i="3"/>
  <c r="AA173" i="3"/>
  <c r="Z173" i="3"/>
  <c r="V173" i="3"/>
  <c r="U173" i="3"/>
  <c r="T173" i="3"/>
  <c r="S173" i="3"/>
  <c r="R173" i="3"/>
  <c r="Q173" i="3"/>
  <c r="AE169" i="3"/>
  <c r="AD169" i="3"/>
  <c r="AC169" i="3"/>
  <c r="AB169" i="3"/>
  <c r="AA169" i="3"/>
  <c r="Z169" i="3"/>
  <c r="V169" i="3"/>
  <c r="U169" i="3"/>
  <c r="T169" i="3"/>
  <c r="S169" i="3"/>
  <c r="R169" i="3"/>
  <c r="Q169" i="3"/>
  <c r="AE168" i="3"/>
  <c r="AD168" i="3"/>
  <c r="AC168" i="3"/>
  <c r="AB168" i="3"/>
  <c r="AA168" i="3"/>
  <c r="Z168" i="3"/>
  <c r="V168" i="3"/>
  <c r="U168" i="3"/>
  <c r="T168" i="3"/>
  <c r="S168" i="3"/>
  <c r="R168" i="3"/>
  <c r="Q168" i="3"/>
  <c r="AE167" i="3"/>
  <c r="AD167" i="3"/>
  <c r="AC167" i="3"/>
  <c r="AB167" i="3"/>
  <c r="AA167" i="3"/>
  <c r="Z167" i="3"/>
  <c r="V167" i="3"/>
  <c r="U167" i="3"/>
  <c r="T167" i="3"/>
  <c r="S167" i="3"/>
  <c r="R167" i="3"/>
  <c r="Q167" i="3"/>
  <c r="AE163" i="3"/>
  <c r="AD163" i="3"/>
  <c r="AC163" i="3"/>
  <c r="AB163" i="3"/>
  <c r="AA163" i="3"/>
  <c r="Z163" i="3"/>
  <c r="V163" i="3"/>
  <c r="U163" i="3"/>
  <c r="T163" i="3"/>
  <c r="S163" i="3"/>
  <c r="R163" i="3"/>
  <c r="Q163" i="3"/>
  <c r="AE162" i="3"/>
  <c r="AD162" i="3"/>
  <c r="AC162" i="3"/>
  <c r="AB162" i="3"/>
  <c r="AA162" i="3"/>
  <c r="Z162" i="3"/>
  <c r="V162" i="3"/>
  <c r="U162" i="3"/>
  <c r="T162" i="3"/>
  <c r="S162" i="3"/>
  <c r="R162" i="3"/>
  <c r="Q162" i="3"/>
  <c r="AE161" i="3"/>
  <c r="AD161" i="3"/>
  <c r="AC161" i="3"/>
  <c r="AB161" i="3"/>
  <c r="AA161" i="3"/>
  <c r="Z161" i="3"/>
  <c r="V161" i="3"/>
  <c r="U161" i="3"/>
  <c r="T161" i="3"/>
  <c r="S161" i="3"/>
  <c r="R161" i="3"/>
  <c r="Q161" i="3"/>
  <c r="AE160" i="3"/>
  <c r="AD160" i="3"/>
  <c r="AC160" i="3"/>
  <c r="AB160" i="3"/>
  <c r="AA160" i="3"/>
  <c r="Z160" i="3"/>
  <c r="V160" i="3"/>
  <c r="U160" i="3"/>
  <c r="T160" i="3"/>
  <c r="S160" i="3"/>
  <c r="R160" i="3"/>
  <c r="Q160" i="3"/>
  <c r="AE159" i="3"/>
  <c r="AD159" i="3"/>
  <c r="AC159" i="3"/>
  <c r="AB159" i="3"/>
  <c r="AA159" i="3"/>
  <c r="Z159" i="3"/>
  <c r="V159" i="3"/>
  <c r="U159" i="3"/>
  <c r="T159" i="3"/>
  <c r="S159" i="3"/>
  <c r="R159" i="3"/>
  <c r="Q159" i="3"/>
  <c r="AE158" i="3"/>
  <c r="AD158" i="3"/>
  <c r="AC158" i="3"/>
  <c r="AB158" i="3"/>
  <c r="AA158" i="3"/>
  <c r="Z158" i="3"/>
  <c r="V158" i="3"/>
  <c r="U158" i="3"/>
  <c r="T158" i="3"/>
  <c r="S158" i="3"/>
  <c r="R158" i="3"/>
  <c r="Q158" i="3"/>
  <c r="AE157" i="3"/>
  <c r="AD157" i="3"/>
  <c r="AC157" i="3"/>
  <c r="AB157" i="3"/>
  <c r="AA157" i="3"/>
  <c r="Z157" i="3"/>
  <c r="V157" i="3"/>
  <c r="U157" i="3"/>
  <c r="T157" i="3"/>
  <c r="S157" i="3"/>
  <c r="R157" i="3"/>
  <c r="Q157" i="3"/>
  <c r="AE153" i="3"/>
  <c r="AD153" i="3"/>
  <c r="AC153" i="3"/>
  <c r="AB153" i="3"/>
  <c r="AA153" i="3"/>
  <c r="Z153" i="3"/>
  <c r="V153" i="3"/>
  <c r="U153" i="3"/>
  <c r="T153" i="3"/>
  <c r="S153" i="3"/>
  <c r="R153" i="3"/>
  <c r="Q153" i="3"/>
  <c r="AE152" i="3"/>
  <c r="AD152" i="3"/>
  <c r="AC152" i="3"/>
  <c r="AB152" i="3"/>
  <c r="AA152" i="3"/>
  <c r="Z152" i="3"/>
  <c r="V152" i="3"/>
  <c r="U152" i="3"/>
  <c r="T152" i="3"/>
  <c r="S152" i="3"/>
  <c r="R152" i="3"/>
  <c r="Q152" i="3"/>
  <c r="AE151" i="3"/>
  <c r="AD151" i="3"/>
  <c r="AC151" i="3"/>
  <c r="AB151" i="3"/>
  <c r="AA151" i="3"/>
  <c r="Z151" i="3"/>
  <c r="V151" i="3"/>
  <c r="U151" i="3"/>
  <c r="T151" i="3"/>
  <c r="S151" i="3"/>
  <c r="R151" i="3"/>
  <c r="Q151" i="3"/>
  <c r="AE150" i="3"/>
  <c r="AD150" i="3"/>
  <c r="AC150" i="3"/>
  <c r="AB150" i="3"/>
  <c r="AA150" i="3"/>
  <c r="Z150" i="3"/>
  <c r="V150" i="3"/>
  <c r="U150" i="3"/>
  <c r="T150" i="3"/>
  <c r="S150" i="3"/>
  <c r="R150" i="3"/>
  <c r="Q150" i="3"/>
  <c r="AE149" i="3"/>
  <c r="AD149" i="3"/>
  <c r="AC149" i="3"/>
  <c r="AB149" i="3"/>
  <c r="AA149" i="3"/>
  <c r="Z149" i="3"/>
  <c r="V149" i="3"/>
  <c r="U149" i="3"/>
  <c r="T149" i="3"/>
  <c r="S149" i="3"/>
  <c r="R149" i="3"/>
  <c r="Q149" i="3"/>
  <c r="AE148" i="3"/>
  <c r="AD148" i="3"/>
  <c r="AC148" i="3"/>
  <c r="AB148" i="3"/>
  <c r="AA148" i="3"/>
  <c r="Z148" i="3"/>
  <c r="V148" i="3"/>
  <c r="U148" i="3"/>
  <c r="T148" i="3"/>
  <c r="S148" i="3"/>
  <c r="R148" i="3"/>
  <c r="Q148" i="3"/>
  <c r="AE147" i="3"/>
  <c r="AD147" i="3"/>
  <c r="AC147" i="3"/>
  <c r="AB147" i="3"/>
  <c r="AA147" i="3"/>
  <c r="Z147" i="3"/>
  <c r="V147" i="3"/>
  <c r="U147" i="3"/>
  <c r="T147" i="3"/>
  <c r="S147" i="3"/>
  <c r="R147" i="3"/>
  <c r="Q147" i="3"/>
  <c r="AE143" i="3"/>
  <c r="AD143" i="3"/>
  <c r="AC143" i="3"/>
  <c r="AB143" i="3"/>
  <c r="AA143" i="3"/>
  <c r="Z143" i="3"/>
  <c r="V143" i="3"/>
  <c r="U143" i="3"/>
  <c r="T143" i="3"/>
  <c r="S143" i="3"/>
  <c r="R143" i="3"/>
  <c r="Q143" i="3"/>
  <c r="AE142" i="3"/>
  <c r="AD142" i="3"/>
  <c r="AC142" i="3"/>
  <c r="AB142" i="3"/>
  <c r="AA142" i="3"/>
  <c r="Z142" i="3"/>
  <c r="V142" i="3"/>
  <c r="U142" i="3"/>
  <c r="T142" i="3"/>
  <c r="S142" i="3"/>
  <c r="R142" i="3"/>
  <c r="Q142" i="3"/>
  <c r="AE141" i="3"/>
  <c r="AD141" i="3"/>
  <c r="AC141" i="3"/>
  <c r="AB141" i="3"/>
  <c r="AA141" i="3"/>
  <c r="Z141" i="3"/>
  <c r="V141" i="3"/>
  <c r="U141" i="3"/>
  <c r="T141" i="3"/>
  <c r="S141" i="3"/>
  <c r="R141" i="3"/>
  <c r="Q141" i="3"/>
  <c r="AE140" i="3"/>
  <c r="AD140" i="3"/>
  <c r="AC140" i="3"/>
  <c r="AB140" i="3"/>
  <c r="AA140" i="3"/>
  <c r="Z140" i="3"/>
  <c r="V140" i="3"/>
  <c r="U140" i="3"/>
  <c r="T140" i="3"/>
  <c r="S140" i="3"/>
  <c r="R140" i="3"/>
  <c r="Q140" i="3"/>
  <c r="AE139" i="3"/>
  <c r="AD139" i="3"/>
  <c r="AC139" i="3"/>
  <c r="AB139" i="3"/>
  <c r="AA139" i="3"/>
  <c r="Z139" i="3"/>
  <c r="V139" i="3"/>
  <c r="U139" i="3"/>
  <c r="T139" i="3"/>
  <c r="S139" i="3"/>
  <c r="R139" i="3"/>
  <c r="Q139" i="3"/>
  <c r="AE138" i="3"/>
  <c r="AD138" i="3"/>
  <c r="AC138" i="3"/>
  <c r="AB138" i="3"/>
  <c r="AA138" i="3"/>
  <c r="Z138" i="3"/>
  <c r="V138" i="3"/>
  <c r="U138" i="3"/>
  <c r="T138" i="3"/>
  <c r="S138" i="3"/>
  <c r="R138" i="3"/>
  <c r="Q138" i="3"/>
  <c r="AE137" i="3"/>
  <c r="AD137" i="3"/>
  <c r="AC137" i="3"/>
  <c r="AB137" i="3"/>
  <c r="AA137" i="3"/>
  <c r="Z137" i="3"/>
  <c r="V137" i="3"/>
  <c r="U137" i="3"/>
  <c r="T137" i="3"/>
  <c r="S137" i="3"/>
  <c r="R137" i="3"/>
  <c r="Q137" i="3"/>
  <c r="AE133" i="3"/>
  <c r="AD133" i="3"/>
  <c r="AC133" i="3"/>
  <c r="AB133" i="3"/>
  <c r="AA133" i="3"/>
  <c r="Z133" i="3"/>
  <c r="V133" i="3"/>
  <c r="U133" i="3"/>
  <c r="T133" i="3"/>
  <c r="S133" i="3"/>
  <c r="R133" i="3"/>
  <c r="Q133" i="3"/>
  <c r="AE132" i="3"/>
  <c r="AD132" i="3"/>
  <c r="AC132" i="3"/>
  <c r="AB132" i="3"/>
  <c r="AA132" i="3"/>
  <c r="Z132" i="3"/>
  <c r="V132" i="3"/>
  <c r="U132" i="3"/>
  <c r="T132" i="3"/>
  <c r="S132" i="3"/>
  <c r="R132" i="3"/>
  <c r="Q132" i="3"/>
  <c r="AE131" i="3"/>
  <c r="AD131" i="3"/>
  <c r="AC131" i="3"/>
  <c r="AB131" i="3"/>
  <c r="AA131" i="3"/>
  <c r="Z131" i="3"/>
  <c r="V131" i="3"/>
  <c r="U131" i="3"/>
  <c r="T131" i="3"/>
  <c r="S131" i="3"/>
  <c r="R131" i="3"/>
  <c r="Q131" i="3"/>
  <c r="AE130" i="3"/>
  <c r="AD130" i="3"/>
  <c r="AC130" i="3"/>
  <c r="AB130" i="3"/>
  <c r="AA130" i="3"/>
  <c r="Z130" i="3"/>
  <c r="V130" i="3"/>
  <c r="U130" i="3"/>
  <c r="T130" i="3"/>
  <c r="S130" i="3"/>
  <c r="R130" i="3"/>
  <c r="Q130" i="3"/>
  <c r="AE129" i="3"/>
  <c r="AD129" i="3"/>
  <c r="AC129" i="3"/>
  <c r="AB129" i="3"/>
  <c r="AA129" i="3"/>
  <c r="Z129" i="3"/>
  <c r="V129" i="3"/>
  <c r="U129" i="3"/>
  <c r="T129" i="3"/>
  <c r="S129" i="3"/>
  <c r="R129" i="3"/>
  <c r="Q129" i="3"/>
  <c r="AE128" i="3"/>
  <c r="AD128" i="3"/>
  <c r="AC128" i="3"/>
  <c r="AB128" i="3"/>
  <c r="AA128" i="3"/>
  <c r="Z128" i="3"/>
  <c r="V128" i="3"/>
  <c r="U128" i="3"/>
  <c r="T128" i="3"/>
  <c r="S128" i="3"/>
  <c r="R128" i="3"/>
  <c r="Q128" i="3"/>
  <c r="AE127" i="3"/>
  <c r="AD127" i="3"/>
  <c r="AC127" i="3"/>
  <c r="AB127" i="3"/>
  <c r="AA127" i="3"/>
  <c r="Z127" i="3"/>
  <c r="V127" i="3"/>
  <c r="U127" i="3"/>
  <c r="T127" i="3"/>
  <c r="S127" i="3"/>
  <c r="R127" i="3"/>
  <c r="Q127" i="3"/>
  <c r="AE126" i="3"/>
  <c r="AD126" i="3"/>
  <c r="AC126" i="3"/>
  <c r="AB126" i="3"/>
  <c r="AA126" i="3"/>
  <c r="Z126" i="3"/>
  <c r="V126" i="3"/>
  <c r="U126" i="3"/>
  <c r="T126" i="3"/>
  <c r="S126" i="3"/>
  <c r="R126" i="3"/>
  <c r="Q126" i="3"/>
  <c r="AE125" i="3"/>
  <c r="AD125" i="3"/>
  <c r="AC125" i="3"/>
  <c r="AB125" i="3"/>
  <c r="AA125" i="3"/>
  <c r="Z125" i="3"/>
  <c r="V125" i="3"/>
  <c r="U125" i="3"/>
  <c r="T125" i="3"/>
  <c r="S125" i="3"/>
  <c r="R125" i="3"/>
  <c r="Q125" i="3"/>
  <c r="AE121" i="3"/>
  <c r="AD121" i="3"/>
  <c r="AC121" i="3"/>
  <c r="AB121" i="3"/>
  <c r="AA121" i="3"/>
  <c r="Z121" i="3"/>
  <c r="V121" i="3"/>
  <c r="U121" i="3"/>
  <c r="T121" i="3"/>
  <c r="S121" i="3"/>
  <c r="R121" i="3"/>
  <c r="Q121" i="3"/>
  <c r="AE120" i="3"/>
  <c r="AD120" i="3"/>
  <c r="AC120" i="3"/>
  <c r="AB120" i="3"/>
  <c r="AA120" i="3"/>
  <c r="Z120" i="3"/>
  <c r="V120" i="3"/>
  <c r="U120" i="3"/>
  <c r="T120" i="3"/>
  <c r="S120" i="3"/>
  <c r="R120" i="3"/>
  <c r="Q120" i="3"/>
  <c r="AE119" i="3"/>
  <c r="AD119" i="3"/>
  <c r="AC119" i="3"/>
  <c r="AB119" i="3"/>
  <c r="AA119" i="3"/>
  <c r="Z119" i="3"/>
  <c r="V119" i="3"/>
  <c r="U119" i="3"/>
  <c r="T119" i="3"/>
  <c r="S119" i="3"/>
  <c r="R119" i="3"/>
  <c r="Q119" i="3"/>
  <c r="AE118" i="3"/>
  <c r="AD118" i="3"/>
  <c r="AC118" i="3"/>
  <c r="AB118" i="3"/>
  <c r="AA118" i="3"/>
  <c r="Z118" i="3"/>
  <c r="V118" i="3"/>
  <c r="U118" i="3"/>
  <c r="T118" i="3"/>
  <c r="S118" i="3"/>
  <c r="R118" i="3"/>
  <c r="Q118" i="3"/>
  <c r="AE117" i="3"/>
  <c r="AD117" i="3"/>
  <c r="AC117" i="3"/>
  <c r="AB117" i="3"/>
  <c r="AA117" i="3"/>
  <c r="Z117" i="3"/>
  <c r="V117" i="3"/>
  <c r="U117" i="3"/>
  <c r="T117" i="3"/>
  <c r="S117" i="3"/>
  <c r="R117" i="3"/>
  <c r="Q117" i="3"/>
  <c r="AE116" i="3"/>
  <c r="AD116" i="3"/>
  <c r="AC116" i="3"/>
  <c r="AB116" i="3"/>
  <c r="AA116" i="3"/>
  <c r="Z116" i="3"/>
  <c r="V116" i="3"/>
  <c r="U116" i="3"/>
  <c r="T116" i="3"/>
  <c r="S116" i="3"/>
  <c r="R116" i="3"/>
  <c r="Q116" i="3"/>
  <c r="AE115" i="3"/>
  <c r="AD115" i="3"/>
  <c r="AC115" i="3"/>
  <c r="AB115" i="3"/>
  <c r="AA115" i="3"/>
  <c r="Z115" i="3"/>
  <c r="V115" i="3"/>
  <c r="U115" i="3"/>
  <c r="T115" i="3"/>
  <c r="S115" i="3"/>
  <c r="R115" i="3"/>
  <c r="Q115" i="3"/>
  <c r="AE114" i="3"/>
  <c r="AD114" i="3"/>
  <c r="AC114" i="3"/>
  <c r="AB114" i="3"/>
  <c r="AA114" i="3"/>
  <c r="Z114" i="3"/>
  <c r="V114" i="3"/>
  <c r="U114" i="3"/>
  <c r="T114" i="3"/>
  <c r="S114" i="3"/>
  <c r="R114" i="3"/>
  <c r="Q114" i="3"/>
  <c r="AE113" i="3"/>
  <c r="AD113" i="3"/>
  <c r="AC113" i="3"/>
  <c r="AB113" i="3"/>
  <c r="AA113" i="3"/>
  <c r="Z113" i="3"/>
  <c r="V113" i="3"/>
  <c r="U113" i="3"/>
  <c r="T113" i="3"/>
  <c r="S113" i="3"/>
  <c r="R113" i="3"/>
  <c r="Q113" i="3"/>
  <c r="AE109" i="3"/>
  <c r="AD109" i="3"/>
  <c r="AC109" i="3"/>
  <c r="AB109" i="3"/>
  <c r="AA109" i="3"/>
  <c r="Z109" i="3"/>
  <c r="V109" i="3"/>
  <c r="U109" i="3"/>
  <c r="T109" i="3"/>
  <c r="S109" i="3"/>
  <c r="R109" i="3"/>
  <c r="Q109" i="3"/>
  <c r="AE108" i="3"/>
  <c r="AD108" i="3"/>
  <c r="AC108" i="3"/>
  <c r="AB108" i="3"/>
  <c r="AA108" i="3"/>
  <c r="Z108" i="3"/>
  <c r="V108" i="3"/>
  <c r="U108" i="3"/>
  <c r="T108" i="3"/>
  <c r="S108" i="3"/>
  <c r="R108" i="3"/>
  <c r="Q108" i="3"/>
  <c r="AE107" i="3"/>
  <c r="AD107" i="3"/>
  <c r="AC107" i="3"/>
  <c r="AB107" i="3"/>
  <c r="AA107" i="3"/>
  <c r="Z107" i="3"/>
  <c r="V107" i="3"/>
  <c r="U107" i="3"/>
  <c r="T107" i="3"/>
  <c r="S107" i="3"/>
  <c r="R107" i="3"/>
  <c r="Q107" i="3"/>
  <c r="AE106" i="3"/>
  <c r="AD106" i="3"/>
  <c r="AC106" i="3"/>
  <c r="AB106" i="3"/>
  <c r="AA106" i="3"/>
  <c r="Z106" i="3"/>
  <c r="V106" i="3"/>
  <c r="U106" i="3"/>
  <c r="T106" i="3"/>
  <c r="S106" i="3"/>
  <c r="R106" i="3"/>
  <c r="Q106" i="3"/>
  <c r="AE105" i="3"/>
  <c r="AD105" i="3"/>
  <c r="AC105" i="3"/>
  <c r="AB105" i="3"/>
  <c r="AA105" i="3"/>
  <c r="Z105" i="3"/>
  <c r="V105" i="3"/>
  <c r="U105" i="3"/>
  <c r="T105" i="3"/>
  <c r="S105" i="3"/>
  <c r="R105" i="3"/>
  <c r="Q105" i="3"/>
  <c r="AE104" i="3"/>
  <c r="AD104" i="3"/>
  <c r="AC104" i="3"/>
  <c r="AB104" i="3"/>
  <c r="AA104" i="3"/>
  <c r="Z104" i="3"/>
  <c r="V104" i="3"/>
  <c r="U104" i="3"/>
  <c r="T104" i="3"/>
  <c r="S104" i="3"/>
  <c r="R104" i="3"/>
  <c r="Q104" i="3"/>
  <c r="AE103" i="3"/>
  <c r="AD103" i="3"/>
  <c r="AC103" i="3"/>
  <c r="AB103" i="3"/>
  <c r="AA103" i="3"/>
  <c r="Z103" i="3"/>
  <c r="V103" i="3"/>
  <c r="U103" i="3"/>
  <c r="T103" i="3"/>
  <c r="S103" i="3"/>
  <c r="R103" i="3"/>
  <c r="Q103" i="3"/>
  <c r="AE102" i="3"/>
  <c r="AD102" i="3"/>
  <c r="AC102" i="3"/>
  <c r="AB102" i="3"/>
  <c r="AA102" i="3"/>
  <c r="Z102" i="3"/>
  <c r="V102" i="3"/>
  <c r="U102" i="3"/>
  <c r="T102" i="3"/>
  <c r="S102" i="3"/>
  <c r="R102" i="3"/>
  <c r="Q102" i="3"/>
  <c r="AE101" i="3"/>
  <c r="AD101" i="3"/>
  <c r="AC101" i="3"/>
  <c r="AB101" i="3"/>
  <c r="AA101" i="3"/>
  <c r="Z101" i="3"/>
  <c r="V101" i="3"/>
  <c r="U101" i="3"/>
  <c r="T101" i="3"/>
  <c r="S101" i="3"/>
  <c r="R101" i="3"/>
  <c r="Q101" i="3"/>
  <c r="AE97" i="3"/>
  <c r="AD97" i="3"/>
  <c r="AC97" i="3"/>
  <c r="AB97" i="3"/>
  <c r="AA97" i="3"/>
  <c r="Z97" i="3"/>
  <c r="V97" i="3"/>
  <c r="U97" i="3"/>
  <c r="T97" i="3"/>
  <c r="S97" i="3"/>
  <c r="R97" i="3"/>
  <c r="Q97" i="3"/>
  <c r="AE96" i="3"/>
  <c r="AD96" i="3"/>
  <c r="AC96" i="3"/>
  <c r="AB96" i="3"/>
  <c r="AA96" i="3"/>
  <c r="Z96" i="3"/>
  <c r="V96" i="3"/>
  <c r="U96" i="3"/>
  <c r="T96" i="3"/>
  <c r="S96" i="3"/>
  <c r="R96" i="3"/>
  <c r="Q96" i="3"/>
  <c r="AE95" i="3"/>
  <c r="AD95" i="3"/>
  <c r="AC95" i="3"/>
  <c r="AB95" i="3"/>
  <c r="AA95" i="3"/>
  <c r="Z95" i="3"/>
  <c r="V95" i="3"/>
  <c r="U95" i="3"/>
  <c r="T95" i="3"/>
  <c r="S95" i="3"/>
  <c r="R95" i="3"/>
  <c r="Q95" i="3"/>
  <c r="AE91" i="3"/>
  <c r="AD91" i="3"/>
  <c r="AC91" i="3"/>
  <c r="AB91" i="3"/>
  <c r="AA91" i="3"/>
  <c r="Z91" i="3"/>
  <c r="V91" i="3"/>
  <c r="U91" i="3"/>
  <c r="T91" i="3"/>
  <c r="S91" i="3"/>
  <c r="R91" i="3"/>
  <c r="Q91" i="3"/>
  <c r="AE90" i="3"/>
  <c r="AD90" i="3"/>
  <c r="AC90" i="3"/>
  <c r="AB90" i="3"/>
  <c r="AA90" i="3"/>
  <c r="Z90" i="3"/>
  <c r="V90" i="3"/>
  <c r="U90" i="3"/>
  <c r="T90" i="3"/>
  <c r="S90" i="3"/>
  <c r="R90" i="3"/>
  <c r="Q90" i="3"/>
  <c r="AE89" i="3"/>
  <c r="AD89" i="3"/>
  <c r="AC89" i="3"/>
  <c r="AB89" i="3"/>
  <c r="AA89" i="3"/>
  <c r="Z89" i="3"/>
  <c r="V89" i="3"/>
  <c r="U89" i="3"/>
  <c r="T89" i="3"/>
  <c r="S89" i="3"/>
  <c r="R89" i="3"/>
  <c r="Q89" i="3"/>
  <c r="AE85" i="3"/>
  <c r="AD85" i="3"/>
  <c r="AC85" i="3"/>
  <c r="AB85" i="3"/>
  <c r="AA85" i="3"/>
  <c r="Z85" i="3"/>
  <c r="V85" i="3"/>
  <c r="U85" i="3"/>
  <c r="T85" i="3"/>
  <c r="S85" i="3"/>
  <c r="R85" i="3"/>
  <c r="Q85" i="3"/>
  <c r="AE84" i="3"/>
  <c r="AD84" i="3"/>
  <c r="AC84" i="3"/>
  <c r="AB84" i="3"/>
  <c r="AA84" i="3"/>
  <c r="Z84" i="3"/>
  <c r="V84" i="3"/>
  <c r="U84" i="3"/>
  <c r="T84" i="3"/>
  <c r="S84" i="3"/>
  <c r="R84" i="3"/>
  <c r="Q84" i="3"/>
  <c r="AE83" i="3"/>
  <c r="AD83" i="3"/>
  <c r="AC83" i="3"/>
  <c r="AB83" i="3"/>
  <c r="AA83" i="3"/>
  <c r="Z83" i="3"/>
  <c r="V83" i="3"/>
  <c r="U83" i="3"/>
  <c r="T83" i="3"/>
  <c r="S83" i="3"/>
  <c r="R83" i="3"/>
  <c r="Q83" i="3"/>
  <c r="V79" i="3"/>
  <c r="U79" i="3"/>
  <c r="T79" i="3"/>
  <c r="S79" i="3"/>
  <c r="R79" i="3"/>
  <c r="Q79" i="3"/>
  <c r="AE75" i="3"/>
  <c r="AD75" i="3"/>
  <c r="AC75" i="3"/>
  <c r="AB75" i="3"/>
  <c r="AA75" i="3"/>
  <c r="Z75" i="3"/>
  <c r="AE74" i="3"/>
  <c r="AD74" i="3"/>
  <c r="AC74" i="3"/>
  <c r="AB74" i="3"/>
  <c r="AA74" i="3"/>
  <c r="Z74" i="3"/>
  <c r="AE73" i="3"/>
  <c r="AD73" i="3"/>
  <c r="AC73" i="3"/>
  <c r="AB73" i="3"/>
  <c r="AA73" i="3"/>
  <c r="Z73" i="3"/>
  <c r="V73" i="3"/>
  <c r="U73" i="3"/>
  <c r="T73" i="3"/>
  <c r="S73" i="3"/>
  <c r="R73" i="3"/>
  <c r="Q73" i="3"/>
  <c r="AE69" i="3"/>
  <c r="AD69" i="3"/>
  <c r="AC69" i="3"/>
  <c r="AB69" i="3"/>
  <c r="AA69" i="3"/>
  <c r="Z69" i="3"/>
  <c r="V69" i="3"/>
  <c r="U69" i="3"/>
  <c r="T69" i="3"/>
  <c r="S69" i="3"/>
  <c r="R69" i="3"/>
  <c r="Q69" i="3"/>
  <c r="AE65" i="3"/>
  <c r="AD65" i="3"/>
  <c r="AC65" i="3"/>
  <c r="AB65" i="3"/>
  <c r="AA65" i="3"/>
  <c r="Z65" i="3"/>
  <c r="V65" i="3"/>
  <c r="U65" i="3"/>
  <c r="T65" i="3"/>
  <c r="S65" i="3"/>
  <c r="R65" i="3"/>
  <c r="Q65" i="3"/>
  <c r="AE61" i="3"/>
  <c r="AD61" i="3"/>
  <c r="AC61" i="3"/>
  <c r="AB61" i="3"/>
  <c r="AA61" i="3"/>
  <c r="Z61" i="3"/>
  <c r="V61" i="3"/>
  <c r="U61" i="3"/>
  <c r="T61" i="3"/>
  <c r="S61" i="3"/>
  <c r="R61" i="3"/>
  <c r="Q61" i="3"/>
  <c r="V57" i="3"/>
  <c r="U57" i="3"/>
  <c r="T57" i="3"/>
  <c r="S57" i="3"/>
  <c r="R57" i="3"/>
  <c r="Q57" i="3"/>
  <c r="V56" i="3"/>
  <c r="U56" i="3"/>
  <c r="T56" i="3"/>
  <c r="S56" i="3"/>
  <c r="R56" i="3"/>
  <c r="Q56" i="3"/>
  <c r="V55" i="3"/>
  <c r="U55" i="3"/>
  <c r="T55" i="3"/>
  <c r="S55" i="3"/>
  <c r="R55" i="3"/>
  <c r="Q55" i="3"/>
  <c r="V54" i="3"/>
  <c r="U54" i="3"/>
  <c r="T54" i="3"/>
  <c r="S54" i="3"/>
  <c r="R54" i="3"/>
  <c r="Q54" i="3"/>
  <c r="AE53" i="3"/>
  <c r="AD53" i="3"/>
  <c r="AC53" i="3"/>
  <c r="AB53" i="3"/>
  <c r="AA53" i="3"/>
  <c r="Z53" i="3"/>
  <c r="V53" i="3"/>
  <c r="U53" i="3"/>
  <c r="T53" i="3"/>
  <c r="S53" i="3"/>
  <c r="R53" i="3"/>
  <c r="Q53" i="3"/>
  <c r="AE49" i="3"/>
  <c r="AD49" i="3"/>
  <c r="AC49" i="3"/>
  <c r="AB49" i="3"/>
  <c r="AA49" i="3"/>
  <c r="Z49" i="3"/>
  <c r="V49" i="3"/>
  <c r="U49" i="3"/>
  <c r="T49" i="3"/>
  <c r="S49" i="3"/>
  <c r="R49" i="3"/>
  <c r="Q49" i="3"/>
  <c r="AE45" i="3"/>
  <c r="AD45" i="3"/>
  <c r="AC45" i="3"/>
  <c r="AB45" i="3"/>
  <c r="AA45" i="3"/>
  <c r="Z45" i="3"/>
  <c r="V45" i="3"/>
  <c r="U45" i="3"/>
  <c r="T45" i="3"/>
  <c r="S45" i="3"/>
  <c r="R45" i="3"/>
  <c r="Q45" i="3"/>
  <c r="AE41" i="3"/>
  <c r="AD41" i="3"/>
  <c r="AC41" i="3"/>
  <c r="AB41" i="3"/>
  <c r="AA41" i="3"/>
  <c r="Z41" i="3"/>
  <c r="V41" i="3"/>
  <c r="U41" i="3"/>
  <c r="T41" i="3"/>
  <c r="S41" i="3"/>
  <c r="R41" i="3"/>
  <c r="Q41" i="3"/>
  <c r="AE37" i="3"/>
  <c r="AD37" i="3"/>
  <c r="AC37" i="3"/>
  <c r="AB37" i="3"/>
  <c r="AA37" i="3"/>
  <c r="Z37" i="3"/>
  <c r="V37" i="3"/>
  <c r="U37" i="3"/>
  <c r="T37" i="3"/>
  <c r="S37" i="3"/>
  <c r="R37" i="3"/>
  <c r="Q37" i="3"/>
  <c r="P37" i="2"/>
  <c r="O37" i="2"/>
  <c r="N37" i="2"/>
  <c r="M37" i="2"/>
  <c r="L37" i="2"/>
  <c r="K37" i="2"/>
  <c r="P36" i="2"/>
  <c r="O36" i="2"/>
  <c r="N36" i="2"/>
  <c r="M36" i="2"/>
  <c r="L36" i="2"/>
  <c r="K36" i="2"/>
  <c r="P35" i="2"/>
  <c r="O35" i="2"/>
  <c r="N35" i="2"/>
  <c r="M35" i="2"/>
  <c r="L35" i="2"/>
  <c r="K35" i="2"/>
  <c r="P34" i="2"/>
  <c r="O34" i="2"/>
  <c r="N34" i="2"/>
  <c r="M34" i="2"/>
  <c r="L34" i="2"/>
  <c r="K34" i="2"/>
  <c r="P33" i="2"/>
  <c r="O33" i="2"/>
  <c r="N33" i="2"/>
  <c r="M33" i="2"/>
  <c r="L33" i="2"/>
  <c r="K33" i="2"/>
  <c r="P32" i="2"/>
  <c r="O32" i="2"/>
  <c r="N32" i="2"/>
  <c r="M32" i="2"/>
  <c r="L32" i="2"/>
  <c r="K32" i="2"/>
  <c r="G32" i="2"/>
  <c r="F32" i="2"/>
  <c r="E32" i="2"/>
  <c r="D32" i="2"/>
  <c r="C32" i="2"/>
  <c r="B32" i="2"/>
  <c r="P31" i="2"/>
  <c r="O31" i="2"/>
  <c r="N31" i="2"/>
  <c r="M31" i="2"/>
  <c r="L31" i="2"/>
  <c r="K31" i="2"/>
  <c r="G31" i="2"/>
  <c r="F31" i="2"/>
  <c r="E31" i="2"/>
  <c r="D31" i="2"/>
  <c r="C31" i="2"/>
  <c r="B31" i="2"/>
  <c r="P26" i="2"/>
  <c r="O26" i="2"/>
  <c r="N26" i="2"/>
  <c r="M26" i="2"/>
  <c r="L26" i="2"/>
  <c r="K26" i="2"/>
  <c r="P25" i="2"/>
  <c r="O25" i="2"/>
  <c r="N25" i="2"/>
  <c r="M25" i="2"/>
  <c r="L25" i="2"/>
  <c r="K25" i="2"/>
  <c r="P24" i="2"/>
  <c r="O24" i="2"/>
  <c r="N24" i="2"/>
  <c r="M24" i="2"/>
  <c r="L24" i="2"/>
  <c r="K24" i="2"/>
  <c r="P23" i="2"/>
  <c r="O23" i="2"/>
  <c r="N23" i="2"/>
  <c r="M23" i="2"/>
  <c r="L23" i="2"/>
  <c r="K23" i="2"/>
  <c r="G23" i="2"/>
  <c r="F23" i="2"/>
  <c r="E23" i="2"/>
  <c r="D23" i="2"/>
  <c r="C23" i="2"/>
  <c r="B23" i="2"/>
  <c r="P22" i="2"/>
  <c r="O22" i="2"/>
  <c r="N22" i="2"/>
  <c r="M22" i="2"/>
  <c r="L22" i="2"/>
  <c r="K22" i="2"/>
  <c r="G22" i="2"/>
  <c r="F22" i="2"/>
  <c r="E22" i="2"/>
  <c r="D22" i="2"/>
  <c r="C22" i="2"/>
  <c r="B22" i="2"/>
  <c r="Y21" i="2"/>
  <c r="X21" i="2"/>
  <c r="W21" i="2"/>
  <c r="V21" i="2"/>
  <c r="U21" i="2"/>
  <c r="T21" i="2"/>
  <c r="P21" i="2"/>
  <c r="O21" i="2"/>
  <c r="N21" i="2"/>
  <c r="M21" i="2"/>
  <c r="L21" i="2"/>
  <c r="K21" i="2"/>
  <c r="G21" i="2"/>
  <c r="F21" i="2"/>
  <c r="E21" i="2"/>
  <c r="D21" i="2"/>
  <c r="C21" i="2"/>
  <c r="B21" i="2"/>
  <c r="AH20" i="2"/>
  <c r="AH18" i="2" s="1"/>
  <c r="AG20" i="2"/>
  <c r="AG18" i="2" s="1"/>
  <c r="AF20" i="2"/>
  <c r="AF18" i="2" s="1"/>
  <c r="AE20" i="2"/>
  <c r="AE18" i="2" s="1"/>
  <c r="AD20" i="2"/>
  <c r="AD18" i="2" s="1"/>
  <c r="AC20" i="2"/>
  <c r="Y20" i="2"/>
  <c r="X20" i="2"/>
  <c r="W20" i="2"/>
  <c r="V20" i="2"/>
  <c r="U20" i="2"/>
  <c r="T20" i="2"/>
  <c r="P20" i="2"/>
  <c r="O20" i="2"/>
  <c r="N20" i="2"/>
  <c r="M20" i="2"/>
  <c r="L20" i="2"/>
  <c r="K20" i="2"/>
  <c r="G20" i="2"/>
  <c r="F20" i="2"/>
  <c r="E20" i="2"/>
  <c r="D20" i="2"/>
  <c r="C20" i="2"/>
  <c r="B20" i="2"/>
  <c r="AH13" i="2"/>
  <c r="AG13" i="2"/>
  <c r="AF13" i="2"/>
  <c r="AE13" i="2"/>
  <c r="AD13" i="2"/>
  <c r="AC13" i="2"/>
  <c r="Y13" i="2"/>
  <c r="X13" i="2"/>
  <c r="W13" i="2"/>
  <c r="V13" i="2"/>
  <c r="U13" i="2"/>
  <c r="T13" i="2"/>
  <c r="AH12" i="2"/>
  <c r="AG12" i="2"/>
  <c r="AF12" i="2"/>
  <c r="AE12" i="2"/>
  <c r="AD12" i="2"/>
  <c r="AC12" i="2"/>
  <c r="Y12" i="2"/>
  <c r="X12" i="2"/>
  <c r="W12" i="2"/>
  <c r="V12" i="2"/>
  <c r="U12" i="2"/>
  <c r="T12" i="2"/>
  <c r="AH11" i="2"/>
  <c r="AG11" i="2"/>
  <c r="AF11" i="2"/>
  <c r="AE11" i="2"/>
  <c r="AD11" i="2"/>
  <c r="AC11" i="2"/>
  <c r="Y11" i="2"/>
  <c r="X11" i="2"/>
  <c r="W11" i="2"/>
  <c r="V11" i="2"/>
  <c r="U11" i="2"/>
  <c r="T11" i="2"/>
  <c r="G11" i="2"/>
  <c r="F11" i="2"/>
  <c r="E11" i="2"/>
  <c r="D11" i="2"/>
  <c r="C11" i="2"/>
  <c r="B11" i="2"/>
  <c r="AH10" i="2"/>
  <c r="AG10" i="2"/>
  <c r="AF10" i="2"/>
  <c r="AE10" i="2"/>
  <c r="AD10" i="2"/>
  <c r="AC10" i="2"/>
  <c r="Y10" i="2"/>
  <c r="X10" i="2"/>
  <c r="W10" i="2"/>
  <c r="V10" i="2"/>
  <c r="U10" i="2"/>
  <c r="T10" i="2"/>
  <c r="G10" i="2"/>
  <c r="F10" i="2"/>
  <c r="E10" i="2"/>
  <c r="D10" i="2"/>
  <c r="C10" i="2"/>
  <c r="B10" i="2"/>
  <c r="AH9" i="2"/>
  <c r="AG9" i="2"/>
  <c r="AF9" i="2"/>
  <c r="AE9" i="2"/>
  <c r="AD9" i="2"/>
  <c r="AC9" i="2"/>
  <c r="Y9" i="2"/>
  <c r="X9" i="2"/>
  <c r="W9" i="2"/>
  <c r="V9" i="2"/>
  <c r="U9" i="2"/>
  <c r="T9" i="2"/>
  <c r="G9" i="2"/>
  <c r="F9" i="2"/>
  <c r="E9" i="2"/>
  <c r="D9" i="2"/>
  <c r="C9" i="2"/>
  <c r="B9" i="2"/>
  <c r="AH8" i="2"/>
  <c r="AG8" i="2"/>
  <c r="AF8" i="2"/>
  <c r="AE8" i="2"/>
  <c r="AD8" i="2"/>
  <c r="AC8" i="2"/>
  <c r="Y8" i="2"/>
  <c r="X8" i="2"/>
  <c r="W8" i="2"/>
  <c r="V8" i="2"/>
  <c r="U8" i="2"/>
  <c r="T8" i="2"/>
  <c r="G8" i="2"/>
  <c r="F8" i="2"/>
  <c r="E8" i="2"/>
  <c r="D8" i="2"/>
  <c r="C8" i="2"/>
  <c r="B8" i="2"/>
  <c r="AH7" i="2"/>
  <c r="AG7" i="2"/>
  <c r="AF7" i="2"/>
  <c r="AE7" i="2"/>
  <c r="AD7" i="2"/>
  <c r="AC7" i="2"/>
  <c r="Y7" i="2"/>
  <c r="X7" i="2"/>
  <c r="W7" i="2"/>
  <c r="V7" i="2"/>
  <c r="U7" i="2"/>
  <c r="T7" i="2"/>
  <c r="G7" i="2"/>
  <c r="F7" i="2"/>
  <c r="E7" i="2"/>
  <c r="D7" i="2"/>
  <c r="C7" i="2"/>
  <c r="B7" i="2"/>
  <c r="AH6" i="2"/>
  <c r="AG6" i="2"/>
  <c r="AF6" i="2"/>
  <c r="AE6" i="2"/>
  <c r="AD6" i="2"/>
  <c r="AC6" i="2"/>
  <c r="Y6" i="2"/>
  <c r="X6" i="2"/>
  <c r="W6" i="2"/>
  <c r="V6" i="2"/>
  <c r="U6" i="2"/>
  <c r="T6" i="2"/>
  <c r="G6" i="2"/>
  <c r="F6" i="2"/>
  <c r="E6" i="2"/>
  <c r="D6" i="2"/>
  <c r="C6" i="2"/>
  <c r="B6" i="2"/>
  <c r="AH5" i="2"/>
  <c r="AG5" i="2"/>
  <c r="AF5" i="2"/>
  <c r="AE5" i="2"/>
  <c r="AD5" i="2"/>
  <c r="AC5" i="2"/>
  <c r="Y5" i="2"/>
  <c r="X5" i="2"/>
  <c r="W5" i="2"/>
  <c r="V5" i="2"/>
  <c r="U5" i="2"/>
  <c r="T5" i="2"/>
  <c r="G5" i="2"/>
  <c r="F5" i="2"/>
  <c r="E5" i="2"/>
  <c r="D5" i="2"/>
  <c r="C5" i="2"/>
  <c r="V18" i="2" l="1"/>
  <c r="J66" i="6"/>
  <c r="AB59" i="6"/>
  <c r="J59" i="6"/>
  <c r="A59" i="6"/>
  <c r="W18" i="2"/>
  <c r="A44" i="6"/>
  <c r="AB38" i="6"/>
  <c r="S38" i="6"/>
  <c r="S32" i="6"/>
  <c r="AB23" i="6"/>
  <c r="S23" i="6"/>
  <c r="S18" i="6"/>
  <c r="U18" i="2"/>
  <c r="A3" i="6"/>
  <c r="J3" i="6"/>
  <c r="AB3" i="6"/>
  <c r="S3" i="6"/>
  <c r="B3" i="2"/>
  <c r="G18" i="2"/>
  <c r="N18" i="2"/>
  <c r="W162" i="3"/>
  <c r="W213" i="3"/>
  <c r="V3" i="2"/>
  <c r="AG3" i="2"/>
  <c r="AF158" i="3"/>
  <c r="AF160" i="3"/>
  <c r="AF214" i="3"/>
  <c r="AF41" i="3"/>
  <c r="F11" i="3" s="1"/>
  <c r="W55" i="3"/>
  <c r="W127" i="3"/>
  <c r="W131" i="3"/>
  <c r="W142" i="3"/>
  <c r="W151" i="3"/>
  <c r="W153" i="3"/>
  <c r="W158" i="3"/>
  <c r="AF3" i="2"/>
  <c r="W91" i="3"/>
  <c r="W105" i="3"/>
  <c r="W120" i="3"/>
  <c r="W210" i="3"/>
  <c r="AI6" i="2"/>
  <c r="D3" i="2"/>
  <c r="AI8" i="2"/>
  <c r="AI10" i="2"/>
  <c r="E29" i="2"/>
  <c r="P29" i="2"/>
  <c r="Q33" i="2"/>
  <c r="Q36" i="2"/>
  <c r="AF69" i="3"/>
  <c r="M19" i="3" s="1"/>
  <c r="W84" i="3"/>
  <c r="W101" i="3"/>
  <c r="W107" i="3"/>
  <c r="W109" i="3"/>
  <c r="W116" i="3"/>
  <c r="AF203" i="3"/>
  <c r="AF208" i="3"/>
  <c r="X18" i="2"/>
  <c r="AF97" i="3"/>
  <c r="W138" i="3"/>
  <c r="W149" i="3"/>
  <c r="W167" i="3"/>
  <c r="W174" i="3"/>
  <c r="W188" i="3"/>
  <c r="W197" i="3"/>
  <c r="W199" i="3"/>
  <c r="W203" i="3"/>
  <c r="M18" i="2"/>
  <c r="D18" i="2"/>
  <c r="AI20" i="2"/>
  <c r="H22" i="2"/>
  <c r="AF85" i="3"/>
  <c r="AF141" i="3"/>
  <c r="W181" i="3"/>
  <c r="W192" i="3"/>
  <c r="N3" i="2"/>
  <c r="Z9" i="2"/>
  <c r="AF73" i="3"/>
  <c r="W83" i="3"/>
  <c r="AF132" i="3"/>
  <c r="AF150" i="3"/>
  <c r="AF187" i="3"/>
  <c r="AH3" i="2"/>
  <c r="F29" i="2"/>
  <c r="W53" i="3"/>
  <c r="W128" i="3"/>
  <c r="W130" i="3"/>
  <c r="AF175" i="3"/>
  <c r="AF211" i="3"/>
  <c r="X3" i="2"/>
  <c r="C29" i="2"/>
  <c r="AF116" i="3"/>
  <c r="AF118" i="3"/>
  <c r="W168" i="3"/>
  <c r="L3" i="2"/>
  <c r="W3" i="2"/>
  <c r="Z6" i="2"/>
  <c r="Z11" i="2"/>
  <c r="AI12" i="2"/>
  <c r="E18" i="2"/>
  <c r="P18" i="2"/>
  <c r="Q24" i="2"/>
  <c r="H32" i="2"/>
  <c r="Q35" i="2"/>
  <c r="W65" i="3"/>
  <c r="M10" i="3" s="1"/>
  <c r="W85" i="3"/>
  <c r="W90" i="3"/>
  <c r="AF95" i="3"/>
  <c r="AF104" i="3"/>
  <c r="W114" i="3"/>
  <c r="AF120" i="3"/>
  <c r="AF125" i="3"/>
  <c r="W132" i="3"/>
  <c r="W137" i="3"/>
  <c r="AF139" i="3"/>
  <c r="AF148" i="3"/>
  <c r="AF162" i="3"/>
  <c r="W173" i="3"/>
  <c r="W175" i="3"/>
  <c r="W180" i="3"/>
  <c r="AF185" i="3"/>
  <c r="AF191" i="3"/>
  <c r="W201" i="3"/>
  <c r="AF210" i="3"/>
  <c r="H5" i="2"/>
  <c r="M3" i="2"/>
  <c r="Z20" i="2"/>
  <c r="F18" i="2"/>
  <c r="Z21" i="2"/>
  <c r="Q25" i="2"/>
  <c r="G29" i="2"/>
  <c r="W45" i="3"/>
  <c r="F13" i="3" s="1"/>
  <c r="AF49" i="3"/>
  <c r="F18" i="3" s="1"/>
  <c r="W79" i="3"/>
  <c r="M16" i="3" s="1"/>
  <c r="W95" i="3"/>
  <c r="W97" i="3"/>
  <c r="AF102" i="3"/>
  <c r="AF108" i="3"/>
  <c r="W118" i="3"/>
  <c r="AF127" i="3"/>
  <c r="AF129" i="3"/>
  <c r="W139" i="3"/>
  <c r="W141" i="3"/>
  <c r="AF143" i="3"/>
  <c r="AF152" i="3"/>
  <c r="W160" i="3"/>
  <c r="AF167" i="3"/>
  <c r="AF169" i="3"/>
  <c r="W185" i="3"/>
  <c r="W187" i="3"/>
  <c r="AF189" i="3"/>
  <c r="AF198" i="3"/>
  <c r="W208" i="3"/>
  <c r="AF212" i="3"/>
  <c r="C3" i="2"/>
  <c r="Y3" i="2"/>
  <c r="H7" i="2"/>
  <c r="Q23" i="2"/>
  <c r="Q31" i="2"/>
  <c r="W41" i="3"/>
  <c r="F10" i="3" s="1"/>
  <c r="W56" i="3"/>
  <c r="AF61" i="3"/>
  <c r="M9" i="3" s="1"/>
  <c r="AF89" i="3"/>
  <c r="W102" i="3"/>
  <c r="W104" i="3"/>
  <c r="AF106" i="3"/>
  <c r="AF115" i="3"/>
  <c r="W125" i="3"/>
  <c r="AF131" i="3"/>
  <c r="AF133" i="3"/>
  <c r="W143" i="3"/>
  <c r="W148" i="3"/>
  <c r="AF157" i="3"/>
  <c r="AF174" i="3"/>
  <c r="AF179" i="3"/>
  <c r="W189" i="3"/>
  <c r="AF196" i="3"/>
  <c r="AF202" i="3"/>
  <c r="H6" i="2"/>
  <c r="AI5" i="2"/>
  <c r="O3" i="2"/>
  <c r="H8" i="2"/>
  <c r="Z8" i="2"/>
  <c r="H9" i="2"/>
  <c r="AI13" i="2"/>
  <c r="Q20" i="2"/>
  <c r="L18" i="2"/>
  <c r="L29" i="2"/>
  <c r="W54" i="3"/>
  <c r="W73" i="3"/>
  <c r="M21" i="3" s="1"/>
  <c r="AF75" i="3"/>
  <c r="AF96" i="3"/>
  <c r="W106" i="3"/>
  <c r="W108" i="3"/>
  <c r="AF113" i="3"/>
  <c r="AF119" i="3"/>
  <c r="W129" i="3"/>
  <c r="AF138" i="3"/>
  <c r="AF140" i="3"/>
  <c r="W150" i="3"/>
  <c r="W152" i="3"/>
  <c r="AF161" i="3"/>
  <c r="W169" i="3"/>
  <c r="AF181" i="3"/>
  <c r="AF186" i="3"/>
  <c r="W191" i="3"/>
  <c r="W196" i="3"/>
  <c r="W198" i="3"/>
  <c r="AF200" i="3"/>
  <c r="AF209" i="3"/>
  <c r="W212" i="3"/>
  <c r="W214" i="3"/>
  <c r="E3" i="2"/>
  <c r="P3" i="2"/>
  <c r="AD3" i="2"/>
  <c r="AI7" i="2"/>
  <c r="H10" i="2"/>
  <c r="Z10" i="2"/>
  <c r="H11" i="2"/>
  <c r="Z12" i="2"/>
  <c r="H23" i="2"/>
  <c r="H31" i="2"/>
  <c r="M29" i="2"/>
  <c r="Q34" i="2"/>
  <c r="AF37" i="3"/>
  <c r="F9" i="3" s="1"/>
  <c r="W49" i="3"/>
  <c r="F14" i="3" s="1"/>
  <c r="W69" i="3"/>
  <c r="M13" i="3" s="1"/>
  <c r="AF84" i="3"/>
  <c r="W89" i="3"/>
  <c r="AF101" i="3"/>
  <c r="AF103" i="3"/>
  <c r="W113" i="3"/>
  <c r="W115" i="3"/>
  <c r="AF117" i="3"/>
  <c r="AF126" i="3"/>
  <c r="W133" i="3"/>
  <c r="AF142" i="3"/>
  <c r="AF147" i="3"/>
  <c r="W157" i="3"/>
  <c r="AF159" i="3"/>
  <c r="W179" i="3"/>
  <c r="AF188" i="3"/>
  <c r="AF190" i="3"/>
  <c r="W200" i="3"/>
  <c r="W202" i="3"/>
  <c r="AF207" i="3"/>
  <c r="O18" i="2"/>
  <c r="F3" i="2"/>
  <c r="Z13" i="2"/>
  <c r="H20" i="2"/>
  <c r="Q21" i="2"/>
  <c r="N29" i="2"/>
  <c r="AF45" i="3"/>
  <c r="F16" i="3" s="1"/>
  <c r="AF53" i="3"/>
  <c r="M14" i="3" s="1"/>
  <c r="W61" i="3"/>
  <c r="M8" i="3" s="1"/>
  <c r="AF83" i="3"/>
  <c r="AF91" i="3"/>
  <c r="W96" i="3"/>
  <c r="AF105" i="3"/>
  <c r="AF107" i="3"/>
  <c r="W117" i="3"/>
  <c r="W119" i="3"/>
  <c r="AF121" i="3"/>
  <c r="AF130" i="3"/>
  <c r="W140" i="3"/>
  <c r="AF149" i="3"/>
  <c r="AF151" i="3"/>
  <c r="W159" i="3"/>
  <c r="W161" i="3"/>
  <c r="AF163" i="3"/>
  <c r="AF173" i="3"/>
  <c r="W186" i="3"/>
  <c r="AF192" i="3"/>
  <c r="AF197" i="3"/>
  <c r="W207" i="3"/>
  <c r="W209" i="3"/>
  <c r="AF213" i="3"/>
  <c r="Z5" i="2"/>
  <c r="AE3" i="2"/>
  <c r="AI9" i="2"/>
  <c r="Q37" i="2"/>
  <c r="G3" i="2"/>
  <c r="U3" i="2"/>
  <c r="Z7" i="2"/>
  <c r="AI11" i="2"/>
  <c r="C18" i="2"/>
  <c r="Y18" i="2"/>
  <c r="Q22" i="2"/>
  <c r="Q26" i="2"/>
  <c r="D29" i="2"/>
  <c r="O29" i="2"/>
  <c r="Q32" i="2"/>
  <c r="W37" i="3"/>
  <c r="F8" i="3" s="1"/>
  <c r="W57" i="3"/>
  <c r="AF65" i="3"/>
  <c r="M11" i="3" s="1"/>
  <c r="AF74" i="3"/>
  <c r="AF90" i="3"/>
  <c r="W103" i="3"/>
  <c r="AF109" i="3"/>
  <c r="AF114" i="3"/>
  <c r="W121" i="3"/>
  <c r="W126" i="3"/>
  <c r="AF128" i="3"/>
  <c r="AF137" i="3"/>
  <c r="W147" i="3"/>
  <c r="AF153" i="3"/>
  <c r="W163" i="3"/>
  <c r="AF168" i="3"/>
  <c r="AF180" i="3"/>
  <c r="W190" i="3"/>
  <c r="AF199" i="3"/>
  <c r="AF201" i="3"/>
  <c r="W211" i="3"/>
  <c r="AC18" i="2"/>
  <c r="AB18" i="2" s="1"/>
  <c r="H21" i="2"/>
  <c r="K29" i="2"/>
  <c r="AC3" i="2"/>
  <c r="T18" i="2"/>
  <c r="B29" i="2"/>
  <c r="T3" i="2"/>
  <c r="K3" i="2"/>
  <c r="K18" i="2"/>
  <c r="B18" i="2"/>
  <c r="H26" i="3" l="1"/>
  <c r="F21" i="3"/>
  <c r="L26" i="3"/>
  <c r="I28" i="3"/>
  <c r="G27" i="3"/>
  <c r="G26" i="3"/>
  <c r="J29" i="3"/>
  <c r="L28" i="3"/>
  <c r="I30" i="3"/>
  <c r="G28" i="3"/>
  <c r="J30" i="3"/>
  <c r="A3" i="2"/>
  <c r="L30" i="3"/>
  <c r="K27" i="3"/>
  <c r="S18" i="2"/>
  <c r="M22" i="3"/>
  <c r="K29" i="3"/>
  <c r="G29" i="3"/>
  <c r="AB3" i="2"/>
  <c r="L27" i="3"/>
  <c r="J27" i="3"/>
  <c r="K30" i="3"/>
  <c r="J29" i="2"/>
  <c r="S3" i="2"/>
  <c r="H30" i="3"/>
  <c r="K28" i="3"/>
  <c r="J28" i="3"/>
  <c r="H28" i="3"/>
  <c r="G30" i="3"/>
  <c r="H27" i="3"/>
  <c r="J26" i="3"/>
  <c r="I26" i="3"/>
  <c r="H29" i="3"/>
  <c r="A18" i="2"/>
  <c r="L29" i="3"/>
  <c r="J18" i="2"/>
  <c r="J3" i="2"/>
  <c r="I29" i="3"/>
  <c r="K26" i="3"/>
  <c r="A29" i="2"/>
  <c r="I27" i="3"/>
  <c r="M26" i="3" l="1"/>
  <c r="M28" i="3"/>
  <c r="M30" i="3"/>
  <c r="M27" i="3"/>
  <c r="M29" i="3"/>
  <c r="J6" i="7"/>
  <c r="I6" i="7"/>
  <c r="K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Elieser Aguilar</author>
    <author>UER Guairá</author>
  </authors>
  <commentList>
    <comment ref="A5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CIE-10:
Mielitis transversa aguda en enfermedad desmielinizante del sistema nervioso central</t>
        </r>
      </text>
    </comment>
    <comment ref="J5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CIE-10:
Escarlatina</t>
        </r>
      </text>
    </comment>
    <comment ref="S5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CIE-10:
Escarlatina</t>
        </r>
      </text>
    </comment>
    <comment ref="AB5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A6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CIE-10:
Polineuropatía inflamatoria</t>
        </r>
      </text>
    </comment>
    <comment ref="J6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CIE-10:
Exantema súbito [sexta enfermedad]</t>
        </r>
      </text>
    </comment>
    <comment ref="S6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CIE-10:
Exantema súbito [sexta enfermedad]</t>
        </r>
      </text>
    </comment>
    <comment ref="AB6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A7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CIE-10:
Miopatía, no especificada</t>
        </r>
      </text>
    </comment>
    <comment ref="J7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CIE-10:
Eritema infeccioso [quinta enfermedad]</t>
        </r>
      </text>
    </comment>
    <comment ref="S7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CIE-10:
Eritema infeccioso [quinta enfermedad]</t>
        </r>
      </text>
    </comment>
    <comment ref="AB7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CIE-10:
Laringitis y traqueitis aguda</t>
        </r>
      </text>
    </comment>
    <comment ref="A8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CIE-10:
Paraplejia (paraparesia) y tetraplejia (tetraparesia)</t>
        </r>
      </text>
    </comment>
    <comment ref="J8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CIE-10:
Dermatitis atópica, no especificada</t>
        </r>
      </text>
    </comment>
    <comment ref="S8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>CIE-10:
Dermatitis atópica, no especificada</t>
        </r>
      </text>
    </comment>
    <comment ref="AB8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>CIE-10:
Difteria faríngea</t>
        </r>
      </text>
    </comment>
    <comment ref="A9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>CIE-10:
Otros síntomas y signos que involucran los sistemas nervioso y osteomuscular y los no especificados</t>
        </r>
      </text>
    </comment>
    <comment ref="J9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>CIE-10:
Dermatitis, no especificada</t>
        </r>
      </text>
    </comment>
    <comment ref="S9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>CIE-10:
Dermatitis, no especificada</t>
        </r>
      </text>
    </comment>
    <comment ref="AB9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>CIE-10:
Difteria nasofaríngea</t>
        </r>
      </text>
    </comment>
    <comment ref="A10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>CIE-10:
Efecto tóxico de insecticidas organofosforados y carbamatos</t>
        </r>
      </text>
    </comment>
    <comment ref="J10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>CIE-10:
Urticaria, no especificada</t>
        </r>
      </text>
    </comment>
    <comment ref="S10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>CIE-10:
Urticaria, no especificada</t>
        </r>
      </text>
    </comment>
    <comment ref="AB10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>CIE-10:
Difteria laríngea</t>
        </r>
      </text>
    </comment>
    <comment ref="A11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>CIE-10:
Poliomielitis aguda</t>
        </r>
      </text>
    </comment>
    <comment ref="J11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>CIE-10:
Afección eritematosa, no especificada</t>
        </r>
      </text>
    </comment>
    <comment ref="S11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>CIE-10:
Afección eritematosa, no especificada</t>
        </r>
      </text>
    </comment>
    <comment ref="AB11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>CIE-10:
Difteria cutánea</t>
        </r>
      </text>
    </comment>
    <comment ref="J12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>CIE-10:
Exantema y otras erupciones cutáneas inespecíficas</t>
        </r>
      </text>
    </comment>
    <comment ref="S12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CIE-10:
Exantema y otras erupciones cutáneas inespecíficas</t>
        </r>
      </text>
    </comment>
    <comment ref="AB12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CIE-10:
Otras difterias</t>
        </r>
      </text>
    </comment>
    <comment ref="J13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CIE-10:
Rubéola [sarampión alemán]</t>
        </r>
      </text>
    </comment>
    <comment ref="S13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CIE-10:
Sarampión</t>
        </r>
      </text>
    </comment>
    <comment ref="AB13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CIE-10:
Difteria, no especificada</t>
        </r>
      </text>
    </comment>
    <comment ref="J14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CIE-10:
Contacto con y exposición a rubéola</t>
        </r>
      </text>
    </comment>
    <comment ref="J15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CIE-10:
Síndrome de rubéola congénita</t>
        </r>
      </text>
    </comment>
    <comment ref="A20" authorId="0" shapeId="0" xr:uid="{00000000-0006-0000-0100-000055000000}">
      <text>
        <r>
          <rPr>
            <sz val="11"/>
            <color theme="1"/>
            <rFont val="Calibri"/>
            <family val="2"/>
            <scheme val="minor"/>
          </rPr>
          <t>CIE-10:
Tos ferina, no especificada</t>
        </r>
      </text>
    </comment>
    <comment ref="J20" authorId="1" shapeId="0" xr:uid="{019B91E0-2008-46FD-A824-8BA9D8A587DD}">
      <text>
        <r>
          <rPr>
            <sz val="9"/>
            <color indexed="81"/>
            <rFont val="Tahoma"/>
            <family val="2"/>
          </rPr>
          <t>CIE-10:
Parotiditis</t>
        </r>
      </text>
    </comment>
    <comment ref="S20" authorId="0" shapeId="0" xr:uid="{00000000-0006-0000-0100-000056000000}">
      <text>
        <r>
          <rPr>
            <sz val="11"/>
            <color theme="1"/>
            <rFont val="Calibri"/>
            <family val="2"/>
            <scheme val="minor"/>
          </rPr>
          <t>CIE-10:
Tétanos neonatal</t>
        </r>
      </text>
    </comment>
    <comment ref="AB20" authorId="0" shapeId="0" xr:uid="{00000000-0006-0000-0100-000057000000}">
      <text>
        <r>
          <rPr>
            <sz val="11"/>
            <color theme="1"/>
            <rFont val="Calibri"/>
            <family val="2"/>
            <scheme val="minor"/>
          </rPr>
          <t>CIE-10:
Otros tétanos</t>
        </r>
      </text>
    </comment>
    <comment ref="A21" authorId="0" shapeId="0" xr:uid="{00000000-0006-0000-0100-000058000000}">
      <text>
        <r>
          <rPr>
            <sz val="11"/>
            <color theme="1"/>
            <rFont val="Calibri"/>
            <family val="2"/>
            <scheme val="minor"/>
          </rPr>
          <t>CIE-10:
Tos Ferina (Coqueluche)</t>
        </r>
      </text>
    </comment>
    <comment ref="J21" authorId="0" shapeId="0" xr:uid="{00000000-0006-0000-0100-000059000000}">
      <text>
        <r>
          <rPr>
            <sz val="11"/>
            <color theme="1"/>
            <rFont val="Calibri"/>
            <family val="2"/>
            <scheme val="minor"/>
          </rPr>
          <t>CIE-10:
Parotiditis infecciosa</t>
        </r>
      </text>
    </comment>
    <comment ref="S21" authorId="0" shapeId="0" xr:uid="{00000000-0006-0000-0100-00005A000000}">
      <text>
        <r>
          <rPr>
            <sz val="11"/>
            <color theme="1"/>
            <rFont val="Calibri"/>
            <family val="2"/>
            <scheme val="minor"/>
          </rPr>
          <t>CIE-10:
Tétanos obstétrico</t>
        </r>
      </text>
    </comment>
    <comment ref="A22" authorId="0" shapeId="0" xr:uid="{00000000-0006-0000-0100-00005B000000}">
      <text>
        <r>
          <rPr>
            <sz val="11"/>
            <color theme="1"/>
            <rFont val="Calibri"/>
            <family val="2"/>
            <scheme val="minor"/>
          </rPr>
          <t>CIE-10:
Tos ferina debida a Bordetella parapertussis</t>
        </r>
      </text>
    </comment>
    <comment ref="J22" authorId="0" shapeId="0" xr:uid="{00000000-0006-0000-0100-00005C000000}">
      <text>
        <r>
          <rPr>
            <sz val="11"/>
            <color theme="1"/>
            <rFont val="Calibri"/>
            <family val="2"/>
            <scheme val="minor"/>
          </rPr>
          <t>CIE-10:
 Parotiditis infecciosa con orquitis</t>
        </r>
      </text>
    </comment>
    <comment ref="A23" authorId="0" shapeId="0" xr:uid="{00000000-0006-0000-0100-00005D000000}">
      <text>
        <r>
          <rPr>
            <sz val="11"/>
            <color theme="1"/>
            <rFont val="Calibri"/>
            <family val="2"/>
            <scheme val="minor"/>
          </rPr>
          <t>CIE-10:
Tos ferina debida a otras especies de Bordetella</t>
        </r>
      </text>
    </comment>
    <comment ref="J23" authorId="0" shapeId="0" xr:uid="{00000000-0006-0000-0100-00005E000000}">
      <text>
        <r>
          <rPr>
            <sz val="11"/>
            <color theme="1"/>
            <rFont val="Calibri"/>
            <family val="2"/>
            <scheme val="minor"/>
          </rPr>
          <t>CIE-10:
Parotiditis infecciosa con meningitis</t>
        </r>
      </text>
    </comment>
    <comment ref="J24" authorId="0" shapeId="0" xr:uid="{00000000-0006-0000-0100-00005F000000}">
      <text>
        <r>
          <rPr>
            <sz val="11"/>
            <color theme="1"/>
            <rFont val="Calibri"/>
            <family val="2"/>
            <scheme val="minor"/>
          </rPr>
          <t>CIE-10:
Parotiditis infecciosa con encefalitis, meningoencefalitis</t>
        </r>
      </text>
    </comment>
    <comment ref="J25" authorId="0" shapeId="0" xr:uid="{00000000-0006-0000-0100-000060000000}">
      <text>
        <r>
          <rPr>
            <sz val="11"/>
            <color theme="1"/>
            <rFont val="Calibri"/>
            <family val="2"/>
            <scheme val="minor"/>
          </rPr>
          <t>CIE-10:
Parotiditis infecciosa con pancreatitis</t>
        </r>
      </text>
    </comment>
    <comment ref="J26" authorId="0" shapeId="0" xr:uid="{00000000-0006-0000-0100-000061000000}">
      <text>
        <r>
          <rPr>
            <sz val="11"/>
            <color theme="1"/>
            <rFont val="Calibri"/>
            <family val="2"/>
            <scheme val="minor"/>
          </rPr>
          <t>CIE-10:
Parotiditis infecciosa con otras complicaciones</t>
        </r>
      </text>
    </comment>
    <comment ref="A31" authorId="0" shapeId="0" xr:uid="{00000000-0006-0000-0100-00006E000000}">
      <text>
        <r>
          <rPr>
            <sz val="11"/>
            <color theme="1"/>
            <rFont val="Calibri"/>
            <family val="2"/>
            <scheme val="minor"/>
          </rPr>
          <t>CIE-10:
Otros cambios de la piel y los no especificados</t>
        </r>
      </text>
    </comment>
    <comment ref="J31" authorId="0" shapeId="0" xr:uid="{00000000-0006-0000-0100-00006F000000}">
      <text>
        <r>
          <rPr>
            <sz val="11"/>
            <color theme="1"/>
            <rFont val="Calibri"/>
            <family val="2"/>
            <scheme val="minor"/>
          </rPr>
          <t>CIE-10:
 Efectos adversos de otras vacunas y sustancias biológicas, y las no especificadas</t>
        </r>
      </text>
    </comment>
    <comment ref="A32" authorId="0" shapeId="0" xr:uid="{00000000-0006-0000-0100-000070000000}">
      <text>
        <r>
          <rPr>
            <sz val="11"/>
            <color theme="1"/>
            <rFont val="Calibri"/>
            <family val="2"/>
            <scheme val="minor"/>
          </rPr>
          <t>CIE-10:
Varicela</t>
        </r>
      </text>
    </comment>
    <comment ref="J32" authorId="0" shapeId="0" xr:uid="{00000000-0006-0000-0100-000071000000}">
      <text>
        <r>
          <rPr>
            <sz val="11"/>
            <color theme="1"/>
            <rFont val="Calibri"/>
            <family val="2"/>
            <scheme val="minor"/>
          </rPr>
          <t>CIE-10:
Efectos adversos de vacunas virales</t>
        </r>
      </text>
    </comment>
    <comment ref="J33" authorId="0" shapeId="0" xr:uid="{00000000-0006-0000-0100-000072000000}">
      <text>
        <r>
          <rPr>
            <sz val="11"/>
            <color theme="1"/>
            <rFont val="Calibri"/>
            <family val="2"/>
            <scheme val="minor"/>
          </rPr>
          <t>CIE-10:
Efectos adversos de vacunas contra rickettsias</t>
        </r>
      </text>
    </comment>
    <comment ref="J34" authorId="0" shapeId="0" xr:uid="{00000000-0006-0000-0100-000073000000}">
      <text>
        <r>
          <rPr>
            <sz val="11"/>
            <color theme="1"/>
            <rFont val="Calibri"/>
            <family val="2"/>
            <scheme val="minor"/>
          </rPr>
          <t>CIE-10:
Efectos adversos de vacunas antiprotozoarias</t>
        </r>
      </text>
    </comment>
    <comment ref="J35" authorId="0" shapeId="0" xr:uid="{00000000-0006-0000-0100-000074000000}">
      <text>
        <r>
          <rPr>
            <sz val="11"/>
            <color theme="1"/>
            <rFont val="Calibri"/>
            <family val="2"/>
            <scheme val="minor"/>
          </rPr>
          <t>CIE-10:
Efectos adversos de la inmunoglobulina</t>
        </r>
      </text>
    </comment>
    <comment ref="J36" authorId="0" shapeId="0" xr:uid="{00000000-0006-0000-0100-000075000000}">
      <text>
        <r>
          <rPr>
            <sz val="11"/>
            <color theme="1"/>
            <rFont val="Calibri"/>
            <family val="2"/>
            <scheme val="minor"/>
          </rPr>
          <t>CIE-10:
Efectos adversos de otras vacunas y sustancias biológicas especificadas</t>
        </r>
      </text>
    </comment>
    <comment ref="J37" authorId="0" shapeId="0" xr:uid="{00000000-0006-0000-0100-000076000000}">
      <text>
        <r>
          <rPr>
            <sz val="11"/>
            <color theme="1"/>
            <rFont val="Calibri"/>
            <family val="2"/>
            <scheme val="minor"/>
          </rPr>
          <t>CIE-10:
Efectos adversos de vacunas o sustancias biológicas no especificadas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Elieser Aguilar</author>
  </authors>
  <commentList>
    <comment ref="P3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CIE-10:
Cólera</t>
        </r>
      </text>
    </comment>
    <comment ref="Y3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CIE-10:
Fiebre amarilla</t>
        </r>
      </text>
    </comment>
    <comment ref="P4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CIE-10:
Peste</t>
        </r>
      </text>
    </comment>
    <comment ref="Y4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A80:
Poliomielitis aguda</t>
        </r>
      </text>
    </comment>
    <comment ref="P45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CIE-10:
Rubéola [sarampión alemán]</t>
        </r>
      </text>
    </comment>
    <comment ref="Y45" authorId="1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CIE-10:
Sarampión</t>
        </r>
      </text>
    </comment>
    <comment ref="P49" authorId="1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CIE-10:
Síndrome de rubéola congénita</t>
        </r>
      </text>
    </comment>
    <comment ref="Y49" authorId="1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CIE-10:
Tétanos neonatal</t>
        </r>
      </text>
    </comment>
    <comment ref="P53" authorId="1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falciparum</t>
        </r>
      </text>
    </comment>
    <comment ref="Y53" authorId="1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CIE-10:
Conjuntivitis viral</t>
        </r>
      </text>
    </comment>
    <comment ref="P54" authorId="1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vivax</t>
        </r>
      </text>
    </comment>
    <comment ref="P55" authorId="1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malariae</t>
        </r>
      </text>
    </comment>
    <comment ref="P56" authorId="1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CIE-10:
Otro paludismo [malaria] confirmado parasitológicamente</t>
        </r>
      </text>
    </comment>
    <comment ref="P57" authorId="1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CIE-10:
Paludismo [malaria] no especificado</t>
        </r>
      </text>
    </comment>
    <comment ref="P61" authorId="1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CIE-10:
Parotiditis infecciosa</t>
        </r>
      </text>
    </comment>
    <comment ref="Y61" authorId="1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CIE-10:
Varicela</t>
        </r>
      </text>
    </comment>
    <comment ref="P65" authorId="1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CIE-10:
Hepatitis aguda tipo A</t>
        </r>
      </text>
    </comment>
    <comment ref="Y65" authorId="1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CIE-10:
Hepatitis viral, sin otra especificación</t>
        </r>
      </text>
    </comment>
    <comment ref="P69" authorId="1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69" authorId="1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CIE-10:
Sífilis congénita</t>
        </r>
      </text>
    </comment>
    <comment ref="P73" authorId="1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CIE-10:
Sífilis que complica el embarazo, el parto y el puerperio</t>
        </r>
      </text>
    </comment>
    <comment ref="Y73" authorId="1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CIE-10:
Sífilis precoz</t>
        </r>
      </text>
    </comment>
    <comment ref="Y74" authorId="1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CIE-10:
Sífilis tardía</t>
        </r>
      </text>
    </comment>
    <comment ref="Y75" authorId="1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CIE-10:
Otras sífilis y las no especificadas</t>
        </r>
      </text>
    </comment>
    <comment ref="P79" authorId="1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CIE-10:
Otras infecciones víricas caracterizadas por lesiones de la piel y de las membranas mucosas, no clasificadas en otra parte</t>
        </r>
      </text>
    </comment>
    <comment ref="P83" authorId="1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83" authorId="1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84" authorId="1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84" authorId="1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85" authorId="1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85" authorId="1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89" authorId="1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89" authorId="1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90" authorId="1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90" authorId="1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91" authorId="1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91" authorId="1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95" authorId="1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95" authorId="1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96" authorId="1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96" authorId="1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97" authorId="1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97" authorId="1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101" authorId="0" shapeId="0" xr:uid="{625F7DEF-83D3-4564-A9A3-97FF66982730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01" authorId="0" shapeId="0" xr:uid="{11D7D941-1EE2-4E8E-B5ED-C3685D948A06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02" authorId="0" shapeId="0" xr:uid="{CBE2B1BB-AADA-4F4A-BB09-1B760C47FB85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02" authorId="0" shapeId="0" xr:uid="{27A67DC2-AF0C-462B-B3A7-EDCE71ED9018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03" authorId="0" shapeId="0" xr:uid="{8831ECE9-1007-437E-B094-43CAEF3B8BB1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03" authorId="0" shapeId="0" xr:uid="{1D4CCF36-8DBF-4F6A-B8AE-88305B900A07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04" authorId="0" shapeId="0" xr:uid="{452984D8-0E5F-42E6-B790-0B38ECE4FF50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04" authorId="0" shapeId="0" xr:uid="{89263B55-A7CF-459E-96ED-E0947342CCC3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05" authorId="0" shapeId="0" xr:uid="{EE1EB698-E93B-49FA-8C93-19939BBAAD41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05" authorId="0" shapeId="0" xr:uid="{42312267-FC7A-4542-A027-992F84347896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06" authorId="0" shapeId="0" xr:uid="{48952837-430D-4280-B2FB-FDF4BB84CB4B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06" authorId="0" shapeId="0" xr:uid="{94382913-4092-4832-8E7A-683A04BF5B52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07" authorId="0" shapeId="0" xr:uid="{49E659EA-12BF-4EEF-ABE2-96115844B19E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07" authorId="0" shapeId="0" xr:uid="{4875CCF9-928B-47B6-B48F-C826958B36CB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08" authorId="0" shapeId="0" xr:uid="{9292CC0B-C5F7-448E-B153-31A254953D81}">
      <text/>
    </comment>
    <comment ref="Y108" authorId="0" shapeId="0" xr:uid="{68FE84D9-FD55-4703-A794-47633D45BE31}">
      <text/>
    </comment>
    <comment ref="P109" authorId="0" shapeId="0" xr:uid="{5DB069D7-E4B2-4C2F-8D33-D5FE9199E68B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09" authorId="0" shapeId="0" xr:uid="{1EC6446C-08FD-4F61-BD30-70783185C057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13" authorId="0" shapeId="0" xr:uid="{53ADC560-3D78-45C9-8383-431D40BCB7D6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13" authorId="0" shapeId="0" xr:uid="{67366A0F-A72B-4894-B0D4-03B50B31F680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14" authorId="0" shapeId="0" xr:uid="{93E4E927-586C-4208-A966-39FF343BA019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14" authorId="0" shapeId="0" xr:uid="{9348911D-0B9B-4093-AF99-AD4FEFAB3B01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15" authorId="0" shapeId="0" xr:uid="{DF4C0E71-2C87-4230-AA0F-85121A7F4519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15" authorId="0" shapeId="0" xr:uid="{C7AF048C-6453-43CC-B99F-D60712F73F65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16" authorId="0" shapeId="0" xr:uid="{7244DF91-06D8-410F-BEEB-F8772FCDA751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16" authorId="0" shapeId="0" xr:uid="{F1307663-2F42-4E33-8913-347247F24773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17" authorId="0" shapeId="0" xr:uid="{CE5B7B9E-62EF-4D15-A9C1-029ED271EE74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17" authorId="0" shapeId="0" xr:uid="{0F81E158-8FCF-4D0D-9BDC-F20B220256F0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18" authorId="0" shapeId="0" xr:uid="{80BBF5A8-3D70-4E97-BEBD-BADCE5B78137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18" authorId="0" shapeId="0" xr:uid="{2A118E29-E2DB-478A-B23A-0DA24116FC2A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19" authorId="0" shapeId="0" xr:uid="{971FE20A-85E1-49F5-ABEE-78506817A532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19" authorId="0" shapeId="0" xr:uid="{0663C926-5C43-4310-B7B7-6262D1574A9E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20" authorId="0" shapeId="0" xr:uid="{F72C6AEB-6374-4DCB-B26C-97E28F81E751}">
      <text/>
    </comment>
    <comment ref="Y120" authorId="0" shapeId="0" xr:uid="{ED6301BE-C6BE-4339-9B0C-FA2751C07581}">
      <text/>
    </comment>
    <comment ref="P121" authorId="0" shapeId="0" xr:uid="{3C8CE917-6C89-4A34-B9C9-3B140FD84E26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21" authorId="0" shapeId="0" xr:uid="{AF1BB03D-B0F4-434A-BA69-5E7748834A47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25" authorId="0" shapeId="0" xr:uid="{F4A58D52-7BB9-4351-B60C-A5CCBC982B21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25" authorId="0" shapeId="0" xr:uid="{C94C35AE-357F-4A76-BC5F-959F8FD72A5F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26" authorId="0" shapeId="0" xr:uid="{C9C65E7B-B623-49F6-91F0-C99D649839CA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26" authorId="0" shapeId="0" xr:uid="{2D4D402E-7464-4E2B-89E4-42F0C685CBF5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27" authorId="0" shapeId="0" xr:uid="{F5BE55D4-66DB-449B-9C52-B22344EFA18D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27" authorId="0" shapeId="0" xr:uid="{4D0B311A-567A-49F4-9DA0-68F82389E082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28" authorId="0" shapeId="0" xr:uid="{CA8F1FE3-A72D-4680-911E-92E01077A2B0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28" authorId="0" shapeId="0" xr:uid="{A6E6D681-AF55-4451-9E86-930EBAAA34CA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29" authorId="0" shapeId="0" xr:uid="{ADD8E9DB-5FBB-41D4-B934-5C77ED5B6587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29" authorId="0" shapeId="0" xr:uid="{60527834-EF3D-4EED-8F77-B088B925D822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30" authorId="0" shapeId="0" xr:uid="{0644F9D3-6E0C-4D65-B14A-D62D0B6D01B3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30" authorId="0" shapeId="0" xr:uid="{DE987BBC-EB00-46C4-8F43-D3736FB9B858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31" authorId="0" shapeId="0" xr:uid="{778C9DCF-9ECE-4AF0-B3E8-7317E76FBCBF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31" authorId="0" shapeId="0" xr:uid="{ED37C7CD-85AB-4E19-BC04-365147267437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32" authorId="0" shapeId="0" xr:uid="{AAB1116D-C743-471D-A281-08B05C776298}">
      <text/>
    </comment>
    <comment ref="Y132" authorId="0" shapeId="0" xr:uid="{9240D04B-D8AD-49B4-AEF5-8CD719F19E10}">
      <text/>
    </comment>
    <comment ref="P133" authorId="0" shapeId="0" xr:uid="{7A74071F-695C-4EC1-8B18-5A1D0CD23CED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33" authorId="0" shapeId="0" xr:uid="{DF3EC711-EC67-4F07-AAF2-FF28AECDE39C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37" authorId="0" shapeId="0" xr:uid="{8A644BEE-26FE-42F3-9FCC-FEB02FE055E8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37" authorId="0" shapeId="0" xr:uid="{DA099EB1-E1A0-4F8D-AABB-0060C7B7E0F1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38" authorId="0" shapeId="0" xr:uid="{44F62AE9-6FD0-45A9-864E-D62DC372104E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38" authorId="0" shapeId="0" xr:uid="{61DE7DFB-D0BF-4087-A94D-034788FC411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39" authorId="0" shapeId="0" xr:uid="{420F2B8D-1C7C-401D-BAE2-65597D54C87F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39" authorId="0" shapeId="0" xr:uid="{60CCF4FC-9C11-4FE2-A0DD-C8CA317DCEAC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40" authorId="0" shapeId="0" xr:uid="{49A1718F-C0AF-4915-9E37-127098527B59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40" authorId="0" shapeId="0" xr:uid="{7B407851-D85B-4018-B9AA-E1CA2F6ACEBD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41" authorId="0" shapeId="0" xr:uid="{4BF07F23-981A-4EB1-8E27-7E665B724FD7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41" authorId="0" shapeId="0" xr:uid="{BDFBABE3-30D8-4607-9217-21EFB02E6978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42" authorId="0" shapeId="0" xr:uid="{4567B529-7396-414D-AEAE-705026858F9F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42" authorId="0" shapeId="0" xr:uid="{459C8E3A-7E05-4E20-85A7-6BEAF950B38C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43" authorId="0" shapeId="0" xr:uid="{9559248C-0D42-4461-AC91-FC96C9F98668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43" authorId="0" shapeId="0" xr:uid="{EA2CE834-B4C1-4038-9250-BA1AC8A8589B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47" authorId="0" shapeId="0" xr:uid="{F600E806-C150-4DF5-8280-27530300BD7F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47" authorId="0" shapeId="0" xr:uid="{5CFA51BE-00FA-4032-A102-DB50B97744AD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48" authorId="0" shapeId="0" xr:uid="{7EA96473-D62A-48FB-8C38-F3CDB50017E6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48" authorId="0" shapeId="0" xr:uid="{4E9A6F2B-B1E5-4CD8-B385-B05A924CE49B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49" authorId="0" shapeId="0" xr:uid="{21FC9FAE-9BF9-4159-9B72-04E6F8825B25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49" authorId="0" shapeId="0" xr:uid="{0E86D6F5-0403-4867-9FC9-3283251E34F5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50" authorId="0" shapeId="0" xr:uid="{DF2DFAC1-562E-4D20-85F9-879F2A8EC904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50" authorId="0" shapeId="0" xr:uid="{007F1CCD-4098-46B1-98C1-F5179CFC1AEE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51" authorId="0" shapeId="0" xr:uid="{D3E14B7F-C77C-4A10-870B-F87B5C98EAA0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51" authorId="0" shapeId="0" xr:uid="{9A3CB915-25D6-4877-921F-702467DA0CC0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52" authorId="0" shapeId="0" xr:uid="{7015F144-A9F0-4A68-8F57-971F499E0374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52" authorId="0" shapeId="0" xr:uid="{E49140D1-ECAA-4C4E-8D0D-13ECF7C5EFA3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53" authorId="0" shapeId="0" xr:uid="{BB7622E1-81F4-493F-B27C-CBCFF018A461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53" authorId="0" shapeId="0" xr:uid="{72346AAF-4374-435A-B3F3-7D08E8A01D83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57" authorId="0" shapeId="0" xr:uid="{FBA1122A-39F0-4F45-806A-738B6DAEF465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57" authorId="0" shapeId="0" xr:uid="{36EC2402-F835-42AB-B0B2-936A3EF76CC4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58" authorId="0" shapeId="0" xr:uid="{9FB2E4C8-EA80-4BFD-9427-50B22666E8A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58" authorId="0" shapeId="0" xr:uid="{017A3E0E-6473-410B-B060-829A2836C56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59" authorId="0" shapeId="0" xr:uid="{81D921B5-C157-48F7-8026-B32896C384FF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59" authorId="0" shapeId="0" xr:uid="{5D95F806-CA71-46AE-BF75-27564D074D20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60" authorId="0" shapeId="0" xr:uid="{DC3474C8-371A-4708-9517-3CFFF5501B56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60" authorId="0" shapeId="0" xr:uid="{113F9195-EDC6-4C4D-8388-0DE14F1B5A2F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61" authorId="0" shapeId="0" xr:uid="{5224F376-B115-460B-AE17-2E9321F802E3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61" authorId="0" shapeId="0" xr:uid="{29181177-B60E-4AA2-9872-3FE73D2217BE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62" authorId="0" shapeId="0" xr:uid="{B600A961-3D31-4D6F-92A0-F490F6AC984F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62" authorId="0" shapeId="0" xr:uid="{A0D74BB9-1119-4C79-93F2-2A459EB2E9D5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63" authorId="0" shapeId="0" xr:uid="{5A6F5FC9-79AE-44D8-B3E5-AA5DBCEFEAEE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63" authorId="0" shapeId="0" xr:uid="{5099ACFA-C00E-4AEC-8266-BCB3E86AF217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67" authorId="0" shapeId="0" xr:uid="{9CE4FC17-DD38-430D-AC45-E4B5922CF198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67" authorId="0" shapeId="0" xr:uid="{86C64515-2DE4-4DA3-AB8D-E1D310F24FB2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68" authorId="0" shapeId="0" xr:uid="{D5EEB432-7DAA-485D-AC8B-0335FD3BF619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68" authorId="0" shapeId="0" xr:uid="{E60F8617-1FE1-4150-BF7D-18C6BAB16CA6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69" authorId="0" shapeId="0" xr:uid="{FFF055FB-3A77-409A-BDF7-A082C7FEF1AF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69" authorId="0" shapeId="0" xr:uid="{82AACDA5-8AE8-4A77-AE94-AB64CB26BE76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73" authorId="0" shapeId="0" xr:uid="{CB4A0B13-F2A6-43EE-B0BB-7B183ABB271C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73" authorId="0" shapeId="0" xr:uid="{2186F776-6F8B-476C-A1FD-45185B0FA3C1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74" authorId="0" shapeId="0" xr:uid="{51651AAE-B24E-4EF0-9029-EE8C7C9A68D7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74" authorId="0" shapeId="0" xr:uid="{22354B1B-973B-4003-BD40-6B25CA1E0EEF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75" authorId="0" shapeId="0" xr:uid="{5F37676E-16EA-4B7D-9BDF-473D468C187F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75" authorId="0" shapeId="0" xr:uid="{A69BCCE0-64D6-417E-9864-BB7C61612224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79" authorId="0" shapeId="0" xr:uid="{EB7F1E4A-2511-46AB-8FEF-672616F8D243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79" authorId="0" shapeId="0" xr:uid="{51256FB1-748E-4547-9E00-474909D59799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80" authorId="0" shapeId="0" xr:uid="{A75AC2F2-75E9-4776-A1E2-1246B44F60E2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80" authorId="0" shapeId="0" xr:uid="{0D82BDC3-CD97-4B44-B01B-F7A082AC1FB4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81" authorId="0" shapeId="0" xr:uid="{F7402441-8B7D-4177-9FC3-FB589819D6FA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81" authorId="0" shapeId="0" xr:uid="{BDA1D914-BA9D-4731-8FF9-26218F094D64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85" authorId="0" shapeId="0" xr:uid="{E4552C78-370C-499A-A342-8C9D6AD81FBB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185" authorId="0" shapeId="0" xr:uid="{AEA36561-ED13-4A56-B195-2891823B7526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186" authorId="0" shapeId="0" xr:uid="{EA2803E3-E2F5-487D-9E0D-216E4FC3DC40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186" authorId="0" shapeId="0" xr:uid="{71D84705-ADA7-413C-B6A0-A279C74A16AC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187" authorId="0" shapeId="0" xr:uid="{9AB8686A-8772-4668-A775-F2E3C4D3AB6C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187" authorId="0" shapeId="0" xr:uid="{A2B55075-0926-43D2-B700-19F2CE4F279A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188" authorId="0" shapeId="0" xr:uid="{43872836-77F5-4042-B1F0-8677E7816701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188" authorId="0" shapeId="0" xr:uid="{40472943-3D3D-49B2-A3B6-D960DA200F6C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189" authorId="0" shapeId="0" xr:uid="{4F4A3818-BD14-4327-828C-71AA9782D39D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189" authorId="0" shapeId="0" xr:uid="{59FE0D39-ABAC-4582-A9FA-A0BF0EDFDF21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190" authorId="0" shapeId="0" xr:uid="{78668DC2-7F26-4833-8211-359A9067AE4B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190" authorId="0" shapeId="0" xr:uid="{57B65F74-8AE7-4EEC-A6F1-5B238B86F07F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191" authorId="0" shapeId="0" xr:uid="{D9EEC853-95F6-40D5-838A-F4F768B7C791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191" authorId="0" shapeId="0" xr:uid="{DEF1D472-6E3B-4FE3-ADD6-7A69A03177F5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192" authorId="0" shapeId="0" xr:uid="{6FBA2263-E9A9-42AD-941D-51300D6EFA99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192" authorId="0" shapeId="0" xr:uid="{403A0C71-DBAA-4056-A813-DB42E0420D3C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P196" authorId="0" shapeId="0" xr:uid="{4CD422A0-F6F2-46E3-8837-FB7E22EE0839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196" authorId="0" shapeId="0" xr:uid="{5D034A0B-712B-45D5-B409-38EDECCBC850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197" authorId="0" shapeId="0" xr:uid="{7C9E4B9A-FCBF-44CF-A9B1-D2E0A4F4218A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197" authorId="0" shapeId="0" xr:uid="{6BE18E4B-1569-424F-B35F-D44161483E99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198" authorId="0" shapeId="0" xr:uid="{FB83CADE-10F8-4D3A-86EF-BE156F242752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198" authorId="0" shapeId="0" xr:uid="{3DE44E65-CEC2-47E3-A101-9AAE58CB46E5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199" authorId="0" shapeId="0" xr:uid="{A5711024-CED8-4C54-8099-E186897E64EB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199" authorId="0" shapeId="0" xr:uid="{C2E7C15B-40A1-4DC2-8896-A8A3C70B6522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200" authorId="0" shapeId="0" xr:uid="{C45D33BF-3076-4F1A-8162-D3D6304EDCAC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200" authorId="0" shapeId="0" xr:uid="{F771D024-2711-4FEE-AF50-F095C45C2FE6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201" authorId="0" shapeId="0" xr:uid="{EEA2FF69-340B-42EE-AB0C-BB173DDA7A3A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201" authorId="0" shapeId="0" xr:uid="{EA97AFA0-23CD-49D7-B0D4-BCA2434DFB0E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202" authorId="0" shapeId="0" xr:uid="{581D6DCC-FAA1-4F02-8F93-80BB8960D59A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202" authorId="0" shapeId="0" xr:uid="{230EAF1A-6F2A-4EC0-B26D-5E66E40E3410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203" authorId="0" shapeId="0" xr:uid="{20D75F06-BFD1-4064-B6C0-164B4437ED27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203" authorId="0" shapeId="0" xr:uid="{D4281D54-4126-4F92-97D7-E7692F9C65E2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P207" authorId="0" shapeId="0" xr:uid="{D51E4DC0-7ADF-46D3-BCDF-14AFF41529A2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207" authorId="0" shapeId="0" xr:uid="{8954330B-BFC2-4244-9F80-3D5C85B97EC3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208" authorId="0" shapeId="0" xr:uid="{B250AC8E-EFFF-4CB9-80B7-0AE492CEB750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208" authorId="0" shapeId="0" xr:uid="{4B4F09BF-40C6-4AAA-B30D-4F6D504A5DA4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209" authorId="0" shapeId="0" xr:uid="{D1E29249-6864-492E-8579-33179F57AD16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209" authorId="0" shapeId="0" xr:uid="{0E6C79BC-725F-4CAA-BC12-20F9BB724FE0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210" authorId="0" shapeId="0" xr:uid="{B9D9E24D-F9B2-4A2F-B2CD-F6CCB083CB3B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210" authorId="0" shapeId="0" xr:uid="{7D78AF00-45BD-44FB-8730-7836413F7BF0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211" authorId="0" shapeId="0" xr:uid="{77B99E23-A7F8-408F-B479-2F6F650CEC11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211" authorId="0" shapeId="0" xr:uid="{818F2960-7979-4CC4-8C50-BCF349D69FF8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212" authorId="0" shapeId="0" xr:uid="{2F913A79-8CB8-4944-A29E-C55A55080D48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212" authorId="0" shapeId="0" xr:uid="{7EF6D628-96C9-425D-98B4-E858AF1727A2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213" authorId="0" shapeId="0" xr:uid="{423E4EF8-21C3-444A-98D9-9D138D603FE8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213" authorId="0" shapeId="0" xr:uid="{4188DF72-79A0-4833-B779-DD376EDA0557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214" authorId="0" shapeId="0" xr:uid="{8DDC01E7-7393-4D93-A6E3-BFF97E467F00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214" authorId="0" shapeId="0" xr:uid="{4ED0B7FA-93DF-49B6-BBCF-97EB1D622327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UER Guairá</author>
  </authors>
  <commentList>
    <comment ref="A5" authorId="0" shapeId="0" xr:uid="{BB3A9A7F-6999-4EAD-83C1-774391DF5131}">
      <text>
        <r>
          <rPr>
            <sz val="9"/>
            <color indexed="81"/>
            <rFont val="Tahoma"/>
            <family val="2"/>
          </rPr>
          <t>CIE-10:
Fiebres tifoidea y paratifoidea</t>
        </r>
      </text>
    </comment>
    <comment ref="J5" authorId="0" shapeId="0" xr:uid="{8C0276CA-6729-474F-B7E3-11B01286F413}">
      <text>
        <r>
          <rPr>
            <sz val="9"/>
            <color indexed="81"/>
            <rFont val="Tahoma"/>
            <family val="2"/>
          </rPr>
          <t>CIE-10:
Otras intoxicaciones alimentarias bacterianas, no clasificadas en otra parte</t>
        </r>
      </text>
    </comment>
    <comment ref="S5" authorId="0" shapeId="0" xr:uid="{3C9AE5E9-751E-4313-9B2D-EF7352A5F2D7}">
      <text>
        <r>
          <rPr>
            <sz val="9"/>
            <color indexed="81"/>
            <rFont val="Tahoma"/>
            <family val="2"/>
          </rPr>
          <t>CIE-10:
Botulismo</t>
        </r>
      </text>
    </comment>
    <comment ref="AB5" authorId="0" shapeId="0" xr:uid="{9D55C2AC-97AA-452A-922D-A665615549F1}">
      <text>
        <r>
          <rPr>
            <sz val="9"/>
            <color indexed="81"/>
            <rFont val="Tahoma"/>
            <family val="2"/>
          </rPr>
          <t>CIE-10:
Brucelosis</t>
        </r>
      </text>
    </comment>
    <comment ref="A6" authorId="0" shapeId="0" xr:uid="{0B68B9B5-B9B5-4DE5-86DD-E3C73775F405}">
      <text>
        <r>
          <rPr>
            <sz val="9"/>
            <color indexed="81"/>
            <rFont val="Tahoma"/>
            <family val="2"/>
          </rPr>
          <t>CIE-10:
Otras infecciones debidas a Salmonella</t>
        </r>
      </text>
    </comment>
    <comment ref="J6" authorId="0" shapeId="0" xr:uid="{B6351E1B-C2B9-4673-BF8C-500D05607B2D}">
      <text>
        <r>
          <rPr>
            <sz val="9"/>
            <color indexed="81"/>
            <rFont val="Tahoma"/>
            <family val="2"/>
          </rPr>
          <t>CIE-10:
Efecto tóxico del alcohol</t>
        </r>
      </text>
    </comment>
    <comment ref="A7" authorId="0" shapeId="0" xr:uid="{702551F8-AFE8-4BC9-92EE-5E7FC26950AB}">
      <text>
        <r>
          <rPr>
            <sz val="9"/>
            <color indexed="81"/>
            <rFont val="Tahoma"/>
            <family val="2"/>
          </rPr>
          <t>CIE-10:
Shigelosis</t>
        </r>
      </text>
    </comment>
    <comment ref="J7" authorId="0" shapeId="0" xr:uid="{4682B3FA-A15B-4E5A-BC91-7ED853CFAFAE}">
      <text>
        <r>
          <rPr>
            <sz val="9"/>
            <color indexed="81"/>
            <rFont val="Tahoma"/>
            <family val="2"/>
          </rPr>
          <t>CIE-10:
Efecto tóxico de metales</t>
        </r>
      </text>
    </comment>
    <comment ref="A8" authorId="0" shapeId="0" xr:uid="{148BCE53-6D88-425F-9B74-6575BAA2C97B}">
      <text>
        <r>
          <rPr>
            <sz val="9"/>
            <color indexed="81"/>
            <rFont val="Tahoma"/>
            <family val="2"/>
          </rPr>
          <t>CIE-10:
Otras infecciones intestinales bacterianas</t>
        </r>
      </text>
    </comment>
    <comment ref="J8" authorId="0" shapeId="0" xr:uid="{A8045903-4972-4D67-9146-40A21F6499A6}">
      <text>
        <r>
          <rPr>
            <sz val="9"/>
            <color indexed="81"/>
            <rFont val="Tahoma"/>
            <family val="2"/>
          </rPr>
          <t>CIE-10:
Insecticidas organofosforados y carbamatos</t>
        </r>
      </text>
    </comment>
    <comment ref="A9" authorId="0" shapeId="0" xr:uid="{83BF6469-FDEA-47D6-8793-C978FF2B2001}">
      <text>
        <r>
          <rPr>
            <sz val="9"/>
            <color indexed="81"/>
            <rFont val="Tahoma"/>
            <family val="2"/>
          </rPr>
          <t>CIE-10:
Otras intoxicaciones alimentarias bacterianas, no clasificadas en otra parte</t>
        </r>
      </text>
    </comment>
    <comment ref="A10" authorId="0" shapeId="0" xr:uid="{BAB13462-1FCE-44B9-87C5-966580CCC6FC}">
      <text>
        <r>
          <rPr>
            <sz val="9"/>
            <color indexed="81"/>
            <rFont val="Tahoma"/>
            <family val="2"/>
          </rPr>
          <t>CIE-10:
Amebiasis</t>
        </r>
      </text>
    </comment>
    <comment ref="S10" authorId="0" shapeId="0" xr:uid="{A1AA2177-622E-4D56-986A-9356545710F9}">
      <text>
        <r>
          <rPr>
            <sz val="9"/>
            <color indexed="81"/>
            <rFont val="Tahoma"/>
            <family val="2"/>
          </rPr>
          <t>CIE-10:
Carbunco [ántrax]</t>
        </r>
      </text>
    </comment>
    <comment ref="AB10" authorId="0" shapeId="0" xr:uid="{130C89F8-ADF1-4F4D-ACDE-7EC1A59322C6}">
      <text>
        <r>
          <rPr>
            <sz val="9"/>
            <color indexed="81"/>
            <rFont val="Tahoma"/>
            <family val="2"/>
          </rPr>
          <t>CIE-10:
Enfermedad de Chagas</t>
        </r>
      </text>
    </comment>
    <comment ref="A11" authorId="0" shapeId="0" xr:uid="{D293604E-B5D6-404E-97DF-0872A723EC14}">
      <text>
        <r>
          <rPr>
            <sz val="9"/>
            <color indexed="81"/>
            <rFont val="Tahoma"/>
            <family val="2"/>
          </rPr>
          <t>CIE-10:
Otras enfermedades intestinales debidas a protozoarios</t>
        </r>
      </text>
    </comment>
    <comment ref="A12" authorId="0" shapeId="0" xr:uid="{8E3C5616-B8C1-4D1A-BCE2-E88ED91C6E7D}">
      <text>
        <r>
          <rPr>
            <sz val="9"/>
            <color indexed="81"/>
            <rFont val="Tahoma"/>
            <family val="2"/>
          </rPr>
          <t>CIE-10:
Infecciones intestinales debidas a virus y otros organismos especificados</t>
        </r>
      </text>
    </comment>
    <comment ref="A13" authorId="0" shapeId="0" xr:uid="{D4B1D2FB-FAAB-48D8-BFD5-90715604C113}">
      <text>
        <r>
          <rPr>
            <sz val="9"/>
            <color indexed="81"/>
            <rFont val="Tahoma"/>
            <family val="2"/>
          </rPr>
          <t>CIE-10:
Diarrea y gastroenteritis de presunto origen infeccioso</t>
        </r>
      </text>
    </comment>
    <comment ref="A14" authorId="0" shapeId="0" xr:uid="{D0A1C377-000A-4F28-A6AE-B06CD0E66A6C}">
      <text>
        <r>
          <rPr>
            <sz val="9"/>
            <color indexed="81"/>
            <rFont val="Tahoma"/>
            <family val="2"/>
          </rPr>
          <t>CIE-10:
Carbunco [ántrax]</t>
        </r>
      </text>
    </comment>
    <comment ref="A15" authorId="0" shapeId="0" xr:uid="{EDFCE95B-0A70-4705-B8EC-A5C2622F057D}">
      <text>
        <r>
          <rPr>
            <sz val="9"/>
            <color indexed="81"/>
            <rFont val="Tahoma"/>
            <family val="2"/>
          </rPr>
          <t>CIE-10.
Brucelosis</t>
        </r>
      </text>
    </comment>
    <comment ref="J15" authorId="0" shapeId="0" xr:uid="{3F2FB611-EEA8-447D-82C7-2A9F14198202}">
      <text>
        <r>
          <rPr>
            <sz val="9"/>
            <color indexed="81"/>
            <rFont val="Tahoma"/>
            <family val="2"/>
          </rPr>
          <t>CIE-10:
Enfermedad por virus Chikungunya</t>
        </r>
      </text>
    </comment>
    <comment ref="S15" authorId="0" shapeId="0" xr:uid="{7A2DE52A-FC07-40A9-9CDE-191402EF6FE2}">
      <text>
        <r>
          <rPr>
            <sz val="9"/>
            <color indexed="81"/>
            <rFont val="Tahoma"/>
            <family val="2"/>
          </rPr>
          <t>CIE-10:
Cólera</t>
        </r>
      </text>
    </comment>
    <comment ref="AB15" authorId="0" shapeId="0" xr:uid="{7054556C-E0E3-4408-A889-28E031E137AB}">
      <text>
        <r>
          <rPr>
            <sz val="9"/>
            <color indexed="81"/>
            <rFont val="Tahoma"/>
            <family val="2"/>
          </rPr>
          <t>CIE-10:
Tos ferina debida a Bordetella pertussis</t>
        </r>
      </text>
    </comment>
    <comment ref="A16" authorId="0" shapeId="0" xr:uid="{F6FBA71D-C1EB-4DF3-8580-18C826F98E0A}">
      <text>
        <r>
          <rPr>
            <sz val="9"/>
            <color indexed="81"/>
            <rFont val="Tahoma"/>
            <family val="2"/>
          </rPr>
          <t>CIE-10:
Listeriosis</t>
        </r>
      </text>
    </comment>
    <comment ref="A17" authorId="0" shapeId="0" xr:uid="{FAE96684-F476-4D21-B725-6F406DD7ACFE}">
      <text>
        <r>
          <rPr>
            <sz val="9"/>
            <color indexed="81"/>
            <rFont val="Tahoma"/>
            <family val="2"/>
          </rPr>
          <t>CIE-10:
Hepatitis aguda tipo A</t>
        </r>
      </text>
    </comment>
    <comment ref="A18" authorId="0" shapeId="0" xr:uid="{6597CD0F-5349-400F-AAE9-BCF611C73760}">
      <text>
        <r>
          <rPr>
            <sz val="9"/>
            <color indexed="81"/>
            <rFont val="Tahoma"/>
            <family val="2"/>
          </rPr>
          <t>CIE-10:
Otras infecciones debidas a trematodos</t>
        </r>
      </text>
    </comment>
    <comment ref="A19" authorId="0" shapeId="0" xr:uid="{D18914F4-23C1-4415-9F81-F492228000B7}">
      <text>
        <r>
          <rPr>
            <sz val="9"/>
            <color indexed="81"/>
            <rFont val="Tahoma"/>
            <family val="2"/>
          </rPr>
          <t>CIE-10:
Equinococosis</t>
        </r>
      </text>
    </comment>
    <comment ref="A20" authorId="0" shapeId="0" xr:uid="{BBA76B97-FEF3-4243-8CC1-8C1284CBE7F5}">
      <text>
        <r>
          <rPr>
            <sz val="9"/>
            <color indexed="81"/>
            <rFont val="Tahoma"/>
            <family val="2"/>
          </rPr>
          <t>CIE-10:
Teniasis</t>
        </r>
      </text>
    </comment>
    <comment ref="J20" authorId="0" shapeId="0" xr:uid="{B75F641C-40CD-4ACC-AB45-418A653F2B1C}">
      <text>
        <r>
          <rPr>
            <sz val="9"/>
            <color indexed="81"/>
            <rFont val="Tahoma"/>
            <family val="2"/>
          </rPr>
          <t>CIE-10:
Fiebre del dengue [dengue clásico]</t>
        </r>
      </text>
    </comment>
    <comment ref="S20" authorId="0" shapeId="0" xr:uid="{5F0614E5-0AC2-484B-B763-395ED43D1E24}">
      <text>
        <r>
          <rPr>
            <sz val="9"/>
            <color indexed="81"/>
            <rFont val="Tahoma"/>
            <family val="2"/>
          </rPr>
          <t>CIE-10:
Difteria</t>
        </r>
      </text>
    </comment>
    <comment ref="AB20" authorId="0" shapeId="0" xr:uid="{6636859E-72F1-4799-A4E9-8D4997C1FA0F}">
      <text>
        <r>
          <rPr>
            <sz val="9"/>
            <color indexed="81"/>
            <rFont val="Tahoma"/>
            <family val="2"/>
          </rPr>
          <t>CIE-10:
Enfermedad de Creutzfeldt-Jakob</t>
        </r>
      </text>
    </comment>
    <comment ref="A21" authorId="0" shapeId="0" xr:uid="{CA73C17E-15AA-42E7-BC42-43B760A71E0D}">
      <text>
        <r>
          <rPr>
            <sz val="9"/>
            <color indexed="81"/>
            <rFont val="Tahoma"/>
            <family val="2"/>
          </rPr>
          <t>CIE-10:
Cisticercosis</t>
        </r>
      </text>
    </comment>
    <comment ref="A22" authorId="0" shapeId="0" xr:uid="{BD7C8B48-269B-4CAC-8D99-CEF39FD281DD}">
      <text>
        <r>
          <rPr>
            <sz val="9"/>
            <color indexed="81"/>
            <rFont val="Tahoma"/>
            <family val="2"/>
          </rPr>
          <t>CIE-10:
Difilobotriasis y esparganosis</t>
        </r>
      </text>
    </comment>
    <comment ref="A23" authorId="0" shapeId="0" xr:uid="{7D54B7AE-8762-484A-9680-23B4BB402F31}">
      <text>
        <r>
          <rPr>
            <sz val="9"/>
            <color indexed="81"/>
            <rFont val="Tahoma"/>
            <family val="2"/>
          </rPr>
          <t>CIE-10:
Triquinosis</t>
        </r>
      </text>
    </comment>
    <comment ref="A24" authorId="0" shapeId="0" xr:uid="{D90CA752-0048-4203-BC59-297A2D8C9C78}">
      <text>
        <r>
          <rPr>
            <sz val="9"/>
            <color indexed="81"/>
            <rFont val="Tahoma"/>
            <family val="2"/>
          </rPr>
          <t>CIE-10:
Tricuriasis</t>
        </r>
      </text>
    </comment>
    <comment ref="J25" authorId="0" shapeId="0" xr:uid="{CEEBD8AA-A2B0-44DA-BBBD-E314C0CFEAA1}">
      <text>
        <r>
          <rPr>
            <sz val="9"/>
            <color indexed="81"/>
            <rFont val="Tahoma"/>
            <family val="2"/>
          </rPr>
          <t>CIE-10:
Fiebre del dengue hemorrágico</t>
        </r>
      </text>
    </comment>
    <comment ref="S25" authorId="0" shapeId="0" xr:uid="{96E24F39-32F0-4612-858D-C8DE9DB6A7C6}">
      <text>
        <r>
          <rPr>
            <sz val="9"/>
            <color indexed="81"/>
            <rFont val="Tahoma"/>
            <family val="2"/>
          </rPr>
          <t>CIE-10:
Fiebre amarilla selvática</t>
        </r>
      </text>
    </comment>
    <comment ref="AB25" authorId="0" shapeId="0" xr:uid="{26E2CCA9-9083-4248-81D8-9254043FB389}">
      <text>
        <r>
          <rPr>
            <sz val="9"/>
            <color indexed="81"/>
            <rFont val="Tahoma"/>
            <family val="2"/>
          </rPr>
          <t>CIE-10:
Fiebre tifoidea</t>
        </r>
      </text>
    </comment>
    <comment ref="S26" authorId="0" shapeId="0" xr:uid="{E1E64775-3E4E-4511-83EA-974883C914BF}">
      <text>
        <r>
          <rPr>
            <sz val="9"/>
            <color indexed="81"/>
            <rFont val="Tahoma"/>
            <family val="2"/>
          </rPr>
          <t>CIE-10:
Fiebre amarilla urbana</t>
        </r>
      </text>
    </comment>
    <comment ref="AB26" authorId="0" shapeId="0" xr:uid="{0E6460FB-BE89-4983-A958-D0DC2D47A3CA}">
      <text>
        <r>
          <rPr>
            <sz val="9"/>
            <color indexed="81"/>
            <rFont val="Tahoma"/>
            <family val="2"/>
          </rPr>
          <t>CIE-10:
Fiebre paratifoidea A</t>
        </r>
      </text>
    </comment>
    <comment ref="S27" authorId="0" shapeId="0" xr:uid="{E9446F21-170E-481B-96F6-ED7AD34D21FA}">
      <text>
        <r>
          <rPr>
            <sz val="9"/>
            <color indexed="81"/>
            <rFont val="Tahoma"/>
            <family val="2"/>
          </rPr>
          <t>CIE-10:
Fiebre amarilla, no especificada</t>
        </r>
      </text>
    </comment>
    <comment ref="AB27" authorId="0" shapeId="0" xr:uid="{1AFFBCF2-4270-4C54-BB69-D6B88AF6F73E}">
      <text>
        <r>
          <rPr>
            <sz val="9"/>
            <color indexed="81"/>
            <rFont val="Tahoma"/>
            <family val="2"/>
          </rPr>
          <t>CIE-10:
Fiebre paratifoidea B</t>
        </r>
      </text>
    </comment>
    <comment ref="AB28" authorId="0" shapeId="0" xr:uid="{27B76C83-68A1-4963-B42C-CDC3C00E8992}">
      <text>
        <r>
          <rPr>
            <sz val="9"/>
            <color indexed="81"/>
            <rFont val="Tahoma"/>
            <family val="2"/>
          </rPr>
          <t>CIE-10:
Fiebre paratifoidea C</t>
        </r>
      </text>
    </comment>
    <comment ref="AB29" authorId="0" shapeId="0" xr:uid="{87D1059B-3729-47CD-B190-A666E8B7D9D7}">
      <text>
        <r>
          <rPr>
            <sz val="9"/>
            <color indexed="81"/>
            <rFont val="Tahoma"/>
            <family val="2"/>
          </rPr>
          <t>CIE-10:
Fiebre paratifoidea, no especificada</t>
        </r>
      </text>
    </comment>
    <comment ref="A30" authorId="0" shapeId="0" xr:uid="{843ECC9F-9D6E-4E17-878A-2AC9A9FDA431}">
      <text>
        <r>
          <rPr>
            <sz val="9"/>
            <color indexed="81"/>
            <rFont val="Tahoma"/>
            <family val="2"/>
          </rPr>
          <t>CIE-10:
Hepatitis aguda tipo A</t>
        </r>
      </text>
    </comment>
    <comment ref="J30" authorId="0" shapeId="0" xr:uid="{59BA0DBE-8290-4035-9FC8-AE150ACB624D}">
      <text>
        <r>
          <rPr>
            <sz val="9"/>
            <color indexed="81"/>
            <rFont val="Tahoma"/>
            <family val="2"/>
          </rPr>
          <t>CIE-10:
Síndrome (cardio)-pulmonar por hantavirus [SPH] [SCPH] (J17.1)</t>
        </r>
      </text>
    </comment>
    <comment ref="S34" authorId="0" shapeId="0" xr:uid="{6B9DFFF9-961A-4A32-AC00-E507C1BDADF4}">
      <text>
        <r>
          <rPr>
            <sz val="9"/>
            <color indexed="81"/>
            <rFont val="Tahoma"/>
            <family val="2"/>
          </rPr>
          <t>CIE-10:
Leishmaniasis cutánea</t>
        </r>
      </text>
    </comment>
    <comment ref="A35" authorId="0" shapeId="0" xr:uid="{E5A917C5-6F7E-4871-9CB3-9D8440759C1E}">
      <text>
        <r>
          <rPr>
            <sz val="9"/>
            <color indexed="81"/>
            <rFont val="Tahoma"/>
            <family val="2"/>
          </rPr>
          <t>CIE-10:
Hepatitis aguda tipo B</t>
        </r>
      </text>
    </comment>
    <comment ref="J35" authorId="0" shapeId="0" xr:uid="{C983324E-3496-4B1A-8DDB-B57232A37AA3}">
      <text>
        <r>
          <rPr>
            <sz val="9"/>
            <color indexed="81"/>
            <rFont val="Tahoma"/>
            <family val="2"/>
          </rPr>
          <t>CIE-10:
Hepatitis aguda tipo C</t>
        </r>
      </text>
    </comment>
    <comment ref="S35" authorId="0" shapeId="0" xr:uid="{50C827E7-C10C-4058-9BB8-8022A8BD1E1F}">
      <text>
        <r>
          <rPr>
            <sz val="9"/>
            <color indexed="81"/>
            <rFont val="Tahoma"/>
            <family val="2"/>
          </rPr>
          <t>CIE-10:
Leishmaniasis mucocutánea</t>
        </r>
      </text>
    </comment>
    <comment ref="AB35" authorId="0" shapeId="0" xr:uid="{459670E3-69CA-4346-8F1F-577EE6DBF6C9}">
      <text>
        <r>
          <rPr>
            <sz val="9"/>
            <color indexed="81"/>
            <rFont val="Tahoma"/>
            <family val="2"/>
          </rPr>
          <t>CIE-10:
Leishmaniasis visceral</t>
        </r>
      </text>
    </comment>
    <comment ref="A40" authorId="0" shapeId="0" xr:uid="{549EF3C1-FF15-468F-A890-510011B4BD68}">
      <text>
        <r>
          <rPr>
            <sz val="9"/>
            <color indexed="81"/>
            <rFont val="Tahoma"/>
            <family val="2"/>
          </rPr>
          <t>CIE-10:
Lepra [enfermedad de Hansen]</t>
        </r>
      </text>
    </comment>
    <comment ref="J40" authorId="0" shapeId="0" xr:uid="{9E231E12-AC74-40BC-A66F-90C95BCA85DD}">
      <text>
        <r>
          <rPr>
            <sz val="9"/>
            <color indexed="81"/>
            <rFont val="Tahoma"/>
            <family val="2"/>
          </rPr>
          <t>CIE-10:
Leptospirosis</t>
        </r>
      </text>
    </comment>
    <comment ref="S40" authorId="0" shapeId="0" xr:uid="{4DC00019-ED97-4E2F-A0D7-19EFF8055DE2}">
      <text>
        <r>
          <rPr>
            <sz val="9"/>
            <color indexed="81"/>
            <rFont val="Tahoma"/>
            <family val="2"/>
          </rPr>
          <t>CIE-10:
Enfermedad meningocócica</t>
        </r>
      </text>
    </comment>
    <comment ref="AB40" authorId="0" shapeId="0" xr:uid="{424D556E-681E-46EA-9BD4-B4F6C5051B23}">
      <text>
        <r>
          <rPr>
            <sz val="9"/>
            <color indexed="81"/>
            <rFont val="Tahoma"/>
            <family val="2"/>
          </rPr>
          <t>CIE-10:
Meningitis apiógena</t>
        </r>
      </text>
    </comment>
    <comment ref="S41" authorId="0" shapeId="0" xr:uid="{4E23DAED-CCD7-437E-83DB-64AFB69C335D}">
      <text>
        <r>
          <rPr>
            <sz val="9"/>
            <color indexed="81"/>
            <rFont val="Tahoma"/>
            <family val="2"/>
          </rPr>
          <t>CIE-10.
Meningitis bacteriana, no clasificada en otra parte</t>
        </r>
      </text>
    </comment>
    <comment ref="AB41" authorId="0" shapeId="0" xr:uid="{51BB5817-7C1D-42CD-BD23-73C458811195}">
      <text>
        <r>
          <rPr>
            <sz val="9"/>
            <color indexed="81"/>
            <rFont val="Tahoma"/>
            <family val="2"/>
          </rPr>
          <t>CIE-10.
Meningitis viral</t>
        </r>
      </text>
    </comment>
    <comment ref="A46" authorId="0" shapeId="0" xr:uid="{EDC39199-9733-4787-BF50-6CDAA96006B2}">
      <text>
        <r>
          <rPr>
            <sz val="9"/>
            <color indexed="81"/>
            <rFont val="Tahoma"/>
            <family val="2"/>
          </rPr>
          <t>CIE-10:
Paludismo [malaria] debido a Plasmodium falciparum</t>
        </r>
      </text>
    </comment>
    <comment ref="J46" authorId="0" shapeId="0" xr:uid="{F50085BD-39AD-4716-837D-09E550379F65}">
      <text>
        <r>
          <rPr>
            <sz val="9"/>
            <color indexed="81"/>
            <rFont val="Tahoma"/>
            <family val="2"/>
          </rPr>
          <t>CIE-10:
Erisipeloide</t>
        </r>
      </text>
    </comment>
    <comment ref="S46" authorId="0" shapeId="0" xr:uid="{D838BD8E-5138-4AF2-909A-B0F6260A4D03}">
      <text>
        <r>
          <rPr>
            <sz val="9"/>
            <color indexed="81"/>
            <rFont val="Tahoma"/>
            <family val="2"/>
          </rPr>
          <t>CIE-10:
Peste</t>
        </r>
      </text>
    </comment>
    <comment ref="AB46" authorId="0" shapeId="0" xr:uid="{0DDC9D7B-1C99-4861-BD74-2245B51AB6EF}">
      <text>
        <r>
          <rPr>
            <sz val="9"/>
            <color indexed="81"/>
            <rFont val="Tahoma"/>
            <family val="2"/>
          </rPr>
          <t>CIE-10:
Poliomielitis aguda</t>
        </r>
      </text>
    </comment>
    <comment ref="A47" authorId="0" shapeId="0" xr:uid="{F2050FB5-2479-499B-8D7A-68CB40CEE01A}">
      <text>
        <r>
          <rPr>
            <sz val="9"/>
            <color indexed="81"/>
            <rFont val="Tahoma"/>
            <family val="2"/>
          </rPr>
          <t>CIE-10:
Paludismo [malaria] debido a Plasmodium vivax</t>
        </r>
      </text>
    </comment>
    <comment ref="A48" authorId="0" shapeId="0" xr:uid="{CA94ADC0-0439-49DF-9000-25322BA0F949}">
      <text>
        <r>
          <rPr>
            <sz val="9"/>
            <color indexed="81"/>
            <rFont val="Tahoma"/>
            <family val="2"/>
          </rPr>
          <t>CIE-10:
Paludismo [malaria] debido a Plasmodium malariae</t>
        </r>
      </text>
    </comment>
    <comment ref="A49" authorId="0" shapeId="0" xr:uid="{5295DB51-12EC-4FED-8CC9-7E674853B27C}">
      <text>
        <r>
          <rPr>
            <sz val="9"/>
            <color indexed="81"/>
            <rFont val="Tahoma"/>
            <family val="2"/>
          </rPr>
          <t>CIE-10:
Otro paludismo [malaria] confirmado parasitológicamente</t>
        </r>
      </text>
    </comment>
    <comment ref="A50" authorId="0" shapeId="0" xr:uid="{8F577F00-430E-4FB2-A969-17C9ABE590E1}">
      <text>
        <r>
          <rPr>
            <sz val="9"/>
            <color indexed="81"/>
            <rFont val="Tahoma"/>
            <family val="2"/>
          </rPr>
          <t>CIE-10:
Paludismo [malaria] no especificado</t>
        </r>
      </text>
    </comment>
    <comment ref="J51" authorId="0" shapeId="0" xr:uid="{91C5B142-5F82-407E-8937-9A096EE7663A}">
      <text>
        <r>
          <rPr>
            <sz val="9"/>
            <color indexed="81"/>
            <rFont val="Tahoma"/>
            <family val="2"/>
          </rPr>
          <t>CIE-10:
Infección debida a Chlamydia psittaci</t>
        </r>
      </text>
    </comment>
    <comment ref="S51" authorId="0" shapeId="0" xr:uid="{1FD6E0F0-4DF6-47DF-9D0B-453DC7525B60}">
      <text>
        <r>
          <rPr>
            <sz val="9"/>
            <color indexed="81"/>
            <rFont val="Tahoma"/>
            <family val="2"/>
          </rPr>
          <t>CIE-10:
Rabia</t>
        </r>
      </text>
    </comment>
    <comment ref="AB51" authorId="0" shapeId="0" xr:uid="{F2ACEB22-E459-4AD5-9CEC-7C44E0B76844}">
      <text>
        <r>
          <rPr>
            <sz val="9"/>
            <color indexed="81"/>
            <rFont val="Tahoma"/>
            <family val="2"/>
          </rPr>
          <t>CIE-10:
Enteritis debida a rotavirus</t>
        </r>
      </text>
    </comment>
    <comment ref="A56" authorId="0" shapeId="0" xr:uid="{BDE803E9-6B76-4D04-99FB-2179A4DE2414}">
      <text>
        <r>
          <rPr>
            <sz val="9"/>
            <color indexed="81"/>
            <rFont val="Tahoma"/>
            <family val="2"/>
          </rPr>
          <t>CIE-10:
Rubéola [sarampión alemán]</t>
        </r>
      </text>
    </comment>
    <comment ref="J56" authorId="0" shapeId="0" xr:uid="{AB607DFA-384E-4DCE-B1B4-392DAF2F4A10}">
      <text>
        <r>
          <rPr>
            <sz val="9"/>
            <color indexed="81"/>
            <rFont val="Tahoma"/>
            <family val="2"/>
          </rPr>
          <t>CIE-10:
Síndrome de rubéola congénita</t>
        </r>
      </text>
    </comment>
    <comment ref="S56" authorId="0" shapeId="0" xr:uid="{094A7066-F6A5-4238-8D7D-7E9D7FAD014F}">
      <text>
        <r>
          <rPr>
            <sz val="9"/>
            <color indexed="81"/>
            <rFont val="Tahoma"/>
            <family val="2"/>
          </rPr>
          <t>CIE-10:
Sarampión</t>
        </r>
      </text>
    </comment>
    <comment ref="AB56" authorId="0" shapeId="0" xr:uid="{64D8E9E2-3EB2-4381-B0AA-2A0AAB8C27CA}">
      <text>
        <r>
          <rPr>
            <sz val="9"/>
            <color indexed="81"/>
            <rFont val="Tahoma"/>
            <family val="2"/>
          </rPr>
          <t>CIE-10:
Infección debida a Escherichia coli enterohemorrágica</t>
        </r>
      </text>
    </comment>
    <comment ref="A61" authorId="0" shapeId="0" xr:uid="{AEAA402B-989A-4176-B420-6BC8F11F6FD1}">
      <text>
        <r>
          <rPr>
            <sz val="9"/>
            <color indexed="81"/>
            <rFont val="Tahoma"/>
            <family val="2"/>
          </rPr>
          <t>CIE-10:
Sífilis congénita</t>
        </r>
      </text>
    </comment>
    <comment ref="J61" authorId="0" shapeId="0" xr:uid="{BF7F1044-A008-4BDD-9954-2C803D2C89CC}">
      <text>
        <r>
          <rPr>
            <sz val="9"/>
            <color indexed="81"/>
            <rFont val="Tahoma"/>
            <family val="2"/>
          </rPr>
          <t>CIE-10:
Infección debida a Coronavirus, de sitio no especificado</t>
        </r>
      </text>
    </comment>
    <comment ref="S61" authorId="0" shapeId="0" xr:uid="{4BB1A320-9CCD-427C-B1D1-140A9B7FAC3A}">
      <text>
        <r>
          <rPr>
            <sz val="9"/>
            <color indexed="81"/>
            <rFont val="Tahoma"/>
            <family val="2"/>
          </rPr>
          <t>CIE-10:
Tétanos otras edades</t>
        </r>
      </text>
    </comment>
    <comment ref="AB61" authorId="0" shapeId="0" xr:uid="{AAD973DE-17D2-43A4-A6A1-78EB7B7B1F5E}">
      <text>
        <r>
          <rPr>
            <sz val="9"/>
            <color indexed="81"/>
            <rFont val="Tahoma"/>
            <family val="2"/>
          </rPr>
          <t>CIE-10:
Tuberculosis respiratoria, confirmada bacteriológica e histológicamente</t>
        </r>
      </text>
    </comment>
    <comment ref="A62" authorId="0" shapeId="0" xr:uid="{72714CAF-998D-43FD-8FC3-CAECA6BE5BA2}">
      <text>
        <r>
          <rPr>
            <sz val="9"/>
            <color indexed="81"/>
            <rFont val="Tahoma"/>
            <family val="2"/>
          </rPr>
          <t>CIE-10:
Sífilis precoz</t>
        </r>
      </text>
    </comment>
    <comment ref="J62" authorId="0" shapeId="0" xr:uid="{840EE933-6BBE-4191-B26B-EF695666EB93}">
      <text>
        <r>
          <rPr>
            <sz val="9"/>
            <color indexed="81"/>
            <rFont val="Tahoma"/>
            <family val="2"/>
          </rPr>
          <t>CIE-10:
síndrome respiratorio agudo grave [SRAG]</t>
        </r>
      </text>
    </comment>
    <comment ref="AB62" authorId="0" shapeId="0" xr:uid="{D5B268A3-6F60-4255-B274-60B6F91C6669}">
      <text>
        <r>
          <rPr>
            <sz val="9"/>
            <color indexed="81"/>
            <rFont val="Tahoma"/>
            <family val="2"/>
          </rPr>
          <t>CIE-10:
Tuberculosis respiratoria, no confirmada bacteriológica o histológicamente</t>
        </r>
      </text>
    </comment>
    <comment ref="A63" authorId="0" shapeId="0" xr:uid="{8B479FDD-E445-454B-B5D2-E54C4DF7D1EB}">
      <text>
        <r>
          <rPr>
            <sz val="9"/>
            <color indexed="81"/>
            <rFont val="Tahoma"/>
            <family val="2"/>
          </rPr>
          <t>CIE-10:
Sífilis tardía</t>
        </r>
      </text>
    </comment>
    <comment ref="J63" authorId="0" shapeId="0" xr:uid="{5C4C61B6-5E33-43D2-A29B-CC74643864A8}">
      <text>
        <r>
          <rPr>
            <sz val="9"/>
            <color indexed="81"/>
            <rFont val="Tahoma"/>
            <family val="2"/>
          </rPr>
          <t>CIE-10:
COVID-19</t>
        </r>
      </text>
    </comment>
    <comment ref="AB63" authorId="0" shapeId="0" xr:uid="{A9532EE5-0E6E-4BD8-8DBC-A36A6C5A9F35}">
      <text>
        <r>
          <rPr>
            <sz val="9"/>
            <color indexed="81"/>
            <rFont val="Tahoma"/>
            <family val="2"/>
          </rPr>
          <t>CIE-10:
Tuberculosis del sistema nervioso</t>
        </r>
      </text>
    </comment>
    <comment ref="AB64" authorId="0" shapeId="0" xr:uid="{9F13CEDF-5AB7-4ABA-A74F-D648FB6224E2}">
      <text>
        <r>
          <rPr>
            <sz val="9"/>
            <color indexed="81"/>
            <rFont val="Tahoma"/>
            <family val="2"/>
          </rPr>
          <t>CIE-10:
Tuberculosis de otros órganos</t>
        </r>
      </text>
    </comment>
    <comment ref="AB65" authorId="0" shapeId="0" xr:uid="{112F2301-49D7-426C-BE3D-F893601557D4}">
      <text>
        <r>
          <rPr>
            <sz val="9"/>
            <color indexed="81"/>
            <rFont val="Tahoma"/>
            <family val="2"/>
          </rPr>
          <t>CIE-10:
Tuberculosis miliar</t>
        </r>
      </text>
    </comment>
    <comment ref="A68" authorId="0" shapeId="0" xr:uid="{0BB3F904-8FEF-4325-A6CE-C6E98BB6F114}">
      <text>
        <r>
          <rPr>
            <sz val="9"/>
            <color indexed="81"/>
            <rFont val="Tahoma"/>
            <family val="2"/>
          </rPr>
          <t>CIE-10:
Varicela</t>
        </r>
      </text>
    </comment>
    <comment ref="J68" authorId="0" shapeId="0" xr:uid="{51C84AE4-E7B3-4164-899A-4D5896083DC7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enfermedades ­infecciosas y parasitarias</t>
        </r>
      </text>
    </comment>
    <comment ref="J69" authorId="0" shapeId="0" xr:uid="{EE4FA49A-DFED-4FA4-9DB6-84EC50DCBCBD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tumores malignos</t>
        </r>
      </text>
    </comment>
    <comment ref="J70" authorId="0" shapeId="0" xr:uid="{D9B86F0C-DEE8-4FE6-AC1A-895FB76CEB9A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otras enfermedades especificadas</t>
        </r>
      </text>
    </comment>
    <comment ref="J71" authorId="0" shapeId="0" xr:uid="{2EE142AE-4039-444D-9BA0-71DB1F916723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otras afecciones</t>
        </r>
      </text>
    </comment>
    <comment ref="J72" authorId="0" shapeId="0" xr:uid="{8C6C70BE-6634-4670-A2CD-B05ADF52738F}">
      <text>
        <r>
          <rPr>
            <sz val="9"/>
            <color indexed="81"/>
            <rFont val="Tahoma"/>
            <family val="2"/>
          </rPr>
          <t>CIE-10:
Enfermedad por virus de la inmunodeficiencia humana [VIH], sin otra especificación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Elieser Aguilar</author>
    <author>UER Guairá</author>
  </authors>
  <commentList>
    <comment ref="D3" authorId="0" shapeId="0" xr:uid="{6039EE95-84B7-4820-9997-3EF5AE7DD721}">
      <text>
        <r>
          <rPr>
            <sz val="9"/>
            <color indexed="81"/>
            <rFont val="Tahoma"/>
            <family val="2"/>
          </rPr>
          <t>Notificación:
Colectiva Semanal</t>
        </r>
      </text>
    </comment>
    <comment ref="M3" authorId="0" shapeId="0" xr:uid="{59C595A4-31AE-4D18-8C3E-48A2B080BE30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3" authorId="0" shapeId="0" xr:uid="{97BD32B7-28E5-497E-8D6D-1061FE833B80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6" authorId="0" shapeId="0" xr:uid="{9A4F2DF2-5888-4FFC-883E-E6803C2FE866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M7" authorId="0" shapeId="0" xr:uid="{6DF38956-295D-4F20-B0C2-8F5BFA5AB72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9" authorId="0" shapeId="0" xr:uid="{CD6AF3F4-F0D6-4F89-9BB7-685E26041CF5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11" authorId="1" shapeId="0" xr:uid="{1F1F6490-8514-4F7C-9EE9-283916FB62D5}">
      <text>
        <r>
          <rPr>
            <sz val="9"/>
            <color indexed="81"/>
            <rFont val="Tahoma"/>
            <family val="2"/>
          </rPr>
          <t>Notificación:
(IRAB) Colectiva Semanal
(IRAG) Individual Semanal
(IRAGi) Individual Inmediato</t>
        </r>
      </text>
    </comment>
    <comment ref="M11" authorId="0" shapeId="0" xr:uid="{93B769CD-5AF7-4DBB-A19A-4A5AAE87F9DA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14" authorId="0" shapeId="0" xr:uid="{C38661F3-5F2D-4282-A304-9DE8C8B1D33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15" authorId="0" shapeId="0" xr:uid="{C55FDC01-80DB-44A0-8578-A7639F932B8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M17" authorId="0" shapeId="0" xr:uid="{BCE30241-8182-4125-9FB2-3A79872ACDB9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18" authorId="0" shapeId="0" xr:uid="{2C19A299-48F9-4A6A-8B9C-502E83D64D1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M20" authorId="0" shapeId="0" xr:uid="{C7069E37-3DE0-4354-B8EB-12D3ECA6320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23" authorId="0" shapeId="0" xr:uid="{5D4F1EF8-8271-4200-AA35-3130A7CF2B8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23" authorId="0" shapeId="0" xr:uid="{A0007609-AD40-4E71-BBCD-B00C6F2C5EAC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28" authorId="1" shapeId="0" xr:uid="{90BFB397-AD5C-4C36-A4FA-7C5D3C661C9A}">
      <text>
        <r>
          <rPr>
            <sz val="9"/>
            <color indexed="81"/>
            <rFont val="Tahoma"/>
            <family val="2"/>
          </rPr>
          <t>Notificación:
Individual Semanal</t>
        </r>
      </text>
    </comment>
    <comment ref="M28" authorId="0" shapeId="0" xr:uid="{C239011F-BFBE-4029-AD28-A221F68AEAC7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30" authorId="0" shapeId="0" xr:uid="{9D135D81-2B4E-444E-9ACB-A1E11899AD90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34" authorId="0" shapeId="0" xr:uid="{7A81B97F-E414-408C-B422-6D1A9BEDD77D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34" authorId="0" shapeId="0" xr:uid="{811A7EA2-91C1-4C49-821A-CF8514117499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36" authorId="1" shapeId="0" xr:uid="{010AC942-B3D1-4D67-8058-88B09EBD0CFA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37" authorId="0" shapeId="0" xr:uid="{7EE464A7-1BBC-44ED-BED4-5159E814B92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39" authorId="1" shapeId="0" xr:uid="{C7F61FD8-6593-47F6-9910-EF4E259F351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42" authorId="1" shapeId="0" xr:uid="{A18A5982-CB24-467A-BC7C-94A982F8CF21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45" authorId="0" shapeId="0" xr:uid="{3A88C0E6-0F6C-456C-9BB8-877C8A6D7A88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47" authorId="1" shapeId="0" xr:uid="{1CE7B56E-D79E-4046-A240-35484077E488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50" authorId="1" shapeId="0" xr:uid="{01B62C91-4D2F-4F98-8B01-6F4552464429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53" authorId="1" shapeId="0" xr:uid="{DD2C7102-5A06-4B41-A544-5CD23754E870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53" authorId="0" shapeId="0" xr:uid="{BCB80C36-EFE0-4FC2-8838-F9B3A1AF93CB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56" authorId="1" shapeId="0" xr:uid="{C71332AD-DB4E-4D14-9CAA-A2196109C3BB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57" authorId="0" shapeId="0" xr:uid="{10479447-57B6-43FF-B6FB-A80083049391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59" authorId="1" shapeId="0" xr:uid="{23AF0E49-E44C-438C-B626-1AA5D0E6A718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62" authorId="1" shapeId="0" xr:uid="{498CCB7D-A7CD-4EB0-B8AB-35BBB9E2E3CC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65" authorId="1" shapeId="0" xr:uid="{04C251E7-2CA3-4379-8D61-D0F677758A42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67" authorId="0" shapeId="0" xr:uid="{4628CA92-ADD9-4945-8E69-EAA7539C19EB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68" authorId="1" shapeId="0" xr:uid="{E20BF422-1861-46D2-9386-3F82F54AB7C6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70" authorId="0" shapeId="0" xr:uid="{9F884B2E-C551-4D6C-8762-CC60BEBB881D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71" authorId="1" shapeId="0" xr:uid="{344E15B7-5282-4765-A307-30C98DC9E4F1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74" authorId="1" shapeId="0" xr:uid="{7EFB203C-3828-4C9C-9E26-9DEE6710075F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77" authorId="1" shapeId="0" xr:uid="{395FA69E-87BA-4433-9E9A-F29C294BEED6}">
      <text>
        <r>
          <rPr>
            <sz val="9"/>
            <color indexed="81"/>
            <rFont val="Tahoma"/>
            <family val="2"/>
          </rPr>
          <t>Notificación:
En ficha de contactos</t>
        </r>
      </text>
    </comment>
  </commentList>
</comments>
</file>

<file path=xl/sharedStrings.xml><?xml version="1.0" encoding="utf-8"?>
<sst xmlns="http://schemas.openxmlformats.org/spreadsheetml/2006/main" count="2059" uniqueCount="549">
  <si>
    <t>Datos de la Dependencia</t>
  </si>
  <si>
    <t>Datos del Paciente</t>
  </si>
  <si>
    <t>Datos del Diagnostico</t>
  </si>
  <si>
    <t>Datos de la Preconsulta</t>
  </si>
  <si>
    <t>Datos del Procedimiento</t>
  </si>
  <si>
    <t>Datos del Admisionista</t>
  </si>
  <si>
    <t>Datos de Enfermería</t>
  </si>
  <si>
    <t>Fecha</t>
  </si>
  <si>
    <t>Hora de Admisión</t>
  </si>
  <si>
    <t>Fin de consulta</t>
  </si>
  <si>
    <t>Cod.Establecimiento</t>
  </si>
  <si>
    <t>Tipo de Consulta</t>
  </si>
  <si>
    <t>Profesional de la Salud</t>
  </si>
  <si>
    <t>Especialidad</t>
  </si>
  <si>
    <t>Cédula Identidad</t>
  </si>
  <si>
    <t>Nombres y Apellidos PACIENTE</t>
  </si>
  <si>
    <t>Sexo</t>
  </si>
  <si>
    <t>Edad</t>
  </si>
  <si>
    <t>Edad Detallado</t>
  </si>
  <si>
    <t>Etnia</t>
  </si>
  <si>
    <t>Departamento de residencia</t>
  </si>
  <si>
    <t>Distrito de residencia</t>
  </si>
  <si>
    <t>Barrio de residencia</t>
  </si>
  <si>
    <t>Area de residencia</t>
  </si>
  <si>
    <t>Nuevo en el Año</t>
  </si>
  <si>
    <t>Asegurado</t>
  </si>
  <si>
    <t>Seguro</t>
  </si>
  <si>
    <t>Viene Referido</t>
  </si>
  <si>
    <t>Motivo de Consulta</t>
  </si>
  <si>
    <t>CODCIE10</t>
  </si>
  <si>
    <t>Diagnóstico 1</t>
  </si>
  <si>
    <t>CODCIE10Nuevo</t>
  </si>
  <si>
    <t>CODCIE102</t>
  </si>
  <si>
    <t>Diagnóstico 2</t>
  </si>
  <si>
    <t>CODCIE10Nuevo3</t>
  </si>
  <si>
    <t>CODCIE104</t>
  </si>
  <si>
    <t>Diagnóstico 3</t>
  </si>
  <si>
    <t>CODCIE10Nuevo5</t>
  </si>
  <si>
    <t>CODCIE106</t>
  </si>
  <si>
    <t>Diagnóstico 4</t>
  </si>
  <si>
    <t>CODCIE10Nuevo7</t>
  </si>
  <si>
    <t>CODCIE108</t>
  </si>
  <si>
    <t>Diagnóstico 5</t>
  </si>
  <si>
    <t>CODCIE10Nuevo9</t>
  </si>
  <si>
    <t>CODCIE1010</t>
  </si>
  <si>
    <t>Diagnóstico 6</t>
  </si>
  <si>
    <t>CODCIE10Nuevo11</t>
  </si>
  <si>
    <t>Embarazada</t>
  </si>
  <si>
    <t>Semanas de Gestación</t>
  </si>
  <si>
    <t>Se refiere</t>
  </si>
  <si>
    <t>Se interna</t>
  </si>
  <si>
    <t>Motivo Preconsulta</t>
  </si>
  <si>
    <t>Estado Nutricional</t>
  </si>
  <si>
    <t>Presion Arterial Sistólica PAS</t>
  </si>
  <si>
    <t>Presion Arterial diastólica PAD</t>
  </si>
  <si>
    <t>Peso (Kg)</t>
  </si>
  <si>
    <t>Talla (m)</t>
  </si>
  <si>
    <t>IMC</t>
  </si>
  <si>
    <t>Circunferencia Abdominal (cm)</t>
  </si>
  <si>
    <t>HbA1C (%)</t>
  </si>
  <si>
    <t>Alimentación</t>
  </si>
  <si>
    <t>CODCIE9 1</t>
  </si>
  <si>
    <t>Procedimiento</t>
  </si>
  <si>
    <t>Estado</t>
  </si>
  <si>
    <t>CODCIE9 2</t>
  </si>
  <si>
    <t>Procedimiento12</t>
  </si>
  <si>
    <t>Estado13</t>
  </si>
  <si>
    <t>CODCIE9 3</t>
  </si>
  <si>
    <t>Procedimiento14</t>
  </si>
  <si>
    <t>Estado15</t>
  </si>
  <si>
    <t>CODCIE9 4</t>
  </si>
  <si>
    <t>Procedimiento16</t>
  </si>
  <si>
    <t>Estado17</t>
  </si>
  <si>
    <t>CODCIE9 5</t>
  </si>
  <si>
    <t>Procedimiento18</t>
  </si>
  <si>
    <t>Estado19</t>
  </si>
  <si>
    <t>CODCIE9 6</t>
  </si>
  <si>
    <t>Procedimiento20</t>
  </si>
  <si>
    <t>Estado21</t>
  </si>
  <si>
    <t>Usuario ADMISIONISTA</t>
  </si>
  <si>
    <t>Nombre y apellido ADMISIONISTA</t>
  </si>
  <si>
    <t>Usuario ENFERMERIA</t>
  </si>
  <si>
    <t>Nombre y apellido ENFERMERIA</t>
  </si>
  <si>
    <t>GUAIRA</t>
  </si>
  <si>
    <t>L20.9</t>
  </si>
  <si>
    <t>ENFERMEDADES PREVENIBLES POR VACUNA</t>
  </si>
  <si>
    <t>Seleccione Establecimiento</t>
  </si>
  <si>
    <t>PARALISIS FLACIDA AGUDA</t>
  </si>
  <si>
    <t>RUBEOLA</t>
  </si>
  <si>
    <t>&lt;-- ENFERMEDAD FEBRIL EXANTEMATICA --&gt;</t>
  </si>
  <si>
    <t>SARAMPION</t>
  </si>
  <si>
    <t>DIFTERIA</t>
  </si>
  <si>
    <t>(Todas)</t>
  </si>
  <si>
    <t>CIE-10</t>
  </si>
  <si>
    <t>D1</t>
  </si>
  <si>
    <t>D2</t>
  </si>
  <si>
    <t>D3</t>
  </si>
  <si>
    <t>D4</t>
  </si>
  <si>
    <t>D5</t>
  </si>
  <si>
    <t>D6</t>
  </si>
  <si>
    <t>TOT</t>
  </si>
  <si>
    <t>G37.3</t>
  </si>
  <si>
    <t>A38*</t>
  </si>
  <si>
    <t>G61*</t>
  </si>
  <si>
    <t>B08.2</t>
  </si>
  <si>
    <t>G72.9</t>
  </si>
  <si>
    <t>B08.3</t>
  </si>
  <si>
    <t>G82*</t>
  </si>
  <si>
    <t>A36.0</t>
  </si>
  <si>
    <t>R29.8</t>
  </si>
  <si>
    <t>L30.9</t>
  </si>
  <si>
    <t>A36.1</t>
  </si>
  <si>
    <t>T60.0</t>
  </si>
  <si>
    <t>L50.9</t>
  </si>
  <si>
    <t>A36.2</t>
  </si>
  <si>
    <t>A80*</t>
  </si>
  <si>
    <t>L53.9</t>
  </si>
  <si>
    <t>A36.3</t>
  </si>
  <si>
    <t>R21*</t>
  </si>
  <si>
    <t>A36.8</t>
  </si>
  <si>
    <t>B06*</t>
  </si>
  <si>
    <t>B05*</t>
  </si>
  <si>
    <t>A36.9</t>
  </si>
  <si>
    <t>Z20.4</t>
  </si>
  <si>
    <t>P35.0</t>
  </si>
  <si>
    <t>COQUELUCHE</t>
  </si>
  <si>
    <t>PAROTIDITIS</t>
  </si>
  <si>
    <t>TETANOS NEONATAL</t>
  </si>
  <si>
    <t>TETANOS OTRAS EDADES</t>
  </si>
  <si>
    <t>A37.9</t>
  </si>
  <si>
    <t>B26*</t>
  </si>
  <si>
    <t>A33*</t>
  </si>
  <si>
    <t>A35*</t>
  </si>
  <si>
    <t>A37.0</t>
  </si>
  <si>
    <t>B26.9</t>
  </si>
  <si>
    <t>A34*</t>
  </si>
  <si>
    <t>A37.1</t>
  </si>
  <si>
    <t>B26.0</t>
  </si>
  <si>
    <t>A37.8</t>
  </si>
  <si>
    <t>B26.1</t>
  </si>
  <si>
    <t>B26.2</t>
  </si>
  <si>
    <t>B26.3</t>
  </si>
  <si>
    <t>OBSERVACIÓN:  El * Después del CIE-10 significa que contará todos los que empiecen con ese código, por ejemplo: A00*-&gt; contará todos los que empiecen con A00 ej. A00.0 , A00.1, A00.8, etc. Esto es para que no se escapen CIE-10 más específicos no enumerados.</t>
  </si>
  <si>
    <t>B26.8</t>
  </si>
  <si>
    <t>VARICELA</t>
  </si>
  <si>
    <t>ESAVI</t>
  </si>
  <si>
    <t>R23.8</t>
  </si>
  <si>
    <t>B01*</t>
  </si>
  <si>
    <t>Y59.0</t>
  </si>
  <si>
    <t>Y59.1</t>
  </si>
  <si>
    <t>Y59.2</t>
  </si>
  <si>
    <t>Y59.3</t>
  </si>
  <si>
    <t>Y59.8</t>
  </si>
  <si>
    <t>Y59.9</t>
  </si>
  <si>
    <t>PLANILLA SEMANAL DE ENOS (PSENOS)</t>
  </si>
  <si>
    <t>DIRECCIÓN GENERAL DE VIGILANCIA DE LA SALUD</t>
  </si>
  <si>
    <t xml:space="preserve">PLANILLA SEMANAL DE ENFERMEDADES O EVENTOS DE NOTIFICACIÓN OBLIGATORIA (PSENO) </t>
  </si>
  <si>
    <t>Región Sanitaria:</t>
  </si>
  <si>
    <t xml:space="preserve">Semana epidemiológica/año: </t>
  </si>
  <si>
    <t>Grupo 1 (G1): Enfermedades de importancia para el RSI* y aquellas controladas, eliminadas y en vías de eliminación</t>
  </si>
  <si>
    <t>Grupo 2 (G2): Enfermedades infecciosas de importancia para la vigilancia epidemiológica</t>
  </si>
  <si>
    <t>G1-Parte 1: Enfermedades de importancia para el RSI*</t>
  </si>
  <si>
    <t>Enfermedad</t>
  </si>
  <si>
    <t>Código CIE-10</t>
  </si>
  <si>
    <t>N°  Sospechosos</t>
  </si>
  <si>
    <t>N° Confirmados</t>
  </si>
  <si>
    <t>G2-Parte 1: Enfermedades de importancia por riesgo de brotes</t>
  </si>
  <si>
    <t>N° Casos</t>
  </si>
  <si>
    <t>Cólera</t>
  </si>
  <si>
    <t>A00</t>
  </si>
  <si>
    <t>Parotiditis infecciosa/Paperas</t>
  </si>
  <si>
    <t>B26</t>
  </si>
  <si>
    <t>Fiebre amarilla</t>
  </si>
  <si>
    <t>A95</t>
  </si>
  <si>
    <t>Varicela</t>
  </si>
  <si>
    <t>B01</t>
  </si>
  <si>
    <t>Peste</t>
  </si>
  <si>
    <t>A20</t>
  </si>
  <si>
    <t>Hepatitis A</t>
  </si>
  <si>
    <t>B15</t>
  </si>
  <si>
    <t>Poliomielitis aguda</t>
  </si>
  <si>
    <t>A80</t>
  </si>
  <si>
    <t>Hepatitis viral sin otra especificación</t>
  </si>
  <si>
    <t>B19</t>
  </si>
  <si>
    <t>G1-Parte 2: Descripción de la situación país en cuanto a las enfermedades controladas, eliminadas y en vías de eliminación.</t>
  </si>
  <si>
    <t>Rubéola</t>
  </si>
  <si>
    <t>B06</t>
  </si>
  <si>
    <t>Enfermedades transmitidas por alimentos (ETA)</t>
  </si>
  <si>
    <t>A05</t>
  </si>
  <si>
    <t>Síndrome de Rubéola congénita</t>
  </si>
  <si>
    <t>Conjuntivitis viral</t>
  </si>
  <si>
    <t>B30, B30.1, B30.2, B30.3</t>
  </si>
  <si>
    <t>Sarampión</t>
  </si>
  <si>
    <t>B05</t>
  </si>
  <si>
    <t>Otras enfermedades víricas caracterizadas por lesiones en piel y de las membranas mucosas</t>
  </si>
  <si>
    <t>B08.2, B08.3, B08.4</t>
  </si>
  <si>
    <t>Tétanos neonatal</t>
  </si>
  <si>
    <t>A33</t>
  </si>
  <si>
    <t>G2-Parte 2: Infecciones con modo de transmisión predominantemente sexual - ITS**</t>
  </si>
  <si>
    <t>Sífilis congénita</t>
  </si>
  <si>
    <t>A50</t>
  </si>
  <si>
    <t>Paludismo</t>
  </si>
  <si>
    <t>B50, B51, B52, B53, B54</t>
  </si>
  <si>
    <t>Sífilis en la embarazada</t>
  </si>
  <si>
    <t>O98.1</t>
  </si>
  <si>
    <t>Sífilis (todos los casos)</t>
  </si>
  <si>
    <t>A51, A52, A53</t>
  </si>
  <si>
    <t>Grupo 3 (G3): Enfermedades o eventos de importancia para la vigilancia por conjunto de signos y síntomas.</t>
  </si>
  <si>
    <t>Enfermedades o eventos</t>
  </si>
  <si>
    <t>Grupos de edades en años</t>
  </si>
  <si>
    <t>N° totales</t>
  </si>
  <si>
    <t>Menor de 1 año</t>
  </si>
  <si>
    <t>1-4</t>
  </si>
  <si>
    <t>5-19</t>
  </si>
  <si>
    <t>20-59</t>
  </si>
  <si>
    <t>60 y más</t>
  </si>
  <si>
    <t>Sin dato de edad</t>
  </si>
  <si>
    <t>Enfermedad tipo Influenza (ETI)</t>
  </si>
  <si>
    <t>J00, J10, J11</t>
  </si>
  <si>
    <t>IRA- No neumonías</t>
  </si>
  <si>
    <t>J01, J02, J03, J04, J05, J06, J20, J21, J22</t>
  </si>
  <si>
    <t>Neumonías***</t>
  </si>
  <si>
    <t>J12, J13, J14, J15, J16, J17, J18</t>
  </si>
  <si>
    <t>IRAG-Neumonías graves</t>
  </si>
  <si>
    <t>J85, J86, J90</t>
  </si>
  <si>
    <t>Diarreas agudas</t>
  </si>
  <si>
    <t>A02.0, A03, A04, A05, A06.0, A07, A08, A09</t>
  </si>
  <si>
    <t>*RSI: Reglamento Sanitario Internacional, 2015-Anexo 2.</t>
  </si>
  <si>
    <t>**ITS: Según CIE-10, Infecciones con modo de transmisión predominantemente sexual (A50-A53).</t>
  </si>
  <si>
    <t>***Si alguno de estos códigos requiere hospitalización, clasificar como "IRAG-Neumonías graves"</t>
  </si>
  <si>
    <t>Observación: _________________________________________________________________________________</t>
  </si>
  <si>
    <t>Total de Servicios notificantes de la semana:</t>
  </si>
  <si>
    <t>Actualizado Enero/2020</t>
  </si>
  <si>
    <t>Firma y Nombre del responsable del llenado de la Planilla: _________________________________________________________</t>
  </si>
  <si>
    <t>G1: COLERA</t>
  </si>
  <si>
    <t>G1: FIEBRE AMARRILA</t>
  </si>
  <si>
    <t>A00*</t>
  </si>
  <si>
    <t>A95*</t>
  </si>
  <si>
    <t>G1: PESTE</t>
  </si>
  <si>
    <t>G1: POLIOMIELITIS AGUDA</t>
  </si>
  <si>
    <t>A20*</t>
  </si>
  <si>
    <t>G1: RUBEOLA</t>
  </si>
  <si>
    <t>G1: SARAMPION</t>
  </si>
  <si>
    <t>G1: SINDROME DE RUBEOLA CONGENITA</t>
  </si>
  <si>
    <t>G1: TETANOS NEONATAL</t>
  </si>
  <si>
    <t>G1: PALUDISMO</t>
  </si>
  <si>
    <t>G2: CONJUNTIVITIS VIRAL</t>
  </si>
  <si>
    <t>B50*</t>
  </si>
  <si>
    <t>B30*</t>
  </si>
  <si>
    <t>B51*</t>
  </si>
  <si>
    <t>B52*</t>
  </si>
  <si>
    <t>B53*</t>
  </si>
  <si>
    <t>B54*</t>
  </si>
  <si>
    <t>G2: PAROTIDISTIS INFECCIOSA / PAPERAS</t>
  </si>
  <si>
    <t>G2: VARICELA</t>
  </si>
  <si>
    <t>G2: HEPATITIS A</t>
  </si>
  <si>
    <t>G2: HEPATITIS VIRAL SIN OTRA ESPECIFICACION</t>
  </si>
  <si>
    <t>B15*</t>
  </si>
  <si>
    <t>B19*</t>
  </si>
  <si>
    <t>G2: ENF. TRANSMITIDAS POR ALIMENTOS (ETA)</t>
  </si>
  <si>
    <t>G2: SIFILIS CONGENITA</t>
  </si>
  <si>
    <t>A05*</t>
  </si>
  <si>
    <t>A50*</t>
  </si>
  <si>
    <t>G2: SIFILIS EN LA EMBARAZADA</t>
  </si>
  <si>
    <t>G2: SIFILIS (TODOS LOS CASOS)</t>
  </si>
  <si>
    <t>A51*</t>
  </si>
  <si>
    <t>A52*</t>
  </si>
  <si>
    <t>A53*</t>
  </si>
  <si>
    <t>G2: ENF. VIRICAS. LESIONES PIEL Y MEMB. MUCOSAS</t>
  </si>
  <si>
    <t>B08*</t>
  </si>
  <si>
    <t>G3: ENF. TIPO INFLUENZA (ETI) &lt; 1 AÑO</t>
  </si>
  <si>
    <t>G3: ENF. TIPO INFLUENZA (ETI) 1-4 AÑOS</t>
  </si>
  <si>
    <t>J00*</t>
  </si>
  <si>
    <t>J10*</t>
  </si>
  <si>
    <t>J11*</t>
  </si>
  <si>
    <t>G3: ENF. TIPO INFLUENZA (ETI) 5-19 AÑOS</t>
  </si>
  <si>
    <t>G3: ENF. TIPO INFLUENZA (ETI) 20-59 AÑOS</t>
  </si>
  <si>
    <t>G3: ENF. TIPO INFLUENZA (ETI) 60 Y MAS AÑOS</t>
  </si>
  <si>
    <t>G3: ENF. TIPO INFLUENZA (ETI) SD AÑOS</t>
  </si>
  <si>
    <t>G3: IRA - NO NEUMONIAS (IRANN) &lt; 1 AÑO</t>
  </si>
  <si>
    <t>G3: IRA - NO NEUMONIAS (IRANN) 1-4 AÑOS</t>
  </si>
  <si>
    <t>G3: IRA - NO NEUMONIAS (IRANN) 5-19 AÑOS</t>
  </si>
  <si>
    <t>G3: IRA - NO NEUMONIAS (IRANN) 20-59 AÑOS</t>
  </si>
  <si>
    <t>G3: IRA - NO NEUMONIAS (IRANN) 60 Y MAS AÑOS</t>
  </si>
  <si>
    <t>G3: IRA - NO NEUMONIAS (IRANN) SD AÑOS</t>
  </si>
  <si>
    <t>G3: NEUMONIAS (NEU) &lt; 1 AÑO</t>
  </si>
  <si>
    <t>G3: NEUMONIAS (NEU) 1-4 AÑOS</t>
  </si>
  <si>
    <t>G3: NEUMONIAS (NEU) 5-19 AÑOS</t>
  </si>
  <si>
    <t>G3: NEUMONIAS (NEU) 20-59 AÑOS</t>
  </si>
  <si>
    <t>G3: NEUMONIAS (NEU) 60 Y MAS AÑOS</t>
  </si>
  <si>
    <t>G3: NEUMONIAS (NEU) SD AÑOS</t>
  </si>
  <si>
    <t>G3: IRAG - NEU. GRAVES (IRAGNG) &lt; 1 AÑO</t>
  </si>
  <si>
    <t>G3: IRAG - NEU. GRAVES (IRAGNG) 1-4 AÑOS</t>
  </si>
  <si>
    <t>G3: IRAG - NEU. GRAVES (IRAGNG) 5-19 AÑOS</t>
  </si>
  <si>
    <t>G3: IRAG - NEU. GRAVES (IRAGNG) 20-59 AÑOS</t>
  </si>
  <si>
    <t>G3: IRAG - NEU. GRAVES (IRAGNG) 60 Y MAS AÑOS</t>
  </si>
  <si>
    <t>G3: IRAG - NEU. GRAVES (IRAGNG) SD AÑOS</t>
  </si>
  <si>
    <t>G3: DIARREAS AGUDAS (DA) &lt; 1 AÑO</t>
  </si>
  <si>
    <t>G3: DIARREAS AGUDAS (DA) 1-4 AÑOS</t>
  </si>
  <si>
    <t>A02.0</t>
  </si>
  <si>
    <t>A06.0</t>
  </si>
  <si>
    <t>G3: DIARREAS AGUDAS (DA) 5-19 AÑOS</t>
  </si>
  <si>
    <t>G3: DIARREAS AGUDAS (DA) 20-59 AÑOS</t>
  </si>
  <si>
    <t>G3: DIARREAS AGUDAS (DA) 60 Y MAS AÑOS</t>
  </si>
  <si>
    <t>G3: DIARREAS AGUDAS (DA) SD AÑOS</t>
  </si>
  <si>
    <t>J01*</t>
  </si>
  <si>
    <t>J02*</t>
  </si>
  <si>
    <t>J03*</t>
  </si>
  <si>
    <t>J04*</t>
  </si>
  <si>
    <t>J05*</t>
  </si>
  <si>
    <t>J06*</t>
  </si>
  <si>
    <t>J20*</t>
  </si>
  <si>
    <t>J21*</t>
  </si>
  <si>
    <t>J22*</t>
  </si>
  <si>
    <t>J12*</t>
  </si>
  <si>
    <t>J13*</t>
  </si>
  <si>
    <t>J14*</t>
  </si>
  <si>
    <t>J15*</t>
  </si>
  <si>
    <t>J16*</t>
  </si>
  <si>
    <t>J17*</t>
  </si>
  <si>
    <t>J18*</t>
  </si>
  <si>
    <t>J85*</t>
  </si>
  <si>
    <t>J86*</t>
  </si>
  <si>
    <t>J90*</t>
  </si>
  <si>
    <t>A03*</t>
  </si>
  <si>
    <t>A04*</t>
  </si>
  <si>
    <t>A07*</t>
  </si>
  <si>
    <t>A08*</t>
  </si>
  <si>
    <t>A09*</t>
  </si>
  <si>
    <t>Y59*</t>
  </si>
  <si>
    <t>ETA - INFECCIONES ALIMENTARIAS</t>
  </si>
  <si>
    <t>ETA - INTOXICACIONES ALIMENTARIAS</t>
  </si>
  <si>
    <t>A01*</t>
  </si>
  <si>
    <t>A02*</t>
  </si>
  <si>
    <t>A06*</t>
  </si>
  <si>
    <t>A22*</t>
  </si>
  <si>
    <t>A23*</t>
  </si>
  <si>
    <t>A32*</t>
  </si>
  <si>
    <t>B66*</t>
  </si>
  <si>
    <t>B67*</t>
  </si>
  <si>
    <t>B68*</t>
  </si>
  <si>
    <t>B69*</t>
  </si>
  <si>
    <t>B70*</t>
  </si>
  <si>
    <t>B75*</t>
  </si>
  <si>
    <t>B79*</t>
  </si>
  <si>
    <t>T51*</t>
  </si>
  <si>
    <t>T56*</t>
  </si>
  <si>
    <r>
      <t xml:space="preserve">Enf. de Transmisión. Alimentaria         </t>
    </r>
    <r>
      <rPr>
        <b/>
        <sz val="12"/>
        <color theme="3"/>
        <rFont val="Calibri"/>
        <family val="2"/>
        <scheme val="minor"/>
      </rPr>
      <t>↓</t>
    </r>
    <r>
      <rPr>
        <b/>
        <sz val="11"/>
        <color theme="3"/>
        <rFont val="Calibri"/>
        <family val="2"/>
        <scheme val="minor"/>
      </rPr>
      <t xml:space="preserve">             (ETA)            </t>
    </r>
    <r>
      <rPr>
        <b/>
        <sz val="12"/>
        <color theme="3"/>
        <rFont val="Calibri"/>
        <family val="2"/>
        <scheme val="minor"/>
      </rPr>
      <t>↓</t>
    </r>
  </si>
  <si>
    <t>BOTULISMO alimentario, por heridas, del lactante</t>
  </si>
  <si>
    <t>A05.1</t>
  </si>
  <si>
    <t>BRUCELOSIS</t>
  </si>
  <si>
    <t>CARBUNCO (ÁNTRAX)</t>
  </si>
  <si>
    <t>CHAGAS</t>
  </si>
  <si>
    <t>B57*</t>
  </si>
  <si>
    <t>CHIKUNGUNYA</t>
  </si>
  <si>
    <t>A92.0</t>
  </si>
  <si>
    <t>COLERA</t>
  </si>
  <si>
    <t>COQUELUCHE, TOS CONVULSA, TOS FERINA</t>
  </si>
  <si>
    <t>DENGUE SIN SIGNOS DE ALARMA</t>
  </si>
  <si>
    <t>A90*</t>
  </si>
  <si>
    <t>A91*</t>
  </si>
  <si>
    <t>DENGUE CON SIGNOS DE ALAR., DENGUE GRAVE</t>
  </si>
  <si>
    <t>OTRAS (EXTENDIDA) SEGÚN GUIA NACIONAL DE VIGILANCIA</t>
  </si>
  <si>
    <t>A36*</t>
  </si>
  <si>
    <t>ENCEFALOPATIA ESPONGIFORME SUBAGUDA</t>
  </si>
  <si>
    <t>A81.0</t>
  </si>
  <si>
    <t>FIEBRE AMARILLA SELVATICA Y URBANA</t>
  </si>
  <si>
    <t>A95.0</t>
  </si>
  <si>
    <t>A95.1</t>
  </si>
  <si>
    <t>A95.9</t>
  </si>
  <si>
    <t>FIEBRE TIFOIDEA Y PARATIFOIDEA</t>
  </si>
  <si>
    <t>A01.0</t>
  </si>
  <si>
    <t>A01.1</t>
  </si>
  <si>
    <t>A01.2</t>
  </si>
  <si>
    <t>A01.3</t>
  </si>
  <si>
    <t>A01.4</t>
  </si>
  <si>
    <t>B33.4</t>
  </si>
  <si>
    <t>HANTAVIROSIS</t>
  </si>
  <si>
    <t>HEPATITIS VIRICA A</t>
  </si>
  <si>
    <t>HEPATITIS VIRICA B</t>
  </si>
  <si>
    <t>B16*</t>
  </si>
  <si>
    <t>HEPATITIS VIRICA C</t>
  </si>
  <si>
    <t>B17.1</t>
  </si>
  <si>
    <t>B55.1</t>
  </si>
  <si>
    <t>LEISHMANIASIS CUTÁNEA Y MUCOCUTANEA</t>
  </si>
  <si>
    <t>B55.2</t>
  </si>
  <si>
    <t>LEISHMANIASIS VISCERAL</t>
  </si>
  <si>
    <t>B55.0</t>
  </si>
  <si>
    <t>LEPRA</t>
  </si>
  <si>
    <t>A30*</t>
  </si>
  <si>
    <t>LEPTOSPIROSIS</t>
  </si>
  <si>
    <t>A27*</t>
  </si>
  <si>
    <t>A39*</t>
  </si>
  <si>
    <t>G00*</t>
  </si>
  <si>
    <t>MENINGOENCEFALITIS VIRALES Y NO PIÓGENA</t>
  </si>
  <si>
    <t>G03.0</t>
  </si>
  <si>
    <t>A87*</t>
  </si>
  <si>
    <t>MENINGOENCEFALITIS BACTERIANAS/TUBERCULOSA</t>
  </si>
  <si>
    <t>PALUDISMO</t>
  </si>
  <si>
    <t>PESTE</t>
  </si>
  <si>
    <t>POLIOMIELITIS</t>
  </si>
  <si>
    <t>PSITACOSIS</t>
  </si>
  <si>
    <t>A70*</t>
  </si>
  <si>
    <t>RABIA</t>
  </si>
  <si>
    <t>A82*</t>
  </si>
  <si>
    <t>ROTAVIRUS</t>
  </si>
  <si>
    <t>A08.0</t>
  </si>
  <si>
    <t>RUBEOLA CONGÉNITA</t>
  </si>
  <si>
    <t>SIFILIS</t>
  </si>
  <si>
    <t>SRAS - MERS (CORONAVIRUS)</t>
  </si>
  <si>
    <t>U04.9</t>
  </si>
  <si>
    <t>B34.2</t>
  </si>
  <si>
    <t>SINDROME UREMICO HEMOLITICO(SUH)</t>
  </si>
  <si>
    <t>A04.3</t>
  </si>
  <si>
    <t>TUBERCULOSIS</t>
  </si>
  <si>
    <t>U07*</t>
  </si>
  <si>
    <t>A15*</t>
  </si>
  <si>
    <t>A16*</t>
  </si>
  <si>
    <t>A17*</t>
  </si>
  <si>
    <t>A18*</t>
  </si>
  <si>
    <t>A19*</t>
  </si>
  <si>
    <t>VIH-SIDA</t>
  </si>
  <si>
    <t>B20*</t>
  </si>
  <si>
    <t>B21*</t>
  </si>
  <si>
    <t>B22*</t>
  </si>
  <si>
    <t>B23*</t>
  </si>
  <si>
    <t>B24</t>
  </si>
  <si>
    <t>I -Respiratorios</t>
  </si>
  <si>
    <t>Influenza y otros virus respiratorios</t>
  </si>
  <si>
    <t>Infeccion respiratoria aguda superior (IRAS)</t>
  </si>
  <si>
    <t>J02.9</t>
  </si>
  <si>
    <t>J10.1</t>
  </si>
  <si>
    <t>J11.1</t>
  </si>
  <si>
    <t>J09</t>
  </si>
  <si>
    <t>J10.0</t>
  </si>
  <si>
    <t>J11.0</t>
  </si>
  <si>
    <t>J19*</t>
  </si>
  <si>
    <t>U04*</t>
  </si>
  <si>
    <t>Enfermedad tipo influenza (ETI)</t>
  </si>
  <si>
    <t>Infeccion respiratoria aguda (IRAB) (IRAG) (IRAGi)</t>
  </si>
  <si>
    <t>Sindrome respiratorio agudo severo SARS sin especificar ag,</t>
  </si>
  <si>
    <t>SARS-CoV 2 sin agente identificado</t>
  </si>
  <si>
    <t>U07.2</t>
  </si>
  <si>
    <t>SARS-CoV 2 con agente identificado</t>
  </si>
  <si>
    <t>U07.1</t>
  </si>
  <si>
    <t>U10.9</t>
  </si>
  <si>
    <t>Tuberculosis</t>
  </si>
  <si>
    <t>Observación por sospecha de TB: sintomático respirarorio</t>
  </si>
  <si>
    <t>Z03.0</t>
  </si>
  <si>
    <t>Hemoptisis</t>
  </si>
  <si>
    <t>R04.2</t>
  </si>
  <si>
    <t>TB respiratoria CON confirmación bacteriológica o histológia</t>
  </si>
  <si>
    <t>TB respiratoria SIN confirmación bacteriológica o histológia</t>
  </si>
  <si>
    <t>TB del sistema nervioso cualquier localización</t>
  </si>
  <si>
    <t>TB de otros órganos cualquier localización</t>
  </si>
  <si>
    <t>TB miliar</t>
  </si>
  <si>
    <t>TB congénita</t>
  </si>
  <si>
    <t>P37.0</t>
  </si>
  <si>
    <t>TB co-infección con HIV</t>
  </si>
  <si>
    <t>B20.0</t>
  </si>
  <si>
    <t>TB latente</t>
  </si>
  <si>
    <t>Z22.3</t>
  </si>
  <si>
    <t>Contacto o exposición a tuberculosis</t>
  </si>
  <si>
    <t>Z20.1</t>
  </si>
  <si>
    <t>Síndrome meníngeo</t>
  </si>
  <si>
    <t>G00.9</t>
  </si>
  <si>
    <t>G04.2</t>
  </si>
  <si>
    <t>Meningitis con LCR purulento o bacteriana no clasificada</t>
  </si>
  <si>
    <t>II - Meningitis / encefalitis todas</t>
  </si>
  <si>
    <t>Meningitis/encefalitis</t>
  </si>
  <si>
    <t>III - Inmunoprevenibles</t>
  </si>
  <si>
    <t>Coqueluche/tos convulsa</t>
  </si>
  <si>
    <t>Síndrome coqueluchoide</t>
  </si>
  <si>
    <t>IV - Vectoriales</t>
  </si>
  <si>
    <t>Arbovirosis en General</t>
  </si>
  <si>
    <t>Fiebre indiferenciada por picadura de mosq. Sindrome febril</t>
  </si>
  <si>
    <t>A92.9</t>
  </si>
  <si>
    <t>V - Zoonóticos</t>
  </si>
  <si>
    <t>Brucelosis</t>
  </si>
  <si>
    <t>Brucelosis cualquier especie de Brucella sp.</t>
  </si>
  <si>
    <t>A23</t>
  </si>
  <si>
    <t>VI - Dermatológicos</t>
  </si>
  <si>
    <t>Lepra</t>
  </si>
  <si>
    <t>Zonas cutáneas de anestesia, hipoestesia o parestesia</t>
  </si>
  <si>
    <t>R20.0</t>
  </si>
  <si>
    <t>R20.1</t>
  </si>
  <si>
    <t>R20.2</t>
  </si>
  <si>
    <t>VII - Infec. de transm. sexual - hepatitis B</t>
  </si>
  <si>
    <t>Hepatitis B</t>
  </si>
  <si>
    <t>HBsAg positivo</t>
  </si>
  <si>
    <t>Z22.5</t>
  </si>
  <si>
    <t>VIII - Gastroentéricos</t>
  </si>
  <si>
    <t>Colera</t>
  </si>
  <si>
    <t>Colera no especificado</t>
  </si>
  <si>
    <t>A00.9</t>
  </si>
  <si>
    <t>IX - Eventos por animales ponzoñosos</t>
  </si>
  <si>
    <t>Envenenamiento por animales ponzoñosos</t>
  </si>
  <si>
    <t>Efecto tóxico por serpiente cualquier intencionalidad</t>
  </si>
  <si>
    <t>T63.0</t>
  </si>
  <si>
    <t>X - Intoxicaciones químicas</t>
  </si>
  <si>
    <t>Intoxicaciones por sustancias químicas</t>
  </si>
  <si>
    <t>Intoxicaciones por medicamentos</t>
  </si>
  <si>
    <t>XI - Enfermedades desconocidas</t>
  </si>
  <si>
    <t>Enfermedades desconocidas, exposiciones</t>
  </si>
  <si>
    <t>Observación por sospecha de determinadas enfermedades</t>
  </si>
  <si>
    <t>Z03.8</t>
  </si>
  <si>
    <t>XII - Brotes de cualquier etiología</t>
  </si>
  <si>
    <t>Brote de cualquier etiología bajo sospecha</t>
  </si>
  <si>
    <t>XIII - Enfermedades emergentes</t>
  </si>
  <si>
    <t>Otras enfermedades emergentes</t>
  </si>
  <si>
    <t>Enfermedad de Creutz-feldt-Jakob(Encefalopatía espongiforme)</t>
  </si>
  <si>
    <t>XIV - Infecciones atribuidas a la atención en salud</t>
  </si>
  <si>
    <t>Infecciones atribuidas a la atención de salud</t>
  </si>
  <si>
    <t>IAAS</t>
  </si>
  <si>
    <t>XV - Eventos adversos de vacunación e inmunización</t>
  </si>
  <si>
    <t>Eventos adversos atribuidos a la vacunación</t>
  </si>
  <si>
    <t>G00.0</t>
  </si>
  <si>
    <t>Meningitis por Haemophilus influenzae</t>
  </si>
  <si>
    <t>Meningitis por Streptococcus pneumoniae</t>
  </si>
  <si>
    <t>G00.1</t>
  </si>
  <si>
    <t>Meningitis y otras formas invasivas por Neisseria meningitidis</t>
  </si>
  <si>
    <t>Meningitis por otros agentes bacterianos</t>
  </si>
  <si>
    <t>G00.8</t>
  </si>
  <si>
    <t>A86*</t>
  </si>
  <si>
    <t>A87.9</t>
  </si>
  <si>
    <t>Meningitis/encefalitis a LCR claro</t>
  </si>
  <si>
    <t>Meningo_x0002_encefalitis viral con agente especificado</t>
  </si>
  <si>
    <t>A83*</t>
  </si>
  <si>
    <t>A84*</t>
  </si>
  <si>
    <t>A85*</t>
  </si>
  <si>
    <t>Meningitis por otros agentes infecciosos</t>
  </si>
  <si>
    <t>G02*</t>
  </si>
  <si>
    <t>Tos convulsa sin especificar agente</t>
  </si>
  <si>
    <t>Tos convulsa con agente identificado</t>
  </si>
  <si>
    <t>Pseudomem_x0002_branas en vías respiratorias altas</t>
  </si>
  <si>
    <t>Difteria</t>
  </si>
  <si>
    <t>Amigdalitis/faringitis/laringitis con presencia de membrana</t>
  </si>
  <si>
    <t>Difteria en cualquiera de sus formas</t>
  </si>
  <si>
    <t>Difteria sin especificar forma</t>
  </si>
  <si>
    <t>Parotiditis</t>
  </si>
  <si>
    <t>Parotiditis sin complicaciones Fiebre urliana</t>
  </si>
  <si>
    <t>Parotiditis en cualquiera de sus formas</t>
  </si>
  <si>
    <t>Poliomielitis</t>
  </si>
  <si>
    <t>Parálisis fláccida aguda en menores de 15 años</t>
  </si>
  <si>
    <t>Poliomielitis en cualquiera de sus formas y origen de virus polio</t>
  </si>
  <si>
    <t>Rubeola</t>
  </si>
  <si>
    <t>Erupciones cutáneas febril</t>
  </si>
  <si>
    <t>Sospecha de rubéola</t>
  </si>
  <si>
    <t>Rubéola en cualquiera de sus formas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</si>
</sst>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C0A]General"/>
    <numFmt numFmtId="165" formatCode="dd/mm/yyyy;@"/>
  </numFmts>
  <fonts count="33">
    <font>
      <sz val="11"/>
      <color theme="1"/>
      <name val="Calibri"/>
      <family val="2"/>
      <scheme val="minor"/>
    </font>
    <font>
      <b/>
      <sz val="12"/>
      <color theme="1"/>
      <name val="Times News Roman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1"/>
    </font>
    <font>
      <b/>
      <sz val="10"/>
      <color rgb="FF000000"/>
      <name val="Arial Black"/>
      <family val="2"/>
    </font>
    <font>
      <sz val="9"/>
      <color rgb="FF000000"/>
      <name val="Arial1"/>
    </font>
    <font>
      <b/>
      <sz val="9"/>
      <color rgb="FF000000"/>
      <name val="Arial1"/>
    </font>
    <font>
      <sz val="9"/>
      <color rgb="FF000000"/>
      <name val="Calibri"/>
      <family val="2"/>
    </font>
    <font>
      <sz val="8"/>
      <color rgb="FF000000"/>
      <name val="Arial1"/>
    </font>
    <font>
      <b/>
      <sz val="8"/>
      <color rgb="FF000000"/>
      <name val="Arial1"/>
    </font>
    <font>
      <b/>
      <sz val="7"/>
      <color rgb="FF000000"/>
      <name val="Arial1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8"/>
      <color rgb="FFAFABAB"/>
      <name val="Arial1"/>
    </font>
    <font>
      <sz val="12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3F3F3F"/>
      </top>
      <bottom style="thin">
        <color rgb="FF7F7F7F"/>
      </bottom>
      <diagonal/>
    </border>
    <border>
      <left/>
      <right/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rgb="FF3F3F3F"/>
      </left>
      <right/>
      <top style="thick">
        <color theme="4"/>
      </top>
      <bottom style="thin">
        <color rgb="FF3F3F3F"/>
      </bottom>
      <diagonal/>
    </border>
    <border>
      <left/>
      <right/>
      <top style="thick">
        <color theme="4"/>
      </top>
      <bottom style="thin">
        <color rgb="FF3F3F3F"/>
      </bottom>
      <diagonal/>
    </border>
    <border>
      <left/>
      <right style="thin">
        <color rgb="FF3F3F3F"/>
      </right>
      <top style="thick">
        <color theme="4"/>
      </top>
      <bottom style="thin">
        <color rgb="FF3F3F3F"/>
      </bottom>
      <diagonal/>
    </border>
  </borders>
  <cellStyleXfs count="15">
    <xf numFmtId="0" fontId="0" fillId="0" borderId="1"/>
    <xf numFmtId="0" fontId="3" fillId="2" borderId="1"/>
    <xf numFmtId="0" fontId="5" fillId="0" borderId="1"/>
    <xf numFmtId="0" fontId="6" fillId="0" borderId="2"/>
    <xf numFmtId="0" fontId="4" fillId="3" borderId="1"/>
    <xf numFmtId="0" fontId="4" fillId="4" borderId="1"/>
    <xf numFmtId="0" fontId="4" fillId="5" borderId="1"/>
    <xf numFmtId="0" fontId="7" fillId="6" borderId="1"/>
    <xf numFmtId="164" fontId="8" fillId="0" borderId="1">
      <alignment vertical="center"/>
    </xf>
    <xf numFmtId="0" fontId="17" fillId="0" borderId="1"/>
    <xf numFmtId="9" fontId="17" fillId="0" borderId="1"/>
    <xf numFmtId="0" fontId="27" fillId="0" borderId="0" applyNumberFormat="0" applyFill="0" applyBorder="0" applyAlignment="0" applyProtection="0"/>
    <xf numFmtId="0" fontId="30" fillId="0" borderId="47" applyNumberFormat="0" applyFill="0" applyAlignment="0" applyProtection="0"/>
    <xf numFmtId="0" fontId="31" fillId="10" borderId="49" applyNumberFormat="0" applyAlignment="0" applyProtection="0"/>
    <xf numFmtId="0" fontId="32" fillId="10" borderId="48" applyNumberFormat="0" applyAlignment="0" applyProtection="0"/>
  </cellStyleXfs>
  <cellXfs count="151">
    <xf numFmtId="0" fontId="0" fillId="0" borderId="0" xfId="0" applyBorder="1"/>
    <xf numFmtId="0" fontId="0" fillId="0" borderId="0" xfId="0" pivotButton="1" applyBorder="1"/>
    <xf numFmtId="0" fontId="0" fillId="0" borderId="1" xfId="0"/>
    <xf numFmtId="0" fontId="0" fillId="0" borderId="0" xfId="0" applyBorder="1" applyAlignment="1">
      <alignment horizontal="center"/>
    </xf>
    <xf numFmtId="0" fontId="4" fillId="4" borderId="0" xfId="5" applyBorder="1"/>
    <xf numFmtId="0" fontId="4" fillId="5" borderId="0" xfId="6" applyBorder="1"/>
    <xf numFmtId="0" fontId="4" fillId="3" borderId="0" xfId="4" applyBorder="1"/>
    <xf numFmtId="0" fontId="4" fillId="5" borderId="1" xfId="6"/>
    <xf numFmtId="0" fontId="0" fillId="0" borderId="1" xfId="0" applyAlignment="1">
      <alignment horizontal="center"/>
    </xf>
    <xf numFmtId="0" fontId="4" fillId="5" borderId="1" xfId="6" applyAlignment="1">
      <alignment horizontal="center"/>
    </xf>
    <xf numFmtId="0" fontId="7" fillId="6" borderId="1" xfId="7" applyAlignment="1">
      <alignment horizontal="center"/>
    </xf>
    <xf numFmtId="0" fontId="2" fillId="0" borderId="1" xfId="0" applyFont="1" applyAlignment="1">
      <alignment horizontal="center"/>
    </xf>
    <xf numFmtId="164" fontId="11" fillId="8" borderId="1" xfId="8" applyFont="1" applyFill="1" applyAlignment="1">
      <alignment horizontal="left"/>
    </xf>
    <xf numFmtId="164" fontId="11" fillId="8" borderId="1" xfId="8" applyFont="1" applyFill="1">
      <alignment vertical="center"/>
    </xf>
    <xf numFmtId="164" fontId="11" fillId="8" borderId="1" xfId="8" applyFont="1" applyFill="1" applyAlignment="1"/>
    <xf numFmtId="164" fontId="12" fillId="8" borderId="1" xfId="8" applyFont="1" applyFill="1" applyAlignment="1">
      <alignment horizontal="center" vertical="center"/>
    </xf>
    <xf numFmtId="164" fontId="12" fillId="8" borderId="5" xfId="8" applyFont="1" applyFill="1" applyBorder="1" applyAlignment="1">
      <alignment horizontal="center" vertical="center"/>
    </xf>
    <xf numFmtId="164" fontId="13" fillId="8" borderId="1" xfId="8" applyFont="1" applyFill="1">
      <alignment vertical="center"/>
    </xf>
    <xf numFmtId="165" fontId="11" fillId="8" borderId="1" xfId="8" applyNumberFormat="1" applyFont="1" applyFill="1" applyAlignment="1">
      <alignment horizontal="right" vertical="center"/>
    </xf>
    <xf numFmtId="164" fontId="11" fillId="8" borderId="1" xfId="8" applyFont="1" applyFill="1" applyAlignment="1">
      <alignment horizontal="left" vertical="center"/>
    </xf>
    <xf numFmtId="164" fontId="13" fillId="8" borderId="1" xfId="8" applyFont="1" applyFill="1" applyAlignment="1"/>
    <xf numFmtId="164" fontId="11" fillId="8" borderId="1" xfId="8" applyFont="1" applyFill="1" applyAlignment="1">
      <alignment horizontal="right" vertical="center"/>
    </xf>
    <xf numFmtId="164" fontId="14" fillId="8" borderId="1" xfId="8" applyFont="1" applyFill="1">
      <alignment vertical="center"/>
    </xf>
    <xf numFmtId="164" fontId="15" fillId="0" borderId="11" xfId="8" applyFont="1" applyBorder="1" applyAlignment="1">
      <alignment horizontal="left" vertical="center"/>
    </xf>
    <xf numFmtId="164" fontId="16" fillId="0" borderId="11" xfId="8" applyFont="1" applyBorder="1" applyAlignment="1">
      <alignment horizontal="center" vertical="center" wrapText="1"/>
    </xf>
    <xf numFmtId="164" fontId="16" fillId="0" borderId="12" xfId="8" applyFont="1" applyBorder="1" applyAlignment="1">
      <alignment horizontal="center" vertical="center" wrapText="1"/>
    </xf>
    <xf numFmtId="164" fontId="15" fillId="0" borderId="11" xfId="8" applyFont="1" applyBorder="1" applyAlignment="1">
      <alignment horizontal="center" vertical="center" wrapText="1"/>
    </xf>
    <xf numFmtId="164" fontId="15" fillId="0" borderId="12" xfId="8" applyFont="1" applyBorder="1" applyAlignment="1">
      <alignment horizontal="center" vertical="center"/>
    </xf>
    <xf numFmtId="164" fontId="14" fillId="0" borderId="15" xfId="8" applyFont="1" applyBorder="1" applyAlignment="1">
      <alignment horizontal="left" vertical="center" wrapText="1"/>
    </xf>
    <xf numFmtId="164" fontId="14" fillId="0" borderId="15" xfId="8" applyFont="1" applyBorder="1" applyAlignment="1">
      <alignment horizontal="center" vertical="center"/>
    </xf>
    <xf numFmtId="164" fontId="17" fillId="0" borderId="15" xfId="8" applyFont="1" applyBorder="1" applyAlignment="1">
      <alignment horizontal="center" vertical="center" wrapText="1"/>
    </xf>
    <xf numFmtId="164" fontId="17" fillId="0" borderId="17" xfId="8" applyFont="1" applyBorder="1" applyAlignment="1">
      <alignment horizontal="center" vertical="center"/>
    </xf>
    <xf numFmtId="0" fontId="4" fillId="4" borderId="1" xfId="5"/>
    <xf numFmtId="164" fontId="14" fillId="0" borderId="15" xfId="8" applyFont="1" applyBorder="1" applyAlignment="1">
      <alignment horizontal="left" vertical="center"/>
    </xf>
    <xf numFmtId="164" fontId="17" fillId="0" borderId="15" xfId="8" applyFont="1" applyBorder="1" applyAlignment="1">
      <alignment horizontal="center" vertical="center"/>
    </xf>
    <xf numFmtId="164" fontId="14" fillId="0" borderId="22" xfId="8" applyFont="1" applyBorder="1">
      <alignment vertical="center"/>
    </xf>
    <xf numFmtId="164" fontId="14" fillId="0" borderId="22" xfId="8" applyFont="1" applyBorder="1" applyAlignment="1">
      <alignment horizontal="center" vertical="center"/>
    </xf>
    <xf numFmtId="164" fontId="17" fillId="0" borderId="22" xfId="8" applyFont="1" applyBorder="1" applyAlignment="1">
      <alignment horizontal="center" vertical="center"/>
    </xf>
    <xf numFmtId="164" fontId="11" fillId="0" borderId="22" xfId="8" applyFont="1" applyBorder="1" applyAlignment="1">
      <alignment horizontal="center" vertical="center" wrapText="1"/>
    </xf>
    <xf numFmtId="164" fontId="17" fillId="0" borderId="23" xfId="8" applyFont="1" applyBorder="1" applyAlignment="1">
      <alignment horizontal="center" vertical="center"/>
    </xf>
    <xf numFmtId="164" fontId="14" fillId="0" borderId="15" xfId="8" applyFont="1" applyBorder="1" applyAlignment="1">
      <alignment horizontal="center" vertical="center" wrapText="1"/>
    </xf>
    <xf numFmtId="164" fontId="14" fillId="0" borderId="29" xfId="8" applyFont="1" applyBorder="1" applyAlignment="1">
      <alignment horizontal="center" vertical="center" wrapText="1"/>
    </xf>
    <xf numFmtId="164" fontId="17" fillId="0" borderId="31" xfId="8" applyFont="1" applyBorder="1" applyAlignment="1">
      <alignment horizontal="center" vertical="center"/>
    </xf>
    <xf numFmtId="164" fontId="14" fillId="0" borderId="16" xfId="8" applyFont="1" applyBorder="1" applyAlignment="1">
      <alignment horizontal="center" vertical="center" wrapText="1"/>
    </xf>
    <xf numFmtId="49" fontId="14" fillId="0" borderId="15" xfId="10" applyNumberFormat="1" applyFont="1" applyBorder="1" applyAlignment="1">
      <alignment horizontal="center" vertical="center"/>
    </xf>
    <xf numFmtId="49" fontId="14" fillId="0" borderId="15" xfId="8" applyNumberFormat="1" applyFont="1" applyBorder="1" applyAlignment="1">
      <alignment horizontal="center" vertical="center"/>
    </xf>
    <xf numFmtId="164" fontId="17" fillId="0" borderId="16" xfId="8" applyFont="1" applyBorder="1" applyAlignment="1">
      <alignment horizontal="center" vertical="center"/>
    </xf>
    <xf numFmtId="164" fontId="17" fillId="0" borderId="30" xfId="8" applyFont="1" applyBorder="1" applyAlignment="1">
      <alignment horizontal="center" vertical="center"/>
    </xf>
    <xf numFmtId="164" fontId="18" fillId="8" borderId="1" xfId="8" applyFont="1" applyFill="1" applyAlignment="1"/>
    <xf numFmtId="164" fontId="18" fillId="8" borderId="1" xfId="8" applyFont="1" applyFill="1">
      <alignment vertical="center"/>
    </xf>
    <xf numFmtId="164" fontId="8" fillId="8" borderId="1" xfId="8" applyFill="1">
      <alignment vertical="center"/>
    </xf>
    <xf numFmtId="164" fontId="0" fillId="8" borderId="1" xfId="8" applyFont="1" applyFill="1">
      <alignment vertical="center"/>
    </xf>
    <xf numFmtId="164" fontId="19" fillId="8" borderId="1" xfId="8" applyFont="1" applyFill="1">
      <alignment vertical="center"/>
    </xf>
    <xf numFmtId="164" fontId="20" fillId="8" borderId="1" xfId="8" applyFont="1" applyFill="1">
      <alignment vertical="center"/>
    </xf>
    <xf numFmtId="164" fontId="18" fillId="8" borderId="1" xfId="8" applyFont="1" applyFill="1" applyAlignment="1">
      <alignment horizontal="right" vertical="center"/>
    </xf>
    <xf numFmtId="164" fontId="13" fillId="8" borderId="35" xfId="8" applyFont="1" applyFill="1" applyBorder="1" applyAlignment="1">
      <alignment horizontal="left" vertical="center"/>
    </xf>
    <xf numFmtId="164" fontId="20" fillId="8" borderId="1" xfId="8" applyFont="1" applyFill="1" applyAlignment="1">
      <alignment horizontal="left" vertical="center" wrapText="1"/>
    </xf>
    <xf numFmtId="164" fontId="20" fillId="8" borderId="1" xfId="8" applyFont="1" applyFill="1" applyAlignment="1">
      <alignment horizontal="left" vertical="center"/>
    </xf>
    <xf numFmtId="164" fontId="13" fillId="8" borderId="1" xfId="8" applyFont="1" applyFill="1" applyAlignment="1">
      <alignment horizontal="center" vertical="center"/>
    </xf>
    <xf numFmtId="164" fontId="13" fillId="8" borderId="1" xfId="8" applyFont="1" applyFill="1" applyAlignment="1">
      <alignment horizontal="left" vertical="top" wrapText="1"/>
    </xf>
    <xf numFmtId="164" fontId="13" fillId="8" borderId="1" xfId="8" applyFont="1" applyFill="1" applyAlignment="1">
      <alignment vertical="center" wrapText="1"/>
    </xf>
    <xf numFmtId="164" fontId="19" fillId="8" borderId="1" xfId="8" applyFont="1" applyFill="1" applyAlignment="1">
      <alignment horizontal="center" vertical="center"/>
    </xf>
    <xf numFmtId="164" fontId="18" fillId="8" borderId="1" xfId="8" applyFont="1" applyFill="1" applyAlignment="1">
      <alignment horizontal="center" vertical="center"/>
    </xf>
    <xf numFmtId="164" fontId="21" fillId="8" borderId="1" xfId="8" applyFont="1" applyFill="1" applyAlignment="1">
      <alignment horizontal="center" vertical="center"/>
    </xf>
    <xf numFmtId="164" fontId="19" fillId="8" borderId="1" xfId="8" applyFont="1" applyFill="1" applyAlignment="1">
      <alignment horizontal="left" vertical="top"/>
    </xf>
    <xf numFmtId="0" fontId="4" fillId="0" borderId="1" xfId="5" applyFill="1"/>
    <xf numFmtId="0" fontId="4" fillId="0" borderId="1" xfId="6" applyFill="1" applyAlignment="1">
      <alignment horizontal="center"/>
    </xf>
    <xf numFmtId="0" fontId="0" fillId="9" borderId="1" xfId="0" applyFill="1" applyAlignment="1">
      <alignment horizontal="center"/>
    </xf>
    <xf numFmtId="0" fontId="25" fillId="0" borderId="1" xfId="0" applyFont="1" applyAlignment="1">
      <alignment horizontal="center" vertical="center" wrapText="1"/>
    </xf>
    <xf numFmtId="0" fontId="5" fillId="0" borderId="1" xfId="2" applyAlignment="1">
      <alignment vertical="center"/>
    </xf>
    <xf numFmtId="0" fontId="25" fillId="0" borderId="1" xfId="0" applyFont="1" applyAlignment="1">
      <alignment vertical="top" wrapText="1"/>
    </xf>
    <xf numFmtId="0" fontId="1" fillId="0" borderId="42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3" fillId="2" borderId="1" xfId="1" applyFont="1" applyAlignment="1">
      <alignment horizontal="center" vertical="center" wrapText="1"/>
    </xf>
    <xf numFmtId="0" fontId="0" fillId="0" borderId="1" xfId="0"/>
    <xf numFmtId="0" fontId="6" fillId="0" borderId="2" xfId="3" applyAlignment="1">
      <alignment horizontal="center"/>
    </xf>
    <xf numFmtId="0" fontId="0" fillId="0" borderId="2" xfId="0" applyBorder="1"/>
    <xf numFmtId="0" fontId="6" fillId="0" borderId="2" xfId="3" applyAlignment="1">
      <alignment horizontal="right"/>
    </xf>
    <xf numFmtId="0" fontId="5" fillId="0" borderId="1" xfId="2" applyAlignment="1">
      <alignment horizontal="center" vertical="center"/>
    </xf>
    <xf numFmtId="0" fontId="25" fillId="0" borderId="1" xfId="0" applyFont="1" applyAlignment="1">
      <alignment horizontal="center" vertical="center" wrapText="1"/>
    </xf>
    <xf numFmtId="0" fontId="0" fillId="0" borderId="0" xfId="0" applyBorder="1"/>
    <xf numFmtId="0" fontId="24" fillId="0" borderId="1" xfId="3" applyFont="1" applyBorder="1" applyAlignment="1">
      <alignment horizontal="center" vertical="top"/>
    </xf>
    <xf numFmtId="0" fontId="6" fillId="0" borderId="2" xfId="3" applyAlignment="1">
      <alignment horizontal="left"/>
    </xf>
    <xf numFmtId="164" fontId="14" fillId="0" borderId="9" xfId="8" applyFont="1" applyBorder="1" applyAlignment="1">
      <alignment horizontal="left" vertical="center" wrapText="1"/>
    </xf>
    <xf numFmtId="0" fontId="0" fillId="0" borderId="10" xfId="0" applyBorder="1"/>
    <xf numFmtId="0" fontId="0" fillId="0" borderId="14" xfId="0" applyBorder="1"/>
    <xf numFmtId="0" fontId="0" fillId="0" borderId="19" xfId="0" applyBorder="1"/>
    <xf numFmtId="0" fontId="0" fillId="0" borderId="13" xfId="0" applyBorder="1"/>
    <xf numFmtId="164" fontId="10" fillId="7" borderId="1" xfId="8" applyFont="1" applyFill="1" applyAlignment="1">
      <alignment horizontal="center" vertical="center"/>
    </xf>
    <xf numFmtId="164" fontId="17" fillId="0" borderId="17" xfId="8" applyFont="1" applyBorder="1" applyAlignment="1">
      <alignment horizontal="center" vertical="center"/>
    </xf>
    <xf numFmtId="0" fontId="0" fillId="0" borderId="12" xfId="0" applyBorder="1"/>
    <xf numFmtId="164" fontId="14" fillId="0" borderId="15" xfId="8" applyFont="1" applyBorder="1" applyAlignment="1">
      <alignment horizontal="left" vertical="center" wrapText="1"/>
    </xf>
    <xf numFmtId="0" fontId="0" fillId="0" borderId="16" xfId="0" applyBorder="1"/>
    <xf numFmtId="164" fontId="12" fillId="7" borderId="6" xfId="8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64" fontId="14" fillId="0" borderId="15" xfId="8" applyFont="1" applyBorder="1" applyAlignment="1">
      <alignment horizontal="center" vertical="center"/>
    </xf>
    <xf numFmtId="0" fontId="0" fillId="0" borderId="11" xfId="0" applyBorder="1"/>
    <xf numFmtId="164" fontId="14" fillId="0" borderId="41" xfId="8" applyFont="1" applyBorder="1" applyAlignment="1">
      <alignment horizontal="left" vertical="center" wrapText="1"/>
    </xf>
    <xf numFmtId="164" fontId="14" fillId="0" borderId="15" xfId="8" applyFont="1" applyBorder="1" applyAlignment="1">
      <alignment horizontal="center" vertical="center" wrapText="1"/>
    </xf>
    <xf numFmtId="0" fontId="0" fillId="0" borderId="25" xfId="0" applyBorder="1"/>
    <xf numFmtId="164" fontId="15" fillId="0" borderId="33" xfId="8" applyFont="1" applyBorder="1" applyAlignment="1">
      <alignment horizontal="center" vertical="center"/>
    </xf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7" fillId="0" borderId="15" xfId="9" applyBorder="1" applyAlignment="1">
      <alignment horizontal="center" vertical="center"/>
    </xf>
    <xf numFmtId="164" fontId="17" fillId="0" borderId="15" xfId="8" applyFont="1" applyBorder="1" applyAlignment="1">
      <alignment horizontal="center" vertical="center"/>
    </xf>
    <xf numFmtId="164" fontId="14" fillId="0" borderId="29" xfId="8" applyFont="1" applyBorder="1" applyAlignment="1">
      <alignment horizontal="left" vertical="center"/>
    </xf>
    <xf numFmtId="0" fontId="0" fillId="0" borderId="30" xfId="0" applyBorder="1"/>
    <xf numFmtId="164" fontId="14" fillId="0" borderId="42" xfId="8" applyFont="1" applyBorder="1" applyAlignment="1">
      <alignment horizontal="center" vertical="center" wrapText="1"/>
    </xf>
    <xf numFmtId="164" fontId="15" fillId="0" borderId="11" xfId="8" applyFont="1" applyBorder="1" applyAlignment="1">
      <alignment horizontal="center" vertical="center"/>
    </xf>
    <xf numFmtId="164" fontId="12" fillId="7" borderId="6" xfId="8" applyFont="1" applyFill="1" applyBorder="1" applyAlignment="1">
      <alignment horizontal="center" vertical="center"/>
    </xf>
    <xf numFmtId="164" fontId="15" fillId="0" borderId="32" xfId="8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164" fontId="15" fillId="0" borderId="13" xfId="8" applyFont="1" applyBorder="1" applyAlignment="1">
      <alignment horizontal="center" vertical="center" wrapText="1"/>
    </xf>
    <xf numFmtId="0" fontId="0" fillId="0" borderId="35" xfId="0" applyBorder="1"/>
    <xf numFmtId="164" fontId="14" fillId="0" borderId="15" xfId="8" applyFont="1" applyBorder="1" applyAlignment="1">
      <alignment horizontal="left" vertical="center"/>
    </xf>
    <xf numFmtId="0" fontId="0" fillId="0" borderId="18" xfId="0" applyBorder="1"/>
    <xf numFmtId="0" fontId="0" fillId="0" borderId="20" xfId="0" applyBorder="1"/>
    <xf numFmtId="164" fontId="14" fillId="0" borderId="15" xfId="8" applyFont="1" applyBorder="1" applyAlignment="1">
      <alignment horizontal="left" vertical="top" wrapText="1"/>
    </xf>
    <xf numFmtId="0" fontId="0" fillId="0" borderId="24" xfId="0" applyBorder="1"/>
    <xf numFmtId="164" fontId="14" fillId="0" borderId="43" xfId="8" applyFont="1" applyBorder="1" applyAlignment="1">
      <alignment horizontal="left" vertical="center" wrapText="1"/>
    </xf>
    <xf numFmtId="0" fontId="0" fillId="0" borderId="44" xfId="0" applyBorder="1"/>
    <xf numFmtId="164" fontId="14" fillId="0" borderId="42" xfId="8" applyFont="1" applyBorder="1" applyAlignment="1">
      <alignment horizontal="center" vertical="center"/>
    </xf>
    <xf numFmtId="164" fontId="14" fillId="0" borderId="21" xfId="8" applyFont="1" applyBorder="1" applyAlignment="1">
      <alignment horizontal="left" vertical="center" wrapText="1"/>
    </xf>
    <xf numFmtId="0" fontId="0" fillId="0" borderId="27" xfId="0" applyBorder="1"/>
    <xf numFmtId="0" fontId="0" fillId="0" borderId="28" xfId="0" applyBorder="1"/>
    <xf numFmtId="164" fontId="15" fillId="0" borderId="12" xfId="8" applyFont="1" applyBorder="1" applyAlignment="1">
      <alignment horizontal="center" vertical="center"/>
    </xf>
    <xf numFmtId="0" fontId="18" fillId="8" borderId="1" xfId="9" applyFont="1" applyFill="1" applyAlignment="1">
      <alignment horizontal="right" wrapText="1"/>
    </xf>
    <xf numFmtId="0" fontId="0" fillId="0" borderId="26" xfId="0" applyBorder="1"/>
    <xf numFmtId="0" fontId="22" fillId="2" borderId="1" xfId="1" applyFont="1" applyAlignment="1">
      <alignment horizontal="center" vertical="center"/>
    </xf>
    <xf numFmtId="164" fontId="9" fillId="7" borderId="1" xfId="8" applyFont="1" applyFill="1" applyAlignment="1">
      <alignment horizontal="center" vertical="center"/>
    </xf>
    <xf numFmtId="164" fontId="14" fillId="0" borderId="45" xfId="8" applyFont="1" applyBorder="1" applyAlignment="1">
      <alignment horizontal="center" vertical="center" wrapText="1"/>
    </xf>
    <xf numFmtId="0" fontId="0" fillId="0" borderId="46" xfId="0" applyBorder="1"/>
    <xf numFmtId="0" fontId="28" fillId="0" borderId="2" xfId="3" applyFont="1" applyAlignment="1">
      <alignment horizontal="center"/>
    </xf>
    <xf numFmtId="0" fontId="27" fillId="0" borderId="1" xfId="11" applyBorder="1" applyAlignment="1">
      <alignment horizontal="center" wrapText="1"/>
    </xf>
    <xf numFmtId="0" fontId="25" fillId="0" borderId="1" xfId="0" applyFont="1" applyAlignment="1">
      <alignment horizontal="center" vertical="top" wrapText="1"/>
    </xf>
    <xf numFmtId="0" fontId="32" fillId="10" borderId="48" xfId="14" applyAlignment="1">
      <alignment horizontal="center" wrapText="1"/>
    </xf>
    <xf numFmtId="0" fontId="32" fillId="10" borderId="48" xfId="14" applyAlignment="1">
      <alignment horizontal="center"/>
    </xf>
    <xf numFmtId="0" fontId="31" fillId="10" borderId="49" xfId="13" applyAlignment="1">
      <alignment horizontal="center"/>
    </xf>
    <xf numFmtId="0" fontId="30" fillId="0" borderId="47" xfId="12" applyAlignment="1">
      <alignment horizontal="center"/>
    </xf>
    <xf numFmtId="0" fontId="31" fillId="10" borderId="49" xfId="13" applyAlignment="1">
      <alignment horizontal="center" wrapText="1"/>
    </xf>
    <xf numFmtId="0" fontId="32" fillId="10" borderId="50" xfId="14" applyBorder="1" applyAlignment="1">
      <alignment horizontal="center"/>
    </xf>
    <xf numFmtId="0" fontId="32" fillId="10" borderId="51" xfId="14" applyBorder="1" applyAlignment="1">
      <alignment horizontal="center"/>
    </xf>
    <xf numFmtId="0" fontId="32" fillId="10" borderId="52" xfId="14" applyBorder="1" applyAlignment="1">
      <alignment horizontal="center"/>
    </xf>
    <xf numFmtId="0" fontId="31" fillId="10" borderId="53" xfId="13" applyBorder="1" applyAlignment="1">
      <alignment horizontal="center"/>
    </xf>
    <xf numFmtId="0" fontId="31" fillId="10" borderId="54" xfId="13" applyBorder="1" applyAlignment="1">
      <alignment horizontal="center"/>
    </xf>
    <xf numFmtId="0" fontId="31" fillId="10" borderId="55" xfId="13" applyBorder="1" applyAlignment="1">
      <alignment horizontal="center"/>
    </xf>
  </cellXfs>
  <cellStyles count="15">
    <cellStyle name="20% - Énfasis4" xfId="5" builtinId="42"/>
    <cellStyle name="40% - Énfasis6" xfId="6" builtinId="51"/>
    <cellStyle name="60% - Énfasis3" xfId="4" builtinId="40"/>
    <cellStyle name="Bueno" xfId="1" builtinId="26"/>
    <cellStyle name="Cálculo" xfId="14" builtinId="22"/>
    <cellStyle name="Encabezado 1" xfId="12" builtinId="16"/>
    <cellStyle name="Encabezado 4" xfId="11" builtinId="19"/>
    <cellStyle name="Énfasis4" xfId="7" builtinId="41"/>
    <cellStyle name="Excel Built-in Normal" xfId="8" xr:uid="{00000000-0005-0000-0000-000008000000}"/>
    <cellStyle name="Normal" xfId="0" builtinId="0"/>
    <cellStyle name="Normal 3" xfId="9" xr:uid="{00000000-0005-0000-0000-000009000000}"/>
    <cellStyle name="Porcentaje 2" xfId="10" xr:uid="{00000000-0005-0000-0000-00000A000000}"/>
    <cellStyle name="Salida" xfId="13" builtinId="21"/>
    <cellStyle name="Título" xfId="2" builtinId="15"/>
    <cellStyle name="Título 2" xfId="3" builtinId="17"/>
  </cellStyles>
  <dxfs count="1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border>
        <bottom style="medium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</font>
      <alignment horizontal="center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lieser Aguilar" refreshedDate="45523.480096990737" createdVersion="8" refreshedVersion="8" minRefreshableVersion="3" recordCount="299998" xr:uid="{00000000-000A-0000-FFFF-FFFF04000000}">
  <cacheSource type="worksheet">
    <worksheetSource name="BASE"/>
  </cacheSource>
  <cacheFields count="76">
    <cacheField name="Fecha" numFmtId="0">
      <sharedItems containsNonDate="0" containsString="0" containsBlank="1"/>
    </cacheField>
    <cacheField name="Hora de Admisión" numFmtId="0">
      <sharedItems containsNonDate="0" containsString="0" containsBlank="1"/>
    </cacheField>
    <cacheField name="Fin de consulta" numFmtId="0">
      <sharedItems containsNonDate="0" containsString="0" containsBlank="1"/>
    </cacheField>
    <cacheField name="Cod.Establecimiento" numFmtId="0">
      <sharedItems containsNonDate="0" containsBlank="1" count="32">
        <m/>
        <s v="04.-006-309-GENERAL EUGENIO A. GARAY" u="1"/>
        <s v="04.-007-203-H.D. - COLONIA INDEPENDENCIA" u="1"/>
        <s v="04.-001-101-H.R. - VILLARRICA" u="1"/>
        <s v="04.-009-204-ITURBE" u="1"/>
        <s v="04.-010-209-JOSE FASSARDI" u="1"/>
        <s v="04.-003-210-MAURICIO JOSE TROCHE" u="1"/>
        <s v="04.-012-303-NATALICIO TALAVERA" u="1"/>
        <s v="04.-014-205-SAN SALVADOR" u="1"/>
        <s v="04.-002-356-USF - VALLE PÉ" u="1"/>
        <s v="04.-001-348-USF- 14 DE MAYO" u="1"/>
        <s v="04.-001-370-USF- HOSPITAL-I SAN MIGUEL" u="1"/>
        <s v="04.-001-338-USF- MA. AUXILIADORA" u="1"/>
        <s v="04.-013-306-USF- ÑUMI" u="1"/>
        <s v="04.-008-327-USF-ITAPE" u="1"/>
        <s v="04.-012-332-USF-NATALICIO TALAVERA" u="1"/>
        <s v="04.-001-358-USF-RINCÓN" u="1"/>
        <s v="04.-014-333-USF-SAN SALVADOR" u="1"/>
        <s v="04.-001-206-USF-VILLARRICA" u="1"/>
        <s v="04.-015-334-USF-YATAITY" u="1"/>
        <s v="04.-001-505-CLINICA MUNICIPAL" u="1"/>
        <s v="04.-008-211-ITAPE" u="1"/>
        <s v="04.-017-202-PASO YOBAI" u="1"/>
        <s v="04.-001-504-POLICLINICO SAN MIGUEL" u="1"/>
        <s v="04.-004-314-USF- CORONEL MARTINEZ (TEBICUARY)" u="1"/>
        <s v="04.-005-313-USF- FELIX PEREZ CARDOZO" u="1"/>
        <s v="04.-018-316-USF- LOMA PINDO" u="1"/>
        <s v="04.-006-321-USF-GRAL. A. GARAY" u="1"/>
        <s v="04.-009-336-USF-ITURBE" u="1"/>
        <s v="04.-010-330-USF-JOSE FASSARDI" u="1"/>
        <s v="04.-011-331-USF-MBOCAYATY" u="1"/>
        <s v="04.-017-335-USF-PASO YOBAI" u="1"/>
      </sharedItems>
    </cacheField>
    <cacheField name="Tipo de Consulta" numFmtId="0">
      <sharedItems containsNonDate="0" containsString="0" containsBlank="1"/>
    </cacheField>
    <cacheField name="Profesional de la Salud" numFmtId="0">
      <sharedItems containsNonDate="0" containsString="0" containsBlank="1"/>
    </cacheField>
    <cacheField name="Especialidad" numFmtId="0">
      <sharedItems containsNonDate="0" containsString="0" containsBlank="1"/>
    </cacheField>
    <cacheField name="Cédula Identidad" numFmtId="0">
      <sharedItems containsNonDate="0" containsString="0" containsBlank="1"/>
    </cacheField>
    <cacheField name="Nombres y Apellidos PACIENTE" numFmtId="0">
      <sharedItems containsNonDate="0" containsString="0" containsBlank="1"/>
    </cacheField>
    <cacheField name="Sexo" numFmtId="0">
      <sharedItems containsNonDate="0" containsString="0" containsBlank="1"/>
    </cacheField>
    <cacheField name="Edad" numFmtId="0">
      <sharedItems containsNonDate="0" containsString="0" containsBlank="1"/>
    </cacheField>
    <cacheField name="Edad Detallado" numFmtId="0">
      <sharedItems containsNonDate="0" containsString="0" containsBlank="1"/>
    </cacheField>
    <cacheField name="Etnia" numFmtId="0">
      <sharedItems containsNonDate="0" containsString="0" containsBlank="1"/>
    </cacheField>
    <cacheField name="Departamento de residencia" numFmtId="0">
      <sharedItems containsNonDate="0" containsString="0" containsBlank="1"/>
    </cacheField>
    <cacheField name="Distrito de residencia" numFmtId="0">
      <sharedItems containsNonDate="0" containsString="0" containsBlank="1"/>
    </cacheField>
    <cacheField name="Barrio de residencia" numFmtId="0">
      <sharedItems containsNonDate="0" containsString="0" containsBlank="1"/>
    </cacheField>
    <cacheField name="Area de residencia" numFmtId="0">
      <sharedItems containsNonDate="0" containsString="0" containsBlank="1"/>
    </cacheField>
    <cacheField name="Nuevo en el Año" numFmtId="0">
      <sharedItems containsNonDate="0" containsString="0" containsBlank="1"/>
    </cacheField>
    <cacheField name="Asegurado" numFmtId="0">
      <sharedItems containsNonDate="0" containsString="0" containsBlank="1"/>
    </cacheField>
    <cacheField name="Seguro" numFmtId="0">
      <sharedItems containsNonDate="0" containsString="0" containsBlank="1"/>
    </cacheField>
    <cacheField name="Viene Referido" numFmtId="0">
      <sharedItems containsNonDate="0" containsString="0" containsBlank="1"/>
    </cacheField>
    <cacheField name="Motivo de Consulta" numFmtId="0">
      <sharedItems containsNonDate="0" containsString="0" containsBlank="1"/>
    </cacheField>
    <cacheField name="CODCIE10" numFmtId="0">
      <sharedItems containsNonDate="0" containsString="0" containsBlank="1"/>
    </cacheField>
    <cacheField name="Diagnóstico 1" numFmtId="0">
      <sharedItems containsNonDate="0" containsString="0" containsBlank="1"/>
    </cacheField>
    <cacheField name="CODCIE10Nuevo" numFmtId="0">
      <sharedItems containsNonDate="0" containsString="0" containsBlank="1"/>
    </cacheField>
    <cacheField name="CODCIE102" numFmtId="0">
      <sharedItems containsNonDate="0" containsString="0" containsBlank="1"/>
    </cacheField>
    <cacheField name="Diagnóstico 2" numFmtId="0">
      <sharedItems containsNonDate="0" containsString="0" containsBlank="1"/>
    </cacheField>
    <cacheField name="CODCIE10Nuevo3" numFmtId="0">
      <sharedItems containsNonDate="0" containsString="0" containsBlank="1"/>
    </cacheField>
    <cacheField name="CODCIE104" numFmtId="0">
      <sharedItems containsNonDate="0" containsString="0" containsBlank="1"/>
    </cacheField>
    <cacheField name="Diagnóstico 3" numFmtId="0">
      <sharedItems containsNonDate="0" containsString="0" containsBlank="1"/>
    </cacheField>
    <cacheField name="CODCIE10Nuevo5" numFmtId="0">
      <sharedItems containsNonDate="0" containsString="0" containsBlank="1"/>
    </cacheField>
    <cacheField name="CODCIE106" numFmtId="0">
      <sharedItems containsNonDate="0" containsString="0" containsBlank="1"/>
    </cacheField>
    <cacheField name="Diagnóstico 4" numFmtId="0">
      <sharedItems containsNonDate="0" containsString="0" containsBlank="1"/>
    </cacheField>
    <cacheField name="CODCIE10Nuevo7" numFmtId="0">
      <sharedItems containsNonDate="0" containsString="0" containsBlank="1"/>
    </cacheField>
    <cacheField name="CODCIE108" numFmtId="0">
      <sharedItems containsNonDate="0" containsString="0" containsBlank="1"/>
    </cacheField>
    <cacheField name="Diagnóstico 5" numFmtId="0">
      <sharedItems containsNonDate="0" containsString="0" containsBlank="1"/>
    </cacheField>
    <cacheField name="CODCIE10Nuevo9" numFmtId="0">
      <sharedItems containsNonDate="0" containsString="0" containsBlank="1"/>
    </cacheField>
    <cacheField name="CODCIE1010" numFmtId="0">
      <sharedItems containsNonDate="0" containsString="0" containsBlank="1"/>
    </cacheField>
    <cacheField name="Diagnóstico 6" numFmtId="0">
      <sharedItems containsNonDate="0" containsString="0" containsBlank="1"/>
    </cacheField>
    <cacheField name="CODCIE10Nuevo11" numFmtId="0">
      <sharedItems containsNonDate="0" containsString="0" containsBlank="1"/>
    </cacheField>
    <cacheField name="Embarazada" numFmtId="0">
      <sharedItems containsNonDate="0" containsString="0" containsBlank="1"/>
    </cacheField>
    <cacheField name="Semanas de Gestación" numFmtId="0">
      <sharedItems containsNonDate="0" containsString="0" containsBlank="1"/>
    </cacheField>
    <cacheField name="Se refiere" numFmtId="0">
      <sharedItems containsNonDate="0" containsString="0" containsBlank="1"/>
    </cacheField>
    <cacheField name="Se interna" numFmtId="0">
      <sharedItems containsNonDate="0" containsString="0" containsBlank="1"/>
    </cacheField>
    <cacheField name="Motivo Preconsulta" numFmtId="0">
      <sharedItems containsNonDate="0" containsString="0" containsBlank="1"/>
    </cacheField>
    <cacheField name="Estado Nutricional" numFmtId="0">
      <sharedItems containsNonDate="0" containsString="0" containsBlank="1"/>
    </cacheField>
    <cacheField name="Presion Arterial Sistólica PAS" numFmtId="0">
      <sharedItems containsNonDate="0" containsString="0" containsBlank="1"/>
    </cacheField>
    <cacheField name="Presion Arterial diastólica PAD" numFmtId="0">
      <sharedItems containsNonDate="0" containsString="0" containsBlank="1"/>
    </cacheField>
    <cacheField name="Peso (Kg)" numFmtId="0">
      <sharedItems containsNonDate="0" containsString="0" containsBlank="1"/>
    </cacheField>
    <cacheField name="Talla (m)" numFmtId="0">
      <sharedItems containsNonDate="0" containsString="0" containsBlank="1"/>
    </cacheField>
    <cacheField name="IMC" numFmtId="0">
      <sharedItems containsNonDate="0" containsString="0" containsBlank="1"/>
    </cacheField>
    <cacheField name="Circunferencia Abdominal (cm)" numFmtId="0">
      <sharedItems containsNonDate="0" containsString="0" containsBlank="1"/>
    </cacheField>
    <cacheField name="HbA1C (%)" numFmtId="0">
      <sharedItems containsNonDate="0" containsString="0" containsBlank="1"/>
    </cacheField>
    <cacheField name="Alimentación" numFmtId="0">
      <sharedItems containsNonDate="0" containsString="0" containsBlank="1"/>
    </cacheField>
    <cacheField name="CODCIE9 1" numFmtId="0">
      <sharedItems containsNonDate="0" containsString="0" containsBlank="1"/>
    </cacheField>
    <cacheField name="Procedimiento" numFmtId="0">
      <sharedItems containsNonDate="0" containsString="0" containsBlank="1"/>
    </cacheField>
    <cacheField name="Estado" numFmtId="0">
      <sharedItems containsNonDate="0" containsString="0" containsBlank="1"/>
    </cacheField>
    <cacheField name="CODCIE9 2" numFmtId="0">
      <sharedItems containsNonDate="0" containsString="0" containsBlank="1"/>
    </cacheField>
    <cacheField name="Procedimiento12" numFmtId="0">
      <sharedItems containsNonDate="0" containsString="0" containsBlank="1"/>
    </cacheField>
    <cacheField name="Estado13" numFmtId="0">
      <sharedItems containsNonDate="0" containsString="0" containsBlank="1"/>
    </cacheField>
    <cacheField name="CODCIE9 3" numFmtId="0">
      <sharedItems containsNonDate="0" containsString="0" containsBlank="1"/>
    </cacheField>
    <cacheField name="Procedimiento14" numFmtId="0">
      <sharedItems containsNonDate="0" containsString="0" containsBlank="1"/>
    </cacheField>
    <cacheField name="Estado15" numFmtId="0">
      <sharedItems containsNonDate="0" containsString="0" containsBlank="1"/>
    </cacheField>
    <cacheField name="CODCIE9 4" numFmtId="0">
      <sharedItems containsNonDate="0" containsString="0" containsBlank="1"/>
    </cacheField>
    <cacheField name="Procedimiento16" numFmtId="0">
      <sharedItems containsNonDate="0" containsString="0" containsBlank="1"/>
    </cacheField>
    <cacheField name="Estado17" numFmtId="0">
      <sharedItems containsNonDate="0" containsString="0" containsBlank="1"/>
    </cacheField>
    <cacheField name="CODCIE9 5" numFmtId="0">
      <sharedItems containsNonDate="0" containsString="0" containsBlank="1"/>
    </cacheField>
    <cacheField name="Procedimiento18" numFmtId="0">
      <sharedItems containsNonDate="0" containsString="0" containsBlank="1"/>
    </cacheField>
    <cacheField name="Estado19" numFmtId="0">
      <sharedItems containsNonDate="0" containsString="0" containsBlank="1"/>
    </cacheField>
    <cacheField name="CODCIE9 6" numFmtId="0">
      <sharedItems containsNonDate="0" containsString="0" containsBlank="1"/>
    </cacheField>
    <cacheField name="Procedimiento20" numFmtId="0">
      <sharedItems containsNonDate="0" containsString="0" containsBlank="1"/>
    </cacheField>
    <cacheField name="Estado21" numFmtId="0">
      <sharedItems containsNonDate="0" containsString="0" containsBlank="1"/>
    </cacheField>
    <cacheField name="Usuario ADMISIONISTA" numFmtId="0">
      <sharedItems containsNonDate="0" containsString="0" containsBlank="1"/>
    </cacheField>
    <cacheField name="Nombre y apellido ADMISIONISTA" numFmtId="0">
      <sharedItems containsNonDate="0" containsString="0" containsBlank="1"/>
    </cacheField>
    <cacheField name="Usuario ENFERMERIA" numFmtId="0">
      <sharedItems containsNonDate="0" containsString="0" containsBlank="1"/>
    </cacheField>
    <cacheField name="Nombre y apellido ENFERMERI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J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5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61410-22F4-4859-87AF-1327E409FB1E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J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79574-2A29-4263-87E7-5249848EAFCD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2:BX300000" totalsRowShown="0" headerRowDxfId="1273" headerRowBorderDxfId="1272">
  <autoFilter ref="A2:BX300000" xr:uid="{00000000-0009-0000-0100-000001000000}"/>
  <tableColumns count="76">
    <tableColumn id="1" xr3:uid="{00000000-0010-0000-0000-000001000000}" name="Fecha"/>
    <tableColumn id="2" xr3:uid="{00000000-0010-0000-0000-000002000000}" name="Hora de Admisión"/>
    <tableColumn id="3" xr3:uid="{00000000-0010-0000-0000-000003000000}" name="Fin de consulta"/>
    <tableColumn id="4" xr3:uid="{00000000-0010-0000-0000-000004000000}" name="Cod.Establecimiento"/>
    <tableColumn id="5" xr3:uid="{00000000-0010-0000-0000-000005000000}" name="Tipo de Consulta"/>
    <tableColumn id="6" xr3:uid="{00000000-0010-0000-0000-000006000000}" name="Profesional de la Salud"/>
    <tableColumn id="7" xr3:uid="{00000000-0010-0000-0000-000007000000}" name="Especialidad"/>
    <tableColumn id="8" xr3:uid="{00000000-0010-0000-0000-000008000000}" name="Cédula Identidad"/>
    <tableColumn id="9" xr3:uid="{00000000-0010-0000-0000-000009000000}" name="Nombres y Apellidos PACIENTE"/>
    <tableColumn id="10" xr3:uid="{00000000-0010-0000-0000-00000A000000}" name="Sexo"/>
    <tableColumn id="11" xr3:uid="{00000000-0010-0000-0000-00000B000000}" name="Edad"/>
    <tableColumn id="12" xr3:uid="{00000000-0010-0000-0000-00000C000000}" name="Edad Detallado"/>
    <tableColumn id="13" xr3:uid="{00000000-0010-0000-0000-00000D000000}" name="Etnia"/>
    <tableColumn id="14" xr3:uid="{00000000-0010-0000-0000-00000E000000}" name="Departamento de residencia"/>
    <tableColumn id="15" xr3:uid="{00000000-0010-0000-0000-00000F000000}" name="Distrito de residencia"/>
    <tableColumn id="16" xr3:uid="{00000000-0010-0000-0000-000010000000}" name="Barrio de residencia"/>
    <tableColumn id="17" xr3:uid="{00000000-0010-0000-0000-000011000000}" name="Area de residencia"/>
    <tableColumn id="18" xr3:uid="{00000000-0010-0000-0000-000012000000}" name="Nuevo en el Año"/>
    <tableColumn id="19" xr3:uid="{00000000-0010-0000-0000-000013000000}" name="Asegurado"/>
    <tableColumn id="20" xr3:uid="{00000000-0010-0000-0000-000014000000}" name="Seguro"/>
    <tableColumn id="21" xr3:uid="{00000000-0010-0000-0000-000015000000}" name="Viene Referido"/>
    <tableColumn id="22" xr3:uid="{00000000-0010-0000-0000-000016000000}" name="Motivo de Consulta"/>
    <tableColumn id="23" xr3:uid="{00000000-0010-0000-0000-000017000000}" name="CODCIE10"/>
    <tableColumn id="24" xr3:uid="{00000000-0010-0000-0000-000018000000}" name="Diagnóstico 1"/>
    <tableColumn id="25" xr3:uid="{00000000-0010-0000-0000-000019000000}" name="CODCIE10Nuevo"/>
    <tableColumn id="26" xr3:uid="{00000000-0010-0000-0000-00001A000000}" name="CODCIE102"/>
    <tableColumn id="27" xr3:uid="{00000000-0010-0000-0000-00001B000000}" name="Diagnóstico 2"/>
    <tableColumn id="28" xr3:uid="{00000000-0010-0000-0000-00001C000000}" name="CODCIE10Nuevo3"/>
    <tableColumn id="29" xr3:uid="{00000000-0010-0000-0000-00001D000000}" name="CODCIE104"/>
    <tableColumn id="30" xr3:uid="{00000000-0010-0000-0000-00001E000000}" name="Diagnóstico 3"/>
    <tableColumn id="31" xr3:uid="{00000000-0010-0000-0000-00001F000000}" name="CODCIE10Nuevo5"/>
    <tableColumn id="32" xr3:uid="{00000000-0010-0000-0000-000020000000}" name="CODCIE106"/>
    <tableColumn id="33" xr3:uid="{00000000-0010-0000-0000-000021000000}" name="Diagnóstico 4"/>
    <tableColumn id="34" xr3:uid="{00000000-0010-0000-0000-000022000000}" name="CODCIE10Nuevo7"/>
    <tableColumn id="35" xr3:uid="{00000000-0010-0000-0000-000023000000}" name="CODCIE108"/>
    <tableColumn id="36" xr3:uid="{00000000-0010-0000-0000-000024000000}" name="Diagnóstico 5"/>
    <tableColumn id="37" xr3:uid="{00000000-0010-0000-0000-000025000000}" name="CODCIE10Nuevo9"/>
    <tableColumn id="38" xr3:uid="{00000000-0010-0000-0000-000026000000}" name="CODCIE1010"/>
    <tableColumn id="39" xr3:uid="{00000000-0010-0000-0000-000027000000}" name="Diagnóstico 6"/>
    <tableColumn id="40" xr3:uid="{00000000-0010-0000-0000-000028000000}" name="CODCIE10Nuevo11"/>
    <tableColumn id="41" xr3:uid="{00000000-0010-0000-0000-000029000000}" name="Embarazada"/>
    <tableColumn id="42" xr3:uid="{00000000-0010-0000-0000-00002A000000}" name="Semanas de Gestación"/>
    <tableColumn id="43" xr3:uid="{00000000-0010-0000-0000-00002B000000}" name="Se refiere"/>
    <tableColumn id="44" xr3:uid="{00000000-0010-0000-0000-00002C000000}" name="Se interna"/>
    <tableColumn id="45" xr3:uid="{00000000-0010-0000-0000-00002D000000}" name="Motivo Preconsulta"/>
    <tableColumn id="46" xr3:uid="{00000000-0010-0000-0000-00002E000000}" name="Estado Nutricional"/>
    <tableColumn id="47" xr3:uid="{00000000-0010-0000-0000-00002F000000}" name="Presion Arterial Sistólica PAS"/>
    <tableColumn id="48" xr3:uid="{00000000-0010-0000-0000-000030000000}" name="Presion Arterial diastólica PAD"/>
    <tableColumn id="49" xr3:uid="{00000000-0010-0000-0000-000031000000}" name="Peso (Kg)"/>
    <tableColumn id="50" xr3:uid="{00000000-0010-0000-0000-000032000000}" name="Talla (m)"/>
    <tableColumn id="51" xr3:uid="{00000000-0010-0000-0000-000033000000}" name="IMC"/>
    <tableColumn id="52" xr3:uid="{00000000-0010-0000-0000-000034000000}" name="Circunferencia Abdominal (cm)"/>
    <tableColumn id="53" xr3:uid="{00000000-0010-0000-0000-000035000000}" name="HbA1C (%)"/>
    <tableColumn id="54" xr3:uid="{00000000-0010-0000-0000-000036000000}" name="Alimentación"/>
    <tableColumn id="55" xr3:uid="{00000000-0010-0000-0000-000037000000}" name="CODCIE9 1"/>
    <tableColumn id="56" xr3:uid="{00000000-0010-0000-0000-000038000000}" name="Procedimiento"/>
    <tableColumn id="57" xr3:uid="{00000000-0010-0000-0000-000039000000}" name="Estado"/>
    <tableColumn id="58" xr3:uid="{00000000-0010-0000-0000-00003A000000}" name="CODCIE9 2"/>
    <tableColumn id="59" xr3:uid="{00000000-0010-0000-0000-00003B000000}" name="Procedimiento12"/>
    <tableColumn id="60" xr3:uid="{00000000-0010-0000-0000-00003C000000}" name="Estado13"/>
    <tableColumn id="61" xr3:uid="{00000000-0010-0000-0000-00003D000000}" name="CODCIE9 3"/>
    <tableColumn id="62" xr3:uid="{00000000-0010-0000-0000-00003E000000}" name="Procedimiento14"/>
    <tableColumn id="63" xr3:uid="{00000000-0010-0000-0000-00003F000000}" name="Estado15"/>
    <tableColumn id="64" xr3:uid="{00000000-0010-0000-0000-000040000000}" name="CODCIE9 4"/>
    <tableColumn id="65" xr3:uid="{00000000-0010-0000-0000-000041000000}" name="Procedimiento16"/>
    <tableColumn id="66" xr3:uid="{00000000-0010-0000-0000-000042000000}" name="Estado17"/>
    <tableColumn id="67" xr3:uid="{00000000-0010-0000-0000-000043000000}" name="CODCIE9 5"/>
    <tableColumn id="68" xr3:uid="{00000000-0010-0000-0000-000044000000}" name="Procedimiento18"/>
    <tableColumn id="69" xr3:uid="{00000000-0010-0000-0000-000045000000}" name="Estado19"/>
    <tableColumn id="70" xr3:uid="{00000000-0010-0000-0000-000046000000}" name="CODCIE9 6"/>
    <tableColumn id="71" xr3:uid="{00000000-0010-0000-0000-000047000000}" name="Procedimiento20"/>
    <tableColumn id="72" xr3:uid="{00000000-0010-0000-0000-000048000000}" name="Estado21"/>
    <tableColumn id="73" xr3:uid="{00000000-0010-0000-0000-000049000000}" name="Usuario ADMISIONISTA"/>
    <tableColumn id="74" xr3:uid="{00000000-0010-0000-0000-00004A000000}" name="Nombre y apellido ADMISIONISTA"/>
    <tableColumn id="75" xr3:uid="{00000000-0010-0000-0000-00004B000000}" name="Usuario ENFERMERIA"/>
    <tableColumn id="76" xr3:uid="{00000000-0010-0000-0000-00004C000000}" name="Nombre y apellido ENFERMERIA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PV_VARICELA" displayName="EPV_VARICELA" ref="A30:H32" totalsRowShown="0" headerRowDxfId="1207">
  <autoFilter ref="A30:H32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900-000001000000}" name="CIE-10" dataCellStyle="20% - Énfasis4"/>
    <tableColumn id="2" xr3:uid="{00000000-0010-0000-0900-000002000000}" name="D1" dataDxfId="1206">
      <calculatedColumnFormula>IF($AK$2="(Todas)",COUNTIF(BASE[CODCIE10],EPV_VARICELA[[#This Row],[CIE-10]]),COUNTIFS(BASE[Cod.Establecimiento],$AK$2,BASE[CODCIE10],EPV_VARICELA[[#This Row],[CIE-10]]))</calculatedColumnFormula>
    </tableColumn>
    <tableColumn id="3" xr3:uid="{00000000-0010-0000-0900-000003000000}" name="D2" dataDxfId="1205">
      <calculatedColumnFormula>IF($AK$2="(Todas)",COUNTIF(BASE[CODCIE102],EPV_VARICELA[[#This Row],[CIE-10]]),COUNTIFS(BASE[Cod.Establecimiento],$AK$2,BASE[CODCIE102],EPV_VARICELA[[#This Row],[CIE-10]]))</calculatedColumnFormula>
    </tableColumn>
    <tableColumn id="4" xr3:uid="{00000000-0010-0000-0900-000004000000}" name="D3" dataDxfId="1204">
      <calculatedColumnFormula>IF($AK$2="(Todas)",COUNTIF(BASE[CODCIE104],EPV_VARICELA[[#This Row],[CIE-10]]),COUNTIFS(BASE[Cod.Establecimiento],$AK$2,BASE[CODCIE104],EPV_VARICELA[[#This Row],[CIE-10]]))</calculatedColumnFormula>
    </tableColumn>
    <tableColumn id="5" xr3:uid="{00000000-0010-0000-0900-000005000000}" name="D4" dataDxfId="1203">
      <calculatedColumnFormula>IF($AK$2="(Todas)",COUNTIF(BASE[CODCIE106],EPV_VARICELA[[#This Row],[CIE-10]]),COUNTIFS(BASE[Cod.Establecimiento],$AK$2,BASE[CODCIE106],EPV_VARICELA[[#This Row],[CIE-10]]))</calculatedColumnFormula>
    </tableColumn>
    <tableColumn id="6" xr3:uid="{00000000-0010-0000-0900-000006000000}" name="D5" dataDxfId="1202">
      <calculatedColumnFormula>IF($AK$2="(Todas)",COUNTIF(BASE[CODCIE108],EPV_VARICELA[[#This Row],[CIE-10]]),COUNTIFS(BASE[Cod.Establecimiento],$AK$2,BASE[CODCIE108],EPV_VARICELA[[#This Row],[CIE-10]]))</calculatedColumnFormula>
    </tableColumn>
    <tableColumn id="7" xr3:uid="{00000000-0010-0000-0900-000007000000}" name="D6" dataDxfId="1201">
      <calculatedColumnFormula>IF($AK$2="(Todas)",COUNTIF(BASE[CODCIE1010],EPV_VARICELA[[#This Row],[CIE-10]]),COUNTIFS(BASE[Cod.Establecimiento],$AK$2,BASE[CODCIE1010],EPV_VARICELA[[#This Row],[CIE-10]]))</calculatedColumnFormula>
    </tableColumn>
    <tableColumn id="8" xr3:uid="{00000000-0010-0000-0900-000008000000}" name="TOT" dataDxfId="1200" dataCellStyle="40% - Énfasis6">
      <calculatedColumnFormula>SUM(EPV_VARICELA[[#This Row],[D1]:[D6]])</calculatedColumnFormula>
    </tableColumn>
  </tableColumns>
  <tableStyleInfo name="TableStyleLight1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2303F1F-1B93-45D5-9CDD-18531145E7C4}" name="EPV_SARAMPION6466697273788081859296979810068799399101" displayName="EPV_SARAMPION6466697273788081859296979810068799399101" ref="AB60:AI65" totalsRowShown="0" headerRowDxfId="487">
  <autoFilter ref="AB60:AI65" xr:uid="{02303F1F-1B93-45D5-9CDD-18531145E7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E366B8E-880B-4E61-B78E-76B3D3559D83}" name="CIE-10" dataCellStyle="20% - Énfasis4"/>
    <tableColumn id="2" xr3:uid="{AACE1BB2-719F-43B2-A510-C2D30B0F25F5}" name="D1" dataDxfId="486">
      <calculatedColumnFormula>IF($AK$2="(Todas)",COUNTIF(BASE[CODCIE10],EPV_SARAMPION6466697273788081859296979810068799399101[[#This Row],[CIE-10]]),COUNTIFS(BASE[Cod.Establecimiento],$AK$2,BASE[CODCIE10],EPV_SARAMPION6466697273788081859296979810068799399101[[#This Row],[CIE-10]]))</calculatedColumnFormula>
    </tableColumn>
    <tableColumn id="3" xr3:uid="{A5A48434-0363-472A-9913-7E9C2D5EF93B}" name="D2" dataDxfId="485">
      <calculatedColumnFormula>IF($AK$2="(Todas)",COUNTIF(BASE[CODCIE102],EPV_SARAMPION6466697273788081859296979810068799399101[[#This Row],[CIE-10]]),COUNTIFS(BASE[Cod.Establecimiento],$AK$2,BASE[CODCIE102],EPV_SARAMPION6466697273788081859296979810068799399101[[#This Row],[CIE-10]]))</calculatedColumnFormula>
    </tableColumn>
    <tableColumn id="4" xr3:uid="{DD4FF218-B034-40F7-BE76-AE46D33DD141}" name="D3" dataDxfId="484">
      <calculatedColumnFormula>IF($AK$2="(Todas)",COUNTIF(BASE[CODCIE104],EPV_SARAMPION6466697273788081859296979810068799399101[[#This Row],[CIE-10]]),COUNTIFS(BASE[Cod.Establecimiento],$AK$2,BASE[CODCIE104],EPV_SARAMPION6466697273788081859296979810068799399101[[#This Row],[CIE-10]]))</calculatedColumnFormula>
    </tableColumn>
    <tableColumn id="5" xr3:uid="{11F6D78D-C623-494D-B05C-8BDEFAB65E85}" name="D4" dataDxfId="483">
      <calculatedColumnFormula>IF($AK$2="(Todas)",COUNTIF(BASE[CODCIE106],EPV_SARAMPION6466697273788081859296979810068799399101[[#This Row],[CIE-10]]),COUNTIFS(BASE[Cod.Establecimiento],$AK$2,BASE[CODCIE106],EPV_SARAMPION6466697273788081859296979810068799399101[[#This Row],[CIE-10]]))</calculatedColumnFormula>
    </tableColumn>
    <tableColumn id="6" xr3:uid="{F62DEE9E-D72C-4EE2-A963-4460C528F6B7}" name="D5" dataDxfId="482">
      <calculatedColumnFormula>IF($AK$2="(Todas)",COUNTIF(BASE[CODCIE108],EPV_SARAMPION6466697273788081859296979810068799399101[[#This Row],[CIE-10]]),COUNTIFS(BASE[Cod.Establecimiento],$AK$2,BASE[CODCIE108],EPV_SARAMPION6466697273788081859296979810068799399101[[#This Row],[CIE-10]]))</calculatedColumnFormula>
    </tableColumn>
    <tableColumn id="7" xr3:uid="{EB7306A8-FCA2-44A7-B5E9-F0A51554204A}" name="D6" dataDxfId="481">
      <calculatedColumnFormula>IF($AK$2="(Todas)",COUNTIF(BASE[CODCIE1010],EPV_SARAMPION6466697273788081859296979810068799399101[[#This Row],[CIE-10]]),COUNTIFS(BASE[Cod.Establecimiento],$AK$2,BASE[CODCIE1010],EPV_SARAMPION6466697273788081859296979810068799399101[[#This Row],[CIE-10]]))</calculatedColumnFormula>
    </tableColumn>
    <tableColumn id="8" xr3:uid="{480F30FA-243E-4E3A-8A77-68561A641A60}" name="TOT" dataDxfId="480" dataCellStyle="40% - Énfasis6">
      <calculatedColumnFormula>SUM(EPV_SARAMPION6466697273788081859296979810068799399101[[#This Row],[D1]:[D6]])</calculatedColumnFormula>
    </tableColumn>
  </tableColumns>
  <tableStyleInfo name="TableStyleLight1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C1525AD-22D3-4FC0-8A1D-702830CADE1B}" name="EPV_SARAMPION6466697273788081859296979810068799399102" displayName="EPV_SARAMPION6466697273788081859296979810068799399102" ref="A67:H68" totalsRowShown="0" headerRowDxfId="479">
  <autoFilter ref="A67:H68" xr:uid="{0C1525AD-22D3-4FC0-8A1D-702830CADE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F0FB87B-9695-4E9F-AD7E-02633E24FCA5}" name="CIE-10" dataCellStyle="20% - Énfasis4"/>
    <tableColumn id="2" xr3:uid="{B8068AC7-30D0-4052-B98B-BB2C12C81FF3}" name="D1" dataDxfId="478">
      <calculatedColumnFormula>IF($AK$2="(Todas)",COUNTIF(BASE[CODCIE10],EPV_SARAMPION6466697273788081859296979810068799399102[[#This Row],[CIE-10]]),COUNTIFS(BASE[Cod.Establecimiento],$AK$2,BASE[CODCIE10],EPV_SARAMPION6466697273788081859296979810068799399102[[#This Row],[CIE-10]]))</calculatedColumnFormula>
    </tableColumn>
    <tableColumn id="3" xr3:uid="{D42C8149-A5AD-418B-A8B7-4FF016C03F17}" name="D2" dataDxfId="477">
      <calculatedColumnFormula>IF($AK$2="(Todas)",COUNTIF(BASE[CODCIE102],EPV_SARAMPION6466697273788081859296979810068799399102[[#This Row],[CIE-10]]),COUNTIFS(BASE[Cod.Establecimiento],$AK$2,BASE[CODCIE102],EPV_SARAMPION6466697273788081859296979810068799399102[[#This Row],[CIE-10]]))</calculatedColumnFormula>
    </tableColumn>
    <tableColumn id="4" xr3:uid="{43E446C9-D2B6-4522-973F-E8A667E8EB81}" name="D3" dataDxfId="476">
      <calculatedColumnFormula>IF($AK$2="(Todas)",COUNTIF(BASE[CODCIE104],EPV_SARAMPION6466697273788081859296979810068799399102[[#This Row],[CIE-10]]),COUNTIFS(BASE[Cod.Establecimiento],$AK$2,BASE[CODCIE104],EPV_SARAMPION6466697273788081859296979810068799399102[[#This Row],[CIE-10]]))</calculatedColumnFormula>
    </tableColumn>
    <tableColumn id="5" xr3:uid="{2307BFB7-32C3-4A45-A3A8-9C2D162DD4C9}" name="D4" dataDxfId="475">
      <calculatedColumnFormula>IF($AK$2="(Todas)",COUNTIF(BASE[CODCIE106],EPV_SARAMPION6466697273788081859296979810068799399102[[#This Row],[CIE-10]]),COUNTIFS(BASE[Cod.Establecimiento],$AK$2,BASE[CODCIE106],EPV_SARAMPION6466697273788081859296979810068799399102[[#This Row],[CIE-10]]))</calculatedColumnFormula>
    </tableColumn>
    <tableColumn id="6" xr3:uid="{A75363AB-80C4-41A4-B65E-FB3E5180A3A0}" name="D5" dataDxfId="474">
      <calculatedColumnFormula>IF($AK$2="(Todas)",COUNTIF(BASE[CODCIE108],EPV_SARAMPION6466697273788081859296979810068799399102[[#This Row],[CIE-10]]),COUNTIFS(BASE[Cod.Establecimiento],$AK$2,BASE[CODCIE108],EPV_SARAMPION6466697273788081859296979810068799399102[[#This Row],[CIE-10]]))</calculatedColumnFormula>
    </tableColumn>
    <tableColumn id="7" xr3:uid="{EE46FEAE-FE43-4CE4-A1D6-843ABDB6F59D}" name="D6" dataDxfId="473">
      <calculatedColumnFormula>IF($AK$2="(Todas)",COUNTIF(BASE[CODCIE1010],EPV_SARAMPION6466697273788081859296979810068799399102[[#This Row],[CIE-10]]),COUNTIFS(BASE[Cod.Establecimiento],$AK$2,BASE[CODCIE1010],EPV_SARAMPION6466697273788081859296979810068799399102[[#This Row],[CIE-10]]))</calculatedColumnFormula>
    </tableColumn>
    <tableColumn id="8" xr3:uid="{5A2D54FB-08A3-43AB-A215-E16BCCD9BD8B}" name="TOT" dataDxfId="472" dataCellStyle="40% - Énfasis6">
      <calculatedColumnFormula>SUM(EPV_SARAMPION6466697273788081859296979810068799399102[[#This Row],[D1]:[D6]])</calculatedColumnFormula>
    </tableColumn>
  </tableColumns>
  <tableStyleInfo name="TableStyleLight1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A0D0C2BF-3528-4625-9CC1-EA6D9778F0AD}" name="EPV_SARAMPION6466697273788081859296979810068799399101104" displayName="EPV_SARAMPION6466697273788081859296979810068799399101104" ref="J67:Q72" totalsRowShown="0" headerRowDxfId="471">
  <autoFilter ref="J67:Q72" xr:uid="{A0D0C2BF-3528-4625-9CC1-EA6D9778F0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8D0235A-8052-4025-93E1-32C7F7AFA9AA}" name="CIE-10" dataCellStyle="20% - Énfasis4"/>
    <tableColumn id="2" xr3:uid="{322820E2-446C-4EB4-970E-BC8E85B83EB1}" name="D1" dataDxfId="470">
      <calculatedColumnFormula>IF($AK$2="(Todas)",COUNTIF(BASE[CODCIE10],EPV_SARAMPION6466697273788081859296979810068799399101104[[#This Row],[CIE-10]]),COUNTIFS(BASE[Cod.Establecimiento],$AK$2,BASE[CODCIE10],EPV_SARAMPION6466697273788081859296979810068799399101104[[#This Row],[CIE-10]]))</calculatedColumnFormula>
    </tableColumn>
    <tableColumn id="3" xr3:uid="{0B10A43B-E43F-439F-8B57-7DA19D0A43D3}" name="D2" dataDxfId="469">
      <calculatedColumnFormula>IF($AK$2="(Todas)",COUNTIF(BASE[CODCIE102],EPV_SARAMPION6466697273788081859296979810068799399101104[[#This Row],[CIE-10]]),COUNTIFS(BASE[Cod.Establecimiento],$AK$2,BASE[CODCIE102],EPV_SARAMPION6466697273788081859296979810068799399101104[[#This Row],[CIE-10]]))</calculatedColumnFormula>
    </tableColumn>
    <tableColumn id="4" xr3:uid="{2068172D-BA0E-4DA0-8DB1-F92CD0B6A441}" name="D3" dataDxfId="468">
      <calculatedColumnFormula>IF($AK$2="(Todas)",COUNTIF(BASE[CODCIE104],EPV_SARAMPION6466697273788081859296979810068799399101104[[#This Row],[CIE-10]]),COUNTIFS(BASE[Cod.Establecimiento],$AK$2,BASE[CODCIE104],EPV_SARAMPION6466697273788081859296979810068799399101104[[#This Row],[CIE-10]]))</calculatedColumnFormula>
    </tableColumn>
    <tableColumn id="5" xr3:uid="{06BBE17F-F2EA-4B22-9297-9DC9DAF26D0C}" name="D4" dataDxfId="467">
      <calculatedColumnFormula>IF($AK$2="(Todas)",COUNTIF(BASE[CODCIE106],EPV_SARAMPION6466697273788081859296979810068799399101104[[#This Row],[CIE-10]]),COUNTIFS(BASE[Cod.Establecimiento],$AK$2,BASE[CODCIE106],EPV_SARAMPION6466697273788081859296979810068799399101104[[#This Row],[CIE-10]]))</calculatedColumnFormula>
    </tableColumn>
    <tableColumn id="6" xr3:uid="{375EDD2F-AE6E-40C4-9FB5-4644C54266B6}" name="D5" dataDxfId="466">
      <calculatedColumnFormula>IF($AK$2="(Todas)",COUNTIF(BASE[CODCIE108],EPV_SARAMPION6466697273788081859296979810068799399101104[[#This Row],[CIE-10]]),COUNTIFS(BASE[Cod.Establecimiento],$AK$2,BASE[CODCIE108],EPV_SARAMPION6466697273788081859296979810068799399101104[[#This Row],[CIE-10]]))</calculatedColumnFormula>
    </tableColumn>
    <tableColumn id="7" xr3:uid="{75AFBF5D-7DA0-46C6-A997-4F1668651DB2}" name="D6" dataDxfId="465">
      <calculatedColumnFormula>IF($AK$2="(Todas)",COUNTIF(BASE[CODCIE1010],EPV_SARAMPION6466697273788081859296979810068799399101104[[#This Row],[CIE-10]]),COUNTIFS(BASE[Cod.Establecimiento],$AK$2,BASE[CODCIE1010],EPV_SARAMPION6466697273788081859296979810068799399101104[[#This Row],[CIE-10]]))</calculatedColumnFormula>
    </tableColumn>
    <tableColumn id="8" xr3:uid="{5AC2671D-9E08-462C-B5DA-0D4A137EA6FD}" name="TOT" dataDxfId="464" dataCellStyle="40% - Énfasis6">
      <calculatedColumnFormula>SUM(EPV_SARAMPION6466697273788081859296979810068799399101104[[#This Row],[D1]:[D6]])</calculatedColumnFormula>
    </tableColumn>
  </tableColumns>
  <tableStyleInfo name="TableStyleLight1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55CB474B-C896-4A73-A678-5CBB97614F7F}" name="GUIA_NACIONAL_2022_1" displayName="GUIA_NACIONAL_2022_1" ref="D4:K10" totalsRowShown="0" headerRowDxfId="463">
  <autoFilter ref="D4:K10" xr:uid="{55CB474B-C896-4A73-A678-5CBB97614F7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CE19ED-FD26-41DC-B535-575A186083E1}" name="CIE-10" dataCellStyle="20% - Énfasis4"/>
    <tableColumn id="2" xr3:uid="{4F375EC5-0F2A-4C51-89B2-4FCE6BD38D0C}" name="D1" dataDxfId="462">
      <calculatedColumnFormula>IF($B$2="(Todas)",COUNTIF(BASE[CODCIE10],GUIA_NACIONAL_2022_1[[#This Row],[CIE-10]]),COUNTIFS(BASE[Cod.Establecimiento],$B$2,BASE[CODCIE10],GUIA_NACIONAL_2022_1[[#This Row],[CIE-10]]))</calculatedColumnFormula>
    </tableColumn>
    <tableColumn id="3" xr3:uid="{41A1A5F9-36F7-4528-87EC-1BD943980479}" name="D2" dataDxfId="461">
      <calculatedColumnFormula>IF($B$2="(Todas)",COUNTIF(BASE[CODCIE102],GUIA_NACIONAL_2022_1[[#This Row],[CIE-10]]),COUNTIFS(BASE[Cod.Establecimiento],$B$2,BASE[CODCIE102],GUIA_NACIONAL_2022_1[[#This Row],[CIE-10]]))</calculatedColumnFormula>
    </tableColumn>
    <tableColumn id="4" xr3:uid="{7E3C4332-825B-4F9D-9A57-88FB6CA8CFD5}" name="D3" dataDxfId="460">
      <calculatedColumnFormula>IF($B$2="(Todas)",COUNTIF(BASE[CODCIE104],GUIA_NACIONAL_2022_1[[#This Row],[CIE-10]]),COUNTIFS(BASE[Cod.Establecimiento],$B$2,BASE[CODCIE104],GUIA_NACIONAL_2022_1[[#This Row],[CIE-10]]))</calculatedColumnFormula>
    </tableColumn>
    <tableColumn id="5" xr3:uid="{97A57F12-C658-4629-9A57-0C169AC5AB66}" name="D4" dataDxfId="459">
      <calculatedColumnFormula>IF($B$2="(Todas)",COUNTIF(BASE[CODCIE106],GUIA_NACIONAL_2022_1[[#This Row],[CIE-10]]),COUNTIFS(BASE[Cod.Establecimiento],$B$2,BASE[CODCIE106],GUIA_NACIONAL_2022_1[[#This Row],[CIE-10]]))</calculatedColumnFormula>
    </tableColumn>
    <tableColumn id="6" xr3:uid="{C2A6E53A-F378-4C91-9CC9-77148FDC76B8}" name="D5" dataDxfId="458">
      <calculatedColumnFormula>IF($B$2="(Todas)",COUNTIF(BASE[CODCIE108],GUIA_NACIONAL_2022_1[[#This Row],[CIE-10]]),COUNTIFS(BASE[Cod.Establecimiento],$B$2,BASE[CODCIE108],GUIA_NACIONAL_2022_1[[#This Row],[CIE-10]]))</calculatedColumnFormula>
    </tableColumn>
    <tableColumn id="7" xr3:uid="{AB81BF8A-1810-4506-9916-733453BF5A3E}" name="D6" dataDxfId="457">
      <calculatedColumnFormula>IF($B$2="(Todas)",COUNTIF(BASE[CODCIE1010],GUIA_NACIONAL_2022_1[[#This Row],[CIE-10]]),COUNTIFS(BASE[Cod.Establecimiento],$B$2,BASE[CODCIE1010],GUIA_NACIONAL_2022_1[[#This Row],[CIE-10]]))</calculatedColumnFormula>
    </tableColumn>
    <tableColumn id="8" xr3:uid="{3601EFB1-0A23-49BB-9C31-6309F9538BD1}" name="TOT" dataDxfId="456" dataCellStyle="40% - Énfasis6">
      <calculatedColumnFormula>SUM(GUIA_NACIONAL_2022_1[[#This Row],[D1]:[D6]])</calculatedColumnFormula>
    </tableColumn>
  </tableColumns>
  <tableStyleInfo name="TableStyleLight1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73D721CD-6FEE-4F52-99B4-5DFA542BBA78}" name="GUIA_NACIONAL_2022_1106" displayName="GUIA_NACIONAL_2022_1106" ref="M4:T6" totalsRowShown="0" headerRowDxfId="455">
  <autoFilter ref="M4:T6" xr:uid="{73D721CD-6FEE-4F52-99B4-5DFA542BBA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F704B75-AE62-46BE-9924-F7CFE1004115}" name="CIE-10" dataCellStyle="20% - Énfasis4"/>
    <tableColumn id="2" xr3:uid="{A2B24F11-EBA2-44CE-AAD8-C15D8826527A}" name="D1" dataDxfId="454">
      <calculatedColumnFormula>IF($B$2="(Todas)",COUNTIF(BASE[CODCIE10],GUIA_NACIONAL_2022_1106[[#This Row],[CIE-10]]),COUNTIFS(BASE[Cod.Establecimiento],$B$2,BASE[CODCIE10],GUIA_NACIONAL_2022_1106[[#This Row],[CIE-10]]))</calculatedColumnFormula>
    </tableColumn>
    <tableColumn id="3" xr3:uid="{C39E74D7-5B7C-4974-BF38-8EE311967586}" name="D2" dataDxfId="453">
      <calculatedColumnFormula>IF($B$2="(Todas)",COUNTIF(BASE[CODCIE102],GUIA_NACIONAL_2022_1106[[#This Row],[CIE-10]]),COUNTIFS(BASE[Cod.Establecimiento],$B$2,BASE[CODCIE102],GUIA_NACIONAL_2022_1106[[#This Row],[CIE-10]]))</calculatedColumnFormula>
    </tableColumn>
    <tableColumn id="4" xr3:uid="{BA932410-801D-4BA9-9FCD-214153919402}" name="D3" dataDxfId="452">
      <calculatedColumnFormula>IF($B$2="(Todas)",COUNTIF(BASE[CODCIE104],GUIA_NACIONAL_2022_1106[[#This Row],[CIE-10]]),COUNTIFS(BASE[Cod.Establecimiento],$B$2,BASE[CODCIE104],GUIA_NACIONAL_2022_1106[[#This Row],[CIE-10]]))</calculatedColumnFormula>
    </tableColumn>
    <tableColumn id="5" xr3:uid="{BA79AB5D-0AE8-4A5E-B427-B991F6C1479F}" name="D4" dataDxfId="451">
      <calculatedColumnFormula>IF($B$2="(Todas)",COUNTIF(BASE[CODCIE106],GUIA_NACIONAL_2022_1106[[#This Row],[CIE-10]]),COUNTIFS(BASE[Cod.Establecimiento],$B$2,BASE[CODCIE106],GUIA_NACIONAL_2022_1106[[#This Row],[CIE-10]]))</calculatedColumnFormula>
    </tableColumn>
    <tableColumn id="6" xr3:uid="{3B771E4D-8333-4145-970D-9A0B12C56A93}" name="D5" dataDxfId="450">
      <calculatedColumnFormula>IF($B$2="(Todas)",COUNTIF(BASE[CODCIE108],GUIA_NACIONAL_2022_1106[[#This Row],[CIE-10]]),COUNTIFS(BASE[Cod.Establecimiento],$B$2,BASE[CODCIE108],GUIA_NACIONAL_2022_1106[[#This Row],[CIE-10]]))</calculatedColumnFormula>
    </tableColumn>
    <tableColumn id="7" xr3:uid="{E43BCA30-3012-4989-8479-A2D801C06DA8}" name="D6" dataDxfId="449">
      <calculatedColumnFormula>IF($B$2="(Todas)",COUNTIF(BASE[CODCIE1010],GUIA_NACIONAL_2022_1106[[#This Row],[CIE-10]]),COUNTIFS(BASE[Cod.Establecimiento],$B$2,BASE[CODCIE1010],GUIA_NACIONAL_2022_1106[[#This Row],[CIE-10]]))</calculatedColumnFormula>
    </tableColumn>
    <tableColumn id="8" xr3:uid="{9614F23F-D8B7-4944-A8ED-2579CAE69D16}" name="TOT" dataDxfId="448" dataCellStyle="40% - Énfasis6">
      <calculatedColumnFormula>SUM(GUIA_NACIONAL_2022_1106[[#This Row],[D1]:[D6]])</calculatedColumnFormula>
    </tableColumn>
  </tableColumns>
  <tableStyleInfo name="TableStyleLight1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AF7B225A-4FB2-4863-B128-6556A74EA001}" name="GUIA_NACIONAL_2022_1106108" displayName="GUIA_NACIONAL_2022_1106108" ref="D12:K27" totalsRowShown="0" headerRowDxfId="447">
  <autoFilter ref="D12:K27" xr:uid="{AF7B225A-4FB2-4863-B128-6556A74EA0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492CFB-2A45-4397-BA27-C3A75EE28074}" name="CIE-10" dataCellStyle="20% - Énfasis4"/>
    <tableColumn id="2" xr3:uid="{63DE8360-F762-46FB-8B87-3561C0FD1F8A}" name="D1" dataDxfId="446">
      <calculatedColumnFormula>IF($B$2="(Todas)",COUNTIF(BASE[CODCIE10],GUIA_NACIONAL_2022_1106108[[#This Row],[CIE-10]]),COUNTIFS(BASE[Cod.Establecimiento],$B$2,BASE[CODCIE10],GUIA_NACIONAL_2022_1106108[[#This Row],[CIE-10]]))</calculatedColumnFormula>
    </tableColumn>
    <tableColumn id="3" xr3:uid="{6670DEC0-2690-4999-8277-7038A9595298}" name="D2" dataDxfId="445">
      <calculatedColumnFormula>IF($B$2="(Todas)",COUNTIF(BASE[CODCIE102],GUIA_NACIONAL_2022_1106108[[#This Row],[CIE-10]]),COUNTIFS(BASE[Cod.Establecimiento],$B$2,BASE[CODCIE102],GUIA_NACIONAL_2022_1106108[[#This Row],[CIE-10]]))</calculatedColumnFormula>
    </tableColumn>
    <tableColumn id="4" xr3:uid="{FC792AC4-201A-4F4D-9D51-2D39FDD01860}" name="D3" dataDxfId="444">
      <calculatedColumnFormula>IF($B$2="(Todas)",COUNTIF(BASE[CODCIE104],GUIA_NACIONAL_2022_1106108[[#This Row],[CIE-10]]),COUNTIFS(BASE[Cod.Establecimiento],$B$2,BASE[CODCIE104],GUIA_NACIONAL_2022_1106108[[#This Row],[CIE-10]]))</calculatedColumnFormula>
    </tableColumn>
    <tableColumn id="5" xr3:uid="{8B8A11D7-2E6D-4FB2-8322-A79A1AB7BC81}" name="D4" dataDxfId="443">
      <calculatedColumnFormula>IF($B$2="(Todas)",COUNTIF(BASE[CODCIE106],GUIA_NACIONAL_2022_1106108[[#This Row],[CIE-10]]),COUNTIFS(BASE[Cod.Establecimiento],$B$2,BASE[CODCIE106],GUIA_NACIONAL_2022_1106108[[#This Row],[CIE-10]]))</calculatedColumnFormula>
    </tableColumn>
    <tableColumn id="6" xr3:uid="{703EEE76-5A29-480B-87FE-6029F6B83030}" name="D5" dataDxfId="442">
      <calculatedColumnFormula>IF($B$2="(Todas)",COUNTIF(BASE[CODCIE108],GUIA_NACIONAL_2022_1106108[[#This Row],[CIE-10]]),COUNTIFS(BASE[Cod.Establecimiento],$B$2,BASE[CODCIE108],GUIA_NACIONAL_2022_1106108[[#This Row],[CIE-10]]))</calculatedColumnFormula>
    </tableColumn>
    <tableColumn id="7" xr3:uid="{F113BC00-1F48-4347-BB9A-9297290E471A}" name="D6" dataDxfId="441">
      <calculatedColumnFormula>IF($B$2="(Todas)",COUNTIF(BASE[CODCIE1010],GUIA_NACIONAL_2022_1106108[[#This Row],[CIE-10]]),COUNTIFS(BASE[Cod.Establecimiento],$B$2,BASE[CODCIE1010],GUIA_NACIONAL_2022_1106108[[#This Row],[CIE-10]]))</calculatedColumnFormula>
    </tableColumn>
    <tableColumn id="8" xr3:uid="{C2CD0DF9-6431-4099-89D6-ECB1DE08160D}" name="TOT" dataDxfId="440" dataCellStyle="40% - Énfasis6">
      <calculatedColumnFormula>SUM(GUIA_NACIONAL_2022_1106108[[#This Row],[D1]:[D6]])</calculatedColumnFormula>
    </tableColumn>
  </tableColumns>
  <tableStyleInfo name="TableStyleLight1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72792431-CBBE-4060-9DE0-33427FEC9420}" name="GUIA_NACIONAL_2022_1106109" displayName="GUIA_NACIONAL_2022_1106109" ref="D29:K35" totalsRowShown="0" headerRowDxfId="439">
  <autoFilter ref="D29:K35" xr:uid="{72792431-CBBE-4060-9DE0-33427FEC94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CBE3F44-78E6-46CD-BEF6-CE4D3AD9F66E}" name="CIE-10" dataCellStyle="20% - Énfasis4"/>
    <tableColumn id="2" xr3:uid="{B87B89B1-65C9-41E2-9616-BF091DBC9289}" name="D1" dataDxfId="438">
      <calculatedColumnFormula>IF($B$2="(Todas)",COUNTIF(BASE[CODCIE10],GUIA_NACIONAL_2022_1106109[[#This Row],[CIE-10]]),COUNTIFS(BASE[Cod.Establecimiento],$B$2,BASE[CODCIE10],GUIA_NACIONAL_2022_1106109[[#This Row],[CIE-10]]))</calculatedColumnFormula>
    </tableColumn>
    <tableColumn id="3" xr3:uid="{F0418302-0D22-4834-9610-F6891CA9C2D7}" name="D2" dataDxfId="437">
      <calculatedColumnFormula>IF($B$2="(Todas)",COUNTIF(BASE[CODCIE102],GUIA_NACIONAL_2022_1106109[[#This Row],[CIE-10]]),COUNTIFS(BASE[Cod.Establecimiento],$B$2,BASE[CODCIE102],GUIA_NACIONAL_2022_1106109[[#This Row],[CIE-10]]))</calculatedColumnFormula>
    </tableColumn>
    <tableColumn id="4" xr3:uid="{6321DACA-73B6-4F21-AD46-3A2519EF076C}" name="D3" dataDxfId="436">
      <calculatedColumnFormula>IF($B$2="(Todas)",COUNTIF(BASE[CODCIE104],GUIA_NACIONAL_2022_1106109[[#This Row],[CIE-10]]),COUNTIFS(BASE[Cod.Establecimiento],$B$2,BASE[CODCIE104],GUIA_NACIONAL_2022_1106109[[#This Row],[CIE-10]]))</calculatedColumnFormula>
    </tableColumn>
    <tableColumn id="5" xr3:uid="{79E16DE7-B2C0-4EE3-B228-4CDF8B116F3B}" name="D4" dataDxfId="435">
      <calculatedColumnFormula>IF($B$2="(Todas)",COUNTIF(BASE[CODCIE106],GUIA_NACIONAL_2022_1106109[[#This Row],[CIE-10]]),COUNTIFS(BASE[Cod.Establecimiento],$B$2,BASE[CODCIE106],GUIA_NACIONAL_2022_1106109[[#This Row],[CIE-10]]))</calculatedColumnFormula>
    </tableColumn>
    <tableColumn id="6" xr3:uid="{B8B8C942-DCB2-451D-A464-AB61D4FCADB2}" name="D5" dataDxfId="434">
      <calculatedColumnFormula>IF($B$2="(Todas)",COUNTIF(BASE[CODCIE108],GUIA_NACIONAL_2022_1106109[[#This Row],[CIE-10]]),COUNTIFS(BASE[Cod.Establecimiento],$B$2,BASE[CODCIE108],GUIA_NACIONAL_2022_1106109[[#This Row],[CIE-10]]))</calculatedColumnFormula>
    </tableColumn>
    <tableColumn id="7" xr3:uid="{6E1722B9-4B84-4843-9E57-C5D379F08640}" name="D6" dataDxfId="433">
      <calculatedColumnFormula>IF($B$2="(Todas)",COUNTIF(BASE[CODCIE1010],GUIA_NACIONAL_2022_1106109[[#This Row],[CIE-10]]),COUNTIFS(BASE[Cod.Establecimiento],$B$2,BASE[CODCIE1010],GUIA_NACIONAL_2022_1106109[[#This Row],[CIE-10]]))</calculatedColumnFormula>
    </tableColumn>
    <tableColumn id="8" xr3:uid="{7245B6D3-DFAB-4468-A05F-1B830CCD1318}" name="TOT" dataDxfId="432" dataCellStyle="40% - Énfasis6">
      <calculatedColumnFormula>SUM(GUIA_NACIONAL_2022_1106109[[#This Row],[D1]:[D6]])</calculatedColumnFormula>
    </tableColumn>
  </tableColumns>
  <tableStyleInfo name="TableStyleLight1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D63BA19B-099A-43FB-B816-4E62CAC529C0}" name="GUIA_NACIONAL_2022_1106112" displayName="GUIA_NACIONAL_2022_1106112" ref="D37:K38" totalsRowShown="0" headerRowDxfId="431">
  <autoFilter ref="D37:K38" xr:uid="{D63BA19B-099A-43FB-B816-4E62CAC529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8E6C906-AA28-4C14-960C-A49A6AE9ABE5}" name="CIE-10" dataCellStyle="20% - Énfasis4"/>
    <tableColumn id="2" xr3:uid="{D40A15E2-1A2E-43E3-B235-3211EAAEE960}" name="D1" dataDxfId="430">
      <calculatedColumnFormula>IF($B$2="(Todas)",COUNTIF(BASE[CODCIE10],GUIA_NACIONAL_2022_1106112[[#This Row],[CIE-10]]),COUNTIFS(BASE[Cod.Establecimiento],$B$2,BASE[CODCIE10],GUIA_NACIONAL_2022_1106112[[#This Row],[CIE-10]]))</calculatedColumnFormula>
    </tableColumn>
    <tableColumn id="3" xr3:uid="{70F6C554-9882-42E7-A474-F7F76A39D177}" name="D2" dataDxfId="429">
      <calculatedColumnFormula>IF($B$2="(Todas)",COUNTIF(BASE[CODCIE102],GUIA_NACIONAL_2022_1106112[[#This Row],[CIE-10]]),COUNTIFS(BASE[Cod.Establecimiento],$B$2,BASE[CODCIE102],GUIA_NACIONAL_2022_1106112[[#This Row],[CIE-10]]))</calculatedColumnFormula>
    </tableColumn>
    <tableColumn id="4" xr3:uid="{B37CF176-149E-4C83-B344-49B8A8A7F53F}" name="D3" dataDxfId="428">
      <calculatedColumnFormula>IF($B$2="(Todas)",COUNTIF(BASE[CODCIE104],GUIA_NACIONAL_2022_1106112[[#This Row],[CIE-10]]),COUNTIFS(BASE[Cod.Establecimiento],$B$2,BASE[CODCIE104],GUIA_NACIONAL_2022_1106112[[#This Row],[CIE-10]]))</calculatedColumnFormula>
    </tableColumn>
    <tableColumn id="5" xr3:uid="{AF08A59D-7363-492A-A626-220FEC726336}" name="D4" dataDxfId="427">
      <calculatedColumnFormula>IF($B$2="(Todas)",COUNTIF(BASE[CODCIE106],GUIA_NACIONAL_2022_1106112[[#This Row],[CIE-10]]),COUNTIFS(BASE[Cod.Establecimiento],$B$2,BASE[CODCIE106],GUIA_NACIONAL_2022_1106112[[#This Row],[CIE-10]]))</calculatedColumnFormula>
    </tableColumn>
    <tableColumn id="6" xr3:uid="{D8EAFACA-E701-4618-A349-6DC2FD07739F}" name="D5" dataDxfId="426">
      <calculatedColumnFormula>IF($B$2="(Todas)",COUNTIF(BASE[CODCIE108],GUIA_NACIONAL_2022_1106112[[#This Row],[CIE-10]]),COUNTIFS(BASE[Cod.Establecimiento],$B$2,BASE[CODCIE108],GUIA_NACIONAL_2022_1106112[[#This Row],[CIE-10]]))</calculatedColumnFormula>
    </tableColumn>
    <tableColumn id="7" xr3:uid="{0457F6DD-52AC-4629-89D7-45D2479DEE2F}" name="D6" dataDxfId="425">
      <calculatedColumnFormula>IF($B$2="(Todas)",COUNTIF(BASE[CODCIE1010],GUIA_NACIONAL_2022_1106112[[#This Row],[CIE-10]]),COUNTIFS(BASE[Cod.Establecimiento],$B$2,BASE[CODCIE1010],GUIA_NACIONAL_2022_1106112[[#This Row],[CIE-10]]))</calculatedColumnFormula>
    </tableColumn>
    <tableColumn id="8" xr3:uid="{B58EFAC9-081E-40DC-853C-565FB8D21D31}" name="TOT" dataDxfId="424" dataCellStyle="40% - Énfasis6">
      <calculatedColumnFormula>SUM(GUIA_NACIONAL_2022_1106112[[#This Row],[D1]:[D6]])</calculatedColumnFormula>
    </tableColumn>
  </tableColumns>
  <tableStyleInfo name="TableStyleLight1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A1EBCC6E-73BE-4F75-A15F-F7174DC95735}" name="GUIA_NACIONAL_2022_1106112113" displayName="GUIA_NACIONAL_2022_1106112113" ref="D40:K41" totalsRowShown="0" headerRowDxfId="423">
  <autoFilter ref="D40:K41" xr:uid="{A1EBCC6E-73BE-4F75-A15F-F7174DC957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01CE65C-6D8C-4D80-A761-2E1AFF1F1CD6}" name="CIE-10" dataCellStyle="20% - Énfasis4"/>
    <tableColumn id="2" xr3:uid="{1D964C33-74C2-47AA-8FC9-BEDC45687A7C}" name="D1" dataDxfId="422">
      <calculatedColumnFormula>IF($B$2="(Todas)",COUNTIF(BASE[CODCIE10],GUIA_NACIONAL_2022_1106112113[[#This Row],[CIE-10]]),COUNTIFS(BASE[Cod.Establecimiento],$B$2,BASE[CODCIE10],GUIA_NACIONAL_2022_1106112113[[#This Row],[CIE-10]]))</calculatedColumnFormula>
    </tableColumn>
    <tableColumn id="3" xr3:uid="{9D5AD6B4-F147-43CF-A3C7-1B2E9010674D}" name="D2" dataDxfId="421">
      <calculatedColumnFormula>IF($B$2="(Todas)",COUNTIF(BASE[CODCIE102],GUIA_NACIONAL_2022_1106112113[[#This Row],[CIE-10]]),COUNTIFS(BASE[Cod.Establecimiento],$B$2,BASE[CODCIE102],GUIA_NACIONAL_2022_1106112113[[#This Row],[CIE-10]]))</calculatedColumnFormula>
    </tableColumn>
    <tableColumn id="4" xr3:uid="{7F719D6F-8938-45E5-B8FD-1BA6B7E5E167}" name="D3" dataDxfId="420">
      <calculatedColumnFormula>IF($B$2="(Todas)",COUNTIF(BASE[CODCIE104],GUIA_NACIONAL_2022_1106112113[[#This Row],[CIE-10]]),COUNTIFS(BASE[Cod.Establecimiento],$B$2,BASE[CODCIE104],GUIA_NACIONAL_2022_1106112113[[#This Row],[CIE-10]]))</calculatedColumnFormula>
    </tableColumn>
    <tableColumn id="5" xr3:uid="{F114A9B6-8BEF-4044-8DBB-EC236974386D}" name="D4" dataDxfId="419">
      <calculatedColumnFormula>IF($B$2="(Todas)",COUNTIF(BASE[CODCIE106],GUIA_NACIONAL_2022_1106112113[[#This Row],[CIE-10]]),COUNTIFS(BASE[Cod.Establecimiento],$B$2,BASE[CODCIE106],GUIA_NACIONAL_2022_1106112113[[#This Row],[CIE-10]]))</calculatedColumnFormula>
    </tableColumn>
    <tableColumn id="6" xr3:uid="{5D4C198D-1C5E-41A1-B815-CC5FDE692CBF}" name="D5" dataDxfId="418">
      <calculatedColumnFormula>IF($B$2="(Todas)",COUNTIF(BASE[CODCIE108],GUIA_NACIONAL_2022_1106112113[[#This Row],[CIE-10]]),COUNTIFS(BASE[Cod.Establecimiento],$B$2,BASE[CODCIE108],GUIA_NACIONAL_2022_1106112113[[#This Row],[CIE-10]]))</calculatedColumnFormula>
    </tableColumn>
    <tableColumn id="7" xr3:uid="{1CB0D9CA-BB1D-4E4A-A019-7EF889850E5E}" name="D6" dataDxfId="417">
      <calculatedColumnFormula>IF($B$2="(Todas)",COUNTIF(BASE[CODCIE1010],GUIA_NACIONAL_2022_1106112113[[#This Row],[CIE-10]]),COUNTIFS(BASE[Cod.Establecimiento],$B$2,BASE[CODCIE1010],GUIA_NACIONAL_2022_1106112113[[#This Row],[CIE-10]]))</calculatedColumnFormula>
    </tableColumn>
    <tableColumn id="8" xr3:uid="{96C02F76-D4A1-4BA9-94AB-DCA4D56E657D}" name="TOT" dataDxfId="416" dataCellStyle="40% - Énfasis6">
      <calculatedColumnFormula>SUM(GUIA_NACIONAL_2022_1106112113[[#This Row],[D1]:[D6]])</calculatedColumnFormula>
    </tableColumn>
  </tableColumns>
  <tableStyleInfo name="TableStyleLight1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CAC10555-833A-42D1-8E84-C5BD2D516CC0}" name="GUIA_NACIONAL_2022_1106112113114" displayName="GUIA_NACIONAL_2022_1106112113114" ref="D43:K45" totalsRowShown="0" headerRowDxfId="415">
  <autoFilter ref="D43:K45" xr:uid="{CAC10555-833A-42D1-8E84-C5BD2D516C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4C0165D-FEA8-4D71-9747-726AB6EF18CE}" name="CIE-10" dataCellStyle="20% - Énfasis4"/>
    <tableColumn id="2" xr3:uid="{9DC4E932-9570-4683-A395-7452E6A9A6C0}" name="D1" dataDxfId="414">
      <calculatedColumnFormula>IF($B$2="(Todas)",COUNTIF(BASE[CODCIE10],GUIA_NACIONAL_2022_1106112113114[[#This Row],[CIE-10]]),COUNTIFS(BASE[Cod.Establecimiento],$B$2,BASE[CODCIE10],GUIA_NACIONAL_2022_1106112113114[[#This Row],[CIE-10]]))</calculatedColumnFormula>
    </tableColumn>
    <tableColumn id="3" xr3:uid="{33E4D190-2EEF-4CED-AA3F-79386423D5E9}" name="D2" dataDxfId="413">
      <calculatedColumnFormula>IF($B$2="(Todas)",COUNTIF(BASE[CODCIE102],GUIA_NACIONAL_2022_1106112113114[[#This Row],[CIE-10]]),COUNTIFS(BASE[Cod.Establecimiento],$B$2,BASE[CODCIE102],GUIA_NACIONAL_2022_1106112113114[[#This Row],[CIE-10]]))</calculatedColumnFormula>
    </tableColumn>
    <tableColumn id="4" xr3:uid="{F4FE7667-BEB6-4929-B742-83A057C40DED}" name="D3" dataDxfId="412">
      <calculatedColumnFormula>IF($B$2="(Todas)",COUNTIF(BASE[CODCIE104],GUIA_NACIONAL_2022_1106112113114[[#This Row],[CIE-10]]),COUNTIFS(BASE[Cod.Establecimiento],$B$2,BASE[CODCIE104],GUIA_NACIONAL_2022_1106112113114[[#This Row],[CIE-10]]))</calculatedColumnFormula>
    </tableColumn>
    <tableColumn id="5" xr3:uid="{C5CEBE25-C02B-4A99-80D7-522E377B96BA}" name="D4" dataDxfId="411">
      <calculatedColumnFormula>IF($B$2="(Todas)",COUNTIF(BASE[CODCIE106],GUIA_NACIONAL_2022_1106112113114[[#This Row],[CIE-10]]),COUNTIFS(BASE[Cod.Establecimiento],$B$2,BASE[CODCIE106],GUIA_NACIONAL_2022_1106112113114[[#This Row],[CIE-10]]))</calculatedColumnFormula>
    </tableColumn>
    <tableColumn id="6" xr3:uid="{5671D10F-12E1-40C4-A0EB-5B5E1F1E7F8B}" name="D5" dataDxfId="410">
      <calculatedColumnFormula>IF($B$2="(Todas)",COUNTIF(BASE[CODCIE108],GUIA_NACIONAL_2022_1106112113114[[#This Row],[CIE-10]]),COUNTIFS(BASE[Cod.Establecimiento],$B$2,BASE[CODCIE108],GUIA_NACIONAL_2022_1106112113114[[#This Row],[CIE-10]]))</calculatedColumnFormula>
    </tableColumn>
    <tableColumn id="7" xr3:uid="{1E4378CF-EA22-4ED4-89F5-3FC4823D3EAC}" name="D6" dataDxfId="409">
      <calculatedColumnFormula>IF($B$2="(Todas)",COUNTIF(BASE[CODCIE1010],GUIA_NACIONAL_2022_1106112113114[[#This Row],[CIE-10]]),COUNTIFS(BASE[Cod.Establecimiento],$B$2,BASE[CODCIE1010],GUIA_NACIONAL_2022_1106112113114[[#This Row],[CIE-10]]))</calculatedColumnFormula>
    </tableColumn>
    <tableColumn id="8" xr3:uid="{6C038AED-E249-4ABB-9D82-D797A8684899}" name="TOT" dataDxfId="408" dataCellStyle="40% - Énfasis6">
      <calculatedColumnFormula>SUM(GUIA_NACIONAL_2022_1106112113114[[#This Row],[D1]:[D6]])</calculatedColumnFormula>
    </tableColumn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PV_ESAVI" displayName="EPV_ESAVI" ref="J30:Q37" totalsRowShown="0" headerRowDxfId="1199">
  <autoFilter ref="J30:Q37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A00-000001000000}" name="CIE-10" dataCellStyle="20% - Énfasis4"/>
    <tableColumn id="2" xr3:uid="{00000000-0010-0000-0A00-000002000000}" name="D1" dataDxfId="1198">
      <calculatedColumnFormula>IF($AK$2="(Todas)",COUNTIF(BASE[CODCIE10],EPV_ESAVI[[#This Row],[CIE-10]]),COUNTIFS(BASE[Cod.Establecimiento],$AK$2,BASE[CODCIE10],EPV_ESAVI[[#This Row],[CIE-10]]))</calculatedColumnFormula>
    </tableColumn>
    <tableColumn id="3" xr3:uid="{00000000-0010-0000-0A00-000003000000}" name="D2" dataDxfId="1197">
      <calculatedColumnFormula>IF($AK$2="(Todas)",COUNTIF(BASE[CODCIE102],EPV_ESAVI[[#This Row],[CIE-10]]),COUNTIFS(BASE[Cod.Establecimiento],$AK$2,BASE[CODCIE102],EPV_ESAVI[[#This Row],[CIE-10]]))</calculatedColumnFormula>
    </tableColumn>
    <tableColumn id="4" xr3:uid="{00000000-0010-0000-0A00-000004000000}" name="D3" dataDxfId="1196">
      <calculatedColumnFormula>IF($AK$2="(Todas)",COUNTIF(BASE[CODCIE104],EPV_ESAVI[[#This Row],[CIE-10]]),COUNTIFS(BASE[Cod.Establecimiento],$AK$2,BASE[CODCIE104],EPV_ESAVI[[#This Row],[CIE-10]]))</calculatedColumnFormula>
    </tableColumn>
    <tableColumn id="5" xr3:uid="{00000000-0010-0000-0A00-000005000000}" name="D4" dataDxfId="1195">
      <calculatedColumnFormula>IF($AK$2="(Todas)",COUNTIF(BASE[CODCIE106],EPV_ESAVI[[#This Row],[CIE-10]]),COUNTIFS(BASE[Cod.Establecimiento],$AK$2,BASE[CODCIE106],EPV_ESAVI[[#This Row],[CIE-10]]))</calculatedColumnFormula>
    </tableColumn>
    <tableColumn id="6" xr3:uid="{00000000-0010-0000-0A00-000006000000}" name="D5" dataDxfId="1194">
      <calculatedColumnFormula>IF($AK$2="(Todas)",COUNTIF(BASE[CODCIE108],EPV_ESAVI[[#This Row],[CIE-10]]),COUNTIFS(BASE[Cod.Establecimiento],$AK$2,BASE[CODCIE108],EPV_ESAVI[[#This Row],[CIE-10]]))</calculatedColumnFormula>
    </tableColumn>
    <tableColumn id="7" xr3:uid="{00000000-0010-0000-0A00-000007000000}" name="D6" dataDxfId="1193">
      <calculatedColumnFormula>IF($AK$2="(Todas)",COUNTIF(BASE[CODCIE1010],EPV_ESAVI[[#This Row],[CIE-10]]),COUNTIFS(BASE[Cod.Establecimiento],$AK$2,BASE[CODCIE1010],EPV_ESAVI[[#This Row],[CIE-10]]))</calculatedColumnFormula>
    </tableColumn>
    <tableColumn id="8" xr3:uid="{00000000-0010-0000-0A00-000008000000}" name="TOT" dataDxfId="1192" dataCellStyle="40% - Énfasis6">
      <calculatedColumnFormula>SUM(EPV_ESAVI[[#This Row],[D1]:[D6]])</calculatedColumnFormula>
    </tableColumn>
  </tableColumns>
  <tableStyleInfo name="TableStyleLight1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9B106B90-26C6-4F76-875B-976581C6B5EE}" name="GUIA_NACIONAL_2022_1106112113116" displayName="GUIA_NACIONAL_2022_1106112113116" ref="D48:K49" totalsRowShown="0" headerRowDxfId="407">
  <autoFilter ref="D48:K49" xr:uid="{9B106B90-26C6-4F76-875B-976581C6B5E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8ECB2C0-99F6-4AE0-902C-21CA0D6F3C43}" name="CIE-10" dataCellStyle="20% - Énfasis4"/>
    <tableColumn id="2" xr3:uid="{9F9DECC2-FCF2-4EDB-92C5-80B36F66D1B9}" name="D1" dataDxfId="406">
      <calculatedColumnFormula>IF($B$2="(Todas)",COUNTIF(BASE[CODCIE10],GUIA_NACIONAL_2022_1106112113116[[#This Row],[CIE-10]]),COUNTIFS(BASE[Cod.Establecimiento],$B$2,BASE[CODCIE10],GUIA_NACIONAL_2022_1106112113116[[#This Row],[CIE-10]]))</calculatedColumnFormula>
    </tableColumn>
    <tableColumn id="3" xr3:uid="{990C37A6-C532-44B0-849B-50DBACD370DE}" name="D2" dataDxfId="405">
      <calculatedColumnFormula>IF($B$2="(Todas)",COUNTIF(BASE[CODCIE102],GUIA_NACIONAL_2022_1106112113116[[#This Row],[CIE-10]]),COUNTIFS(BASE[Cod.Establecimiento],$B$2,BASE[CODCIE102],GUIA_NACIONAL_2022_1106112113116[[#This Row],[CIE-10]]))</calculatedColumnFormula>
    </tableColumn>
    <tableColumn id="4" xr3:uid="{6DB93C2E-4F3D-4950-99F4-760E2A8A6E8B}" name="D3" dataDxfId="404">
      <calculatedColumnFormula>IF($B$2="(Todas)",COUNTIF(BASE[CODCIE104],GUIA_NACIONAL_2022_1106112113116[[#This Row],[CIE-10]]),COUNTIFS(BASE[Cod.Establecimiento],$B$2,BASE[CODCIE104],GUIA_NACIONAL_2022_1106112113116[[#This Row],[CIE-10]]))</calculatedColumnFormula>
    </tableColumn>
    <tableColumn id="5" xr3:uid="{FB997BA7-960D-4B14-A69B-0946520C42D6}" name="D4" dataDxfId="403">
      <calculatedColumnFormula>IF($B$2="(Todas)",COUNTIF(BASE[CODCIE106],GUIA_NACIONAL_2022_1106112113116[[#This Row],[CIE-10]]),COUNTIFS(BASE[Cod.Establecimiento],$B$2,BASE[CODCIE106],GUIA_NACIONAL_2022_1106112113116[[#This Row],[CIE-10]]))</calculatedColumnFormula>
    </tableColumn>
    <tableColumn id="6" xr3:uid="{A8A2D1A2-C87F-4378-9AB1-E86DD20E2E3A}" name="D5" dataDxfId="402">
      <calculatedColumnFormula>IF($B$2="(Todas)",COUNTIF(BASE[CODCIE108],GUIA_NACIONAL_2022_1106112113116[[#This Row],[CIE-10]]),COUNTIFS(BASE[Cod.Establecimiento],$B$2,BASE[CODCIE108],GUIA_NACIONAL_2022_1106112113116[[#This Row],[CIE-10]]))</calculatedColumnFormula>
    </tableColumn>
    <tableColumn id="7" xr3:uid="{C77F3D70-F55B-480C-974B-44D028059893}" name="D6" dataDxfId="401">
      <calculatedColumnFormula>IF($B$2="(Todas)",COUNTIF(BASE[CODCIE1010],GUIA_NACIONAL_2022_1106112113116[[#This Row],[CIE-10]]),COUNTIFS(BASE[Cod.Establecimiento],$B$2,BASE[CODCIE1010],GUIA_NACIONAL_2022_1106112113116[[#This Row],[CIE-10]]))</calculatedColumnFormula>
    </tableColumn>
    <tableColumn id="8" xr3:uid="{37E63D9C-DC38-4C2E-959C-02B1CBD31DF1}" name="TOT" dataDxfId="400" dataCellStyle="40% - Énfasis6">
      <calculatedColumnFormula>SUM(GUIA_NACIONAL_2022_1106112113116[[#This Row],[D1]:[D6]])</calculatedColumnFormula>
    </tableColumn>
  </tableColumns>
  <tableStyleInfo name="TableStyleLight1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631191E7-A2D9-4C39-8B84-C155AB7C1D12}" name="GUIA_NACIONAL_2022_1106112113116117" displayName="GUIA_NACIONAL_2022_1106112113116117" ref="D51:K52" totalsRowShown="0" headerRowDxfId="399">
  <autoFilter ref="D51:K52" xr:uid="{631191E7-A2D9-4C39-8B84-C155AB7C1D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91D4CB8-7183-4D73-B42F-A5D6B7D8B2D8}" name="CIE-10" dataCellStyle="20% - Énfasis4"/>
    <tableColumn id="2" xr3:uid="{26A33030-DCB0-4344-9549-C0003B89A413}" name="D1" dataDxfId="398">
      <calculatedColumnFormula>IF($B$2="(Todas)",COUNTIF(BASE[CODCIE10],GUIA_NACIONAL_2022_1106112113116117[[#This Row],[CIE-10]]),COUNTIFS(BASE[Cod.Establecimiento],$B$2,BASE[CODCIE10],GUIA_NACIONAL_2022_1106112113116117[[#This Row],[CIE-10]]))</calculatedColumnFormula>
    </tableColumn>
    <tableColumn id="3" xr3:uid="{6CC0C965-C925-4F36-96C7-344A7F7F5E59}" name="D2" dataDxfId="397">
      <calculatedColumnFormula>IF($B$2="(Todas)",COUNTIF(BASE[CODCIE102],GUIA_NACIONAL_2022_1106112113116117[[#This Row],[CIE-10]]),COUNTIFS(BASE[Cod.Establecimiento],$B$2,BASE[CODCIE102],GUIA_NACIONAL_2022_1106112113116117[[#This Row],[CIE-10]]))</calculatedColumnFormula>
    </tableColumn>
    <tableColumn id="4" xr3:uid="{C1B4E896-E2D3-42A9-AAC2-F383D90B6F05}" name="D3" dataDxfId="396">
      <calculatedColumnFormula>IF($B$2="(Todas)",COUNTIF(BASE[CODCIE104],GUIA_NACIONAL_2022_1106112113116117[[#This Row],[CIE-10]]),COUNTIFS(BASE[Cod.Establecimiento],$B$2,BASE[CODCIE104],GUIA_NACIONAL_2022_1106112113116117[[#This Row],[CIE-10]]))</calculatedColumnFormula>
    </tableColumn>
    <tableColumn id="5" xr3:uid="{CF0E55D5-08E2-44CB-B220-5FD477D28927}" name="D4" dataDxfId="395">
      <calculatedColumnFormula>IF($B$2="(Todas)",COUNTIF(BASE[CODCIE106],GUIA_NACIONAL_2022_1106112113116117[[#This Row],[CIE-10]]),COUNTIFS(BASE[Cod.Establecimiento],$B$2,BASE[CODCIE106],GUIA_NACIONAL_2022_1106112113116117[[#This Row],[CIE-10]]))</calculatedColumnFormula>
    </tableColumn>
    <tableColumn id="6" xr3:uid="{1890DF9B-9CB6-4981-9DED-89504E6523E5}" name="D5" dataDxfId="394">
      <calculatedColumnFormula>IF($B$2="(Todas)",COUNTIF(BASE[CODCIE108],GUIA_NACIONAL_2022_1106112113116117[[#This Row],[CIE-10]]),COUNTIFS(BASE[Cod.Establecimiento],$B$2,BASE[CODCIE108],GUIA_NACIONAL_2022_1106112113116117[[#This Row],[CIE-10]]))</calculatedColumnFormula>
    </tableColumn>
    <tableColumn id="7" xr3:uid="{4DBC9711-0CA9-47BF-AA4A-29C689BCE184}" name="D6" dataDxfId="393">
      <calculatedColumnFormula>IF($B$2="(Todas)",COUNTIF(BASE[CODCIE1010],GUIA_NACIONAL_2022_1106112113116117[[#This Row],[CIE-10]]),COUNTIFS(BASE[Cod.Establecimiento],$B$2,BASE[CODCIE1010],GUIA_NACIONAL_2022_1106112113116117[[#This Row],[CIE-10]]))</calculatedColumnFormula>
    </tableColumn>
    <tableColumn id="8" xr3:uid="{598056DA-5FBA-402E-8B23-6DBD50293FA6}" name="TOT" dataDxfId="392" dataCellStyle="40% - Énfasis6">
      <calculatedColumnFormula>SUM(GUIA_NACIONAL_2022_1106112113116117[[#This Row],[D1]:[D6]])</calculatedColumnFormula>
    </tableColumn>
  </tableColumns>
  <tableStyleInfo name="TableStyleLight1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83E4E05A-4B7A-495F-BABC-459E4E9F3480}" name="GUIA_NACIONAL_2022_1106112113116117118" displayName="GUIA_NACIONAL_2022_1106112113116117118" ref="D54:K55" totalsRowShown="0" headerRowDxfId="391">
  <autoFilter ref="D54:K55" xr:uid="{83E4E05A-4B7A-495F-BABC-459E4E9F34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B8393E9-98BC-400D-B1A2-9CBAFAE4B830}" name="CIE-10" dataCellStyle="20% - Énfasis4"/>
    <tableColumn id="2" xr3:uid="{9A07446F-9AB6-4D7F-9C01-06FBE126FF26}" name="D1" dataDxfId="390">
      <calculatedColumnFormula>IF($B$2="(Todas)",COUNTIF(BASE[CODCIE10],GUIA_NACIONAL_2022_1106112113116117118[[#This Row],[CIE-10]]),COUNTIFS(BASE[Cod.Establecimiento],$B$2,BASE[CODCIE10],GUIA_NACIONAL_2022_1106112113116117118[[#This Row],[CIE-10]]))</calculatedColumnFormula>
    </tableColumn>
    <tableColumn id="3" xr3:uid="{E030DED6-5C48-424C-AE7B-EF7089F6C8E3}" name="D2" dataDxfId="389">
      <calculatedColumnFormula>IF($B$2="(Todas)",COUNTIF(BASE[CODCIE102],GUIA_NACIONAL_2022_1106112113116117118[[#This Row],[CIE-10]]),COUNTIFS(BASE[Cod.Establecimiento],$B$2,BASE[CODCIE102],GUIA_NACIONAL_2022_1106112113116117118[[#This Row],[CIE-10]]))</calculatedColumnFormula>
    </tableColumn>
    <tableColumn id="4" xr3:uid="{A21734DE-5758-417F-A3E0-9198B65BE12A}" name="D3" dataDxfId="388">
      <calculatedColumnFormula>IF($B$2="(Todas)",COUNTIF(BASE[CODCIE104],GUIA_NACIONAL_2022_1106112113116117118[[#This Row],[CIE-10]]),COUNTIFS(BASE[Cod.Establecimiento],$B$2,BASE[CODCIE104],GUIA_NACIONAL_2022_1106112113116117118[[#This Row],[CIE-10]]))</calculatedColumnFormula>
    </tableColumn>
    <tableColumn id="5" xr3:uid="{FD7F7BE5-3F96-4609-BEEE-A3A1EC23DE2D}" name="D4" dataDxfId="387">
      <calculatedColumnFormula>IF($B$2="(Todas)",COUNTIF(BASE[CODCIE106],GUIA_NACIONAL_2022_1106112113116117118[[#This Row],[CIE-10]]),COUNTIFS(BASE[Cod.Establecimiento],$B$2,BASE[CODCIE106],GUIA_NACIONAL_2022_1106112113116117118[[#This Row],[CIE-10]]))</calculatedColumnFormula>
    </tableColumn>
    <tableColumn id="6" xr3:uid="{69652713-944A-4333-B9D2-AC91CC35F256}" name="D5" dataDxfId="386">
      <calculatedColumnFormula>IF($B$2="(Todas)",COUNTIF(BASE[CODCIE108],GUIA_NACIONAL_2022_1106112113116117118[[#This Row],[CIE-10]]),COUNTIFS(BASE[Cod.Establecimiento],$B$2,BASE[CODCIE108],GUIA_NACIONAL_2022_1106112113116117118[[#This Row],[CIE-10]]))</calculatedColumnFormula>
    </tableColumn>
    <tableColumn id="7" xr3:uid="{F2C82884-B523-4703-9084-30618AFB51B6}" name="D6" dataDxfId="385">
      <calculatedColumnFormula>IF($B$2="(Todas)",COUNTIF(BASE[CODCIE1010],GUIA_NACIONAL_2022_1106112113116117118[[#This Row],[CIE-10]]),COUNTIFS(BASE[Cod.Establecimiento],$B$2,BASE[CODCIE1010],GUIA_NACIONAL_2022_1106112113116117118[[#This Row],[CIE-10]]))</calculatedColumnFormula>
    </tableColumn>
    <tableColumn id="8" xr3:uid="{68739282-4F28-4715-A4CE-5F0144B1BF70}" name="TOT" dataDxfId="384" dataCellStyle="40% - Énfasis6">
      <calculatedColumnFormula>SUM(GUIA_NACIONAL_2022_1106112113116117118[[#This Row],[D1]:[D6]])</calculatedColumnFormula>
    </tableColumn>
  </tableColumns>
  <tableStyleInfo name="TableStyleLight1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548E170B-BE17-4880-A273-C80BFBCDD31E}" name="GUIA_NACIONAL_2022_1106112113116117118119" displayName="GUIA_NACIONAL_2022_1106112113116117118119" ref="D57:K58" totalsRowShown="0" headerRowDxfId="383">
  <autoFilter ref="D57:K58" xr:uid="{548E170B-BE17-4880-A273-C80BFBCDD3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1400FC7-8FD2-4888-AD9D-5B5F915DC7FC}" name="CIE-10" dataCellStyle="20% - Énfasis4"/>
    <tableColumn id="2" xr3:uid="{C859F080-4938-47D0-9A0C-63FBF85F6FBD}" name="D1" dataDxfId="382">
      <calculatedColumnFormula>IF($B$2="(Todas)",COUNTIF(BASE[CODCIE10],GUIA_NACIONAL_2022_1106112113116117118119[[#This Row],[CIE-10]]),COUNTIFS(BASE[Cod.Establecimiento],$B$2,BASE[CODCIE10],GUIA_NACIONAL_2022_1106112113116117118119[[#This Row],[CIE-10]]))</calculatedColumnFormula>
    </tableColumn>
    <tableColumn id="3" xr3:uid="{2609E3DB-0B20-4540-9A40-EDBB207F5B1D}" name="D2" dataDxfId="381">
      <calculatedColumnFormula>IF($B$2="(Todas)",COUNTIF(BASE[CODCIE102],GUIA_NACIONAL_2022_1106112113116117118119[[#This Row],[CIE-10]]),COUNTIFS(BASE[Cod.Establecimiento],$B$2,BASE[CODCIE102],GUIA_NACIONAL_2022_1106112113116117118119[[#This Row],[CIE-10]]))</calculatedColumnFormula>
    </tableColumn>
    <tableColumn id="4" xr3:uid="{CC3B7F12-F4FD-44DA-9E0B-32EFFB53DCAB}" name="D3" dataDxfId="380">
      <calculatedColumnFormula>IF($B$2="(Todas)",COUNTIF(BASE[CODCIE104],GUIA_NACIONAL_2022_1106112113116117118119[[#This Row],[CIE-10]]),COUNTIFS(BASE[Cod.Establecimiento],$B$2,BASE[CODCIE104],GUIA_NACIONAL_2022_1106112113116117118119[[#This Row],[CIE-10]]))</calculatedColumnFormula>
    </tableColumn>
    <tableColumn id="5" xr3:uid="{B059A627-0874-4FA5-85E6-7B871E857F13}" name="D4" dataDxfId="379">
      <calculatedColumnFormula>IF($B$2="(Todas)",COUNTIF(BASE[CODCIE106],GUIA_NACIONAL_2022_1106112113116117118119[[#This Row],[CIE-10]]),COUNTIFS(BASE[Cod.Establecimiento],$B$2,BASE[CODCIE106],GUIA_NACIONAL_2022_1106112113116117118119[[#This Row],[CIE-10]]))</calculatedColumnFormula>
    </tableColumn>
    <tableColumn id="6" xr3:uid="{532DF726-8A47-41EC-AB9E-C7E71DD0BCF0}" name="D5" dataDxfId="378">
      <calculatedColumnFormula>IF($B$2="(Todas)",COUNTIF(BASE[CODCIE108],GUIA_NACIONAL_2022_1106112113116117118119[[#This Row],[CIE-10]]),COUNTIFS(BASE[Cod.Establecimiento],$B$2,BASE[CODCIE108],GUIA_NACIONAL_2022_1106112113116117118119[[#This Row],[CIE-10]]))</calculatedColumnFormula>
    </tableColumn>
    <tableColumn id="7" xr3:uid="{61ED266B-CF18-48F0-9571-1399E3DD34A3}" name="D6" dataDxfId="377">
      <calculatedColumnFormula>IF($B$2="(Todas)",COUNTIF(BASE[CODCIE1010],GUIA_NACIONAL_2022_1106112113116117118119[[#This Row],[CIE-10]]),COUNTIFS(BASE[Cod.Establecimiento],$B$2,BASE[CODCIE1010],GUIA_NACIONAL_2022_1106112113116117118119[[#This Row],[CIE-10]]))</calculatedColumnFormula>
    </tableColumn>
    <tableColumn id="8" xr3:uid="{29D5C600-1E9D-4EDA-BBCF-B7A7C9593ACE}" name="TOT" dataDxfId="376" dataCellStyle="40% - Énfasis6">
      <calculatedColumnFormula>SUM(GUIA_NACIONAL_2022_1106112113116117118119[[#This Row],[D1]:[D6]])</calculatedColumnFormula>
    </tableColumn>
  </tableColumns>
  <tableStyleInfo name="TableStyleLight1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1902D996-436F-4E38-8B4D-2A409EF9B82F}" name="GUIA_NACIONAL_2022_1106112113116117118119120" displayName="GUIA_NACIONAL_2022_1106112113116117118119120" ref="D60:K61" totalsRowShown="0" headerRowDxfId="375">
  <autoFilter ref="D60:K61" xr:uid="{1902D996-436F-4E38-8B4D-2A409EF9B82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35E7A57-9700-4367-8B77-F7AB11568C40}" name="CIE-10" dataCellStyle="20% - Énfasis4"/>
    <tableColumn id="2" xr3:uid="{81D2CB52-3163-4ACF-ABB4-C6AF76743EC9}" name="D1" dataDxfId="374">
      <calculatedColumnFormula>IF($B$2="(Todas)",COUNTIF(BASE[CODCIE10],GUIA_NACIONAL_2022_1106112113116117118119120[[#This Row],[CIE-10]]),COUNTIFS(BASE[Cod.Establecimiento],$B$2,BASE[CODCIE10],GUIA_NACIONAL_2022_1106112113116117118119120[[#This Row],[CIE-10]]))</calculatedColumnFormula>
    </tableColumn>
    <tableColumn id="3" xr3:uid="{80EE710B-9878-44A8-8C8A-011F7DA8B480}" name="D2" dataDxfId="373">
      <calculatedColumnFormula>IF($B$2="(Todas)",COUNTIF(BASE[CODCIE102],GUIA_NACIONAL_2022_1106112113116117118119120[[#This Row],[CIE-10]]),COUNTIFS(BASE[Cod.Establecimiento],$B$2,BASE[CODCIE102],GUIA_NACIONAL_2022_1106112113116117118119120[[#This Row],[CIE-10]]))</calculatedColumnFormula>
    </tableColumn>
    <tableColumn id="4" xr3:uid="{67F2AA01-5135-43A5-AC15-A21B1EDC4CCD}" name="D3" dataDxfId="372">
      <calculatedColumnFormula>IF($B$2="(Todas)",COUNTIF(BASE[CODCIE104],GUIA_NACIONAL_2022_1106112113116117118119120[[#This Row],[CIE-10]]),COUNTIFS(BASE[Cod.Establecimiento],$B$2,BASE[CODCIE104],GUIA_NACIONAL_2022_1106112113116117118119120[[#This Row],[CIE-10]]))</calculatedColumnFormula>
    </tableColumn>
    <tableColumn id="5" xr3:uid="{CAD5E285-CA76-4F6F-8E91-290626005A54}" name="D4" dataDxfId="371">
      <calculatedColumnFormula>IF($B$2="(Todas)",COUNTIF(BASE[CODCIE106],GUIA_NACIONAL_2022_1106112113116117118119120[[#This Row],[CIE-10]]),COUNTIFS(BASE[Cod.Establecimiento],$B$2,BASE[CODCIE106],GUIA_NACIONAL_2022_1106112113116117118119120[[#This Row],[CIE-10]]))</calculatedColumnFormula>
    </tableColumn>
    <tableColumn id="6" xr3:uid="{3F762EDA-5FC1-412D-996C-05A927493B59}" name="D5" dataDxfId="370">
      <calculatedColumnFormula>IF($B$2="(Todas)",COUNTIF(BASE[CODCIE108],GUIA_NACIONAL_2022_1106112113116117118119120[[#This Row],[CIE-10]]),COUNTIFS(BASE[Cod.Establecimiento],$B$2,BASE[CODCIE108],GUIA_NACIONAL_2022_1106112113116117118119120[[#This Row],[CIE-10]]))</calculatedColumnFormula>
    </tableColumn>
    <tableColumn id="7" xr3:uid="{8DFB7B62-7C70-4F0A-8A55-C772AF46EFCD}" name="D6" dataDxfId="369">
      <calculatedColumnFormula>IF($B$2="(Todas)",COUNTIF(BASE[CODCIE1010],GUIA_NACIONAL_2022_1106112113116117118119120[[#This Row],[CIE-10]]),COUNTIFS(BASE[Cod.Establecimiento],$B$2,BASE[CODCIE1010],GUIA_NACIONAL_2022_1106112113116117118119120[[#This Row],[CIE-10]]))</calculatedColumnFormula>
    </tableColumn>
    <tableColumn id="8" xr3:uid="{A7117DF2-80FD-4C0D-8680-2DBC8AFEF12C}" name="TOT" dataDxfId="368" dataCellStyle="40% - Énfasis6">
      <calculatedColumnFormula>SUM(GUIA_NACIONAL_2022_1106112113116117118119120[[#This Row],[D1]:[D6]])</calculatedColumnFormula>
    </tableColumn>
  </tableColumns>
  <tableStyleInfo name="TableStyleLight1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42125944-C108-4CB4-BAB7-A741D12877F1}" name="GUIA_NACIONAL_2022_1106112113116117118119120121" displayName="GUIA_NACIONAL_2022_1106112113116117118119120121" ref="D63:K64" totalsRowShown="0" headerRowDxfId="367">
  <autoFilter ref="D63:K64" xr:uid="{42125944-C108-4CB4-BAB7-A741D12877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BAC9A34-9E16-438A-AC5F-B018F5261B58}" name="CIE-10" dataCellStyle="20% - Énfasis4"/>
    <tableColumn id="2" xr3:uid="{06BD88E0-D143-4459-9A03-F66C06E665FD}" name="D1" dataDxfId="366">
      <calculatedColumnFormula>IF($B$2="(Todas)",COUNTIF(BASE[CODCIE10],GUIA_NACIONAL_2022_1106112113116117118119120121[[#This Row],[CIE-10]]),COUNTIFS(BASE[Cod.Establecimiento],$B$2,BASE[CODCIE10],GUIA_NACIONAL_2022_1106112113116117118119120121[[#This Row],[CIE-10]]))</calculatedColumnFormula>
    </tableColumn>
    <tableColumn id="3" xr3:uid="{C2E01309-B0AC-4B0F-B870-F10F4019A568}" name="D2" dataDxfId="365">
      <calculatedColumnFormula>IF($B$2="(Todas)",COUNTIF(BASE[CODCIE102],GUIA_NACIONAL_2022_1106112113116117118119120121[[#This Row],[CIE-10]]),COUNTIFS(BASE[Cod.Establecimiento],$B$2,BASE[CODCIE102],GUIA_NACIONAL_2022_1106112113116117118119120121[[#This Row],[CIE-10]]))</calculatedColumnFormula>
    </tableColumn>
    <tableColumn id="4" xr3:uid="{F073AD3D-9C6C-4A4F-B995-F2BDECA65DD1}" name="D3" dataDxfId="364">
      <calculatedColumnFormula>IF($B$2="(Todas)",COUNTIF(BASE[CODCIE104],GUIA_NACIONAL_2022_1106112113116117118119120121[[#This Row],[CIE-10]]),COUNTIFS(BASE[Cod.Establecimiento],$B$2,BASE[CODCIE104],GUIA_NACIONAL_2022_1106112113116117118119120121[[#This Row],[CIE-10]]))</calculatedColumnFormula>
    </tableColumn>
    <tableColumn id="5" xr3:uid="{648AACCB-00D2-46E5-B37C-965784A59A12}" name="D4" dataDxfId="363">
      <calculatedColumnFormula>IF($B$2="(Todas)",COUNTIF(BASE[CODCIE106],GUIA_NACIONAL_2022_1106112113116117118119120121[[#This Row],[CIE-10]]),COUNTIFS(BASE[Cod.Establecimiento],$B$2,BASE[CODCIE106],GUIA_NACIONAL_2022_1106112113116117118119120121[[#This Row],[CIE-10]]))</calculatedColumnFormula>
    </tableColumn>
    <tableColumn id="6" xr3:uid="{FA3F7913-8F0E-4735-B79A-49D2582CAB01}" name="D5" dataDxfId="362">
      <calculatedColumnFormula>IF($B$2="(Todas)",COUNTIF(BASE[CODCIE108],GUIA_NACIONAL_2022_1106112113116117118119120121[[#This Row],[CIE-10]]),COUNTIFS(BASE[Cod.Establecimiento],$B$2,BASE[CODCIE108],GUIA_NACIONAL_2022_1106112113116117118119120121[[#This Row],[CIE-10]]))</calculatedColumnFormula>
    </tableColumn>
    <tableColumn id="7" xr3:uid="{E565E724-ABF9-4B50-8F55-34325AC27777}" name="D6" dataDxfId="361">
      <calculatedColumnFormula>IF($B$2="(Todas)",COUNTIF(BASE[CODCIE1010],GUIA_NACIONAL_2022_1106112113116117118119120121[[#This Row],[CIE-10]]),COUNTIFS(BASE[Cod.Establecimiento],$B$2,BASE[CODCIE1010],GUIA_NACIONAL_2022_1106112113116117118119120121[[#This Row],[CIE-10]]))</calculatedColumnFormula>
    </tableColumn>
    <tableColumn id="8" xr3:uid="{95FD9480-AE00-4709-A453-6C27B70D58C6}" name="TOT" dataDxfId="360" dataCellStyle="40% - Énfasis6">
      <calculatedColumnFormula>SUM(GUIA_NACIONAL_2022_1106112113116117118119120121[[#This Row],[D1]:[D6]])</calculatedColumnFormula>
    </tableColumn>
  </tableColumns>
  <tableStyleInfo name="TableStyleLight1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8B7143A3-FBD5-4A4E-A6EF-628796D0551A}" name="GUIA_NACIONAL_2022_1106112113116117118119120121122" displayName="GUIA_NACIONAL_2022_1106112113116117118119120121122" ref="D66:K67" totalsRowShown="0" headerRowDxfId="359">
  <autoFilter ref="D66:K67" xr:uid="{8B7143A3-FBD5-4A4E-A6EF-628796D055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405A51D-60CB-4771-BAC1-AF7E50E79CD7}" name="CIE-10" dataCellStyle="20% - Énfasis4"/>
    <tableColumn id="2" xr3:uid="{CB9CE276-8E7F-42C4-B634-BC3BE262953E}" name="D1" dataDxfId="358">
      <calculatedColumnFormula>IF($B$2="(Todas)",COUNTIF(BASE[CODCIE10],GUIA_NACIONAL_2022_1106112113116117118119120121122[[#This Row],[CIE-10]]),COUNTIFS(BASE[Cod.Establecimiento],$B$2,BASE[CODCIE10],GUIA_NACIONAL_2022_1106112113116117118119120121122[[#This Row],[CIE-10]]))</calculatedColumnFormula>
    </tableColumn>
    <tableColumn id="3" xr3:uid="{267D65AF-6E45-4F23-B7A3-DC5F7BEE4C92}" name="D2" dataDxfId="357">
      <calculatedColumnFormula>IF($B$2="(Todas)",COUNTIF(BASE[CODCIE102],GUIA_NACIONAL_2022_1106112113116117118119120121122[[#This Row],[CIE-10]]),COUNTIFS(BASE[Cod.Establecimiento],$B$2,BASE[CODCIE102],GUIA_NACIONAL_2022_1106112113116117118119120121122[[#This Row],[CIE-10]]))</calculatedColumnFormula>
    </tableColumn>
    <tableColumn id="4" xr3:uid="{1AD6BE36-59D5-48DF-8D24-A5D830C69182}" name="D3" dataDxfId="356">
      <calculatedColumnFormula>IF($B$2="(Todas)",COUNTIF(BASE[CODCIE104],GUIA_NACIONAL_2022_1106112113116117118119120121122[[#This Row],[CIE-10]]),COUNTIFS(BASE[Cod.Establecimiento],$B$2,BASE[CODCIE104],GUIA_NACIONAL_2022_1106112113116117118119120121122[[#This Row],[CIE-10]]))</calculatedColumnFormula>
    </tableColumn>
    <tableColumn id="5" xr3:uid="{81F9D151-B26B-43A8-BFF0-9552AC71AA17}" name="D4" dataDxfId="355">
      <calculatedColumnFormula>IF($B$2="(Todas)",COUNTIF(BASE[CODCIE106],GUIA_NACIONAL_2022_1106112113116117118119120121122[[#This Row],[CIE-10]]),COUNTIFS(BASE[Cod.Establecimiento],$B$2,BASE[CODCIE106],GUIA_NACIONAL_2022_1106112113116117118119120121122[[#This Row],[CIE-10]]))</calculatedColumnFormula>
    </tableColumn>
    <tableColumn id="6" xr3:uid="{2BE57979-A54E-49C9-A93D-16112D84A9D6}" name="D5" dataDxfId="354">
      <calculatedColumnFormula>IF($B$2="(Todas)",COUNTIF(BASE[CODCIE108],GUIA_NACIONAL_2022_1106112113116117118119120121122[[#This Row],[CIE-10]]),COUNTIFS(BASE[Cod.Establecimiento],$B$2,BASE[CODCIE108],GUIA_NACIONAL_2022_1106112113116117118119120121122[[#This Row],[CIE-10]]))</calculatedColumnFormula>
    </tableColumn>
    <tableColumn id="7" xr3:uid="{E2EE8011-1A73-48EA-8DAA-915559335F00}" name="D6" dataDxfId="353">
      <calculatedColumnFormula>IF($B$2="(Todas)",COUNTIF(BASE[CODCIE1010],GUIA_NACIONAL_2022_1106112113116117118119120121122[[#This Row],[CIE-10]]),COUNTIFS(BASE[Cod.Establecimiento],$B$2,BASE[CODCIE1010],GUIA_NACIONAL_2022_1106112113116117118119120121122[[#This Row],[CIE-10]]))</calculatedColumnFormula>
    </tableColumn>
    <tableColumn id="8" xr3:uid="{55A571C6-8BA5-4298-806A-E1433DFA138D}" name="TOT" dataDxfId="352" dataCellStyle="40% - Énfasis6">
      <calculatedColumnFormula>SUM(GUIA_NACIONAL_2022_1106112113116117118119120121122[[#This Row],[D1]:[D6]])</calculatedColumnFormula>
    </tableColumn>
  </tableColumns>
  <tableStyleInfo name="TableStyleLight1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529BC2C1-6B3D-42E4-8E4C-C2879997B9A2}" name="GUIA_NACIONAL_2022_1106112113116117118119120121122123" displayName="GUIA_NACIONAL_2022_1106112113116117118119120121122123" ref="D69:K70" totalsRowShown="0" headerRowDxfId="351">
  <autoFilter ref="D69:K70" xr:uid="{529BC2C1-6B3D-42E4-8E4C-C2879997B9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2F1D862-8E62-4DEC-9C2A-9C3D5E004BC8}" name="CIE-10" dataCellStyle="20% - Énfasis4"/>
    <tableColumn id="2" xr3:uid="{C00FC888-15B5-4A46-A55A-D79FE29A17E5}" name="D1" dataDxfId="350">
      <calculatedColumnFormula>IF($B$2="(Todas)",COUNTIF(BASE[CODCIE10],GUIA_NACIONAL_2022_1106112113116117118119120121122123[[#This Row],[CIE-10]]),COUNTIFS(BASE[Cod.Establecimiento],$B$2,BASE[CODCIE10],GUIA_NACIONAL_2022_1106112113116117118119120121122123[[#This Row],[CIE-10]]))</calculatedColumnFormula>
    </tableColumn>
    <tableColumn id="3" xr3:uid="{CED72D02-D434-4EC3-AF07-AF3F271C93F9}" name="D2" dataDxfId="349">
      <calculatedColumnFormula>IF($B$2="(Todas)",COUNTIF(BASE[CODCIE102],GUIA_NACIONAL_2022_1106112113116117118119120121122123[[#This Row],[CIE-10]]),COUNTIFS(BASE[Cod.Establecimiento],$B$2,BASE[CODCIE102],GUIA_NACIONAL_2022_1106112113116117118119120121122123[[#This Row],[CIE-10]]))</calculatedColumnFormula>
    </tableColumn>
    <tableColumn id="4" xr3:uid="{13CC3B07-D30B-41DC-89AB-4F896064E44D}" name="D3" dataDxfId="348">
      <calculatedColumnFormula>IF($B$2="(Todas)",COUNTIF(BASE[CODCIE104],GUIA_NACIONAL_2022_1106112113116117118119120121122123[[#This Row],[CIE-10]]),COUNTIFS(BASE[Cod.Establecimiento],$B$2,BASE[CODCIE104],GUIA_NACIONAL_2022_1106112113116117118119120121122123[[#This Row],[CIE-10]]))</calculatedColumnFormula>
    </tableColumn>
    <tableColumn id="5" xr3:uid="{E3723A55-0A9A-4BA6-87F6-A548B5C07DB8}" name="D4" dataDxfId="347">
      <calculatedColumnFormula>IF($B$2="(Todas)",COUNTIF(BASE[CODCIE106],GUIA_NACIONAL_2022_1106112113116117118119120121122123[[#This Row],[CIE-10]]),COUNTIFS(BASE[Cod.Establecimiento],$B$2,BASE[CODCIE106],GUIA_NACIONAL_2022_1106112113116117118119120121122123[[#This Row],[CIE-10]]))</calculatedColumnFormula>
    </tableColumn>
    <tableColumn id="6" xr3:uid="{E187AEB9-B623-4C56-A243-BD9A47DE6789}" name="D5" dataDxfId="346">
      <calculatedColumnFormula>IF($B$2="(Todas)",COUNTIF(BASE[CODCIE108],GUIA_NACIONAL_2022_1106112113116117118119120121122123[[#This Row],[CIE-10]]),COUNTIFS(BASE[Cod.Establecimiento],$B$2,BASE[CODCIE108],GUIA_NACIONAL_2022_1106112113116117118119120121122123[[#This Row],[CIE-10]]))</calculatedColumnFormula>
    </tableColumn>
    <tableColumn id="7" xr3:uid="{6D81D699-98E4-4761-B398-1C976CC2805A}" name="D6" dataDxfId="345">
      <calculatedColumnFormula>IF($B$2="(Todas)",COUNTIF(BASE[CODCIE1010],GUIA_NACIONAL_2022_1106112113116117118119120121122123[[#This Row],[CIE-10]]),COUNTIFS(BASE[Cod.Establecimiento],$B$2,BASE[CODCIE1010],GUIA_NACIONAL_2022_1106112113116117118119120121122123[[#This Row],[CIE-10]]))</calculatedColumnFormula>
    </tableColumn>
    <tableColumn id="8" xr3:uid="{4755CE8D-5E57-4E9E-83B9-FB80C3A3FC01}" name="TOT" dataDxfId="344" dataCellStyle="40% - Énfasis6">
      <calculatedColumnFormula>SUM(GUIA_NACIONAL_2022_1106112113116117118119120121122123[[#This Row],[D1]:[D6]])</calculatedColumnFormula>
    </tableColumn>
  </tableColumns>
  <tableStyleInfo name="TableStyleLight1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3F284FA1-2256-4F14-BD3C-479BC3D97DF1}" name="GUIA_NACIONAL_2022_1106112113116117118119120121122123124" displayName="GUIA_NACIONAL_2022_1106112113116117118119120121122123124" ref="D72:K73" totalsRowShown="0" headerRowDxfId="343">
  <autoFilter ref="D72:K73" xr:uid="{3F284FA1-2256-4F14-BD3C-479BC3D97D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C298275-971A-460A-8A13-0F738FFAC28A}" name="CIE-10" dataCellStyle="20% - Énfasis4"/>
    <tableColumn id="2" xr3:uid="{103BC5D0-203C-456A-A312-987851045F2E}" name="D1" dataDxfId="342">
      <calculatedColumnFormula>IF($B$2="(Todas)",COUNTIF(BASE[CODCIE10],GUIA_NACIONAL_2022_1106112113116117118119120121122123124[[#This Row],[CIE-10]]),COUNTIFS(BASE[Cod.Establecimiento],$B$2,BASE[CODCIE10],GUIA_NACIONAL_2022_1106112113116117118119120121122123124[[#This Row],[CIE-10]]))</calculatedColumnFormula>
    </tableColumn>
    <tableColumn id="3" xr3:uid="{95D2BB07-4CB8-4AD7-82F1-BC73079637E9}" name="D2" dataDxfId="341">
      <calculatedColumnFormula>IF($B$2="(Todas)",COUNTIF(BASE[CODCIE102],GUIA_NACIONAL_2022_1106112113116117118119120121122123124[[#This Row],[CIE-10]]),COUNTIFS(BASE[Cod.Establecimiento],$B$2,BASE[CODCIE102],GUIA_NACIONAL_2022_1106112113116117118119120121122123124[[#This Row],[CIE-10]]))</calculatedColumnFormula>
    </tableColumn>
    <tableColumn id="4" xr3:uid="{92733285-2B4D-40E8-9A98-CBB8249D6309}" name="D3" dataDxfId="340">
      <calculatedColumnFormula>IF($B$2="(Todas)",COUNTIF(BASE[CODCIE104],GUIA_NACIONAL_2022_1106112113116117118119120121122123124[[#This Row],[CIE-10]]),COUNTIFS(BASE[Cod.Establecimiento],$B$2,BASE[CODCIE104],GUIA_NACIONAL_2022_1106112113116117118119120121122123124[[#This Row],[CIE-10]]))</calculatedColumnFormula>
    </tableColumn>
    <tableColumn id="5" xr3:uid="{501740B8-38C9-40D8-A7C5-154E53EC7C8F}" name="D4" dataDxfId="339">
      <calculatedColumnFormula>IF($B$2="(Todas)",COUNTIF(BASE[CODCIE106],GUIA_NACIONAL_2022_1106112113116117118119120121122123124[[#This Row],[CIE-10]]),COUNTIFS(BASE[Cod.Establecimiento],$B$2,BASE[CODCIE106],GUIA_NACIONAL_2022_1106112113116117118119120121122123124[[#This Row],[CIE-10]]))</calculatedColumnFormula>
    </tableColumn>
    <tableColumn id="6" xr3:uid="{DA34B1F3-738F-41E8-A450-5C70044C41AB}" name="D5" dataDxfId="338">
      <calculatedColumnFormula>IF($B$2="(Todas)",COUNTIF(BASE[CODCIE108],GUIA_NACIONAL_2022_1106112113116117118119120121122123124[[#This Row],[CIE-10]]),COUNTIFS(BASE[Cod.Establecimiento],$B$2,BASE[CODCIE108],GUIA_NACIONAL_2022_1106112113116117118119120121122123124[[#This Row],[CIE-10]]))</calculatedColumnFormula>
    </tableColumn>
    <tableColumn id="7" xr3:uid="{90DA5F46-7E12-4733-B7EA-C4B4C1CC64AD}" name="D6" dataDxfId="337">
      <calculatedColumnFormula>IF($B$2="(Todas)",COUNTIF(BASE[CODCIE1010],GUIA_NACIONAL_2022_1106112113116117118119120121122123124[[#This Row],[CIE-10]]),COUNTIFS(BASE[Cod.Establecimiento],$B$2,BASE[CODCIE1010],GUIA_NACIONAL_2022_1106112113116117118119120121122123124[[#This Row],[CIE-10]]))</calculatedColumnFormula>
    </tableColumn>
    <tableColumn id="8" xr3:uid="{7ED0BE9E-6525-49E1-881C-CCAADC1F26B8}" name="TOT" dataDxfId="336" dataCellStyle="40% - Énfasis6">
      <calculatedColumnFormula>SUM(GUIA_NACIONAL_2022_1106112113116117118119120121122123124[[#This Row],[D1]:[D6]])</calculatedColumnFormula>
    </tableColumn>
  </tableColumns>
  <tableStyleInfo name="TableStyleLight1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478197EE-AF7B-438F-BBC5-50669223F0AD}" name="GUIA_NACIONAL_2022_1106112113116117118119120121122123124125" displayName="GUIA_NACIONAL_2022_1106112113116117118119120121122123124125" ref="D75:K76" totalsRowShown="0" headerRowDxfId="335">
  <autoFilter ref="D75:K76" xr:uid="{478197EE-AF7B-438F-BBC5-50669223F0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1772198-9119-4CA5-A68C-9F92D7CFC033}" name="CIE-10" dataCellStyle="20% - Énfasis4"/>
    <tableColumn id="2" xr3:uid="{242FEA7C-FA2B-4A0A-A2D4-2515325513C9}" name="D1" dataDxfId="334">
      <calculatedColumnFormula>IF($B$2="(Todas)",COUNTIF(BASE[CODCIE10],GUIA_NACIONAL_2022_1106112113116117118119120121122123124125[[#This Row],[CIE-10]]),COUNTIFS(BASE[Cod.Establecimiento],$B$2,BASE[CODCIE10],GUIA_NACIONAL_2022_1106112113116117118119120121122123124125[[#This Row],[CIE-10]]))</calculatedColumnFormula>
    </tableColumn>
    <tableColumn id="3" xr3:uid="{9F50AD87-5D11-4D6D-BF65-CAF5FC950EC4}" name="D2" dataDxfId="333">
      <calculatedColumnFormula>IF($B$2="(Todas)",COUNTIF(BASE[CODCIE102],GUIA_NACIONAL_2022_1106112113116117118119120121122123124125[[#This Row],[CIE-10]]),COUNTIFS(BASE[Cod.Establecimiento],$B$2,BASE[CODCIE102],GUIA_NACIONAL_2022_1106112113116117118119120121122123124125[[#This Row],[CIE-10]]))</calculatedColumnFormula>
    </tableColumn>
    <tableColumn id="4" xr3:uid="{02C2C34B-5E90-4542-9D3E-CB4FF79C88D7}" name="D3" dataDxfId="332">
      <calculatedColumnFormula>IF($B$2="(Todas)",COUNTIF(BASE[CODCIE104],GUIA_NACIONAL_2022_1106112113116117118119120121122123124125[[#This Row],[CIE-10]]),COUNTIFS(BASE[Cod.Establecimiento],$B$2,BASE[CODCIE104],GUIA_NACIONAL_2022_1106112113116117118119120121122123124125[[#This Row],[CIE-10]]))</calculatedColumnFormula>
    </tableColumn>
    <tableColumn id="5" xr3:uid="{47D8A47E-7D79-4218-B51E-EF9AD9A75F72}" name="D4" dataDxfId="331">
      <calculatedColumnFormula>IF($B$2="(Todas)",COUNTIF(BASE[CODCIE106],GUIA_NACIONAL_2022_1106112113116117118119120121122123124125[[#This Row],[CIE-10]]),COUNTIFS(BASE[Cod.Establecimiento],$B$2,BASE[CODCIE106],GUIA_NACIONAL_2022_1106112113116117118119120121122123124125[[#This Row],[CIE-10]]))</calculatedColumnFormula>
    </tableColumn>
    <tableColumn id="6" xr3:uid="{383DCF2D-6988-4322-8919-6793DE2AE682}" name="D5" dataDxfId="330">
      <calculatedColumnFormula>IF($B$2="(Todas)",COUNTIF(BASE[CODCIE108],GUIA_NACIONAL_2022_1106112113116117118119120121122123124125[[#This Row],[CIE-10]]),COUNTIFS(BASE[Cod.Establecimiento],$B$2,BASE[CODCIE108],GUIA_NACIONAL_2022_1106112113116117118119120121122123124125[[#This Row],[CIE-10]]))</calculatedColumnFormula>
    </tableColumn>
    <tableColumn id="7" xr3:uid="{9C06448F-9A32-4CF2-AD70-5B5BBB2BA697}" name="D6" dataDxfId="329">
      <calculatedColumnFormula>IF($B$2="(Todas)",COUNTIF(BASE[CODCIE1010],GUIA_NACIONAL_2022_1106112113116117118119120121122123124125[[#This Row],[CIE-10]]),COUNTIFS(BASE[Cod.Establecimiento],$B$2,BASE[CODCIE1010],GUIA_NACIONAL_2022_1106112113116117118119120121122123124125[[#This Row],[CIE-10]]))</calculatedColumnFormula>
    </tableColumn>
    <tableColumn id="8" xr3:uid="{C50E990D-4432-4015-A5B7-42E4A406E381}" name="TOT" dataDxfId="328" dataCellStyle="40% - Énfasis6">
      <calculatedColumnFormula>SUM(GUIA_NACIONAL_2022_1106112113116117118119120121122123124125[[#This Row],[D1]:[D6]])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NOS_G1_COLERA" displayName="ENOS_G1_COLERA" ref="P36:W37" totalsRowShown="0" headerRowDxfId="1191">
  <autoFilter ref="P36:W37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B00-000001000000}" name="CIE-10" dataCellStyle="20% - Énfasis4"/>
    <tableColumn id="2" xr3:uid="{00000000-0010-0000-0B00-000002000000}" name="D1" dataDxfId="1190">
      <calculatedColumnFormula>IF($O$3="(Todas)",COUNTIF(BASE[CODCIE10],ENOS_G1_COLERA[[#This Row],[CIE-10]]),COUNTIFS(BASE[Cod.Establecimiento],$O$3,BASE[CODCIE10],ENOS_G1_COLERA[[#This Row],[CIE-10]]))</calculatedColumnFormula>
    </tableColumn>
    <tableColumn id="3" xr3:uid="{00000000-0010-0000-0B00-000003000000}" name="D2" dataDxfId="1189">
      <calculatedColumnFormula>IF($O$3="(Todas)",COUNTIF(BASE[CODCIE102],ENOS_G1_COLERA[[#This Row],[CIE-10]]),COUNTIFS(BASE[Cod.Establecimiento],$O$3,BASE[CODCIE102],ENOS_G1_COLERA[[#This Row],[CIE-10]]))</calculatedColumnFormula>
    </tableColumn>
    <tableColumn id="4" xr3:uid="{00000000-0010-0000-0B00-000004000000}" name="D3" dataDxfId="1188">
      <calculatedColumnFormula>IF($O$3="(Todas)",COUNTIF(BASE[CODCIE104],ENOS_G1_COLERA[[#This Row],[CIE-10]]),COUNTIFS(BASE[Cod.Establecimiento],$O$3,BASE[CODCIE104],ENOS_G1_COLERA[[#This Row],[CIE-10]]))</calculatedColumnFormula>
    </tableColumn>
    <tableColumn id="5" xr3:uid="{00000000-0010-0000-0B00-000005000000}" name="D4" dataDxfId="1187">
      <calculatedColumnFormula>IF($O$3="(Todas)",COUNTIF(BASE[CODCIE106],ENOS_G1_COLERA[[#This Row],[CIE-10]]),COUNTIFS(BASE[Cod.Establecimiento],$O$3,BASE[CODCIE106],ENOS_G1_COLERA[[#This Row],[CIE-10]]))</calculatedColumnFormula>
    </tableColumn>
    <tableColumn id="6" xr3:uid="{00000000-0010-0000-0B00-000006000000}" name="D5" dataDxfId="1186">
      <calculatedColumnFormula>IF($O$3="(Todas)",COUNTIF(BASE[CODCIE108],ENOS_G1_COLERA[[#This Row],[CIE-10]]),COUNTIFS(BASE[Cod.Establecimiento],$O$3,BASE[CODCIE108],ENOS_G1_COLERA[[#This Row],[CIE-10]]))</calculatedColumnFormula>
    </tableColumn>
    <tableColumn id="7" xr3:uid="{00000000-0010-0000-0B00-000007000000}" name="D6" dataDxfId="1185">
      <calculatedColumnFormula>IF($O$3="(Todas)",COUNTIF(BASE[CODCIE1010],ENOS_G1_COLERA[[#This Row],[CIE-10]]),COUNTIFS(BASE[Cod.Establecimiento],$O$3,BASE[CODCIE1010],ENOS_G1_COLERA[[#This Row],[CIE-10]]))</calculatedColumnFormula>
    </tableColumn>
    <tableColumn id="8" xr3:uid="{00000000-0010-0000-0B00-000008000000}" name="TOT" dataDxfId="1184">
      <calculatedColumnFormula>SUM(ENOS_G1_COLERA[[#This Row],[D1]:[D6]])</calculatedColumnFormula>
    </tableColumn>
  </tableColumns>
  <tableStyleInfo name="TableStyleLight1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8344A223-7B03-4962-8993-7513D0241C09}" name="GUIA_NACIONAL_2022_1106112113116117118119120121122123124125126" displayName="GUIA_NACIONAL_2022_1106112113116117118119120121122123124125126" ref="D78:K79" totalsRowShown="0" headerRowDxfId="327">
  <autoFilter ref="D78:K79" xr:uid="{8344A223-7B03-4962-8993-7513D0241C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F2DB46-9DB7-495D-B051-6749482C30E5}" name="CIE-10" dataCellStyle="20% - Énfasis4"/>
    <tableColumn id="2" xr3:uid="{28ED0041-2571-4A22-8EA5-DC448CB254F1}" name="D1" dataDxfId="326">
      <calculatedColumnFormula>IF($B$2="(Todas)",COUNTIF(BASE[CODCIE10],GUIA_NACIONAL_2022_1106112113116117118119120121122123124125126[[#This Row],[CIE-10]]),COUNTIFS(BASE[Cod.Establecimiento],$B$2,BASE[CODCIE10],GUIA_NACIONAL_2022_1106112113116117118119120121122123124125126[[#This Row],[CIE-10]]))</calculatedColumnFormula>
    </tableColumn>
    <tableColumn id="3" xr3:uid="{F928A0C7-7B7E-4301-965E-E602AEC46C62}" name="D2" dataDxfId="325">
      <calculatedColumnFormula>IF($B$2="(Todas)",COUNTIF(BASE[CODCIE102],GUIA_NACIONAL_2022_1106112113116117118119120121122123124125126[[#This Row],[CIE-10]]),COUNTIFS(BASE[Cod.Establecimiento],$B$2,BASE[CODCIE102],GUIA_NACIONAL_2022_1106112113116117118119120121122123124125126[[#This Row],[CIE-10]]))</calculatedColumnFormula>
    </tableColumn>
    <tableColumn id="4" xr3:uid="{52A68832-6C57-4B13-AF8E-B2542150C1A9}" name="D3" dataDxfId="324">
      <calculatedColumnFormula>IF($B$2="(Todas)",COUNTIF(BASE[CODCIE104],GUIA_NACIONAL_2022_1106112113116117118119120121122123124125126[[#This Row],[CIE-10]]),COUNTIFS(BASE[Cod.Establecimiento],$B$2,BASE[CODCIE104],GUIA_NACIONAL_2022_1106112113116117118119120121122123124125126[[#This Row],[CIE-10]]))</calculatedColumnFormula>
    </tableColumn>
    <tableColumn id="5" xr3:uid="{FCC7291B-E741-42EE-B139-2C2C855B010A}" name="D4" dataDxfId="323">
      <calculatedColumnFormula>IF($B$2="(Todas)",COUNTIF(BASE[CODCIE106],GUIA_NACIONAL_2022_1106112113116117118119120121122123124125126[[#This Row],[CIE-10]]),COUNTIFS(BASE[Cod.Establecimiento],$B$2,BASE[CODCIE106],GUIA_NACIONAL_2022_1106112113116117118119120121122123124125126[[#This Row],[CIE-10]]))</calculatedColumnFormula>
    </tableColumn>
    <tableColumn id="6" xr3:uid="{0C5A058A-4967-4B87-9339-47103B44302F}" name="D5" dataDxfId="322">
      <calculatedColumnFormula>IF($B$2="(Todas)",COUNTIF(BASE[CODCIE108],GUIA_NACIONAL_2022_1106112113116117118119120121122123124125126[[#This Row],[CIE-10]]),COUNTIFS(BASE[Cod.Establecimiento],$B$2,BASE[CODCIE108],GUIA_NACIONAL_2022_1106112113116117118119120121122123124125126[[#This Row],[CIE-10]]))</calculatedColumnFormula>
    </tableColumn>
    <tableColumn id="7" xr3:uid="{8C454EFA-D621-4E40-8C52-BAD5165E86A2}" name="D6" dataDxfId="321">
      <calculatedColumnFormula>IF($B$2="(Todas)",COUNTIF(BASE[CODCIE1010],GUIA_NACIONAL_2022_1106112113116117118119120121122123124125126[[#This Row],[CIE-10]]),COUNTIFS(BASE[Cod.Establecimiento],$B$2,BASE[CODCIE1010],GUIA_NACIONAL_2022_1106112113116117118119120121122123124125126[[#This Row],[CIE-10]]))</calculatedColumnFormula>
    </tableColumn>
    <tableColumn id="8" xr3:uid="{FB8C0505-A3E1-4578-9D07-4D999E45B3A5}" name="TOT" dataDxfId="320" dataCellStyle="40% - Énfasis6">
      <calculatedColumnFormula>SUM(GUIA_NACIONAL_2022_1106112113116117118119120121122123124125126[[#This Row],[D1]:[D6]])</calculatedColumnFormula>
    </tableColumn>
  </tableColumns>
  <tableStyleInfo name="TableStyleLight1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A88707FD-6E4C-49D8-B801-27AD03E31F92}" name="GUIA_NACIONAL_2022_1106127" displayName="GUIA_NACIONAL_2022_1106127" ref="M8:T10" totalsRowShown="0" headerRowDxfId="319">
  <autoFilter ref="M8:T10" xr:uid="{A88707FD-6E4C-49D8-B801-27AD03E31F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60741B8-2F02-415A-97B2-93B27909C8B0}" name="CIE-10" dataCellStyle="20% - Énfasis4"/>
    <tableColumn id="2" xr3:uid="{A3DE5F73-3B57-448C-B8C3-C5FC4B9CBDB3}" name="D1" dataDxfId="318">
      <calculatedColumnFormula>IF($B$2="(Todas)",COUNTIF(BASE[CODCIE10],GUIA_NACIONAL_2022_1106127[[#This Row],[CIE-10]]),COUNTIFS(BASE[Cod.Establecimiento],$B$2,BASE[CODCIE10],GUIA_NACIONAL_2022_1106127[[#This Row],[CIE-10]]))</calculatedColumnFormula>
    </tableColumn>
    <tableColumn id="3" xr3:uid="{DA4A1784-D5DE-4943-A829-2DA5504A9B51}" name="D2" dataDxfId="317">
      <calculatedColumnFormula>IF($B$2="(Todas)",COUNTIF(BASE[CODCIE102],GUIA_NACIONAL_2022_1106127[[#This Row],[CIE-10]]),COUNTIFS(BASE[Cod.Establecimiento],$B$2,BASE[CODCIE102],GUIA_NACIONAL_2022_1106127[[#This Row],[CIE-10]]))</calculatedColumnFormula>
    </tableColumn>
    <tableColumn id="4" xr3:uid="{F2BCE698-E660-4937-8783-908BC801A925}" name="D3" dataDxfId="316">
      <calculatedColumnFormula>IF($B$2="(Todas)",COUNTIF(BASE[CODCIE104],GUIA_NACIONAL_2022_1106127[[#This Row],[CIE-10]]),COUNTIFS(BASE[Cod.Establecimiento],$B$2,BASE[CODCIE104],GUIA_NACIONAL_2022_1106127[[#This Row],[CIE-10]]))</calculatedColumnFormula>
    </tableColumn>
    <tableColumn id="5" xr3:uid="{6AF21485-487E-4642-9F04-0E786010E108}" name="D4" dataDxfId="315">
      <calculatedColumnFormula>IF($B$2="(Todas)",COUNTIF(BASE[CODCIE106],GUIA_NACIONAL_2022_1106127[[#This Row],[CIE-10]]),COUNTIFS(BASE[Cod.Establecimiento],$B$2,BASE[CODCIE106],GUIA_NACIONAL_2022_1106127[[#This Row],[CIE-10]]))</calculatedColumnFormula>
    </tableColumn>
    <tableColumn id="6" xr3:uid="{19A18CB8-21AC-43DF-BA78-1DE4D1F30735}" name="D5" dataDxfId="314">
      <calculatedColumnFormula>IF($B$2="(Todas)",COUNTIF(BASE[CODCIE108],GUIA_NACIONAL_2022_1106127[[#This Row],[CIE-10]]),COUNTIFS(BASE[Cod.Establecimiento],$B$2,BASE[CODCIE108],GUIA_NACIONAL_2022_1106127[[#This Row],[CIE-10]]))</calculatedColumnFormula>
    </tableColumn>
    <tableColumn id="7" xr3:uid="{D5338236-97FC-408D-ACB2-B58EFED02CDA}" name="D6" dataDxfId="313">
      <calculatedColumnFormula>IF($B$2="(Todas)",COUNTIF(BASE[CODCIE1010],GUIA_NACIONAL_2022_1106127[[#This Row],[CIE-10]]),COUNTIFS(BASE[Cod.Establecimiento],$B$2,BASE[CODCIE1010],GUIA_NACIONAL_2022_1106127[[#This Row],[CIE-10]]))</calculatedColumnFormula>
    </tableColumn>
    <tableColumn id="8" xr3:uid="{F2BD8CF5-E29C-4759-BD82-1145CDB945DF}" name="TOT" dataDxfId="312" dataCellStyle="40% - Énfasis6">
      <calculatedColumnFormula>SUM(GUIA_NACIONAL_2022_1106127[[#This Row],[D1]:[D6]])</calculatedColumnFormula>
    </tableColumn>
  </tableColumns>
  <tableStyleInfo name="TableStyleLight1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32532C6A-1E20-4931-8921-56B2726AB351}" name="GUIA_NACIONAL_2022_1106128" displayName="GUIA_NACIONAL_2022_1106128" ref="V4:AC5" totalsRowShown="0" headerRowDxfId="311">
  <autoFilter ref="V4:AC5" xr:uid="{32532C6A-1E20-4931-8921-56B2726AB3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ECE2364-599F-4C38-805C-6D531CF4D2D7}" name="CIE-10" dataCellStyle="20% - Énfasis4"/>
    <tableColumn id="2" xr3:uid="{14AD9032-EC33-47DB-9256-85857E6AA48A}" name="D1" dataDxfId="310">
      <calculatedColumnFormula>IF($B$2="(Todas)",COUNTIF(BASE[CODCIE10],GUIA_NACIONAL_2022_1106128[[#This Row],[CIE-10]]),COUNTIFS(BASE[Cod.Establecimiento],$B$2,BASE[CODCIE10],GUIA_NACIONAL_2022_1106128[[#This Row],[CIE-10]]))</calculatedColumnFormula>
    </tableColumn>
    <tableColumn id="3" xr3:uid="{E4A346D6-A319-4B46-9B13-BC363022B1EF}" name="D2" dataDxfId="309">
      <calculatedColumnFormula>IF($B$2="(Todas)",COUNTIF(BASE[CODCIE102],GUIA_NACIONAL_2022_1106128[[#This Row],[CIE-10]]),COUNTIFS(BASE[Cod.Establecimiento],$B$2,BASE[CODCIE102],GUIA_NACIONAL_2022_1106128[[#This Row],[CIE-10]]))</calculatedColumnFormula>
    </tableColumn>
    <tableColumn id="4" xr3:uid="{CD353A31-1348-4CA3-B1F5-610DEFF393E0}" name="D3" dataDxfId="308">
      <calculatedColumnFormula>IF($B$2="(Todas)",COUNTIF(BASE[CODCIE104],GUIA_NACIONAL_2022_1106128[[#This Row],[CIE-10]]),COUNTIFS(BASE[Cod.Establecimiento],$B$2,BASE[CODCIE104],GUIA_NACIONAL_2022_1106128[[#This Row],[CIE-10]]))</calculatedColumnFormula>
    </tableColumn>
    <tableColumn id="5" xr3:uid="{687E47E6-0F58-4705-9141-1F96F4FCBDB3}" name="D4" dataDxfId="307">
      <calculatedColumnFormula>IF($B$2="(Todas)",COUNTIF(BASE[CODCIE106],GUIA_NACIONAL_2022_1106128[[#This Row],[CIE-10]]),COUNTIFS(BASE[Cod.Establecimiento],$B$2,BASE[CODCIE106],GUIA_NACIONAL_2022_1106128[[#This Row],[CIE-10]]))</calculatedColumnFormula>
    </tableColumn>
    <tableColumn id="6" xr3:uid="{191FB1F0-EC6F-454A-8315-A30924DD6C31}" name="D5" dataDxfId="306">
      <calculatedColumnFormula>IF($B$2="(Todas)",COUNTIF(BASE[CODCIE108],GUIA_NACIONAL_2022_1106128[[#This Row],[CIE-10]]),COUNTIFS(BASE[Cod.Establecimiento],$B$2,BASE[CODCIE108],GUIA_NACIONAL_2022_1106128[[#This Row],[CIE-10]]))</calculatedColumnFormula>
    </tableColumn>
    <tableColumn id="7" xr3:uid="{E9FF408B-BA2B-459A-8EBA-2201844F7ED5}" name="D6" dataDxfId="305">
      <calculatedColumnFormula>IF($B$2="(Todas)",COUNTIF(BASE[CODCIE1010],GUIA_NACIONAL_2022_1106128[[#This Row],[CIE-10]]),COUNTIFS(BASE[Cod.Establecimiento],$B$2,BASE[CODCIE1010],GUIA_NACIONAL_2022_1106128[[#This Row],[CIE-10]]))</calculatedColumnFormula>
    </tableColumn>
    <tableColumn id="8" xr3:uid="{9AC44597-34A1-4B1D-B0A1-61766E888ACB}" name="TOT" dataDxfId="304" dataCellStyle="40% - Énfasis6">
      <calculatedColumnFormula>SUM(GUIA_NACIONAL_2022_1106128[[#This Row],[D1]:[D6]])</calculatedColumnFormula>
    </tableColumn>
  </tableColumns>
  <tableStyleInfo name="TableStyleLight1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191793C2-73D4-4E6D-8FDF-27212AA807C6}" name="GUIA_NACIONAL_2022_1106128105" displayName="GUIA_NACIONAL_2022_1106128105" ref="AE4:AL5" totalsRowShown="0" headerRowDxfId="303">
  <autoFilter ref="AE4:AL5" xr:uid="{191793C2-73D4-4E6D-8FDF-27212AA807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B77DC2E-7C47-4697-A961-4AE6B8FD48FF}" name="CIE-10" dataCellStyle="20% - Énfasis4"/>
    <tableColumn id="2" xr3:uid="{E4ABC639-217D-44CF-97ED-DBE36FC8A71B}" name="D1" dataDxfId="302">
      <calculatedColumnFormula>IF($B$2="(Todas)",COUNTIF(BASE[CODCIE10],GUIA_NACIONAL_2022_1106128105[[#This Row],[CIE-10]]),COUNTIFS(BASE[Cod.Establecimiento],$B$2,BASE[CODCIE10],GUIA_NACIONAL_2022_1106128105[[#This Row],[CIE-10]]))</calculatedColumnFormula>
    </tableColumn>
    <tableColumn id="3" xr3:uid="{8FF1F526-229E-4371-855A-28FF1F81C7B4}" name="D2" dataDxfId="301">
      <calculatedColumnFormula>IF($B$2="(Todas)",COUNTIF(BASE[CODCIE102],GUIA_NACIONAL_2022_1106128105[[#This Row],[CIE-10]]),COUNTIFS(BASE[Cod.Establecimiento],$B$2,BASE[CODCIE102],GUIA_NACIONAL_2022_1106128105[[#This Row],[CIE-10]]))</calculatedColumnFormula>
    </tableColumn>
    <tableColumn id="4" xr3:uid="{C9FCCE67-A339-402C-AAF0-DDF5816C77AE}" name="D3" dataDxfId="300">
      <calculatedColumnFormula>IF($B$2="(Todas)",COUNTIF(BASE[CODCIE104],GUIA_NACIONAL_2022_1106128105[[#This Row],[CIE-10]]),COUNTIFS(BASE[Cod.Establecimiento],$B$2,BASE[CODCIE104],GUIA_NACIONAL_2022_1106128105[[#This Row],[CIE-10]]))</calculatedColumnFormula>
    </tableColumn>
    <tableColumn id="5" xr3:uid="{C2BC5A46-D5AF-4951-8210-3C5B4EF3368A}" name="D4" dataDxfId="299">
      <calculatedColumnFormula>IF($B$2="(Todas)",COUNTIF(BASE[CODCIE106],GUIA_NACIONAL_2022_1106128105[[#This Row],[CIE-10]]),COUNTIFS(BASE[Cod.Establecimiento],$B$2,BASE[CODCIE106],GUIA_NACIONAL_2022_1106128105[[#This Row],[CIE-10]]))</calculatedColumnFormula>
    </tableColumn>
    <tableColumn id="6" xr3:uid="{C5567C1D-85C1-423A-AAEF-97836A1367E9}" name="D5" dataDxfId="298">
      <calculatedColumnFormula>IF($B$2="(Todas)",COUNTIF(BASE[CODCIE108],GUIA_NACIONAL_2022_1106128105[[#This Row],[CIE-10]]),COUNTIFS(BASE[Cod.Establecimiento],$B$2,BASE[CODCIE108],GUIA_NACIONAL_2022_1106128105[[#This Row],[CIE-10]]))</calculatedColumnFormula>
    </tableColumn>
    <tableColumn id="7" xr3:uid="{6CA9E4F6-BE25-4BFE-9C82-C2D70EE8A35E}" name="D6" dataDxfId="297">
      <calculatedColumnFormula>IF($B$2="(Todas)",COUNTIF(BASE[CODCIE1010],GUIA_NACIONAL_2022_1106128105[[#This Row],[CIE-10]]),COUNTIFS(BASE[Cod.Establecimiento],$B$2,BASE[CODCIE1010],GUIA_NACIONAL_2022_1106128105[[#This Row],[CIE-10]]))</calculatedColumnFormula>
    </tableColumn>
    <tableColumn id="8" xr3:uid="{43276A52-1A96-471C-BB44-53322416E5E3}" name="TOT" dataDxfId="296" dataCellStyle="40% - Énfasis6">
      <calculatedColumnFormula>SUM(GUIA_NACIONAL_2022_1106128105[[#This Row],[D1]:[D6]])</calculatedColumnFormula>
    </tableColumn>
  </tableColumns>
  <tableStyleInfo name="TableStyleLight1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F8CD1D07-4394-4FED-9656-76C6B3C4B1D1}" name="GUIA_NACIONAL_2022_1106128105107" displayName="GUIA_NACIONAL_2022_1106128105107" ref="AN4:AU5" totalsRowShown="0" headerRowDxfId="295">
  <tableColumns count="8">
    <tableColumn id="1" xr3:uid="{6C000DDB-1222-4878-9DEC-AFE57A380D8F}" name="CIE-10" dataCellStyle="20% - Énfasis4"/>
    <tableColumn id="2" xr3:uid="{11BFF063-84CD-4C06-B884-CF42FBC10B3E}" name="D1" dataDxfId="294">
      <calculatedColumnFormula>IF($B$2="(Todas)",COUNTIF(BASE[CODCIE10],GUIA_NACIONAL_2022_1106128105107[[#This Row],[CIE-10]]),COUNTIFS(BASE[Cod.Establecimiento],$B$2,BASE[CODCIE10],GUIA_NACIONAL_2022_1106128105107[[#This Row],[CIE-10]]))</calculatedColumnFormula>
    </tableColumn>
    <tableColumn id="3" xr3:uid="{14B4940B-FBF4-42B7-8F46-C2D322B1F652}" name="D2" dataDxfId="293">
      <calculatedColumnFormula>IF($B$2="(Todas)",COUNTIF(BASE[CODCIE102],GUIA_NACIONAL_2022_1106128105107[[#This Row],[CIE-10]]),COUNTIFS(BASE[Cod.Establecimiento],$B$2,BASE[CODCIE102],GUIA_NACIONAL_2022_1106128105107[[#This Row],[CIE-10]]))</calculatedColumnFormula>
    </tableColumn>
    <tableColumn id="4" xr3:uid="{8833179F-2F50-494C-9AEE-32D0377AC7A6}" name="D3" dataDxfId="292">
      <calculatedColumnFormula>IF($B$2="(Todas)",COUNTIF(BASE[CODCIE104],GUIA_NACIONAL_2022_1106128105107[[#This Row],[CIE-10]]),COUNTIFS(BASE[Cod.Establecimiento],$B$2,BASE[CODCIE104],GUIA_NACIONAL_2022_1106128105107[[#This Row],[CIE-10]]))</calculatedColumnFormula>
    </tableColumn>
    <tableColumn id="5" xr3:uid="{9CCD68A6-13B0-4AAC-883A-5F134D32D80C}" name="D4" dataDxfId="291">
      <calculatedColumnFormula>IF($B$2="(Todas)",COUNTIF(BASE[CODCIE106],GUIA_NACIONAL_2022_1106128105107[[#This Row],[CIE-10]]),COUNTIFS(BASE[Cod.Establecimiento],$B$2,BASE[CODCIE106],GUIA_NACIONAL_2022_1106128105107[[#This Row],[CIE-10]]))</calculatedColumnFormula>
    </tableColumn>
    <tableColumn id="6" xr3:uid="{CA2D859E-804A-4E66-8B74-3207F875229C}" name="D5" dataDxfId="290">
      <calculatedColumnFormula>IF($B$2="(Todas)",COUNTIF(BASE[CODCIE108],GUIA_NACIONAL_2022_1106128105107[[#This Row],[CIE-10]]),COUNTIFS(BASE[Cod.Establecimiento],$B$2,BASE[CODCIE108],GUIA_NACIONAL_2022_1106128105107[[#This Row],[CIE-10]]))</calculatedColumnFormula>
    </tableColumn>
    <tableColumn id="7" xr3:uid="{D3763ABE-CBFD-4DC3-8AB2-E3FC7432E7B8}" name="D6" dataDxfId="289">
      <calculatedColumnFormula>IF($B$2="(Todas)",COUNTIF(BASE[CODCIE1010],GUIA_NACIONAL_2022_1106128105107[[#This Row],[CIE-10]]),COUNTIFS(BASE[Cod.Establecimiento],$B$2,BASE[CODCIE1010],GUIA_NACIONAL_2022_1106128105107[[#This Row],[CIE-10]]))</calculatedColumnFormula>
    </tableColumn>
    <tableColumn id="8" xr3:uid="{9E30B6BB-B900-473F-A877-07289772DF9E}" name="TOT" dataDxfId="288" dataCellStyle="40% - Énfasis6">
      <calculatedColumnFormula>SUM(GUIA_NACIONAL_2022_1106128105107[[#This Row],[D1]:[D6]])</calculatedColumnFormula>
    </tableColumn>
  </tableColumns>
  <tableStyleInfo name="TableStyleLight1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A431FC17-BC2D-440C-86F0-8D7EF9E810E7}" name="GUIA_NACIONAL_2022_1106128105107110" displayName="GUIA_NACIONAL_2022_1106128105107110" ref="AW4:BD7" totalsRowShown="0" headerRowDxfId="287">
  <tableColumns count="8">
    <tableColumn id="1" xr3:uid="{6EA4F35A-E808-408B-859E-1FDCFB690D57}" name="CIE-10" dataCellStyle="20% - Énfasis4"/>
    <tableColumn id="2" xr3:uid="{77EC5C26-0D73-46F5-BDA1-822594DFFADB}" name="D1" dataDxfId="286">
      <calculatedColumnFormula>IF($B$2="(Todas)",COUNTIF(BASE[CODCIE10],GUIA_NACIONAL_2022_1106128105107110[[#This Row],[CIE-10]]),COUNTIFS(BASE[Cod.Establecimiento],$B$2,BASE[CODCIE10],GUIA_NACIONAL_2022_1106128105107110[[#This Row],[CIE-10]]))</calculatedColumnFormula>
    </tableColumn>
    <tableColumn id="3" xr3:uid="{D193E83D-9B4B-48F3-A47C-09450370CBFC}" name="D2" dataDxfId="285">
      <calculatedColumnFormula>IF($B$2="(Todas)",COUNTIF(BASE[CODCIE102],GUIA_NACIONAL_2022_1106128105107110[[#This Row],[CIE-10]]),COUNTIFS(BASE[Cod.Establecimiento],$B$2,BASE[CODCIE102],GUIA_NACIONAL_2022_1106128105107110[[#This Row],[CIE-10]]))</calculatedColumnFormula>
    </tableColumn>
    <tableColumn id="4" xr3:uid="{BADD8202-213E-4C3D-BEE7-ED39BD2812FF}" name="D3" dataDxfId="284">
      <calculatedColumnFormula>IF($B$2="(Todas)",COUNTIF(BASE[CODCIE104],GUIA_NACIONAL_2022_1106128105107110[[#This Row],[CIE-10]]),COUNTIFS(BASE[Cod.Establecimiento],$B$2,BASE[CODCIE104],GUIA_NACIONAL_2022_1106128105107110[[#This Row],[CIE-10]]))</calculatedColumnFormula>
    </tableColumn>
    <tableColumn id="5" xr3:uid="{7D88083F-72A8-4D61-AD68-432D4F6826EC}" name="D4" dataDxfId="283">
      <calculatedColumnFormula>IF($B$2="(Todas)",COUNTIF(BASE[CODCIE106],GUIA_NACIONAL_2022_1106128105107110[[#This Row],[CIE-10]]),COUNTIFS(BASE[Cod.Establecimiento],$B$2,BASE[CODCIE106],GUIA_NACIONAL_2022_1106128105107110[[#This Row],[CIE-10]]))</calculatedColumnFormula>
    </tableColumn>
    <tableColumn id="6" xr3:uid="{DD1DE268-CA06-429F-BCB2-025F24AEE55E}" name="D5" dataDxfId="282">
      <calculatedColumnFormula>IF($B$2="(Todas)",COUNTIF(BASE[CODCIE108],GUIA_NACIONAL_2022_1106128105107110[[#This Row],[CIE-10]]),COUNTIFS(BASE[Cod.Establecimiento],$B$2,BASE[CODCIE108],GUIA_NACIONAL_2022_1106128105107110[[#This Row],[CIE-10]]))</calculatedColumnFormula>
    </tableColumn>
    <tableColumn id="7" xr3:uid="{694C3C62-CD7A-4005-A637-8383A7D36186}" name="D6" dataDxfId="281">
      <calculatedColumnFormula>IF($B$2="(Todas)",COUNTIF(BASE[CODCIE1010],GUIA_NACIONAL_2022_1106128105107110[[#This Row],[CIE-10]]),COUNTIFS(BASE[Cod.Establecimiento],$B$2,BASE[CODCIE1010],GUIA_NACIONAL_2022_1106128105107110[[#This Row],[CIE-10]]))</calculatedColumnFormula>
    </tableColumn>
    <tableColumn id="8" xr3:uid="{F6745467-F527-4682-B6B4-D2C650745B6A}" name="TOT" dataDxfId="280" dataCellStyle="40% - Énfasis6">
      <calculatedColumnFormula>SUM(GUIA_NACIONAL_2022_1106128105107110[[#This Row],[D1]:[D6]])</calculatedColumnFormula>
    </tableColumn>
  </tableColumns>
  <tableStyleInfo name="TableStyleLight1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BC6D24D9-8B78-46D3-AE01-4170DD5BAE16}" name="GUIA_NACIONAL_2022_1106128105107111" displayName="GUIA_NACIONAL_2022_1106128105107111" ref="BF4:BM5" totalsRowShown="0" headerRowDxfId="279">
  <tableColumns count="8">
    <tableColumn id="1" xr3:uid="{2809381C-CFE0-4FA3-9100-0AA10CEEB457}" name="CIE-10" dataCellStyle="20% - Énfasis4"/>
    <tableColumn id="2" xr3:uid="{284C0F9B-B43D-452F-813C-2FE19A8E16BF}" name="D1" dataDxfId="278">
      <calculatedColumnFormula>IF($B$2="(Todas)",COUNTIF(BASE[CODCIE10],GUIA_NACIONAL_2022_1106128105107111[[#This Row],[CIE-10]]),COUNTIFS(BASE[Cod.Establecimiento],$B$2,BASE[CODCIE10],GUIA_NACIONAL_2022_1106128105107111[[#This Row],[CIE-10]]))</calculatedColumnFormula>
    </tableColumn>
    <tableColumn id="3" xr3:uid="{052F292D-3682-468D-96B5-DABCACE50868}" name="D2" dataDxfId="277">
      <calculatedColumnFormula>IF($B$2="(Todas)",COUNTIF(BASE[CODCIE102],GUIA_NACIONAL_2022_1106128105107111[[#This Row],[CIE-10]]),COUNTIFS(BASE[Cod.Establecimiento],$B$2,BASE[CODCIE102],GUIA_NACIONAL_2022_1106128105107111[[#This Row],[CIE-10]]))</calculatedColumnFormula>
    </tableColumn>
    <tableColumn id="4" xr3:uid="{FAA392EC-FDD1-4536-80E0-19515DA90F4A}" name="D3" dataDxfId="276">
      <calculatedColumnFormula>IF($B$2="(Todas)",COUNTIF(BASE[CODCIE104],GUIA_NACIONAL_2022_1106128105107111[[#This Row],[CIE-10]]),COUNTIFS(BASE[Cod.Establecimiento],$B$2,BASE[CODCIE104],GUIA_NACIONAL_2022_1106128105107111[[#This Row],[CIE-10]]))</calculatedColumnFormula>
    </tableColumn>
    <tableColumn id="5" xr3:uid="{5C2253D3-F920-4002-BE32-25F7A08D97D2}" name="D4" dataDxfId="275">
      <calculatedColumnFormula>IF($B$2="(Todas)",COUNTIF(BASE[CODCIE106],GUIA_NACIONAL_2022_1106128105107111[[#This Row],[CIE-10]]),COUNTIFS(BASE[Cod.Establecimiento],$B$2,BASE[CODCIE106],GUIA_NACIONAL_2022_1106128105107111[[#This Row],[CIE-10]]))</calculatedColumnFormula>
    </tableColumn>
    <tableColumn id="6" xr3:uid="{55AF480A-9DD4-4431-97D8-DA4E37213ED3}" name="D5" dataDxfId="274">
      <calculatedColumnFormula>IF($B$2="(Todas)",COUNTIF(BASE[CODCIE108],GUIA_NACIONAL_2022_1106128105107111[[#This Row],[CIE-10]]),COUNTIFS(BASE[Cod.Establecimiento],$B$2,BASE[CODCIE108],GUIA_NACIONAL_2022_1106128105107111[[#This Row],[CIE-10]]))</calculatedColumnFormula>
    </tableColumn>
    <tableColumn id="7" xr3:uid="{F741CFE2-0011-47F8-9821-6D42A62CD831}" name="D6" dataDxfId="273">
      <calculatedColumnFormula>IF($B$2="(Todas)",COUNTIF(BASE[CODCIE1010],GUIA_NACIONAL_2022_1106128105107111[[#This Row],[CIE-10]]),COUNTIFS(BASE[Cod.Establecimiento],$B$2,BASE[CODCIE1010],GUIA_NACIONAL_2022_1106128105107111[[#This Row],[CIE-10]]))</calculatedColumnFormula>
    </tableColumn>
    <tableColumn id="8" xr3:uid="{5B1EC419-2109-4DA0-8156-0B6E41589583}" name="TOT" dataDxfId="272" dataCellStyle="40% - Énfasis6">
      <calculatedColumnFormula>SUM(GUIA_NACIONAL_2022_1106128105107111[[#This Row],[D1]:[D6]])</calculatedColumnFormula>
    </tableColumn>
  </tableColumns>
  <tableStyleInfo name="TableStyleLight1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AA1FC2EE-23E7-4FA2-80DB-134284C2F653}" name="GUIA_NACIONAL_2022_1106128105107111115" displayName="GUIA_NACIONAL_2022_1106128105107111115" ref="BO4:BV5" totalsRowShown="0" headerRowDxfId="271">
  <tableColumns count="8">
    <tableColumn id="1" xr3:uid="{6743B90F-E67E-4EDD-861F-DBE7821435FF}" name="CIE-10" dataCellStyle="20% - Énfasis4"/>
    <tableColumn id="2" xr3:uid="{7A1FD372-E9B2-44EB-8C0D-8B6ACE7D772E}" name="D1" dataDxfId="270">
      <calculatedColumnFormula>IF($B$2="(Todas)",COUNTIF(BASE[CODCIE10],GUIA_NACIONAL_2022_1106128105107111115[[#This Row],[CIE-10]]),COUNTIFS(BASE[Cod.Establecimiento],$B$2,BASE[CODCIE10],GUIA_NACIONAL_2022_1106128105107111115[[#This Row],[CIE-10]]))</calculatedColumnFormula>
    </tableColumn>
    <tableColumn id="3" xr3:uid="{1F09AFE7-63A1-4F1D-A761-7BA024FBAE94}" name="D2" dataDxfId="269">
      <calculatedColumnFormula>IF($B$2="(Todas)",COUNTIF(BASE[CODCIE102],GUIA_NACIONAL_2022_1106128105107111115[[#This Row],[CIE-10]]),COUNTIFS(BASE[Cod.Establecimiento],$B$2,BASE[CODCIE102],GUIA_NACIONAL_2022_1106128105107111115[[#This Row],[CIE-10]]))</calculatedColumnFormula>
    </tableColumn>
    <tableColumn id="4" xr3:uid="{7AC67EA5-1450-4CF6-A19F-98403FEBB9BC}" name="D3" dataDxfId="268">
      <calculatedColumnFormula>IF($B$2="(Todas)",COUNTIF(BASE[CODCIE104],GUIA_NACIONAL_2022_1106128105107111115[[#This Row],[CIE-10]]),COUNTIFS(BASE[Cod.Establecimiento],$B$2,BASE[CODCIE104],GUIA_NACIONAL_2022_1106128105107111115[[#This Row],[CIE-10]]))</calculatedColumnFormula>
    </tableColumn>
    <tableColumn id="5" xr3:uid="{D58D0CE1-6B09-44FA-BFD9-6D2611A074A4}" name="D4" dataDxfId="267">
      <calculatedColumnFormula>IF($B$2="(Todas)",COUNTIF(BASE[CODCIE106],GUIA_NACIONAL_2022_1106128105107111115[[#This Row],[CIE-10]]),COUNTIFS(BASE[Cod.Establecimiento],$B$2,BASE[CODCIE106],GUIA_NACIONAL_2022_1106128105107111115[[#This Row],[CIE-10]]))</calculatedColumnFormula>
    </tableColumn>
    <tableColumn id="6" xr3:uid="{DBDACCCA-9FA1-4E9B-8FE6-46150A39919A}" name="D5" dataDxfId="266">
      <calculatedColumnFormula>IF($B$2="(Todas)",COUNTIF(BASE[CODCIE108],GUIA_NACIONAL_2022_1106128105107111115[[#This Row],[CIE-10]]),COUNTIFS(BASE[Cod.Establecimiento],$B$2,BASE[CODCIE108],GUIA_NACIONAL_2022_1106128105107111115[[#This Row],[CIE-10]]))</calculatedColumnFormula>
    </tableColumn>
    <tableColumn id="7" xr3:uid="{BF7E4CA8-21A4-4B37-8743-01202934A113}" name="D6" dataDxfId="265">
      <calculatedColumnFormula>IF($B$2="(Todas)",COUNTIF(BASE[CODCIE1010],GUIA_NACIONAL_2022_1106128105107111115[[#This Row],[CIE-10]]),COUNTIFS(BASE[Cod.Establecimiento],$B$2,BASE[CODCIE1010],GUIA_NACIONAL_2022_1106128105107111115[[#This Row],[CIE-10]]))</calculatedColumnFormula>
    </tableColumn>
    <tableColumn id="8" xr3:uid="{200515E8-1F0E-433B-82A7-20BCB27C6743}" name="TOT" dataDxfId="264" dataCellStyle="40% - Énfasis6">
      <calculatedColumnFormula>SUM(GUIA_NACIONAL_2022_1106128105107111115[[#This Row],[D1]:[D6]])</calculatedColumnFormula>
    </tableColumn>
  </tableColumns>
  <tableStyleInfo name="TableStyleLight1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CAC63EE-C42C-42F2-BE4A-EE9DAE57E5DF}" name="GUIA_NACIONAL_2022_1106128105107111115129" displayName="GUIA_NACIONAL_2022_1106128105107111115129" ref="BX4:CE5" totalsRowShown="0" headerRowDxfId="263">
  <tableColumns count="8">
    <tableColumn id="1" xr3:uid="{3B90A657-A3FD-4334-A8BD-67CFBADE17CF}" name="CIE-10" dataCellStyle="20% - Énfasis4"/>
    <tableColumn id="2" xr3:uid="{49C6E7F2-A2EB-48DA-BB48-34D39EF589A7}" name="D1" dataDxfId="262">
      <calculatedColumnFormula>IF($B$2="(Todas)",COUNTIF(BASE[CODCIE10],GUIA_NACIONAL_2022_1106128105107111115129[[#This Row],[CIE-10]]),COUNTIFS(BASE[Cod.Establecimiento],$B$2,BASE[CODCIE10],GUIA_NACIONAL_2022_1106128105107111115129[[#This Row],[CIE-10]]))</calculatedColumnFormula>
    </tableColumn>
    <tableColumn id="3" xr3:uid="{45C27236-2689-477A-92B6-38A6D304DC6C}" name="D2" dataDxfId="261">
      <calculatedColumnFormula>IF($B$2="(Todas)",COUNTIF(BASE[CODCIE102],GUIA_NACIONAL_2022_1106128105107111115129[[#This Row],[CIE-10]]),COUNTIFS(BASE[Cod.Establecimiento],$B$2,BASE[CODCIE102],GUIA_NACIONAL_2022_1106128105107111115129[[#This Row],[CIE-10]]))</calculatedColumnFormula>
    </tableColumn>
    <tableColumn id="4" xr3:uid="{6A2D419F-27CD-4D09-A308-F44D6F53FCBE}" name="D3" dataDxfId="260">
      <calculatedColumnFormula>IF($B$2="(Todas)",COUNTIF(BASE[CODCIE104],GUIA_NACIONAL_2022_1106128105107111115129[[#This Row],[CIE-10]]),COUNTIFS(BASE[Cod.Establecimiento],$B$2,BASE[CODCIE104],GUIA_NACIONAL_2022_1106128105107111115129[[#This Row],[CIE-10]]))</calculatedColumnFormula>
    </tableColumn>
    <tableColumn id="5" xr3:uid="{25582167-FDF9-45B1-87A8-B8ADEDDA2368}" name="D4" dataDxfId="259">
      <calculatedColumnFormula>IF($B$2="(Todas)",COUNTIF(BASE[CODCIE106],GUIA_NACIONAL_2022_1106128105107111115129[[#This Row],[CIE-10]]),COUNTIFS(BASE[Cod.Establecimiento],$B$2,BASE[CODCIE106],GUIA_NACIONAL_2022_1106128105107111115129[[#This Row],[CIE-10]]))</calculatedColumnFormula>
    </tableColumn>
    <tableColumn id="6" xr3:uid="{C737FBCC-5322-46AD-973B-1FBCFF61CAC2}" name="D5" dataDxfId="258">
      <calculatedColumnFormula>IF($B$2="(Todas)",COUNTIF(BASE[CODCIE108],GUIA_NACIONAL_2022_1106128105107111115129[[#This Row],[CIE-10]]),COUNTIFS(BASE[Cod.Establecimiento],$B$2,BASE[CODCIE108],GUIA_NACIONAL_2022_1106128105107111115129[[#This Row],[CIE-10]]))</calculatedColumnFormula>
    </tableColumn>
    <tableColumn id="7" xr3:uid="{DACCBA26-CDFF-46D8-9843-14480DF277AF}" name="D6" dataDxfId="257">
      <calculatedColumnFormula>IF($B$2="(Todas)",COUNTIF(BASE[CODCIE1010],GUIA_NACIONAL_2022_1106128105107111115129[[#This Row],[CIE-10]]),COUNTIFS(BASE[Cod.Establecimiento],$B$2,BASE[CODCIE1010],GUIA_NACIONAL_2022_1106128105107111115129[[#This Row],[CIE-10]]))</calculatedColumnFormula>
    </tableColumn>
    <tableColumn id="8" xr3:uid="{123C6FC5-FAE0-4DCC-9A4E-40ABB6B49F34}" name="TOT" dataDxfId="256" dataCellStyle="40% - Énfasis6">
      <calculatedColumnFormula>SUM(GUIA_NACIONAL_2022_1106128105107111115129[[#This Row],[D1]:[D6]])</calculatedColumnFormula>
    </tableColumn>
  </tableColumns>
  <tableStyleInfo name="TableStyleLight1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1F65CCDB-F005-4598-A351-2452C13D2A20}" name="GUIA_NACIONAL_2022_1106128105107111115129130" displayName="GUIA_NACIONAL_2022_1106128105107111115129130" ref="CG4:CN5" totalsRowShown="0" headerRowDxfId="255">
  <tableColumns count="8">
    <tableColumn id="1" xr3:uid="{F5F29B47-2361-4C95-8215-40408148D3AC}" name="CIE-10" dataCellStyle="20% - Énfasis4"/>
    <tableColumn id="2" xr3:uid="{D64F5C68-7319-40F7-9267-AE4FAB43A1B3}" name="D1" dataDxfId="254">
      <calculatedColumnFormula>IF($B$2="(Todas)",COUNTIF(BASE[CODCIE10],GUIA_NACIONAL_2022_1106128105107111115129130[[#This Row],[CIE-10]]),COUNTIFS(BASE[Cod.Establecimiento],$B$2,BASE[CODCIE10],GUIA_NACIONAL_2022_1106128105107111115129130[[#This Row],[CIE-10]]))</calculatedColumnFormula>
    </tableColumn>
    <tableColumn id="3" xr3:uid="{0EC8BFED-6161-412A-86D7-AC44AB34B1A7}" name="D2" dataDxfId="253">
      <calculatedColumnFormula>IF($B$2="(Todas)",COUNTIF(BASE[CODCIE102],GUIA_NACIONAL_2022_1106128105107111115129130[[#This Row],[CIE-10]]),COUNTIFS(BASE[Cod.Establecimiento],$B$2,BASE[CODCIE102],GUIA_NACIONAL_2022_1106128105107111115129130[[#This Row],[CIE-10]]))</calculatedColumnFormula>
    </tableColumn>
    <tableColumn id="4" xr3:uid="{CD9CFF5E-BF5A-4514-8AF6-5A6798ECC428}" name="D3" dataDxfId="252">
      <calculatedColumnFormula>IF($B$2="(Todas)",COUNTIF(BASE[CODCIE104],GUIA_NACIONAL_2022_1106128105107111115129130[[#This Row],[CIE-10]]),COUNTIFS(BASE[Cod.Establecimiento],$B$2,BASE[CODCIE104],GUIA_NACIONAL_2022_1106128105107111115129130[[#This Row],[CIE-10]]))</calculatedColumnFormula>
    </tableColumn>
    <tableColumn id="5" xr3:uid="{2DE9EBA1-AE0C-48E7-8FC1-612D3E571BF9}" name="D4" dataDxfId="251">
      <calculatedColumnFormula>IF($B$2="(Todas)",COUNTIF(BASE[CODCIE106],GUIA_NACIONAL_2022_1106128105107111115129130[[#This Row],[CIE-10]]),COUNTIFS(BASE[Cod.Establecimiento],$B$2,BASE[CODCIE106],GUIA_NACIONAL_2022_1106128105107111115129130[[#This Row],[CIE-10]]))</calculatedColumnFormula>
    </tableColumn>
    <tableColumn id="6" xr3:uid="{37373994-FA04-43B5-919F-909AA81B416B}" name="D5" dataDxfId="250">
      <calculatedColumnFormula>IF($B$2="(Todas)",COUNTIF(BASE[CODCIE108],GUIA_NACIONAL_2022_1106128105107111115129130[[#This Row],[CIE-10]]),COUNTIFS(BASE[Cod.Establecimiento],$B$2,BASE[CODCIE108],GUIA_NACIONAL_2022_1106128105107111115129130[[#This Row],[CIE-10]]))</calculatedColumnFormula>
    </tableColumn>
    <tableColumn id="7" xr3:uid="{06EC494B-309E-47D9-A4F1-38597B6FAB98}" name="D6" dataDxfId="249">
      <calculatedColumnFormula>IF($B$2="(Todas)",COUNTIF(BASE[CODCIE1010],GUIA_NACIONAL_2022_1106128105107111115129130[[#This Row],[CIE-10]]),COUNTIFS(BASE[Cod.Establecimiento],$B$2,BASE[CODCIE1010],GUIA_NACIONAL_2022_1106128105107111115129130[[#This Row],[CIE-10]]))</calculatedColumnFormula>
    </tableColumn>
    <tableColumn id="8" xr3:uid="{16CBEF2E-11C2-45B3-8ACB-EE398AED9041}" name="TOT" dataDxfId="248" dataCellStyle="40% - Énfasis6">
      <calculatedColumnFormula>SUM(GUIA_NACIONAL_2022_1106128105107111115129130[[#This Row],[D1]:[D6]])</calculatedColumnFormula>
    </tableColumn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ENOS_G1_FIEBRE_AMARILLA" displayName="ENOS_G1_FIEBRE_AMARILLA" ref="Y36:AF37" totalsRowShown="0" headerRowDxfId="1183">
  <autoFilter ref="Y36:AF37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C00-000001000000}" name="CIE-10" dataCellStyle="20% - Énfasis4"/>
    <tableColumn id="2" xr3:uid="{00000000-0010-0000-0C00-000002000000}" name="D1" dataDxfId="1182">
      <calculatedColumnFormula>IF($O$3="(Todas)",COUNTIF(BASE[CODCIE10],ENOS_G1_FIEBRE_AMARILLA[[#This Row],[CIE-10]]),COUNTIFS(BASE[Cod.Establecimiento],$O$3,BASE[CODCIE10],ENOS_G1_FIEBRE_AMARILLA[[#This Row],[CIE-10]]))</calculatedColumnFormula>
    </tableColumn>
    <tableColumn id="3" xr3:uid="{00000000-0010-0000-0C00-000003000000}" name="D2" dataDxfId="1181">
      <calculatedColumnFormula>IF($O$3="(Todas)",COUNTIF(BASE[CODCIE102],ENOS_G1_FIEBRE_AMARILLA[[#This Row],[CIE-10]]),COUNTIFS(BASE[Cod.Establecimiento],$O$3,BASE[CODCIE102],ENOS_G1_FIEBRE_AMARILLA[[#This Row],[CIE-10]]))</calculatedColumnFormula>
    </tableColumn>
    <tableColumn id="4" xr3:uid="{00000000-0010-0000-0C00-000004000000}" name="D3" dataDxfId="1180">
      <calculatedColumnFormula>IF($O$3="(Todas)",COUNTIF(BASE[CODCIE104],ENOS_G1_FIEBRE_AMARILLA[[#This Row],[CIE-10]]),COUNTIFS(BASE[Cod.Establecimiento],$O$3,BASE[CODCIE104],ENOS_G1_FIEBRE_AMARILLA[[#This Row],[CIE-10]]))</calculatedColumnFormula>
    </tableColumn>
    <tableColumn id="5" xr3:uid="{00000000-0010-0000-0C00-000005000000}" name="D4" dataDxfId="1179">
      <calculatedColumnFormula>IF($O$3="(Todas)",COUNTIF(BASE[CODCIE106],ENOS_G1_FIEBRE_AMARILLA[[#This Row],[CIE-10]]),COUNTIFS(BASE[Cod.Establecimiento],$O$3,BASE[CODCIE106],ENOS_G1_FIEBRE_AMARILLA[[#This Row],[CIE-10]]))</calculatedColumnFormula>
    </tableColumn>
    <tableColumn id="6" xr3:uid="{00000000-0010-0000-0C00-000006000000}" name="D5" dataDxfId="1178">
      <calculatedColumnFormula>IF($O$3="(Todas)",COUNTIF(BASE[CODCIE108],ENOS_G1_FIEBRE_AMARILLA[[#This Row],[CIE-10]]),COUNTIFS(BASE[Cod.Establecimiento],$O$3,BASE[CODCIE108],ENOS_G1_FIEBRE_AMARILLA[[#This Row],[CIE-10]]))</calculatedColumnFormula>
    </tableColumn>
    <tableColumn id="7" xr3:uid="{00000000-0010-0000-0C00-000007000000}" name="D6" dataDxfId="1177">
      <calculatedColumnFormula>IF($O$3="(Todas)",COUNTIF(BASE[CODCIE1010],ENOS_G1_FIEBRE_AMARILLA[[#This Row],[CIE-10]]),COUNTIFS(BASE[Cod.Establecimiento],$O$3,BASE[CODCIE1010],ENOS_G1_FIEBRE_AMARILLA[[#This Row],[CIE-10]]))</calculatedColumnFormula>
    </tableColumn>
    <tableColumn id="8" xr3:uid="{00000000-0010-0000-0C00-000008000000}" name="TOT" dataDxfId="1176">
      <calculatedColumnFormula>SUM(ENOS_G1_FIEBRE_AMARILLA[[#This Row],[D1]:[D6]])</calculatedColumnFormula>
    </tableColumn>
  </tableColumns>
  <tableStyleInfo name="TableStyleLight1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FF56BB4-706E-4305-9519-F8451D480B96}" name="GUIA_NACIONAL_2022_1106128105107111115129130131" displayName="GUIA_NACIONAL_2022_1106128105107111115129130131" ref="CP4:CW5" totalsRowShown="0" headerRowDxfId="247">
  <tableColumns count="8">
    <tableColumn id="1" xr3:uid="{0978FF8D-467C-49EB-8BE3-211E0D49D649}" name="CIE-10" dataCellStyle="20% - Énfasis4"/>
    <tableColumn id="2" xr3:uid="{BAB19BA6-4B71-47EE-9247-2AC0972406E1}" name="D1" dataDxfId="246">
      <calculatedColumnFormula>IF($B$2="(Todas)",COUNTIF(BASE[CODCIE10],GUIA_NACIONAL_2022_1106128105107111115129130131[[#This Row],[CIE-10]]),COUNTIFS(BASE[Cod.Establecimiento],$B$2,BASE[CODCIE10],GUIA_NACIONAL_2022_1106128105107111115129130131[[#This Row],[CIE-10]]))</calculatedColumnFormula>
    </tableColumn>
    <tableColumn id="3" xr3:uid="{48959523-0F7F-4999-88F3-9FFDBA65EF42}" name="D2" dataDxfId="245">
      <calculatedColumnFormula>IF($B$2="(Todas)",COUNTIF(BASE[CODCIE102],GUIA_NACIONAL_2022_1106128105107111115129130131[[#This Row],[CIE-10]]),COUNTIFS(BASE[Cod.Establecimiento],$B$2,BASE[CODCIE102],GUIA_NACIONAL_2022_1106128105107111115129130131[[#This Row],[CIE-10]]))</calculatedColumnFormula>
    </tableColumn>
    <tableColumn id="4" xr3:uid="{2A7E2AD1-456A-4AE7-9BC6-F781967F9FC8}" name="D3" dataDxfId="244">
      <calculatedColumnFormula>IF($B$2="(Todas)",COUNTIF(BASE[CODCIE104],GUIA_NACIONAL_2022_1106128105107111115129130131[[#This Row],[CIE-10]]),COUNTIFS(BASE[Cod.Establecimiento],$B$2,BASE[CODCIE104],GUIA_NACIONAL_2022_1106128105107111115129130131[[#This Row],[CIE-10]]))</calculatedColumnFormula>
    </tableColumn>
    <tableColumn id="5" xr3:uid="{920F8D56-9016-4CDE-9ED3-6404F62020C7}" name="D4" dataDxfId="243">
      <calculatedColumnFormula>IF($B$2="(Todas)",COUNTIF(BASE[CODCIE106],GUIA_NACIONAL_2022_1106128105107111115129130131[[#This Row],[CIE-10]]),COUNTIFS(BASE[Cod.Establecimiento],$B$2,BASE[CODCIE106],GUIA_NACIONAL_2022_1106128105107111115129130131[[#This Row],[CIE-10]]))</calculatedColumnFormula>
    </tableColumn>
    <tableColumn id="6" xr3:uid="{90800B6A-CD81-4262-A5C2-AA3F0E483777}" name="D5" dataDxfId="242">
      <calculatedColumnFormula>IF($B$2="(Todas)",COUNTIF(BASE[CODCIE108],GUIA_NACIONAL_2022_1106128105107111115129130131[[#This Row],[CIE-10]]),COUNTIFS(BASE[Cod.Establecimiento],$B$2,BASE[CODCIE108],GUIA_NACIONAL_2022_1106128105107111115129130131[[#This Row],[CIE-10]]))</calculatedColumnFormula>
    </tableColumn>
    <tableColumn id="7" xr3:uid="{AC6995A3-8239-438E-9FE7-08BD7567C109}" name="D6" dataDxfId="241">
      <calculatedColumnFormula>IF($B$2="(Todas)",COUNTIF(BASE[CODCIE1010],GUIA_NACIONAL_2022_1106128105107111115129130131[[#This Row],[CIE-10]]),COUNTIFS(BASE[Cod.Establecimiento],$B$2,BASE[CODCIE1010],GUIA_NACIONAL_2022_1106128105107111115129130131[[#This Row],[CIE-10]]))</calculatedColumnFormula>
    </tableColumn>
    <tableColumn id="8" xr3:uid="{8DAA2385-50BD-4B87-B33B-3C682A5F67B8}" name="TOT" dataDxfId="240" dataCellStyle="40% - Énfasis6">
      <calculatedColumnFormula>SUM(GUIA_NACIONAL_2022_1106128105107111115129130131[[#This Row],[D1]:[D6]])</calculatedColumnFormula>
    </tableColumn>
  </tableColumns>
  <tableStyleInfo name="TableStyleLight1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51176756-223E-41AD-851B-D19998CE2954}" name="GUIA_NACIONAL_2022_1106128105107111115129130131132" displayName="GUIA_NACIONAL_2022_1106128105107111115129130131132" ref="CY4:DF5" totalsRowShown="0" headerRowDxfId="239">
  <tableColumns count="8">
    <tableColumn id="1" xr3:uid="{262F80D6-0F30-4DC1-B0C6-354B77B7971D}" name="CIE-10" dataCellStyle="20% - Énfasis4"/>
    <tableColumn id="2" xr3:uid="{0F97F99E-F506-47FA-9579-FE92A09CDC88}" name="D1" dataDxfId="238">
      <calculatedColumnFormula>IF($B$2="(Todas)",COUNTIF(BASE[CODCIE10],GUIA_NACIONAL_2022_1106128105107111115129130131132[[#This Row],[CIE-10]]),COUNTIFS(BASE[Cod.Establecimiento],$B$2,BASE[CODCIE10],GUIA_NACIONAL_2022_1106128105107111115129130131132[[#This Row],[CIE-10]]))</calculatedColumnFormula>
    </tableColumn>
    <tableColumn id="3" xr3:uid="{D2B08006-2EA9-48B6-8D70-FB7843467AD9}" name="D2" dataDxfId="237">
      <calculatedColumnFormula>IF($B$2="(Todas)",COUNTIF(BASE[CODCIE102],GUIA_NACIONAL_2022_1106128105107111115129130131132[[#This Row],[CIE-10]]),COUNTIFS(BASE[Cod.Establecimiento],$B$2,BASE[CODCIE102],GUIA_NACIONAL_2022_1106128105107111115129130131132[[#This Row],[CIE-10]]))</calculatedColumnFormula>
    </tableColumn>
    <tableColumn id="4" xr3:uid="{F7F784F5-CA77-43FE-A70D-D2E27F2E30F1}" name="D3" dataDxfId="236">
      <calculatedColumnFormula>IF($B$2="(Todas)",COUNTIF(BASE[CODCIE104],GUIA_NACIONAL_2022_1106128105107111115129130131132[[#This Row],[CIE-10]]),COUNTIFS(BASE[Cod.Establecimiento],$B$2,BASE[CODCIE104],GUIA_NACIONAL_2022_1106128105107111115129130131132[[#This Row],[CIE-10]]))</calculatedColumnFormula>
    </tableColumn>
    <tableColumn id="5" xr3:uid="{A3A6D0F0-1A67-48F6-9E4D-6F9764088B38}" name="D4" dataDxfId="235">
      <calculatedColumnFormula>IF($B$2="(Todas)",COUNTIF(BASE[CODCIE106],GUIA_NACIONAL_2022_1106128105107111115129130131132[[#This Row],[CIE-10]]),COUNTIFS(BASE[Cod.Establecimiento],$B$2,BASE[CODCIE106],GUIA_NACIONAL_2022_1106128105107111115129130131132[[#This Row],[CIE-10]]))</calculatedColumnFormula>
    </tableColumn>
    <tableColumn id="6" xr3:uid="{E3C7C5F2-6FCB-456B-AD83-A9D1B932A207}" name="D5" dataDxfId="234">
      <calculatedColumnFormula>IF($B$2="(Todas)",COUNTIF(BASE[CODCIE108],GUIA_NACIONAL_2022_1106128105107111115129130131132[[#This Row],[CIE-10]]),COUNTIFS(BASE[Cod.Establecimiento],$B$2,BASE[CODCIE108],GUIA_NACIONAL_2022_1106128105107111115129130131132[[#This Row],[CIE-10]]))</calculatedColumnFormula>
    </tableColumn>
    <tableColumn id="7" xr3:uid="{6AC429CC-1A1B-4261-AE51-CDF84AAEB2E6}" name="D6" dataDxfId="233">
      <calculatedColumnFormula>IF($B$2="(Todas)",COUNTIF(BASE[CODCIE1010],GUIA_NACIONAL_2022_1106128105107111115129130131132[[#This Row],[CIE-10]]),COUNTIFS(BASE[Cod.Establecimiento],$B$2,BASE[CODCIE1010],GUIA_NACIONAL_2022_1106128105107111115129130131132[[#This Row],[CIE-10]]))</calculatedColumnFormula>
    </tableColumn>
    <tableColumn id="8" xr3:uid="{37A53865-E409-4E09-8448-FC716D92272B}" name="TOT" dataDxfId="232" dataCellStyle="40% - Énfasis6">
      <calculatedColumnFormula>SUM(GUIA_NACIONAL_2022_1106128105107111115129130131132[[#This Row],[D1]:[D6]])</calculatedColumnFormula>
    </tableColumn>
  </tableColumns>
  <tableStyleInfo name="TableStyleLight1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3827C174-A951-4B48-992A-6C89480388B7}" name="GUIA_NACIONAL_2022_1106128105107111115129130131132133" displayName="GUIA_NACIONAL_2022_1106128105107111115129130131132133" ref="DH4:DO5" totalsRowShown="0" headerRowDxfId="231">
  <tableColumns count="8">
    <tableColumn id="1" xr3:uid="{7BA20F6D-9B73-4C8D-8652-031522A38EF0}" name="CIE-10" dataCellStyle="20% - Énfasis4"/>
    <tableColumn id="2" xr3:uid="{6901F791-6018-4A02-A5EF-C9A5001633B6}" name="D1" dataDxfId="230">
      <calculatedColumnFormula>IF($B$2="(Todas)",COUNTIF(BASE[CODCIE10],GUIA_NACIONAL_2022_1106128105107111115129130131132133[[#This Row],[CIE-10]]),COUNTIFS(BASE[Cod.Establecimiento],$B$2,BASE[CODCIE10],GUIA_NACIONAL_2022_1106128105107111115129130131132133[[#This Row],[CIE-10]]))</calculatedColumnFormula>
    </tableColumn>
    <tableColumn id="3" xr3:uid="{C50834FE-1344-41BA-A752-620753A769F7}" name="D2" dataDxfId="229">
      <calculatedColumnFormula>IF($B$2="(Todas)",COUNTIF(BASE[CODCIE102],GUIA_NACIONAL_2022_1106128105107111115129130131132133[[#This Row],[CIE-10]]),COUNTIFS(BASE[Cod.Establecimiento],$B$2,BASE[CODCIE102],GUIA_NACIONAL_2022_1106128105107111115129130131132133[[#This Row],[CIE-10]]))</calculatedColumnFormula>
    </tableColumn>
    <tableColumn id="4" xr3:uid="{AEDFA52C-8A26-4917-99B8-61C298273AE9}" name="D3" dataDxfId="228">
      <calculatedColumnFormula>IF($B$2="(Todas)",COUNTIF(BASE[CODCIE104],GUIA_NACIONAL_2022_1106128105107111115129130131132133[[#This Row],[CIE-10]]),COUNTIFS(BASE[Cod.Establecimiento],$B$2,BASE[CODCIE104],GUIA_NACIONAL_2022_1106128105107111115129130131132133[[#This Row],[CIE-10]]))</calculatedColumnFormula>
    </tableColumn>
    <tableColumn id="5" xr3:uid="{06CB4606-43E1-4349-8ACB-9E988CE5EA24}" name="D4" dataDxfId="227">
      <calculatedColumnFormula>IF($B$2="(Todas)",COUNTIF(BASE[CODCIE106],GUIA_NACIONAL_2022_1106128105107111115129130131132133[[#This Row],[CIE-10]]),COUNTIFS(BASE[Cod.Establecimiento],$B$2,BASE[CODCIE106],GUIA_NACIONAL_2022_1106128105107111115129130131132133[[#This Row],[CIE-10]]))</calculatedColumnFormula>
    </tableColumn>
    <tableColumn id="6" xr3:uid="{AC73881C-37F0-4E62-BABE-DFF4D57E8FC8}" name="D5" dataDxfId="226">
      <calculatedColumnFormula>IF($B$2="(Todas)",COUNTIF(BASE[CODCIE108],GUIA_NACIONAL_2022_1106128105107111115129130131132133[[#This Row],[CIE-10]]),COUNTIFS(BASE[Cod.Establecimiento],$B$2,BASE[CODCIE108],GUIA_NACIONAL_2022_1106128105107111115129130131132133[[#This Row],[CIE-10]]))</calculatedColumnFormula>
    </tableColumn>
    <tableColumn id="7" xr3:uid="{EF056057-DB67-4F51-9D47-050A80A65FC1}" name="D6" dataDxfId="225">
      <calculatedColumnFormula>IF($B$2="(Todas)",COUNTIF(BASE[CODCIE1010],GUIA_NACIONAL_2022_1106128105107111115129130131132133[[#This Row],[CIE-10]]),COUNTIFS(BASE[Cod.Establecimiento],$B$2,BASE[CODCIE1010],GUIA_NACIONAL_2022_1106128105107111115129130131132133[[#This Row],[CIE-10]]))</calculatedColumnFormula>
    </tableColumn>
    <tableColumn id="8" xr3:uid="{B67166CF-0DAE-4A37-ADEA-50E723E670DD}" name="TOT" dataDxfId="224" dataCellStyle="40% - Énfasis6">
      <calculatedColumnFormula>SUM(GUIA_NACIONAL_2022_1106128105107111115129130131132133[[#This Row],[D1]:[D6]])</calculatedColumnFormula>
    </tableColumn>
  </tableColumns>
  <tableStyleInfo name="TableStyleLight1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2FD502-ACDB-45BF-A96A-3A2BBEDB0AEA}" name="GUIA_NACIONAL_2022_1106128105107111115129130131132133134" displayName="GUIA_NACIONAL_2022_1106128105107111115129130131132133134" ref="DQ4:DX5" totalsRowShown="0" headerRowDxfId="223">
  <tableColumns count="8">
    <tableColumn id="1" xr3:uid="{A03F71A6-8A29-4F52-B084-27FBD5FDA933}" name="CIE-10" dataCellStyle="20% - Énfasis4"/>
    <tableColumn id="2" xr3:uid="{30ED9D73-5B62-4966-BEDD-5CE62ABD885D}" name="D1" dataDxfId="222">
      <calculatedColumnFormula>IF($B$2="(Todas)",COUNTIF(BASE[CODCIE10],GUIA_NACIONAL_2022_1106128105107111115129130131132133134[[#This Row],[CIE-10]]),COUNTIFS(BASE[Cod.Establecimiento],$B$2,BASE[CODCIE10],GUIA_NACIONAL_2022_1106128105107111115129130131132133134[[#This Row],[CIE-10]]))</calculatedColumnFormula>
    </tableColumn>
    <tableColumn id="3" xr3:uid="{C3D13179-297F-4628-804F-46FA7D5B1F1D}" name="D2" dataDxfId="221">
      <calculatedColumnFormula>IF($B$2="(Todas)",COUNTIF(BASE[CODCIE102],GUIA_NACIONAL_2022_1106128105107111115129130131132133134[[#This Row],[CIE-10]]),COUNTIFS(BASE[Cod.Establecimiento],$B$2,BASE[CODCIE102],GUIA_NACIONAL_2022_1106128105107111115129130131132133134[[#This Row],[CIE-10]]))</calculatedColumnFormula>
    </tableColumn>
    <tableColumn id="4" xr3:uid="{127F582C-0B1C-47ED-AB33-F317600CCAC5}" name="D3" dataDxfId="220">
      <calculatedColumnFormula>IF($B$2="(Todas)",COUNTIF(BASE[CODCIE104],GUIA_NACIONAL_2022_1106128105107111115129130131132133134[[#This Row],[CIE-10]]),COUNTIFS(BASE[Cod.Establecimiento],$B$2,BASE[CODCIE104],GUIA_NACIONAL_2022_1106128105107111115129130131132133134[[#This Row],[CIE-10]]))</calculatedColumnFormula>
    </tableColumn>
    <tableColumn id="5" xr3:uid="{8EF68479-4239-49A7-B821-E8CD645A5C10}" name="D4" dataDxfId="219">
      <calculatedColumnFormula>IF($B$2="(Todas)",COUNTIF(BASE[CODCIE106],GUIA_NACIONAL_2022_1106128105107111115129130131132133134[[#This Row],[CIE-10]]),COUNTIFS(BASE[Cod.Establecimiento],$B$2,BASE[CODCIE106],GUIA_NACIONAL_2022_1106128105107111115129130131132133134[[#This Row],[CIE-10]]))</calculatedColumnFormula>
    </tableColumn>
    <tableColumn id="6" xr3:uid="{ED46E986-B209-4729-B4E2-AE87AE5BAE80}" name="D5" dataDxfId="218">
      <calculatedColumnFormula>IF($B$2="(Todas)",COUNTIF(BASE[CODCIE108],GUIA_NACIONAL_2022_1106128105107111115129130131132133134[[#This Row],[CIE-10]]),COUNTIFS(BASE[Cod.Establecimiento],$B$2,BASE[CODCIE108],GUIA_NACIONAL_2022_1106128105107111115129130131132133134[[#This Row],[CIE-10]]))</calculatedColumnFormula>
    </tableColumn>
    <tableColumn id="7" xr3:uid="{C2CA5DF9-98B9-4949-BD71-07618F9C58FD}" name="D6" dataDxfId="217">
      <calculatedColumnFormula>IF($B$2="(Todas)",COUNTIF(BASE[CODCIE1010],GUIA_NACIONAL_2022_1106128105107111115129130131132133134[[#This Row],[CIE-10]]),COUNTIFS(BASE[Cod.Establecimiento],$B$2,BASE[CODCIE1010],GUIA_NACIONAL_2022_1106128105107111115129130131132133134[[#This Row],[CIE-10]]))</calculatedColumnFormula>
    </tableColumn>
    <tableColumn id="8" xr3:uid="{6E1D4E91-517C-48ED-8CF5-910DC435850C}" name="TOT" dataDxfId="216" dataCellStyle="40% - Énfasis6">
      <calculatedColumnFormula>SUM(GUIA_NACIONAL_2022_1106128105107111115129130131132133134[[#This Row],[D1]:[D6]])</calculatedColumnFormula>
    </tableColumn>
  </tableColumns>
  <tableStyleInfo name="TableStyleLight1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F589AA8-35FA-4BCE-AC24-0BF15D6399F9}" name="GUIA_NACIONAL_2022_1106128105107111115129130131132133134135" displayName="GUIA_NACIONAL_2022_1106128105107111115129130131132133134135" ref="DZ4:EG5" totalsRowShown="0" headerRowDxfId="215">
  <tableColumns count="8">
    <tableColumn id="1" xr3:uid="{2836B450-0267-4263-B314-35AF11D46D4B}" name="CIE-10" dataCellStyle="20% - Énfasis4"/>
    <tableColumn id="2" xr3:uid="{A14D9CD1-A028-4CCE-9F26-04652A3B200D}" name="D1" dataDxfId="214">
      <calculatedColumnFormula>IF($B$2="(Todas)",COUNTIF(BASE[CODCIE10],GUIA_NACIONAL_2022_1106128105107111115129130131132133134135[[#This Row],[CIE-10]]),COUNTIFS(BASE[Cod.Establecimiento],$B$2,BASE[CODCIE10],GUIA_NACIONAL_2022_1106128105107111115129130131132133134135[[#This Row],[CIE-10]]))</calculatedColumnFormula>
    </tableColumn>
    <tableColumn id="3" xr3:uid="{D0FCA846-C563-44A7-9B8D-751AFE0A33CD}" name="D2" dataDxfId="213">
      <calculatedColumnFormula>IF($B$2="(Todas)",COUNTIF(BASE[CODCIE102],GUIA_NACIONAL_2022_1106128105107111115129130131132133134135[[#This Row],[CIE-10]]),COUNTIFS(BASE[Cod.Establecimiento],$B$2,BASE[CODCIE102],GUIA_NACIONAL_2022_1106128105107111115129130131132133134135[[#This Row],[CIE-10]]))</calculatedColumnFormula>
    </tableColumn>
    <tableColumn id="4" xr3:uid="{C9171799-B692-4926-A10F-A68150F51D65}" name="D3" dataDxfId="212">
      <calculatedColumnFormula>IF($B$2="(Todas)",COUNTIF(BASE[CODCIE104],GUIA_NACIONAL_2022_1106128105107111115129130131132133134135[[#This Row],[CIE-10]]),COUNTIFS(BASE[Cod.Establecimiento],$B$2,BASE[CODCIE104],GUIA_NACIONAL_2022_1106128105107111115129130131132133134135[[#This Row],[CIE-10]]))</calculatedColumnFormula>
    </tableColumn>
    <tableColumn id="5" xr3:uid="{33BC8C69-6B35-4117-8DBF-18D2F1BF3B00}" name="D4" dataDxfId="211">
      <calculatedColumnFormula>IF($B$2="(Todas)",COUNTIF(BASE[CODCIE106],GUIA_NACIONAL_2022_1106128105107111115129130131132133134135[[#This Row],[CIE-10]]),COUNTIFS(BASE[Cod.Establecimiento],$B$2,BASE[CODCIE106],GUIA_NACIONAL_2022_1106128105107111115129130131132133134135[[#This Row],[CIE-10]]))</calculatedColumnFormula>
    </tableColumn>
    <tableColumn id="6" xr3:uid="{0E7E48B2-EF8E-4960-9D85-8A6881FA9705}" name="D5" dataDxfId="210">
      <calculatedColumnFormula>IF($B$2="(Todas)",COUNTIF(BASE[CODCIE108],GUIA_NACIONAL_2022_1106128105107111115129130131132133134135[[#This Row],[CIE-10]]),COUNTIFS(BASE[Cod.Establecimiento],$B$2,BASE[CODCIE108],GUIA_NACIONAL_2022_1106128105107111115129130131132133134135[[#This Row],[CIE-10]]))</calculatedColumnFormula>
    </tableColumn>
    <tableColumn id="7" xr3:uid="{5B5F8948-F208-4DCB-95D2-5D605302F880}" name="D6" dataDxfId="209">
      <calculatedColumnFormula>IF($B$2="(Todas)",COUNTIF(BASE[CODCIE1010],GUIA_NACIONAL_2022_1106128105107111115129130131132133134135[[#This Row],[CIE-10]]),COUNTIFS(BASE[Cod.Establecimiento],$B$2,BASE[CODCIE1010],GUIA_NACIONAL_2022_1106128105107111115129130131132133134135[[#This Row],[CIE-10]]))</calculatedColumnFormula>
    </tableColumn>
    <tableColumn id="8" xr3:uid="{9198557D-970B-44E0-9C77-5F6C88C0B74A}" name="TOT" dataDxfId="208" dataCellStyle="40% - Énfasis6">
      <calculatedColumnFormula>SUM(GUIA_NACIONAL_2022_1106128105107111115129130131132133134135[[#This Row],[D1]:[D6]])</calculatedColumnFormula>
    </tableColumn>
  </tableColumns>
  <tableStyleInfo name="TableStyleLight1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8D78812D-2264-4B38-964D-C7CCCA6C4F03}" name="GUIA_NACIONAL_2022_1106127136" displayName="GUIA_NACIONAL_2022_1106127136" ref="M12:T13" totalsRowShown="0" headerRowDxfId="207">
  <autoFilter ref="M12:T13" xr:uid="{8D78812D-2264-4B38-964D-C7CCCA6C4F0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BC372BA-8588-4075-B924-3511A738F38F}" name="CIE-10" dataCellStyle="20% - Énfasis4"/>
    <tableColumn id="2" xr3:uid="{2FD7A477-13A8-4D01-9CA4-35AA5EB8BD53}" name="D1" dataDxfId="206">
      <calculatedColumnFormula>IF($B$2="(Todas)",COUNTIF(BASE[CODCIE10],GUIA_NACIONAL_2022_1106127136[[#This Row],[CIE-10]]),COUNTIFS(BASE[Cod.Establecimiento],$B$2,BASE[CODCIE10],GUIA_NACIONAL_2022_1106127136[[#This Row],[CIE-10]]))</calculatedColumnFormula>
    </tableColumn>
    <tableColumn id="3" xr3:uid="{FE64529E-E0C6-4D15-8950-64940162A400}" name="D2" dataDxfId="205">
      <calculatedColumnFormula>IF($B$2="(Todas)",COUNTIF(BASE[CODCIE102],GUIA_NACIONAL_2022_1106127136[[#This Row],[CIE-10]]),COUNTIFS(BASE[Cod.Establecimiento],$B$2,BASE[CODCIE102],GUIA_NACIONAL_2022_1106127136[[#This Row],[CIE-10]]))</calculatedColumnFormula>
    </tableColumn>
    <tableColumn id="4" xr3:uid="{93EDF72B-4648-46EB-8616-8871C7A38FA4}" name="D3" dataDxfId="204">
      <calculatedColumnFormula>IF($B$2="(Todas)",COUNTIF(BASE[CODCIE104],GUIA_NACIONAL_2022_1106127136[[#This Row],[CIE-10]]),COUNTIFS(BASE[Cod.Establecimiento],$B$2,BASE[CODCIE104],GUIA_NACIONAL_2022_1106127136[[#This Row],[CIE-10]]))</calculatedColumnFormula>
    </tableColumn>
    <tableColumn id="5" xr3:uid="{6A8E3569-FB99-4508-8BD9-8E6A67FDB418}" name="D4" dataDxfId="203">
      <calculatedColumnFormula>IF($B$2="(Todas)",COUNTIF(BASE[CODCIE106],GUIA_NACIONAL_2022_1106127136[[#This Row],[CIE-10]]),COUNTIFS(BASE[Cod.Establecimiento],$B$2,BASE[CODCIE106],GUIA_NACIONAL_2022_1106127136[[#This Row],[CIE-10]]))</calculatedColumnFormula>
    </tableColumn>
    <tableColumn id="6" xr3:uid="{B36B0922-0DF5-43B1-9ED4-DAAA2DE137AD}" name="D5" dataDxfId="202">
      <calculatedColumnFormula>IF($B$2="(Todas)",COUNTIF(BASE[CODCIE108],GUIA_NACIONAL_2022_1106127136[[#This Row],[CIE-10]]),COUNTIFS(BASE[Cod.Establecimiento],$B$2,BASE[CODCIE108],GUIA_NACIONAL_2022_1106127136[[#This Row],[CIE-10]]))</calculatedColumnFormula>
    </tableColumn>
    <tableColumn id="7" xr3:uid="{FC25D488-6D31-491A-B7B7-F0C1BE07EBD9}" name="D6" dataDxfId="201">
      <calculatedColumnFormula>IF($B$2="(Todas)",COUNTIF(BASE[CODCIE1010],GUIA_NACIONAL_2022_1106127136[[#This Row],[CIE-10]]),COUNTIFS(BASE[Cod.Establecimiento],$B$2,BASE[CODCIE1010],GUIA_NACIONAL_2022_1106127136[[#This Row],[CIE-10]]))</calculatedColumnFormula>
    </tableColumn>
    <tableColumn id="8" xr3:uid="{E426C6DB-A087-4797-A8CB-84EA438ABAB8}" name="TOT" dataDxfId="200" dataCellStyle="40% - Énfasis6">
      <calculatedColumnFormula>SUM(GUIA_NACIONAL_2022_1106127136[[#This Row],[D1]:[D6]])</calculatedColumnFormula>
    </tableColumn>
  </tableColumns>
  <tableStyleInfo name="TableStyleLight1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C64BD43E-D9A2-4D69-9805-DC4EADB2DD7E}" name="GUIA_NACIONAL_2022_1106127136137" displayName="GUIA_NACIONAL_2022_1106127136137" ref="M15:T16" totalsRowShown="0" headerRowDxfId="199">
  <autoFilter ref="M15:T16" xr:uid="{C64BD43E-D9A2-4D69-9805-DC4EADB2DD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7448DBE-89FE-4747-8797-45BF749422D4}" name="CIE-10" dataCellStyle="20% - Énfasis4"/>
    <tableColumn id="2" xr3:uid="{83E4F471-8922-4552-8583-EFA8917448DF}" name="D1" dataDxfId="198">
      <calculatedColumnFormula>IF($B$2="(Todas)",COUNTIF(BASE[CODCIE10],GUIA_NACIONAL_2022_1106127136137[[#This Row],[CIE-10]]),COUNTIFS(BASE[Cod.Establecimiento],$B$2,BASE[CODCIE10],GUIA_NACIONAL_2022_1106127136137[[#This Row],[CIE-10]]))</calculatedColumnFormula>
    </tableColumn>
    <tableColumn id="3" xr3:uid="{867E1E08-1991-4E17-AE55-EAD5FDBE5F21}" name="D2" dataDxfId="197">
      <calculatedColumnFormula>IF($B$2="(Todas)",COUNTIF(BASE[CODCIE102],GUIA_NACIONAL_2022_1106127136137[[#This Row],[CIE-10]]),COUNTIFS(BASE[Cod.Establecimiento],$B$2,BASE[CODCIE102],GUIA_NACIONAL_2022_1106127136137[[#This Row],[CIE-10]]))</calculatedColumnFormula>
    </tableColumn>
    <tableColumn id="4" xr3:uid="{49AE2FA7-E31D-453E-BE54-2866FCBEF1CA}" name="D3" dataDxfId="196">
      <calculatedColumnFormula>IF($B$2="(Todas)",COUNTIF(BASE[CODCIE104],GUIA_NACIONAL_2022_1106127136137[[#This Row],[CIE-10]]),COUNTIFS(BASE[Cod.Establecimiento],$B$2,BASE[CODCIE104],GUIA_NACIONAL_2022_1106127136137[[#This Row],[CIE-10]]))</calculatedColumnFormula>
    </tableColumn>
    <tableColumn id="5" xr3:uid="{4A2DAFAB-8FAF-4B1E-ACA2-F100CFCB1752}" name="D4" dataDxfId="195">
      <calculatedColumnFormula>IF($B$2="(Todas)",COUNTIF(BASE[CODCIE106],GUIA_NACIONAL_2022_1106127136137[[#This Row],[CIE-10]]),COUNTIFS(BASE[Cod.Establecimiento],$B$2,BASE[CODCIE106],GUIA_NACIONAL_2022_1106127136137[[#This Row],[CIE-10]]))</calculatedColumnFormula>
    </tableColumn>
    <tableColumn id="6" xr3:uid="{D55A0E71-BDA8-43D1-B596-0165502DF1CE}" name="D5" dataDxfId="194">
      <calculatedColumnFormula>IF($B$2="(Todas)",COUNTIF(BASE[CODCIE108],GUIA_NACIONAL_2022_1106127136137[[#This Row],[CIE-10]]),COUNTIFS(BASE[Cod.Establecimiento],$B$2,BASE[CODCIE108],GUIA_NACIONAL_2022_1106127136137[[#This Row],[CIE-10]]))</calculatedColumnFormula>
    </tableColumn>
    <tableColumn id="7" xr3:uid="{5639AD8A-0B2C-4D28-8EC1-6ADD1FC465AD}" name="D6" dataDxfId="193">
      <calculatedColumnFormula>IF($B$2="(Todas)",COUNTIF(BASE[CODCIE1010],GUIA_NACIONAL_2022_1106127136137[[#This Row],[CIE-10]]),COUNTIFS(BASE[Cod.Establecimiento],$B$2,BASE[CODCIE1010],GUIA_NACIONAL_2022_1106127136137[[#This Row],[CIE-10]]))</calculatedColumnFormula>
    </tableColumn>
    <tableColumn id="8" xr3:uid="{98B1E77D-F1E1-429A-8E8D-A03A262D1BE4}" name="TOT" dataDxfId="192" dataCellStyle="40% - Énfasis6">
      <calculatedColumnFormula>SUM(GUIA_NACIONAL_2022_1106127136137[[#This Row],[D1]:[D6]])</calculatedColumnFormula>
    </tableColumn>
  </tableColumns>
  <tableStyleInfo name="TableStyleLight1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A37BE7F7-1D46-46EB-8B85-B27A37F8B995}" name="GUIA_NACIONAL_2022_1106127136137138" displayName="GUIA_NACIONAL_2022_1106127136137138" ref="M18:T19" totalsRowShown="0" headerRowDxfId="191">
  <autoFilter ref="M18:T19" xr:uid="{A37BE7F7-1D46-46EB-8B85-B27A37F8B9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E5B0D72-BF98-4455-9E90-8D286BEE695D}" name="CIE-10" dataCellStyle="20% - Énfasis4"/>
    <tableColumn id="2" xr3:uid="{AA2FE6D0-F1D5-4B9F-A7C9-5139F4A0AFAD}" name="D1" dataDxfId="190">
      <calculatedColumnFormula>IF($B$2="(Todas)",COUNTIF(BASE[CODCIE10],GUIA_NACIONAL_2022_1106127136137138[[#This Row],[CIE-10]]),COUNTIFS(BASE[Cod.Establecimiento],$B$2,BASE[CODCIE10],GUIA_NACIONAL_2022_1106127136137138[[#This Row],[CIE-10]]))</calculatedColumnFormula>
    </tableColumn>
    <tableColumn id="3" xr3:uid="{502A8F3A-BC10-4105-9DE8-8D8C0C849AD1}" name="D2" dataDxfId="189">
      <calculatedColumnFormula>IF($B$2="(Todas)",COUNTIF(BASE[CODCIE102],GUIA_NACIONAL_2022_1106127136137138[[#This Row],[CIE-10]]),COUNTIFS(BASE[Cod.Establecimiento],$B$2,BASE[CODCIE102],GUIA_NACIONAL_2022_1106127136137138[[#This Row],[CIE-10]]))</calculatedColumnFormula>
    </tableColumn>
    <tableColumn id="4" xr3:uid="{E038D8A6-BBB1-4016-8869-B883A91A2EFA}" name="D3" dataDxfId="188">
      <calculatedColumnFormula>IF($B$2="(Todas)",COUNTIF(BASE[CODCIE104],GUIA_NACIONAL_2022_1106127136137138[[#This Row],[CIE-10]]),COUNTIFS(BASE[Cod.Establecimiento],$B$2,BASE[CODCIE104],GUIA_NACIONAL_2022_1106127136137138[[#This Row],[CIE-10]]))</calculatedColumnFormula>
    </tableColumn>
    <tableColumn id="5" xr3:uid="{F7ADEC9C-4A10-4C62-8235-FB86D1ECA464}" name="D4" dataDxfId="187">
      <calculatedColumnFormula>IF($B$2="(Todas)",COUNTIF(BASE[CODCIE106],GUIA_NACIONAL_2022_1106127136137138[[#This Row],[CIE-10]]),COUNTIFS(BASE[Cod.Establecimiento],$B$2,BASE[CODCIE106],GUIA_NACIONAL_2022_1106127136137138[[#This Row],[CIE-10]]))</calculatedColumnFormula>
    </tableColumn>
    <tableColumn id="6" xr3:uid="{01B13F18-E200-408F-8C34-702704CA2788}" name="D5" dataDxfId="186">
      <calculatedColumnFormula>IF($B$2="(Todas)",COUNTIF(BASE[CODCIE108],GUIA_NACIONAL_2022_1106127136137138[[#This Row],[CIE-10]]),COUNTIFS(BASE[Cod.Establecimiento],$B$2,BASE[CODCIE108],GUIA_NACIONAL_2022_1106127136137138[[#This Row],[CIE-10]]))</calculatedColumnFormula>
    </tableColumn>
    <tableColumn id="7" xr3:uid="{B2C21F05-5F55-434D-B4EC-2844BD598887}" name="D6" dataDxfId="185">
      <calculatedColumnFormula>IF($B$2="(Todas)",COUNTIF(BASE[CODCIE1010],GUIA_NACIONAL_2022_1106127136137138[[#This Row],[CIE-10]]),COUNTIFS(BASE[Cod.Establecimiento],$B$2,BASE[CODCIE1010],GUIA_NACIONAL_2022_1106127136137138[[#This Row],[CIE-10]]))</calculatedColumnFormula>
    </tableColumn>
    <tableColumn id="8" xr3:uid="{7B91C39B-7301-4DB3-A2B7-9CDBEDD3CA2A}" name="TOT" dataDxfId="184" dataCellStyle="40% - Énfasis6">
      <calculatedColumnFormula>SUM(GUIA_NACIONAL_2022_1106127136137138[[#This Row],[D1]:[D6]])</calculatedColumnFormula>
    </tableColumn>
  </tableColumns>
  <tableStyleInfo name="TableStyleLight1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5185E3E6-5480-4B0F-AC4B-EB0072ED6C1A}" name="GUIA_NACIONAL_2022_1106127136137138139" displayName="GUIA_NACIONAL_2022_1106127136137138139" ref="M21:T22" totalsRowShown="0" headerRowDxfId="183">
  <autoFilter ref="M21:T22" xr:uid="{5185E3E6-5480-4B0F-AC4B-EB0072ED6C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FD5A222-FC69-480F-BA11-D26920A8C8D5}" name="CIE-10" dataCellStyle="20% - Énfasis4"/>
    <tableColumn id="2" xr3:uid="{1632EE3D-2F53-4210-87F8-B01F3875CA92}" name="D1" dataDxfId="182">
      <calculatedColumnFormula>IF($B$2="(Todas)",COUNTIF(BASE[CODCIE10],GUIA_NACIONAL_2022_1106127136137138139[[#This Row],[CIE-10]]),COUNTIFS(BASE[Cod.Establecimiento],$B$2,BASE[CODCIE10],GUIA_NACIONAL_2022_1106127136137138139[[#This Row],[CIE-10]]))</calculatedColumnFormula>
    </tableColumn>
    <tableColumn id="3" xr3:uid="{FAEC0068-16D9-429A-AB06-40CF672B3EC2}" name="D2" dataDxfId="181">
      <calculatedColumnFormula>IF($B$2="(Todas)",COUNTIF(BASE[CODCIE102],GUIA_NACIONAL_2022_1106127136137138139[[#This Row],[CIE-10]]),COUNTIFS(BASE[Cod.Establecimiento],$B$2,BASE[CODCIE102],GUIA_NACIONAL_2022_1106127136137138139[[#This Row],[CIE-10]]))</calculatedColumnFormula>
    </tableColumn>
    <tableColumn id="4" xr3:uid="{233831BD-B46D-4872-8B8C-6D220F969932}" name="D3" dataDxfId="180">
      <calculatedColumnFormula>IF($B$2="(Todas)",COUNTIF(BASE[CODCIE104],GUIA_NACIONAL_2022_1106127136137138139[[#This Row],[CIE-10]]),COUNTIFS(BASE[Cod.Establecimiento],$B$2,BASE[CODCIE104],GUIA_NACIONAL_2022_1106127136137138139[[#This Row],[CIE-10]]))</calculatedColumnFormula>
    </tableColumn>
    <tableColumn id="5" xr3:uid="{34A7399D-2F19-4AFA-9814-91D395FFBEC9}" name="D4" dataDxfId="179">
      <calculatedColumnFormula>IF($B$2="(Todas)",COUNTIF(BASE[CODCIE106],GUIA_NACIONAL_2022_1106127136137138139[[#This Row],[CIE-10]]),COUNTIFS(BASE[Cod.Establecimiento],$B$2,BASE[CODCIE106],GUIA_NACIONAL_2022_1106127136137138139[[#This Row],[CIE-10]]))</calculatedColumnFormula>
    </tableColumn>
    <tableColumn id="6" xr3:uid="{5E3489BB-1005-44B5-983A-2ECBC4B29C65}" name="D5" dataDxfId="178">
      <calculatedColumnFormula>IF($B$2="(Todas)",COUNTIF(BASE[CODCIE108],GUIA_NACIONAL_2022_1106127136137138139[[#This Row],[CIE-10]]),COUNTIFS(BASE[Cod.Establecimiento],$B$2,BASE[CODCIE108],GUIA_NACIONAL_2022_1106127136137138139[[#This Row],[CIE-10]]))</calculatedColumnFormula>
    </tableColumn>
    <tableColumn id="7" xr3:uid="{A93116E2-F47C-447B-A54E-C8FC0DAB7476}" name="D6" dataDxfId="177">
      <calculatedColumnFormula>IF($B$2="(Todas)",COUNTIF(BASE[CODCIE1010],GUIA_NACIONAL_2022_1106127136137138139[[#This Row],[CIE-10]]),COUNTIFS(BASE[Cod.Establecimiento],$B$2,BASE[CODCIE1010],GUIA_NACIONAL_2022_1106127136137138139[[#This Row],[CIE-10]]))</calculatedColumnFormula>
    </tableColumn>
    <tableColumn id="8" xr3:uid="{D8BF2971-21BF-4795-80F2-F1702A8278F3}" name="TOT" dataDxfId="176" dataCellStyle="40% - Énfasis6">
      <calculatedColumnFormula>SUM(GUIA_NACIONAL_2022_1106127136137138139[[#This Row],[D1]:[D6]])</calculatedColumnFormula>
    </tableColumn>
  </tableColumns>
  <tableStyleInfo name="TableStyleLight1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1498FD2-95C8-48F3-8770-7ED52E17F23D}" name="GUIA_NACIONAL_2022_1106127136137138139140" displayName="GUIA_NACIONAL_2022_1106127136137138139140" ref="M24:T27" totalsRowShown="0" headerRowDxfId="175">
  <autoFilter ref="M24:T27" xr:uid="{01498FD2-95C8-48F3-8770-7ED52E17F2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34608BF-CFB8-4DBA-89C1-FF7621F3B66E}" name="CIE-10" dataCellStyle="20% - Énfasis4"/>
    <tableColumn id="2" xr3:uid="{ABE495F5-CD1F-4937-9D24-2FB77A45497D}" name="D1" dataDxfId="174">
      <calculatedColumnFormula>IF($B$2="(Todas)",COUNTIF(BASE[CODCIE10],GUIA_NACIONAL_2022_1106127136137138139140[[#This Row],[CIE-10]]),COUNTIFS(BASE[Cod.Establecimiento],$B$2,BASE[CODCIE10],GUIA_NACIONAL_2022_1106127136137138139140[[#This Row],[CIE-10]]))</calculatedColumnFormula>
    </tableColumn>
    <tableColumn id="3" xr3:uid="{9D18C794-2C8F-4B98-AB50-298F37B84109}" name="D2" dataDxfId="173">
      <calculatedColumnFormula>IF($B$2="(Todas)",COUNTIF(BASE[CODCIE102],GUIA_NACIONAL_2022_1106127136137138139140[[#This Row],[CIE-10]]),COUNTIFS(BASE[Cod.Establecimiento],$B$2,BASE[CODCIE102],GUIA_NACIONAL_2022_1106127136137138139140[[#This Row],[CIE-10]]))</calculatedColumnFormula>
    </tableColumn>
    <tableColumn id="4" xr3:uid="{4369FEFB-C03E-4029-BF3F-1E3908A41741}" name="D3" dataDxfId="172">
      <calculatedColumnFormula>IF($B$2="(Todas)",COUNTIF(BASE[CODCIE104],GUIA_NACIONAL_2022_1106127136137138139140[[#This Row],[CIE-10]]),COUNTIFS(BASE[Cod.Establecimiento],$B$2,BASE[CODCIE104],GUIA_NACIONAL_2022_1106127136137138139140[[#This Row],[CIE-10]]))</calculatedColumnFormula>
    </tableColumn>
    <tableColumn id="5" xr3:uid="{49BC10F4-E41D-4AAA-9BAC-E7B1B88BF87B}" name="D4" dataDxfId="171">
      <calculatedColumnFormula>IF($B$2="(Todas)",COUNTIF(BASE[CODCIE106],GUIA_NACIONAL_2022_1106127136137138139140[[#This Row],[CIE-10]]),COUNTIFS(BASE[Cod.Establecimiento],$B$2,BASE[CODCIE106],GUIA_NACIONAL_2022_1106127136137138139140[[#This Row],[CIE-10]]))</calculatedColumnFormula>
    </tableColumn>
    <tableColumn id="6" xr3:uid="{DB7B5BBE-6809-4057-8057-CDFC347540F9}" name="D5" dataDxfId="170">
      <calculatedColumnFormula>IF($B$2="(Todas)",COUNTIF(BASE[CODCIE108],GUIA_NACIONAL_2022_1106127136137138139140[[#This Row],[CIE-10]]),COUNTIFS(BASE[Cod.Establecimiento],$B$2,BASE[CODCIE108],GUIA_NACIONAL_2022_1106127136137138139140[[#This Row],[CIE-10]]))</calculatedColumnFormula>
    </tableColumn>
    <tableColumn id="7" xr3:uid="{B2DE8500-D984-473A-81A0-A4F70D5AAB9C}" name="D6" dataDxfId="169">
      <calculatedColumnFormula>IF($B$2="(Todas)",COUNTIF(BASE[CODCIE1010],GUIA_NACIONAL_2022_1106127136137138139140[[#This Row],[CIE-10]]),COUNTIFS(BASE[Cod.Establecimiento],$B$2,BASE[CODCIE1010],GUIA_NACIONAL_2022_1106127136137138139140[[#This Row],[CIE-10]]))</calculatedColumnFormula>
    </tableColumn>
    <tableColumn id="8" xr3:uid="{AF197B10-D5FD-4DFF-B29E-B3F4D111408D}" name="TOT" dataDxfId="168" dataCellStyle="40% - Énfasis6">
      <calculatedColumnFormula>SUM(GUIA_NACIONAL_2022_1106127136137138139140[[#This Row],[D1]:[D6]])</calculatedColumnFormula>
    </tableColumn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ENOS_G1_PESTE" displayName="ENOS_G1_PESTE" ref="P40:W41" totalsRowShown="0" headerRowDxfId="1175">
  <autoFilter ref="P40:W41" xr:uid="{00000000-0009-0000-0100-00000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D00-000001000000}" name="CIE-10" dataCellStyle="20% - Énfasis4"/>
    <tableColumn id="2" xr3:uid="{00000000-0010-0000-0D00-000002000000}" name="D1" dataDxfId="1174">
      <calculatedColumnFormula>IF($O$3="(Todas)",COUNTIF(BASE[CODCIE10],ENOS_G1_PESTE[[#This Row],[CIE-10]]),COUNTIFS(BASE[Cod.Establecimiento],$O$3,BASE[CODCIE10],ENOS_G1_PESTE[[#This Row],[CIE-10]]))</calculatedColumnFormula>
    </tableColumn>
    <tableColumn id="3" xr3:uid="{00000000-0010-0000-0D00-000003000000}" name="D2" dataDxfId="1173">
      <calculatedColumnFormula>IF($O$3="(Todas)",COUNTIF(BASE[CODCIE102],ENOS_G1_PESTE[[#This Row],[CIE-10]]),COUNTIFS(BASE[Cod.Establecimiento],$O$3,BASE[CODCIE102],ENOS_G1_PESTE[[#This Row],[CIE-10]]))</calculatedColumnFormula>
    </tableColumn>
    <tableColumn id="4" xr3:uid="{00000000-0010-0000-0D00-000004000000}" name="D3" dataDxfId="1172">
      <calculatedColumnFormula>IF($O$3="(Todas)",COUNTIF(BASE[CODCIE104],ENOS_G1_PESTE[[#This Row],[CIE-10]]),COUNTIFS(BASE[Cod.Establecimiento],$O$3,BASE[CODCIE104],ENOS_G1_PESTE[[#This Row],[CIE-10]]))</calculatedColumnFormula>
    </tableColumn>
    <tableColumn id="5" xr3:uid="{00000000-0010-0000-0D00-000005000000}" name="D4" dataDxfId="1171">
      <calculatedColumnFormula>IF($O$3="(Todas)",COUNTIF(BASE[CODCIE106],ENOS_G1_PESTE[[#This Row],[CIE-10]]),COUNTIFS(BASE[Cod.Establecimiento],$O$3,BASE[CODCIE106],ENOS_G1_PESTE[[#This Row],[CIE-10]]))</calculatedColumnFormula>
    </tableColumn>
    <tableColumn id="6" xr3:uid="{00000000-0010-0000-0D00-000006000000}" name="D5" dataDxfId="1170">
      <calculatedColumnFormula>IF($O$3="(Todas)",COUNTIF(BASE[CODCIE108],ENOS_G1_PESTE[[#This Row],[CIE-10]]),COUNTIFS(BASE[Cod.Establecimiento],$O$3,BASE[CODCIE108],ENOS_G1_PESTE[[#This Row],[CIE-10]]))</calculatedColumnFormula>
    </tableColumn>
    <tableColumn id="7" xr3:uid="{00000000-0010-0000-0D00-000007000000}" name="D6" dataDxfId="1169">
      <calculatedColumnFormula>IF($O$3="(Todas)",COUNTIF(BASE[CODCIE1010],ENOS_G1_PESTE[[#This Row],[CIE-10]]),COUNTIFS(BASE[Cod.Establecimiento],$O$3,BASE[CODCIE1010],ENOS_G1_PESTE[[#This Row],[CIE-10]]))</calculatedColumnFormula>
    </tableColumn>
    <tableColumn id="8" xr3:uid="{00000000-0010-0000-0D00-000008000000}" name="TOT" dataDxfId="1168">
      <calculatedColumnFormula>SUM(ENOS_G1_PESTE[[#This Row],[D1]:[D6]])</calculatedColumnFormula>
    </tableColumn>
  </tableColumns>
  <tableStyleInfo name="TableStyleLight1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63A2FCAF-A8C6-41D4-89B0-E8237F62FBCA}" name="GUIA_NACIONAL_2022_1106127136137138139140141" displayName="GUIA_NACIONAL_2022_1106127136137138139140141" ref="M29:T33" totalsRowShown="0" headerRowDxfId="167">
  <autoFilter ref="M29:T33" xr:uid="{63A2FCAF-A8C6-41D4-89B0-E8237F62FB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E65DE4C-B110-41D4-ADA2-9A8C30A75480}" name="CIE-10" dataCellStyle="20% - Énfasis4"/>
    <tableColumn id="2" xr3:uid="{C08069BD-9F20-47D5-9F3D-EA282CA96512}" name="D1" dataDxfId="166">
      <calculatedColumnFormula>IF($B$2="(Todas)",COUNTIF(BASE[CODCIE10],GUIA_NACIONAL_2022_1106127136137138139140141[[#This Row],[CIE-10]]),COUNTIFS(BASE[Cod.Establecimiento],$B$2,BASE[CODCIE10],GUIA_NACIONAL_2022_1106127136137138139140141[[#This Row],[CIE-10]]))</calculatedColumnFormula>
    </tableColumn>
    <tableColumn id="3" xr3:uid="{AE85683D-8671-4594-8E05-A5FD6814F3FD}" name="D2" dataDxfId="165">
      <calculatedColumnFormula>IF($B$2="(Todas)",COUNTIF(BASE[CODCIE102],GUIA_NACIONAL_2022_1106127136137138139140141[[#This Row],[CIE-10]]),COUNTIFS(BASE[Cod.Establecimiento],$B$2,BASE[CODCIE102],GUIA_NACIONAL_2022_1106127136137138139140141[[#This Row],[CIE-10]]))</calculatedColumnFormula>
    </tableColumn>
    <tableColumn id="4" xr3:uid="{76620BE1-584A-4189-9B42-E8911AF1DFF2}" name="D3" dataDxfId="164">
      <calculatedColumnFormula>IF($B$2="(Todas)",COUNTIF(BASE[CODCIE104],GUIA_NACIONAL_2022_1106127136137138139140141[[#This Row],[CIE-10]]),COUNTIFS(BASE[Cod.Establecimiento],$B$2,BASE[CODCIE104],GUIA_NACIONAL_2022_1106127136137138139140141[[#This Row],[CIE-10]]))</calculatedColumnFormula>
    </tableColumn>
    <tableColumn id="5" xr3:uid="{45A52ED3-EAC3-46C7-93E5-220D2A6E9988}" name="D4" dataDxfId="163">
      <calculatedColumnFormula>IF($B$2="(Todas)",COUNTIF(BASE[CODCIE106],GUIA_NACIONAL_2022_1106127136137138139140141[[#This Row],[CIE-10]]),COUNTIFS(BASE[Cod.Establecimiento],$B$2,BASE[CODCIE106],GUIA_NACIONAL_2022_1106127136137138139140141[[#This Row],[CIE-10]]))</calculatedColumnFormula>
    </tableColumn>
    <tableColumn id="6" xr3:uid="{471831EA-B8C4-4C81-A36F-088B997E1F3D}" name="D5" dataDxfId="162">
      <calculatedColumnFormula>IF($B$2="(Todas)",COUNTIF(BASE[CODCIE108],GUIA_NACIONAL_2022_1106127136137138139140141[[#This Row],[CIE-10]]),COUNTIFS(BASE[Cod.Establecimiento],$B$2,BASE[CODCIE108],GUIA_NACIONAL_2022_1106127136137138139140141[[#This Row],[CIE-10]]))</calculatedColumnFormula>
    </tableColumn>
    <tableColumn id="7" xr3:uid="{155ADA30-E48A-40A1-9FAE-AF29D86FE4B8}" name="D6" dataDxfId="161">
      <calculatedColumnFormula>IF($B$2="(Todas)",COUNTIF(BASE[CODCIE1010],GUIA_NACIONAL_2022_1106127136137138139140141[[#This Row],[CIE-10]]),COUNTIFS(BASE[Cod.Establecimiento],$B$2,BASE[CODCIE1010],GUIA_NACIONAL_2022_1106127136137138139140141[[#This Row],[CIE-10]]))</calculatedColumnFormula>
    </tableColumn>
    <tableColumn id="8" xr3:uid="{B589718B-3F1A-4ABC-8A49-BDBF6D042C93}" name="TOT" dataDxfId="160" dataCellStyle="40% - Énfasis6">
      <calculatedColumnFormula>SUM(GUIA_NACIONAL_2022_1106127136137138139140141[[#This Row],[D1]:[D6]])</calculatedColumnFormula>
    </tableColumn>
  </tableColumns>
  <tableStyleInfo name="TableStyleLight1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3C501DFF-F7F8-4FBA-B3CC-5D5CBA746BAC}" name="GUIA_NACIONAL_2022_1106127136137138139142" displayName="GUIA_NACIONAL_2022_1106127136137138139142" ref="M35:T36" totalsRowShown="0" headerRowDxfId="159">
  <autoFilter ref="M35:T36" xr:uid="{3C501DFF-F7F8-4FBA-B3CC-5D5CBA746B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FC3A772-A8E8-4A5A-A21E-DDF6969AAE45}" name="CIE-10" dataCellStyle="20% - Énfasis4"/>
    <tableColumn id="2" xr3:uid="{4242D86F-6249-4ED5-8992-C5E2399F2167}" name="D1" dataDxfId="158">
      <calculatedColumnFormula>IF($B$2="(Todas)",COUNTIF(BASE[CODCIE10],GUIA_NACIONAL_2022_1106127136137138139142[[#This Row],[CIE-10]]),COUNTIFS(BASE[Cod.Establecimiento],$B$2,BASE[CODCIE10],GUIA_NACIONAL_2022_1106127136137138139142[[#This Row],[CIE-10]]))</calculatedColumnFormula>
    </tableColumn>
    <tableColumn id="3" xr3:uid="{3F9DB352-4FCF-462E-95B3-F2ACF99476A4}" name="D2" dataDxfId="157">
      <calculatedColumnFormula>IF($B$2="(Todas)",COUNTIF(BASE[CODCIE102],GUIA_NACIONAL_2022_1106127136137138139142[[#This Row],[CIE-10]]),COUNTIFS(BASE[Cod.Establecimiento],$B$2,BASE[CODCIE102],GUIA_NACIONAL_2022_1106127136137138139142[[#This Row],[CIE-10]]))</calculatedColumnFormula>
    </tableColumn>
    <tableColumn id="4" xr3:uid="{7790EEBC-367A-4F70-8C37-F2BF01171157}" name="D3" dataDxfId="156">
      <calculatedColumnFormula>IF($B$2="(Todas)",COUNTIF(BASE[CODCIE104],GUIA_NACIONAL_2022_1106127136137138139142[[#This Row],[CIE-10]]),COUNTIFS(BASE[Cod.Establecimiento],$B$2,BASE[CODCIE104],GUIA_NACIONAL_2022_1106127136137138139142[[#This Row],[CIE-10]]))</calculatedColumnFormula>
    </tableColumn>
    <tableColumn id="5" xr3:uid="{C1C9A365-58AE-4CFF-9D67-B816D4B2666A}" name="D4" dataDxfId="155">
      <calculatedColumnFormula>IF($B$2="(Todas)",COUNTIF(BASE[CODCIE106],GUIA_NACIONAL_2022_1106127136137138139142[[#This Row],[CIE-10]]),COUNTIFS(BASE[Cod.Establecimiento],$B$2,BASE[CODCIE106],GUIA_NACIONAL_2022_1106127136137138139142[[#This Row],[CIE-10]]))</calculatedColumnFormula>
    </tableColumn>
    <tableColumn id="6" xr3:uid="{240A2028-C9FB-4735-89BC-AB51222ED9A4}" name="D5" dataDxfId="154">
      <calculatedColumnFormula>IF($B$2="(Todas)",COUNTIF(BASE[CODCIE108],GUIA_NACIONAL_2022_1106127136137138139142[[#This Row],[CIE-10]]),COUNTIFS(BASE[Cod.Establecimiento],$B$2,BASE[CODCIE108],GUIA_NACIONAL_2022_1106127136137138139142[[#This Row],[CIE-10]]))</calculatedColumnFormula>
    </tableColumn>
    <tableColumn id="7" xr3:uid="{1B328E0B-011E-454A-8A52-EA5AF01F6FCF}" name="D6" dataDxfId="153">
      <calculatedColumnFormula>IF($B$2="(Todas)",COUNTIF(BASE[CODCIE1010],GUIA_NACIONAL_2022_1106127136137138139142[[#This Row],[CIE-10]]),COUNTIFS(BASE[Cod.Establecimiento],$B$2,BASE[CODCIE1010],GUIA_NACIONAL_2022_1106127136137138139142[[#This Row],[CIE-10]]))</calculatedColumnFormula>
    </tableColumn>
    <tableColumn id="8" xr3:uid="{06731D30-5E15-4BBE-A6BF-E62F2D153F47}" name="TOT" dataDxfId="152" dataCellStyle="40% - Énfasis6">
      <calculatedColumnFormula>SUM(GUIA_NACIONAL_2022_1106127136137138139142[[#This Row],[D1]:[D6]])</calculatedColumnFormula>
    </tableColumn>
  </tableColumns>
  <tableStyleInfo name="TableStyleLight1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D9F46369-817E-41B8-8C10-1202C540288A}" name="GUIA_NACIONAL_2022_1106128143" displayName="GUIA_NACIONAL_2022_1106128143" ref="V7:AC8" totalsRowShown="0" headerRowDxfId="151">
  <autoFilter ref="V7:AC8" xr:uid="{D9F46369-817E-41B8-8C10-1202C54028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6FB87F7-3056-41C8-B18F-9A15D9E2CE01}" name="CIE-10" dataCellStyle="20% - Énfasis4"/>
    <tableColumn id="2" xr3:uid="{DFAA5264-A632-43E1-98EB-9F8B9B22065A}" name="D1" dataDxfId="150">
      <calculatedColumnFormula>IF($B$2="(Todas)",COUNTIF(BASE[CODCIE10],GUIA_NACIONAL_2022_1106128143[[#This Row],[CIE-10]]),COUNTIFS(BASE[Cod.Establecimiento],$B$2,BASE[CODCIE10],GUIA_NACIONAL_2022_1106128143[[#This Row],[CIE-10]]))</calculatedColumnFormula>
    </tableColumn>
    <tableColumn id="3" xr3:uid="{5CD41404-4969-4192-99E4-0E159980786B}" name="D2" dataDxfId="149">
      <calculatedColumnFormula>IF($B$2="(Todas)",COUNTIF(BASE[CODCIE102],GUIA_NACIONAL_2022_1106128143[[#This Row],[CIE-10]]),COUNTIFS(BASE[Cod.Establecimiento],$B$2,BASE[CODCIE102],GUIA_NACIONAL_2022_1106128143[[#This Row],[CIE-10]]))</calculatedColumnFormula>
    </tableColumn>
    <tableColumn id="4" xr3:uid="{47A72324-934A-47AF-90FF-AC4490D16D50}" name="D3" dataDxfId="148">
      <calculatedColumnFormula>IF($B$2="(Todas)",COUNTIF(BASE[CODCIE104],GUIA_NACIONAL_2022_1106128143[[#This Row],[CIE-10]]),COUNTIFS(BASE[Cod.Establecimiento],$B$2,BASE[CODCIE104],GUIA_NACIONAL_2022_1106128143[[#This Row],[CIE-10]]))</calculatedColumnFormula>
    </tableColumn>
    <tableColumn id="5" xr3:uid="{C09C2BF6-3DDE-4ADA-BA17-20152754A1CB}" name="D4" dataDxfId="147">
      <calculatedColumnFormula>IF($B$2="(Todas)",COUNTIF(BASE[CODCIE106],GUIA_NACIONAL_2022_1106128143[[#This Row],[CIE-10]]),COUNTIFS(BASE[Cod.Establecimiento],$B$2,BASE[CODCIE106],GUIA_NACIONAL_2022_1106128143[[#This Row],[CIE-10]]))</calculatedColumnFormula>
    </tableColumn>
    <tableColumn id="6" xr3:uid="{282DD68E-8A09-44D8-93EA-D31B5C2F0B13}" name="D5" dataDxfId="146">
      <calculatedColumnFormula>IF($B$2="(Todas)",COUNTIF(BASE[CODCIE108],GUIA_NACIONAL_2022_1106128143[[#This Row],[CIE-10]]),COUNTIFS(BASE[Cod.Establecimiento],$B$2,BASE[CODCIE108],GUIA_NACIONAL_2022_1106128143[[#This Row],[CIE-10]]))</calculatedColumnFormula>
    </tableColumn>
    <tableColumn id="7" xr3:uid="{5549444D-ECD4-4760-BA09-64A12876985E}" name="D6" dataDxfId="145">
      <calculatedColumnFormula>IF($B$2="(Todas)",COUNTIF(BASE[CODCIE1010],GUIA_NACIONAL_2022_1106128143[[#This Row],[CIE-10]]),COUNTIFS(BASE[Cod.Establecimiento],$B$2,BASE[CODCIE1010],GUIA_NACIONAL_2022_1106128143[[#This Row],[CIE-10]]))</calculatedColumnFormula>
    </tableColumn>
    <tableColumn id="8" xr3:uid="{AC22F306-3FD9-4797-9B52-3D66D9BBC70F}" name="TOT" dataDxfId="144" dataCellStyle="40% - Énfasis6">
      <calculatedColumnFormula>SUM(GUIA_NACIONAL_2022_1106128143[[#This Row],[D1]:[D6]])</calculatedColumnFormula>
    </tableColumn>
  </tableColumns>
  <tableStyleInfo name="TableStyleLight1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352DD10B-A844-4FD3-B18E-A383C3E754D1}" name="GUIA_NACIONAL_2022_1106128143144" displayName="GUIA_NACIONAL_2022_1106128143144" ref="V10:AC13" totalsRowShown="0" headerRowDxfId="143">
  <autoFilter ref="V10:AC13" xr:uid="{352DD10B-A844-4FD3-B18E-A383C3E754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ACC6ED-6766-4821-8E6F-65150BBD3248}" name="CIE-10" dataCellStyle="20% - Énfasis4"/>
    <tableColumn id="2" xr3:uid="{0AE21A71-27B5-47D1-9536-488D7615D55C}" name="D1" dataDxfId="142">
      <calculatedColumnFormula>IF($B$2="(Todas)",COUNTIF(BASE[CODCIE10],GUIA_NACIONAL_2022_1106128143144[[#This Row],[CIE-10]]),COUNTIFS(BASE[Cod.Establecimiento],$B$2,BASE[CODCIE10],GUIA_NACIONAL_2022_1106128143144[[#This Row],[CIE-10]]))</calculatedColumnFormula>
    </tableColumn>
    <tableColumn id="3" xr3:uid="{CD12A5E6-E424-4F9B-9C15-67996A324A8E}" name="D2" dataDxfId="141">
      <calculatedColumnFormula>IF($B$2="(Todas)",COUNTIF(BASE[CODCIE102],GUIA_NACIONAL_2022_1106128143144[[#This Row],[CIE-10]]),COUNTIFS(BASE[Cod.Establecimiento],$B$2,BASE[CODCIE102],GUIA_NACIONAL_2022_1106128143144[[#This Row],[CIE-10]]))</calculatedColumnFormula>
    </tableColumn>
    <tableColumn id="4" xr3:uid="{66FF2AAF-0CC4-4B25-BD06-8CA0BBCE7B41}" name="D3" dataDxfId="140">
      <calculatedColumnFormula>IF($B$2="(Todas)",COUNTIF(BASE[CODCIE104],GUIA_NACIONAL_2022_1106128143144[[#This Row],[CIE-10]]),COUNTIFS(BASE[Cod.Establecimiento],$B$2,BASE[CODCIE104],GUIA_NACIONAL_2022_1106128143144[[#This Row],[CIE-10]]))</calculatedColumnFormula>
    </tableColumn>
    <tableColumn id="5" xr3:uid="{788780D3-4170-4524-9497-227C1D02B39A}" name="D4" dataDxfId="139">
      <calculatedColumnFormula>IF($B$2="(Todas)",COUNTIF(BASE[CODCIE106],GUIA_NACIONAL_2022_1106128143144[[#This Row],[CIE-10]]),COUNTIFS(BASE[Cod.Establecimiento],$B$2,BASE[CODCIE106],GUIA_NACIONAL_2022_1106128143144[[#This Row],[CIE-10]]))</calculatedColumnFormula>
    </tableColumn>
    <tableColumn id="6" xr3:uid="{6634B7D6-48CF-438B-8D62-DC628B609562}" name="D5" dataDxfId="138">
      <calculatedColumnFormula>IF($B$2="(Todas)",COUNTIF(BASE[CODCIE108],GUIA_NACIONAL_2022_1106128143144[[#This Row],[CIE-10]]),COUNTIFS(BASE[Cod.Establecimiento],$B$2,BASE[CODCIE108],GUIA_NACIONAL_2022_1106128143144[[#This Row],[CIE-10]]))</calculatedColumnFormula>
    </tableColumn>
    <tableColumn id="7" xr3:uid="{8DFE7091-DA6F-44DD-BF84-09F8FF4ED593}" name="D6" dataDxfId="137">
      <calculatedColumnFormula>IF($B$2="(Todas)",COUNTIF(BASE[CODCIE1010],GUIA_NACIONAL_2022_1106128143144[[#This Row],[CIE-10]]),COUNTIFS(BASE[Cod.Establecimiento],$B$2,BASE[CODCIE1010],GUIA_NACIONAL_2022_1106128143144[[#This Row],[CIE-10]]))</calculatedColumnFormula>
    </tableColumn>
    <tableColumn id="8" xr3:uid="{55E2AD8B-44FC-40E2-8616-80B5F042B58F}" name="TOT" dataDxfId="136" dataCellStyle="40% - Énfasis6">
      <calculatedColumnFormula>SUM(GUIA_NACIONAL_2022_1106128143144[[#This Row],[D1]:[D6]])</calculatedColumnFormula>
    </tableColumn>
  </tableColumns>
  <tableStyleInfo name="TableStyleLight1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896BACC7-576F-46DC-90FA-22B9524F9ED3}" name="GUIA_NACIONAL_2022_1106128143146" displayName="GUIA_NACIONAL_2022_1106128143146" ref="V16:AC17" totalsRowShown="0" headerRowDxfId="135">
  <autoFilter ref="V16:AC17" xr:uid="{896BACC7-576F-46DC-90FA-22B9524F9ED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101358-35AB-49F6-B543-01DEA5214F40}" name="CIE-10" dataCellStyle="20% - Énfasis4"/>
    <tableColumn id="2" xr3:uid="{3C73DBD4-67B4-49D8-9AEE-4A80B06DC628}" name="D1" dataDxfId="134">
      <calculatedColumnFormula>IF($B$2="(Todas)",COUNTIF(BASE[CODCIE10],GUIA_NACIONAL_2022_1106128143146[[#This Row],[CIE-10]]),COUNTIFS(BASE[Cod.Establecimiento],$B$2,BASE[CODCIE10],GUIA_NACIONAL_2022_1106128143146[[#This Row],[CIE-10]]))</calculatedColumnFormula>
    </tableColumn>
    <tableColumn id="3" xr3:uid="{C056B1D1-8552-4219-AA41-137C61789E6B}" name="D2" dataDxfId="133">
      <calculatedColumnFormula>IF($B$2="(Todas)",COUNTIF(BASE[CODCIE102],GUIA_NACIONAL_2022_1106128143146[[#This Row],[CIE-10]]),COUNTIFS(BASE[Cod.Establecimiento],$B$2,BASE[CODCIE102],GUIA_NACIONAL_2022_1106128143146[[#This Row],[CIE-10]]))</calculatedColumnFormula>
    </tableColumn>
    <tableColumn id="4" xr3:uid="{AF9EB0EC-51FF-4102-946B-EDCCA94C836B}" name="D3" dataDxfId="132">
      <calculatedColumnFormula>IF($B$2="(Todas)",COUNTIF(BASE[CODCIE104],GUIA_NACIONAL_2022_1106128143146[[#This Row],[CIE-10]]),COUNTIFS(BASE[Cod.Establecimiento],$B$2,BASE[CODCIE104],GUIA_NACIONAL_2022_1106128143146[[#This Row],[CIE-10]]))</calculatedColumnFormula>
    </tableColumn>
    <tableColumn id="5" xr3:uid="{1097AD4A-D1C6-44C2-BF76-50DB05F54C1E}" name="D4" dataDxfId="131">
      <calculatedColumnFormula>IF($B$2="(Todas)",COUNTIF(BASE[CODCIE106],GUIA_NACIONAL_2022_1106128143146[[#This Row],[CIE-10]]),COUNTIFS(BASE[Cod.Establecimiento],$B$2,BASE[CODCIE106],GUIA_NACIONAL_2022_1106128143146[[#This Row],[CIE-10]]))</calculatedColumnFormula>
    </tableColumn>
    <tableColumn id="6" xr3:uid="{4736808D-BCBE-4678-89F6-7035ED98C6D8}" name="D5" dataDxfId="130">
      <calculatedColumnFormula>IF($B$2="(Todas)",COUNTIF(BASE[CODCIE108],GUIA_NACIONAL_2022_1106128143146[[#This Row],[CIE-10]]),COUNTIFS(BASE[Cod.Establecimiento],$B$2,BASE[CODCIE108],GUIA_NACIONAL_2022_1106128143146[[#This Row],[CIE-10]]))</calculatedColumnFormula>
    </tableColumn>
    <tableColumn id="7" xr3:uid="{E0A5CC29-4926-4232-816A-9D997CE70602}" name="D6" dataDxfId="129">
      <calculatedColumnFormula>IF($B$2="(Todas)",COUNTIF(BASE[CODCIE1010],GUIA_NACIONAL_2022_1106128143146[[#This Row],[CIE-10]]),COUNTIFS(BASE[Cod.Establecimiento],$B$2,BASE[CODCIE1010],GUIA_NACIONAL_2022_1106128143146[[#This Row],[CIE-10]]))</calculatedColumnFormula>
    </tableColumn>
    <tableColumn id="8" xr3:uid="{D1B3AB31-C510-4264-BB4A-8597900EC179}" name="TOT" dataDxfId="128" dataCellStyle="40% - Énfasis6">
      <calculatedColumnFormula>SUM(GUIA_NACIONAL_2022_1106128143146[[#This Row],[D1]:[D6]])</calculatedColumnFormula>
    </tableColumn>
  </tableColumns>
  <tableStyleInfo name="TableStyleLight1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EED35C28-B02F-45F2-9A2B-1DE8914B2021}" name="GUIA_NACIONAL_2022_1106128143146147" displayName="GUIA_NACIONAL_2022_1106128143146147" ref="V19:AC22" totalsRowShown="0" headerRowDxfId="127">
  <autoFilter ref="V19:AC22" xr:uid="{EED35C28-B02F-45F2-9A2B-1DE8914B20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554C1EF-E46F-4DBB-AE61-A881799B57ED}" name="CIE-10" dataCellStyle="20% - Énfasis4"/>
    <tableColumn id="2" xr3:uid="{E1052BCD-C519-4805-9BB6-A31445D40C85}" name="D1" dataDxfId="126">
      <calculatedColumnFormula>IF($B$2="(Todas)",COUNTIF(BASE[CODCIE10],GUIA_NACIONAL_2022_1106128143146147[[#This Row],[CIE-10]]),COUNTIFS(BASE[Cod.Establecimiento],$B$2,BASE[CODCIE10],GUIA_NACIONAL_2022_1106128143146147[[#This Row],[CIE-10]]))</calculatedColumnFormula>
    </tableColumn>
    <tableColumn id="3" xr3:uid="{311FEA9F-A7D9-4077-A4C9-9C8455D393D4}" name="D2" dataDxfId="125">
      <calculatedColumnFormula>IF($B$2="(Todas)",COUNTIF(BASE[CODCIE102],GUIA_NACIONAL_2022_1106128143146147[[#This Row],[CIE-10]]),COUNTIFS(BASE[Cod.Establecimiento],$B$2,BASE[CODCIE102],GUIA_NACIONAL_2022_1106128143146147[[#This Row],[CIE-10]]))</calculatedColumnFormula>
    </tableColumn>
    <tableColumn id="4" xr3:uid="{D4799BCD-A81C-4203-9B9E-FFC534315ED2}" name="D3" dataDxfId="124">
      <calculatedColumnFormula>IF($B$2="(Todas)",COUNTIF(BASE[CODCIE104],GUIA_NACIONAL_2022_1106128143146147[[#This Row],[CIE-10]]),COUNTIFS(BASE[Cod.Establecimiento],$B$2,BASE[CODCIE104],GUIA_NACIONAL_2022_1106128143146147[[#This Row],[CIE-10]]))</calculatedColumnFormula>
    </tableColumn>
    <tableColumn id="5" xr3:uid="{B22D1AFA-E735-49C3-9A32-C8DAC2C54FA0}" name="D4" dataDxfId="123">
      <calculatedColumnFormula>IF($B$2="(Todas)",COUNTIF(BASE[CODCIE106],GUIA_NACIONAL_2022_1106128143146147[[#This Row],[CIE-10]]),COUNTIFS(BASE[Cod.Establecimiento],$B$2,BASE[CODCIE106],GUIA_NACIONAL_2022_1106128143146147[[#This Row],[CIE-10]]))</calculatedColumnFormula>
    </tableColumn>
    <tableColumn id="6" xr3:uid="{72B10B39-7AF2-4B8D-B066-5806B063AA23}" name="D5" dataDxfId="122">
      <calculatedColumnFormula>IF($B$2="(Todas)",COUNTIF(BASE[CODCIE108],GUIA_NACIONAL_2022_1106128143146147[[#This Row],[CIE-10]]),COUNTIFS(BASE[Cod.Establecimiento],$B$2,BASE[CODCIE108],GUIA_NACIONAL_2022_1106128143146147[[#This Row],[CIE-10]]))</calculatedColumnFormula>
    </tableColumn>
    <tableColumn id="7" xr3:uid="{11DE5D45-A3F9-4307-84CA-21F62702D0C6}" name="D6" dataDxfId="121">
      <calculatedColumnFormula>IF($B$2="(Todas)",COUNTIF(BASE[CODCIE1010],GUIA_NACIONAL_2022_1106128143146147[[#This Row],[CIE-10]]),COUNTIFS(BASE[Cod.Establecimiento],$B$2,BASE[CODCIE1010],GUIA_NACIONAL_2022_1106128143146147[[#This Row],[CIE-10]]))</calculatedColumnFormula>
    </tableColumn>
    <tableColumn id="8" xr3:uid="{5CFC488F-A99F-40F7-9466-77CE49467CF4}" name="TOT" dataDxfId="120" dataCellStyle="40% - Énfasis6">
      <calculatedColumnFormula>SUM(GUIA_NACIONAL_2022_1106128143146147[[#This Row],[D1]:[D6]])</calculatedColumnFormula>
    </tableColumn>
  </tableColumns>
  <tableStyleInfo name="TableStyleLight1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1286F2F8-18B1-4E4A-B0B0-1BAFA1897AAE}" name="GUIA_NACIONAL_2022_1106128143146147148" displayName="GUIA_NACIONAL_2022_1106128143146147148" ref="V24:AC29" totalsRowShown="0" headerRowDxfId="119">
  <autoFilter ref="V24:AC29" xr:uid="{1286F2F8-18B1-4E4A-B0B0-1BAFA1897A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D7AD3D-64B3-4E9C-8A7B-8B337FF0C822}" name="CIE-10" dataCellStyle="20% - Énfasis4"/>
    <tableColumn id="2" xr3:uid="{CC03DA04-F6FB-441D-AAD7-FDD73028B4EF}" name="D1" dataDxfId="118">
      <calculatedColumnFormula>IF($B$2="(Todas)",COUNTIF(BASE[CODCIE10],GUIA_NACIONAL_2022_1106128143146147148[[#This Row],[CIE-10]]),COUNTIFS(BASE[Cod.Establecimiento],$B$2,BASE[CODCIE10],GUIA_NACIONAL_2022_1106128143146147148[[#This Row],[CIE-10]]))</calculatedColumnFormula>
    </tableColumn>
    <tableColumn id="3" xr3:uid="{A4207B23-5BE3-45E5-87BE-D55635880C1D}" name="D2" dataDxfId="117">
      <calculatedColumnFormula>IF($B$2="(Todas)",COUNTIF(BASE[CODCIE102],GUIA_NACIONAL_2022_1106128143146147148[[#This Row],[CIE-10]]),COUNTIFS(BASE[Cod.Establecimiento],$B$2,BASE[CODCIE102],GUIA_NACIONAL_2022_1106128143146147148[[#This Row],[CIE-10]]))</calculatedColumnFormula>
    </tableColumn>
    <tableColumn id="4" xr3:uid="{5706BE5F-E5D3-4456-9D79-04D14C5BE8E4}" name="D3" dataDxfId="116">
      <calculatedColumnFormula>IF($B$2="(Todas)",COUNTIF(BASE[CODCIE104],GUIA_NACIONAL_2022_1106128143146147148[[#This Row],[CIE-10]]),COUNTIFS(BASE[Cod.Establecimiento],$B$2,BASE[CODCIE104],GUIA_NACIONAL_2022_1106128143146147148[[#This Row],[CIE-10]]))</calculatedColumnFormula>
    </tableColumn>
    <tableColumn id="5" xr3:uid="{433067DD-F740-4D9C-B284-4528A59013B2}" name="D4" dataDxfId="115">
      <calculatedColumnFormula>IF($B$2="(Todas)",COUNTIF(BASE[CODCIE106],GUIA_NACIONAL_2022_1106128143146147148[[#This Row],[CIE-10]]),COUNTIFS(BASE[Cod.Establecimiento],$B$2,BASE[CODCIE106],GUIA_NACIONAL_2022_1106128143146147148[[#This Row],[CIE-10]]))</calculatedColumnFormula>
    </tableColumn>
    <tableColumn id="6" xr3:uid="{56034BB9-AA70-476A-BE6A-4EB951C3425D}" name="D5" dataDxfId="114">
      <calculatedColumnFormula>IF($B$2="(Todas)",COUNTIF(BASE[CODCIE108],GUIA_NACIONAL_2022_1106128143146147148[[#This Row],[CIE-10]]),COUNTIFS(BASE[Cod.Establecimiento],$B$2,BASE[CODCIE108],GUIA_NACIONAL_2022_1106128143146147148[[#This Row],[CIE-10]]))</calculatedColumnFormula>
    </tableColumn>
    <tableColumn id="7" xr3:uid="{162A2FC2-9B40-4B55-A78C-F4D7D84BF2A5}" name="D6" dataDxfId="113">
      <calculatedColumnFormula>IF($B$2="(Todas)",COUNTIF(BASE[CODCIE1010],GUIA_NACIONAL_2022_1106128143146147148[[#This Row],[CIE-10]]),COUNTIFS(BASE[Cod.Establecimiento],$B$2,BASE[CODCIE1010],GUIA_NACIONAL_2022_1106128143146147148[[#This Row],[CIE-10]]))</calculatedColumnFormula>
    </tableColumn>
    <tableColumn id="8" xr3:uid="{9A33FF36-A7DB-43BF-B519-A633C04311FB}" name="TOT" dataDxfId="112" dataCellStyle="40% - Énfasis6">
      <calculatedColumnFormula>SUM(GUIA_NACIONAL_2022_1106128143146147148[[#This Row],[D1]:[D6]])</calculatedColumnFormula>
    </tableColumn>
  </tableColumns>
  <tableStyleInfo name="TableStyleLight1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43C0C7AF-E158-4E4E-90F9-D579194D6B94}" name="GUIA_NACIONAL_2022_1106128143146149" displayName="GUIA_NACIONAL_2022_1106128143146149" ref="V31:AC32" totalsRowShown="0" headerRowDxfId="111">
  <autoFilter ref="V31:AC32" xr:uid="{43C0C7AF-E158-4E4E-90F9-D579194D6B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85ED8BF-827B-4D32-A1C4-C7B285E887DB}" name="CIE-10" dataCellStyle="20% - Énfasis4"/>
    <tableColumn id="2" xr3:uid="{635999B9-1555-4489-B6BD-545A2CCE4040}" name="D1" dataDxfId="110">
      <calculatedColumnFormula>IF($B$2="(Todas)",COUNTIF(BASE[CODCIE10],GUIA_NACIONAL_2022_1106128143146149[[#This Row],[CIE-10]]),COUNTIFS(BASE[Cod.Establecimiento],$B$2,BASE[CODCIE10],GUIA_NACIONAL_2022_1106128143146149[[#This Row],[CIE-10]]))</calculatedColumnFormula>
    </tableColumn>
    <tableColumn id="3" xr3:uid="{22722B48-120E-465A-92AA-AE4BBF8C1D4D}" name="D2" dataDxfId="109">
      <calculatedColumnFormula>IF($B$2="(Todas)",COUNTIF(BASE[CODCIE102],GUIA_NACIONAL_2022_1106128143146149[[#This Row],[CIE-10]]),COUNTIFS(BASE[Cod.Establecimiento],$B$2,BASE[CODCIE102],GUIA_NACIONAL_2022_1106128143146149[[#This Row],[CIE-10]]))</calculatedColumnFormula>
    </tableColumn>
    <tableColumn id="4" xr3:uid="{22FA77D0-7872-4452-AAB8-172ADA3870B0}" name="D3" dataDxfId="108">
      <calculatedColumnFormula>IF($B$2="(Todas)",COUNTIF(BASE[CODCIE104],GUIA_NACIONAL_2022_1106128143146149[[#This Row],[CIE-10]]),COUNTIFS(BASE[Cod.Establecimiento],$B$2,BASE[CODCIE104],GUIA_NACIONAL_2022_1106128143146149[[#This Row],[CIE-10]]))</calculatedColumnFormula>
    </tableColumn>
    <tableColumn id="5" xr3:uid="{D5B58F10-8D8E-49C7-97EA-9DEDCD2688B1}" name="D4" dataDxfId="107">
      <calculatedColumnFormula>IF($B$2="(Todas)",COUNTIF(BASE[CODCIE106],GUIA_NACIONAL_2022_1106128143146149[[#This Row],[CIE-10]]),COUNTIFS(BASE[Cod.Establecimiento],$B$2,BASE[CODCIE106],GUIA_NACIONAL_2022_1106128143146149[[#This Row],[CIE-10]]))</calculatedColumnFormula>
    </tableColumn>
    <tableColumn id="6" xr3:uid="{C43FA606-6AB2-41F6-93AE-D9CD9D7CEA36}" name="D5" dataDxfId="106">
      <calculatedColumnFormula>IF($B$2="(Todas)",COUNTIF(BASE[CODCIE108],GUIA_NACIONAL_2022_1106128143146149[[#This Row],[CIE-10]]),COUNTIFS(BASE[Cod.Establecimiento],$B$2,BASE[CODCIE108],GUIA_NACIONAL_2022_1106128143146149[[#This Row],[CIE-10]]))</calculatedColumnFormula>
    </tableColumn>
    <tableColumn id="7" xr3:uid="{E2E92425-AE00-4CA1-BFBA-E117B89E1796}" name="D6" dataDxfId="105">
      <calculatedColumnFormula>IF($B$2="(Todas)",COUNTIF(BASE[CODCIE1010],GUIA_NACIONAL_2022_1106128143146149[[#This Row],[CIE-10]]),COUNTIFS(BASE[Cod.Establecimiento],$B$2,BASE[CODCIE1010],GUIA_NACIONAL_2022_1106128143146149[[#This Row],[CIE-10]]))</calculatedColumnFormula>
    </tableColumn>
    <tableColumn id="8" xr3:uid="{0CC0A133-3854-4172-8592-FE82391DA0A0}" name="TOT" dataDxfId="104" dataCellStyle="40% - Énfasis6">
      <calculatedColumnFormula>SUM(GUIA_NACIONAL_2022_1106128143146149[[#This Row],[D1]:[D6]])</calculatedColumnFormula>
    </tableColumn>
  </tableColumns>
  <tableStyleInfo name="TableStyleLight1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2B377CF3-5DCC-4E88-BC0F-DDB351F1D34E}" name="GUIA_NACIONAL_2022_1106128143146150" displayName="GUIA_NACIONAL_2022_1106128143146150" ref="V35:AC36" totalsRowShown="0" headerRowDxfId="103">
  <autoFilter ref="V35:AC36" xr:uid="{2B377CF3-5DCC-4E88-BC0F-DDB351F1D3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543EE71-4394-4BEF-A7ED-9857D9EA7126}" name="CIE-10" dataCellStyle="20% - Énfasis4"/>
    <tableColumn id="2" xr3:uid="{FC172F9A-8040-4CE6-B3FA-B0AFD51D8D8D}" name="D1" dataDxfId="102">
      <calculatedColumnFormula>IF($B$2="(Todas)",COUNTIF(BASE[CODCIE10],GUIA_NACIONAL_2022_1106128143146150[[#This Row],[CIE-10]]),COUNTIFS(BASE[Cod.Establecimiento],$B$2,BASE[CODCIE10],GUIA_NACIONAL_2022_1106128143146150[[#This Row],[CIE-10]]))</calculatedColumnFormula>
    </tableColumn>
    <tableColumn id="3" xr3:uid="{FA9799CA-A84A-46B2-B357-CC2636C8E515}" name="D2" dataDxfId="101">
      <calculatedColumnFormula>IF($B$2="(Todas)",COUNTIF(BASE[CODCIE102],GUIA_NACIONAL_2022_1106128143146150[[#This Row],[CIE-10]]),COUNTIFS(BASE[Cod.Establecimiento],$B$2,BASE[CODCIE102],GUIA_NACIONAL_2022_1106128143146150[[#This Row],[CIE-10]]))</calculatedColumnFormula>
    </tableColumn>
    <tableColumn id="4" xr3:uid="{701074B6-FF71-4909-B7C0-8BA07A148E5F}" name="D3" dataDxfId="100">
      <calculatedColumnFormula>IF($B$2="(Todas)",COUNTIF(BASE[CODCIE104],GUIA_NACIONAL_2022_1106128143146150[[#This Row],[CIE-10]]),COUNTIFS(BASE[Cod.Establecimiento],$B$2,BASE[CODCIE104],GUIA_NACIONAL_2022_1106128143146150[[#This Row],[CIE-10]]))</calculatedColumnFormula>
    </tableColumn>
    <tableColumn id="5" xr3:uid="{6D70D178-2870-486D-950D-37469BA0D780}" name="D4" dataDxfId="99">
      <calculatedColumnFormula>IF($B$2="(Todas)",COUNTIF(BASE[CODCIE106],GUIA_NACIONAL_2022_1106128143146150[[#This Row],[CIE-10]]),COUNTIFS(BASE[Cod.Establecimiento],$B$2,BASE[CODCIE106],GUIA_NACIONAL_2022_1106128143146150[[#This Row],[CIE-10]]))</calculatedColumnFormula>
    </tableColumn>
    <tableColumn id="6" xr3:uid="{AA83BDC9-4EDD-4934-9480-60C2F33992CD}" name="D5" dataDxfId="98">
      <calculatedColumnFormula>IF($B$2="(Todas)",COUNTIF(BASE[CODCIE108],GUIA_NACIONAL_2022_1106128143146150[[#This Row],[CIE-10]]),COUNTIFS(BASE[Cod.Establecimiento],$B$2,BASE[CODCIE108],GUIA_NACIONAL_2022_1106128143146150[[#This Row],[CIE-10]]))</calculatedColumnFormula>
    </tableColumn>
    <tableColumn id="7" xr3:uid="{41411913-ED92-4EEB-9F35-BB6AE75A8C6D}" name="D6" dataDxfId="97">
      <calculatedColumnFormula>IF($B$2="(Todas)",COUNTIF(BASE[CODCIE1010],GUIA_NACIONAL_2022_1106128143146150[[#This Row],[CIE-10]]),COUNTIFS(BASE[Cod.Establecimiento],$B$2,BASE[CODCIE1010],GUIA_NACIONAL_2022_1106128143146150[[#This Row],[CIE-10]]))</calculatedColumnFormula>
    </tableColumn>
    <tableColumn id="8" xr3:uid="{10AFB660-07F7-4E55-8E67-DD49F2265247}" name="TOT" dataDxfId="96" dataCellStyle="40% - Énfasis6">
      <calculatedColumnFormula>SUM(GUIA_NACIONAL_2022_1106128143146150[[#This Row],[D1]:[D6]])</calculatedColumnFormula>
    </tableColumn>
  </tableColumns>
  <tableStyleInfo name="TableStyleLight1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CC0C8A16-80D6-4A98-AEFC-DDFA4AA9D742}" name="GUIA_NACIONAL_2022_1106128143146150151" displayName="GUIA_NACIONAL_2022_1106128143146150151" ref="V38:AC43" totalsRowShown="0" headerRowDxfId="95">
  <autoFilter ref="V38:AC43" xr:uid="{CC0C8A16-80D6-4A98-AEFC-DDFA4AA9D7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BAC166B-09C5-4FDC-86A2-91378AC1310C}" name="CIE-10" dataCellStyle="20% - Énfasis4"/>
    <tableColumn id="2" xr3:uid="{2B0FBBF6-7A52-4D14-AB84-9DC59E9D0448}" name="D1" dataDxfId="94">
      <calculatedColumnFormula>IF($B$2="(Todas)",COUNTIF(BASE[CODCIE10],GUIA_NACIONAL_2022_1106128143146150151[[#This Row],[CIE-10]]),COUNTIFS(BASE[Cod.Establecimiento],$B$2,BASE[CODCIE10],GUIA_NACIONAL_2022_1106128143146150151[[#This Row],[CIE-10]]))</calculatedColumnFormula>
    </tableColumn>
    <tableColumn id="3" xr3:uid="{5FF57A76-BD21-45C8-9575-BBC0EBF7EF76}" name="D2" dataDxfId="93">
      <calculatedColumnFormula>IF($B$2="(Todas)",COUNTIF(BASE[CODCIE102],GUIA_NACIONAL_2022_1106128143146150151[[#This Row],[CIE-10]]),COUNTIFS(BASE[Cod.Establecimiento],$B$2,BASE[CODCIE102],GUIA_NACIONAL_2022_1106128143146150151[[#This Row],[CIE-10]]))</calculatedColumnFormula>
    </tableColumn>
    <tableColumn id="4" xr3:uid="{A8850FA5-291D-48AA-9D84-5B3C3143FABC}" name="D3" dataDxfId="92">
      <calculatedColumnFormula>IF($B$2="(Todas)",COUNTIF(BASE[CODCIE104],GUIA_NACIONAL_2022_1106128143146150151[[#This Row],[CIE-10]]),COUNTIFS(BASE[Cod.Establecimiento],$B$2,BASE[CODCIE104],GUIA_NACIONAL_2022_1106128143146150151[[#This Row],[CIE-10]]))</calculatedColumnFormula>
    </tableColumn>
    <tableColumn id="5" xr3:uid="{59C520D3-F178-44CC-89A5-716BDF451FE2}" name="D4" dataDxfId="91">
      <calculatedColumnFormula>IF($B$2="(Todas)",COUNTIF(BASE[CODCIE106],GUIA_NACIONAL_2022_1106128143146150151[[#This Row],[CIE-10]]),COUNTIFS(BASE[Cod.Establecimiento],$B$2,BASE[CODCIE106],GUIA_NACIONAL_2022_1106128143146150151[[#This Row],[CIE-10]]))</calculatedColumnFormula>
    </tableColumn>
    <tableColumn id="6" xr3:uid="{7B8585E6-96A2-4E88-87E5-74C72AC0B104}" name="D5" dataDxfId="90">
      <calculatedColumnFormula>IF($B$2="(Todas)",COUNTIF(BASE[CODCIE108],GUIA_NACIONAL_2022_1106128143146150151[[#This Row],[CIE-10]]),COUNTIFS(BASE[Cod.Establecimiento],$B$2,BASE[CODCIE108],GUIA_NACIONAL_2022_1106128143146150151[[#This Row],[CIE-10]]))</calculatedColumnFormula>
    </tableColumn>
    <tableColumn id="7" xr3:uid="{24F46AAF-F4C2-4140-846A-A08BD4BEABCB}" name="D6" dataDxfId="89">
      <calculatedColumnFormula>IF($B$2="(Todas)",COUNTIF(BASE[CODCIE1010],GUIA_NACIONAL_2022_1106128143146150151[[#This Row],[CIE-10]]),COUNTIFS(BASE[Cod.Establecimiento],$B$2,BASE[CODCIE1010],GUIA_NACIONAL_2022_1106128143146150151[[#This Row],[CIE-10]]))</calculatedColumnFormula>
    </tableColumn>
    <tableColumn id="8" xr3:uid="{A3DB8083-270C-4D12-96F7-1AD3FEA1C33A}" name="TOT" dataDxfId="88" dataCellStyle="40% - Énfasis6">
      <calculatedColumnFormula>SUM(GUIA_NACIONAL_2022_1106128143146150151[[#This Row],[D1]:[D6]])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ENOS_G1_POLIOMIELITIS_AGUDA" displayName="ENOS_G1_POLIOMIELITIS_AGUDA" ref="Y40:AF41" totalsRowShown="0" headerRowDxfId="1167">
  <autoFilter ref="Y40:AF41" xr:uid="{00000000-0009-0000-0100-00000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E00-000001000000}" name="CIE-10" dataCellStyle="20% - Énfasis4"/>
    <tableColumn id="2" xr3:uid="{00000000-0010-0000-0E00-000002000000}" name="D1" dataDxfId="1166">
      <calculatedColumnFormula>IF($O$3="(Todas)",COUNTIF(BASE[CODCIE10],ENOS_G1_POLIOMIELITIS_AGUDA[[#This Row],[CIE-10]]),COUNTIFS(BASE[Cod.Establecimiento],$O$3,BASE[CODCIE10],ENOS_G1_POLIOMIELITIS_AGUDA[[#This Row],[CIE-10]]))</calculatedColumnFormula>
    </tableColumn>
    <tableColumn id="3" xr3:uid="{00000000-0010-0000-0E00-000003000000}" name="D2" dataDxfId="1165">
      <calculatedColumnFormula>IF($O$3="(Todas)",COUNTIF(BASE[CODCIE102],ENOS_G1_POLIOMIELITIS_AGUDA[[#This Row],[CIE-10]]),COUNTIFS(BASE[Cod.Establecimiento],$O$3,BASE[CODCIE102],ENOS_G1_POLIOMIELITIS_AGUDA[[#This Row],[CIE-10]]))</calculatedColumnFormula>
    </tableColumn>
    <tableColumn id="4" xr3:uid="{00000000-0010-0000-0E00-000004000000}" name="D3" dataDxfId="1164">
      <calculatedColumnFormula>IF($O$3="(Todas)",COUNTIF(BASE[CODCIE104],ENOS_G1_POLIOMIELITIS_AGUDA[[#This Row],[CIE-10]]),COUNTIFS(BASE[Cod.Establecimiento],$O$3,BASE[CODCIE104],ENOS_G1_POLIOMIELITIS_AGUDA[[#This Row],[CIE-10]]))</calculatedColumnFormula>
    </tableColumn>
    <tableColumn id="5" xr3:uid="{00000000-0010-0000-0E00-000005000000}" name="D4" dataDxfId="1163">
      <calculatedColumnFormula>IF($O$3="(Todas)",COUNTIF(BASE[CODCIE106],ENOS_G1_POLIOMIELITIS_AGUDA[[#This Row],[CIE-10]]),COUNTIFS(BASE[Cod.Establecimiento],$O$3,BASE[CODCIE106],ENOS_G1_POLIOMIELITIS_AGUDA[[#This Row],[CIE-10]]))</calculatedColumnFormula>
    </tableColumn>
    <tableColumn id="6" xr3:uid="{00000000-0010-0000-0E00-000006000000}" name="D5" dataDxfId="1162">
      <calculatedColumnFormula>IF($O$3="(Todas)",COUNTIF(BASE[CODCIE108],ENOS_G1_POLIOMIELITIS_AGUDA[[#This Row],[CIE-10]]),COUNTIFS(BASE[Cod.Establecimiento],$O$3,BASE[CODCIE108],ENOS_G1_POLIOMIELITIS_AGUDA[[#This Row],[CIE-10]]))</calculatedColumnFormula>
    </tableColumn>
    <tableColumn id="7" xr3:uid="{00000000-0010-0000-0E00-000007000000}" name="D6" dataDxfId="1161">
      <calculatedColumnFormula>IF($O$3="(Todas)",COUNTIF(BASE[CODCIE1010],ENOS_G1_POLIOMIELITIS_AGUDA[[#This Row],[CIE-10]]),COUNTIFS(BASE[Cod.Establecimiento],$O$3,BASE[CODCIE1010],ENOS_G1_POLIOMIELITIS_AGUDA[[#This Row],[CIE-10]]))</calculatedColumnFormula>
    </tableColumn>
    <tableColumn id="8" xr3:uid="{00000000-0010-0000-0E00-000008000000}" name="TOT" dataDxfId="1160">
      <calculatedColumnFormula>SUM(ENOS_G1_POLIOMIELITIS_AGUDA[[#This Row],[D1]:[D6]])</calculatedColumnFormula>
    </tableColumn>
  </tableColumns>
  <tableStyleInfo name="TableStyleLight1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EF4597E4-BDBA-4581-9D5F-DEFE0FC3218D}" name="GUIA_NACIONAL_2022_1106128143146150152" displayName="GUIA_NACIONAL_2022_1106128143146150152" ref="V46:AC52" totalsRowShown="0" headerRowDxfId="87">
  <autoFilter ref="V46:AC52" xr:uid="{EF4597E4-BDBA-4581-9D5F-DEFE0FC321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4F5A21E-7B87-48D6-B8CC-3C6841B411A4}" name="CIE-10" dataCellStyle="20% - Énfasis4"/>
    <tableColumn id="2" xr3:uid="{0986E979-9198-485F-9A91-C403E6FA4F99}" name="D1" dataDxfId="86">
      <calculatedColumnFormula>IF($B$2="(Todas)",COUNTIF(BASE[CODCIE10],GUIA_NACIONAL_2022_1106128143146150152[[#This Row],[CIE-10]]),COUNTIFS(BASE[Cod.Establecimiento],$B$2,BASE[CODCIE10],GUIA_NACIONAL_2022_1106128143146150152[[#This Row],[CIE-10]]))</calculatedColumnFormula>
    </tableColumn>
    <tableColumn id="3" xr3:uid="{7C62A2F0-3EB3-415C-8962-4A2226CEBD41}" name="D2" dataDxfId="85">
      <calculatedColumnFormula>IF($B$2="(Todas)",COUNTIF(BASE[CODCIE102],GUIA_NACIONAL_2022_1106128143146150152[[#This Row],[CIE-10]]),COUNTIFS(BASE[Cod.Establecimiento],$B$2,BASE[CODCIE102],GUIA_NACIONAL_2022_1106128143146150152[[#This Row],[CIE-10]]))</calculatedColumnFormula>
    </tableColumn>
    <tableColumn id="4" xr3:uid="{0D66EE05-3400-4DA9-8D0C-8FE26BFCD327}" name="D3" dataDxfId="84">
      <calculatedColumnFormula>IF($B$2="(Todas)",COUNTIF(BASE[CODCIE104],GUIA_NACIONAL_2022_1106128143146150152[[#This Row],[CIE-10]]),COUNTIFS(BASE[Cod.Establecimiento],$B$2,BASE[CODCIE104],GUIA_NACIONAL_2022_1106128143146150152[[#This Row],[CIE-10]]))</calculatedColumnFormula>
    </tableColumn>
    <tableColumn id="5" xr3:uid="{02421803-CA75-4D27-9652-969ED7C783BB}" name="D4" dataDxfId="83">
      <calculatedColumnFormula>IF($B$2="(Todas)",COUNTIF(BASE[CODCIE106],GUIA_NACIONAL_2022_1106128143146150152[[#This Row],[CIE-10]]),COUNTIFS(BASE[Cod.Establecimiento],$B$2,BASE[CODCIE106],GUIA_NACIONAL_2022_1106128143146150152[[#This Row],[CIE-10]]))</calculatedColumnFormula>
    </tableColumn>
    <tableColumn id="6" xr3:uid="{2E21B29E-4485-46BF-9A6C-4F80F1D48939}" name="D5" dataDxfId="82">
      <calculatedColumnFormula>IF($B$2="(Todas)",COUNTIF(BASE[CODCIE108],GUIA_NACIONAL_2022_1106128143146150152[[#This Row],[CIE-10]]),COUNTIFS(BASE[Cod.Establecimiento],$B$2,BASE[CODCIE108],GUIA_NACIONAL_2022_1106128143146150152[[#This Row],[CIE-10]]))</calculatedColumnFormula>
    </tableColumn>
    <tableColumn id="7" xr3:uid="{2DF8E3CA-7E2C-4F4E-A3D8-8D07BA6056CC}" name="D6" dataDxfId="81">
      <calculatedColumnFormula>IF($B$2="(Todas)",COUNTIF(BASE[CODCIE1010],GUIA_NACIONAL_2022_1106128143146150152[[#This Row],[CIE-10]]),COUNTIFS(BASE[Cod.Establecimiento],$B$2,BASE[CODCIE1010],GUIA_NACIONAL_2022_1106128143146150152[[#This Row],[CIE-10]]))</calculatedColumnFormula>
    </tableColumn>
    <tableColumn id="8" xr3:uid="{643B6033-D20B-442E-AC3E-3BB408771F79}" name="TOT" dataDxfId="80" dataCellStyle="40% - Énfasis6">
      <calculatedColumnFormula>SUM(GUIA_NACIONAL_2022_1106128143146150152[[#This Row],[D1]:[D6]])</calculatedColumnFormula>
    </tableColumn>
  </tableColumns>
  <tableStyleInfo name="TableStyleLight1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159168B2-FB31-444E-9612-5BD24C5ECA85}" name="GUIA_NACIONAL_2022_1106128143146150153" displayName="GUIA_NACIONAL_2022_1106128143146150153" ref="V54:AC55" totalsRowShown="0" headerRowDxfId="79">
  <autoFilter ref="V54:AC55" xr:uid="{159168B2-FB31-444E-9612-5BD24C5ECA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FD158A8-41A0-4668-A1A6-055E50D6F416}" name="CIE-10" dataCellStyle="20% - Énfasis4"/>
    <tableColumn id="2" xr3:uid="{964C18D4-21B5-4C7F-9AC7-82335634E9E7}" name="D1" dataDxfId="78">
      <calculatedColumnFormula>IF($B$2="(Todas)",COUNTIF(BASE[CODCIE10],GUIA_NACIONAL_2022_1106128143146150153[[#This Row],[CIE-10]]),COUNTIFS(BASE[Cod.Establecimiento],$B$2,BASE[CODCIE10],GUIA_NACIONAL_2022_1106128143146150153[[#This Row],[CIE-10]]))</calculatedColumnFormula>
    </tableColumn>
    <tableColumn id="3" xr3:uid="{32E0F1FA-1C94-4B85-AE90-585BE2169092}" name="D2" dataDxfId="77">
      <calculatedColumnFormula>IF($B$2="(Todas)",COUNTIF(BASE[CODCIE102],GUIA_NACIONAL_2022_1106128143146150153[[#This Row],[CIE-10]]),COUNTIFS(BASE[Cod.Establecimiento],$B$2,BASE[CODCIE102],GUIA_NACIONAL_2022_1106128143146150153[[#This Row],[CIE-10]]))</calculatedColumnFormula>
    </tableColumn>
    <tableColumn id="4" xr3:uid="{ED23F143-E6CB-4A88-8386-B622F124C801}" name="D3" dataDxfId="76">
      <calculatedColumnFormula>IF($B$2="(Todas)",COUNTIF(BASE[CODCIE104],GUIA_NACIONAL_2022_1106128143146150153[[#This Row],[CIE-10]]),COUNTIFS(BASE[Cod.Establecimiento],$B$2,BASE[CODCIE104],GUIA_NACIONAL_2022_1106128143146150153[[#This Row],[CIE-10]]))</calculatedColumnFormula>
    </tableColumn>
    <tableColumn id="5" xr3:uid="{E7EF8F01-9890-4521-844C-6FE9D11ACB8C}" name="D4" dataDxfId="75">
      <calculatedColumnFormula>IF($B$2="(Todas)",COUNTIF(BASE[CODCIE106],GUIA_NACIONAL_2022_1106128143146150153[[#This Row],[CIE-10]]),COUNTIFS(BASE[Cod.Establecimiento],$B$2,BASE[CODCIE106],GUIA_NACIONAL_2022_1106128143146150153[[#This Row],[CIE-10]]))</calculatedColumnFormula>
    </tableColumn>
    <tableColumn id="6" xr3:uid="{93B0B5B6-26E5-445A-AF9F-A21CDD239443}" name="D5" dataDxfId="74">
      <calculatedColumnFormula>IF($B$2="(Todas)",COUNTIF(BASE[CODCIE108],GUIA_NACIONAL_2022_1106128143146150153[[#This Row],[CIE-10]]),COUNTIFS(BASE[Cod.Establecimiento],$B$2,BASE[CODCIE108],GUIA_NACIONAL_2022_1106128143146150153[[#This Row],[CIE-10]]))</calculatedColumnFormula>
    </tableColumn>
    <tableColumn id="7" xr3:uid="{2F3CAEC1-D4C3-4DE7-B131-F8454057C4EC}" name="D6" dataDxfId="73">
      <calculatedColumnFormula>IF($B$2="(Todas)",COUNTIF(BASE[CODCIE1010],GUIA_NACIONAL_2022_1106128143146150153[[#This Row],[CIE-10]]),COUNTIFS(BASE[Cod.Establecimiento],$B$2,BASE[CODCIE1010],GUIA_NACIONAL_2022_1106128143146150153[[#This Row],[CIE-10]]))</calculatedColumnFormula>
    </tableColumn>
    <tableColumn id="8" xr3:uid="{D734B737-1AD8-40D8-9268-BDC6A2056B26}" name="TOT" dataDxfId="72" dataCellStyle="40% - Énfasis6">
      <calculatedColumnFormula>SUM(GUIA_NACIONAL_2022_1106128143146150153[[#This Row],[D1]:[D6]])</calculatedColumnFormula>
    </tableColumn>
  </tableColumns>
  <tableStyleInfo name="TableStyleLight1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F43D556B-A256-449A-870A-B1AFE19BE822}" name="GUIA_NACIONAL_2022_1106128143146150152154" displayName="GUIA_NACIONAL_2022_1106128143146150152154" ref="V58:AC66" totalsRowShown="0" headerRowDxfId="71">
  <autoFilter ref="V58:AC66" xr:uid="{F43D556B-A256-449A-870A-B1AFE19BE8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A27AC01-8165-4651-9CAD-0D96D2C6357A}" name="CIE-10" dataCellStyle="20% - Énfasis4"/>
    <tableColumn id="2" xr3:uid="{70AC1B83-4024-476C-B068-CCAB17EB77D7}" name="D1" dataDxfId="70">
      <calculatedColumnFormula>IF($B$2="(Todas)",COUNTIF(BASE[CODCIE10],GUIA_NACIONAL_2022_1106128143146150152154[[#This Row],[CIE-10]]),COUNTIFS(BASE[Cod.Establecimiento],$B$2,BASE[CODCIE10],GUIA_NACIONAL_2022_1106128143146150152154[[#This Row],[CIE-10]]))</calculatedColumnFormula>
    </tableColumn>
    <tableColumn id="3" xr3:uid="{A0D946B8-BDD4-4518-9725-E0094F901DA7}" name="D2" dataDxfId="69">
      <calculatedColumnFormula>IF($B$2="(Todas)",COUNTIF(BASE[CODCIE102],GUIA_NACIONAL_2022_1106128143146150152154[[#This Row],[CIE-10]]),COUNTIFS(BASE[Cod.Establecimiento],$B$2,BASE[CODCIE102],GUIA_NACIONAL_2022_1106128143146150152154[[#This Row],[CIE-10]]))</calculatedColumnFormula>
    </tableColumn>
    <tableColumn id="4" xr3:uid="{2363E915-B61E-41EB-886F-DB164589A77C}" name="D3" dataDxfId="68">
      <calculatedColumnFormula>IF($B$2="(Todas)",COUNTIF(BASE[CODCIE104],GUIA_NACIONAL_2022_1106128143146150152154[[#This Row],[CIE-10]]),COUNTIFS(BASE[Cod.Establecimiento],$B$2,BASE[CODCIE104],GUIA_NACIONAL_2022_1106128143146150152154[[#This Row],[CIE-10]]))</calculatedColumnFormula>
    </tableColumn>
    <tableColumn id="5" xr3:uid="{8DF7B555-98CB-43D8-A38B-8F6772A80595}" name="D4" dataDxfId="67">
      <calculatedColumnFormula>IF($B$2="(Todas)",COUNTIF(BASE[CODCIE106],GUIA_NACIONAL_2022_1106128143146150152154[[#This Row],[CIE-10]]),COUNTIFS(BASE[Cod.Establecimiento],$B$2,BASE[CODCIE106],GUIA_NACIONAL_2022_1106128143146150152154[[#This Row],[CIE-10]]))</calculatedColumnFormula>
    </tableColumn>
    <tableColumn id="6" xr3:uid="{00ECABB2-73C1-4AAF-B0F2-F65ADDDB3574}" name="D5" dataDxfId="66">
      <calculatedColumnFormula>IF($B$2="(Todas)",COUNTIF(BASE[CODCIE108],GUIA_NACIONAL_2022_1106128143146150152154[[#This Row],[CIE-10]]),COUNTIFS(BASE[Cod.Establecimiento],$B$2,BASE[CODCIE108],GUIA_NACIONAL_2022_1106128143146150152154[[#This Row],[CIE-10]]))</calculatedColumnFormula>
    </tableColumn>
    <tableColumn id="7" xr3:uid="{58C8FA55-34FE-4415-A32D-89F903BF4476}" name="D6" dataDxfId="65">
      <calculatedColumnFormula>IF($B$2="(Todas)",COUNTIF(BASE[CODCIE1010],GUIA_NACIONAL_2022_1106128143146150152154[[#This Row],[CIE-10]]),COUNTIFS(BASE[Cod.Establecimiento],$B$2,BASE[CODCIE1010],GUIA_NACIONAL_2022_1106128143146150152154[[#This Row],[CIE-10]]))</calculatedColumnFormula>
    </tableColumn>
    <tableColumn id="8" xr3:uid="{1A1D8AD9-43A5-473F-B392-5A7989A9E2D1}" name="TOT" dataDxfId="64" dataCellStyle="40% - Énfasis6">
      <calculatedColumnFormula>SUM(GUIA_NACIONAL_2022_1106128143146150152154[[#This Row],[D1]:[D6]])</calculatedColumnFormula>
    </tableColumn>
  </tableColumns>
  <tableStyleInfo name="TableStyleLight1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C296C996-4947-4CDA-BA7A-AF9F7A325E87}" name="GUIA_NACIONAL_2022_1106128143146150152154155" displayName="GUIA_NACIONAL_2022_1106128143146150152154155" ref="V68:AC69" totalsRowShown="0" headerRowDxfId="63">
  <autoFilter ref="V68:AC69" xr:uid="{C296C996-4947-4CDA-BA7A-AF9F7A325E8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7CD5BA9-47D8-44D4-91C3-9E03530B39F4}" name="CIE-10" dataCellStyle="20% - Énfasis4"/>
    <tableColumn id="2" xr3:uid="{431E2B9D-A71A-44C5-8BC2-B29826914ED0}" name="D1" dataDxfId="62">
      <calculatedColumnFormula>IF($B$2="(Todas)",COUNTIF(BASE[CODCIE10],GUIA_NACIONAL_2022_1106128143146150152154155[[#This Row],[CIE-10]]),COUNTIFS(BASE[Cod.Establecimiento],$B$2,BASE[CODCIE10],GUIA_NACIONAL_2022_1106128143146150152154155[[#This Row],[CIE-10]]))</calculatedColumnFormula>
    </tableColumn>
    <tableColumn id="3" xr3:uid="{506567B3-1B40-467B-8FCA-7883FF33D67D}" name="D2" dataDxfId="61">
      <calculatedColumnFormula>IF($B$2="(Todas)",COUNTIF(BASE[CODCIE102],GUIA_NACIONAL_2022_1106128143146150152154155[[#This Row],[CIE-10]]),COUNTIFS(BASE[Cod.Establecimiento],$B$2,BASE[CODCIE102],GUIA_NACIONAL_2022_1106128143146150152154155[[#This Row],[CIE-10]]))</calculatedColumnFormula>
    </tableColumn>
    <tableColumn id="4" xr3:uid="{3316D44E-9884-4EE5-92F5-5F8516404ED2}" name="D3" dataDxfId="60">
      <calculatedColumnFormula>IF($B$2="(Todas)",COUNTIF(BASE[CODCIE104],GUIA_NACIONAL_2022_1106128143146150152154155[[#This Row],[CIE-10]]),COUNTIFS(BASE[Cod.Establecimiento],$B$2,BASE[CODCIE104],GUIA_NACIONAL_2022_1106128143146150152154155[[#This Row],[CIE-10]]))</calculatedColumnFormula>
    </tableColumn>
    <tableColumn id="5" xr3:uid="{DFD5DA1F-24E8-4AB7-B4D4-EA7E07B6BB8C}" name="D4" dataDxfId="59">
      <calculatedColumnFormula>IF($B$2="(Todas)",COUNTIF(BASE[CODCIE106],GUIA_NACIONAL_2022_1106128143146150152154155[[#This Row],[CIE-10]]),COUNTIFS(BASE[Cod.Establecimiento],$B$2,BASE[CODCIE106],GUIA_NACIONAL_2022_1106128143146150152154155[[#This Row],[CIE-10]]))</calculatedColumnFormula>
    </tableColumn>
    <tableColumn id="6" xr3:uid="{5F144B9F-1EC3-4588-BDF7-FE0939871A40}" name="D5" dataDxfId="58">
      <calculatedColumnFormula>IF($B$2="(Todas)",COUNTIF(BASE[CODCIE108],GUIA_NACIONAL_2022_1106128143146150152154155[[#This Row],[CIE-10]]),COUNTIFS(BASE[Cod.Establecimiento],$B$2,BASE[CODCIE108],GUIA_NACIONAL_2022_1106128143146150152154155[[#This Row],[CIE-10]]))</calculatedColumnFormula>
    </tableColumn>
    <tableColumn id="7" xr3:uid="{4FC1EEC8-2E4A-49E2-917C-50DA958F779D}" name="D6" dataDxfId="57">
      <calculatedColumnFormula>IF($B$2="(Todas)",COUNTIF(BASE[CODCIE1010],GUIA_NACIONAL_2022_1106128143146150152154155[[#This Row],[CIE-10]]),COUNTIFS(BASE[Cod.Establecimiento],$B$2,BASE[CODCIE1010],GUIA_NACIONAL_2022_1106128143146150152154155[[#This Row],[CIE-10]]))</calculatedColumnFormula>
    </tableColumn>
    <tableColumn id="8" xr3:uid="{054DA32B-D888-4386-A48F-37B205E57483}" name="TOT" dataDxfId="56" dataCellStyle="40% - Énfasis6">
      <calculatedColumnFormula>SUM(GUIA_NACIONAL_2022_1106128143146150152154155[[#This Row],[D1]:[D6]])</calculatedColumnFormula>
    </tableColumn>
  </tableColumns>
  <tableStyleInfo name="TableStyleLight1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905D2B61-2040-413E-B1D4-9BB62C6A0351}" name="GUIA_NACIONAL_2022_1106128143146150153156" displayName="GUIA_NACIONAL_2022_1106128143146150153156" ref="V71:AC72" totalsRowShown="0" headerRowDxfId="55">
  <autoFilter ref="V71:AC72" xr:uid="{905D2B61-2040-413E-B1D4-9BB62C6A03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1FFEB4E-54E7-47B6-81F9-42734866951B}" name="CIE-10" dataCellStyle="20% - Énfasis4"/>
    <tableColumn id="2" xr3:uid="{C172FD29-58AE-4A61-879F-642BCCDC3FDA}" name="D1" dataDxfId="54">
      <calculatedColumnFormula>IF($B$2="(Todas)",COUNTIF(BASE[CODCIE10],GUIA_NACIONAL_2022_1106128143146150153156[[#This Row],[CIE-10]]),COUNTIFS(BASE[Cod.Establecimiento],$B$2,BASE[CODCIE10],GUIA_NACIONAL_2022_1106128143146150153156[[#This Row],[CIE-10]]))</calculatedColumnFormula>
    </tableColumn>
    <tableColumn id="3" xr3:uid="{1A1C8942-30F6-400B-975D-78BFAB2D79C6}" name="D2" dataDxfId="53">
      <calculatedColumnFormula>IF($B$2="(Todas)",COUNTIF(BASE[CODCIE102],GUIA_NACIONAL_2022_1106128143146150153156[[#This Row],[CIE-10]]),COUNTIFS(BASE[Cod.Establecimiento],$B$2,BASE[CODCIE102],GUIA_NACIONAL_2022_1106128143146150153156[[#This Row],[CIE-10]]))</calculatedColumnFormula>
    </tableColumn>
    <tableColumn id="4" xr3:uid="{C3C5D5CC-5118-4ADA-A5FB-99431CFBE9DE}" name="D3" dataDxfId="52">
      <calculatedColumnFormula>IF($B$2="(Todas)",COUNTIF(BASE[CODCIE104],GUIA_NACIONAL_2022_1106128143146150153156[[#This Row],[CIE-10]]),COUNTIFS(BASE[Cod.Establecimiento],$B$2,BASE[CODCIE104],GUIA_NACIONAL_2022_1106128143146150153156[[#This Row],[CIE-10]]))</calculatedColumnFormula>
    </tableColumn>
    <tableColumn id="5" xr3:uid="{E83B8497-52BA-4A3A-957F-6F162DA6C23D}" name="D4" dataDxfId="51">
      <calculatedColumnFormula>IF($B$2="(Todas)",COUNTIF(BASE[CODCIE106],GUIA_NACIONAL_2022_1106128143146150153156[[#This Row],[CIE-10]]),COUNTIFS(BASE[Cod.Establecimiento],$B$2,BASE[CODCIE106],GUIA_NACIONAL_2022_1106128143146150153156[[#This Row],[CIE-10]]))</calculatedColumnFormula>
    </tableColumn>
    <tableColumn id="6" xr3:uid="{6D0547F8-547F-460F-B79C-DCB46EF72E41}" name="D5" dataDxfId="50">
      <calculatedColumnFormula>IF($B$2="(Todas)",COUNTIF(BASE[CODCIE108],GUIA_NACIONAL_2022_1106128143146150153156[[#This Row],[CIE-10]]),COUNTIFS(BASE[Cod.Establecimiento],$B$2,BASE[CODCIE108],GUIA_NACIONAL_2022_1106128143146150153156[[#This Row],[CIE-10]]))</calculatedColumnFormula>
    </tableColumn>
    <tableColumn id="7" xr3:uid="{45163C09-8F61-48F5-9CB7-76A278991415}" name="D6" dataDxfId="49">
      <calculatedColumnFormula>IF($B$2="(Todas)",COUNTIF(BASE[CODCIE1010],GUIA_NACIONAL_2022_1106128143146150153156[[#This Row],[CIE-10]]),COUNTIFS(BASE[Cod.Establecimiento],$B$2,BASE[CODCIE1010],GUIA_NACIONAL_2022_1106128143146150153156[[#This Row],[CIE-10]]))</calculatedColumnFormula>
    </tableColumn>
    <tableColumn id="8" xr3:uid="{D9154E18-0C2C-4379-A25E-8E470977CEC8}" name="TOT" dataDxfId="48" dataCellStyle="40% - Énfasis6">
      <calculatedColumnFormula>SUM(GUIA_NACIONAL_2022_1106128143146150153156[[#This Row],[D1]:[D6]])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ENOS_G1_RUBEOLA" displayName="ENOS_G1_RUBEOLA" ref="P44:W45" totalsRowShown="0" headerRowDxfId="1159">
  <autoFilter ref="P44:W45" xr:uid="{00000000-0009-0000-0100-00001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F00-000001000000}" name="CIE-10" dataCellStyle="20% - Énfasis4"/>
    <tableColumn id="2" xr3:uid="{00000000-0010-0000-0F00-000002000000}" name="D1" dataDxfId="1158">
      <calculatedColumnFormula>IF($O$3="(Todas)",COUNTIF(BASE[CODCIE10],ENOS_G1_RUBEOLA[[#This Row],[CIE-10]]),COUNTIFS(BASE[Cod.Establecimiento],$O$3,BASE[CODCIE10],ENOS_G1_RUBEOLA[[#This Row],[CIE-10]]))</calculatedColumnFormula>
    </tableColumn>
    <tableColumn id="3" xr3:uid="{00000000-0010-0000-0F00-000003000000}" name="D2" dataDxfId="1157">
      <calculatedColumnFormula>IF($O$3="(Todas)",COUNTIF(BASE[CODCIE102],ENOS_G1_RUBEOLA[[#This Row],[CIE-10]]),COUNTIFS(BASE[Cod.Establecimiento],$O$3,BASE[CODCIE102],ENOS_G1_RUBEOLA[[#This Row],[CIE-10]]))</calculatedColumnFormula>
    </tableColumn>
    <tableColumn id="4" xr3:uid="{00000000-0010-0000-0F00-000004000000}" name="D3" dataDxfId="1156">
      <calculatedColumnFormula>IF($O$3="(Todas)",COUNTIF(BASE[CODCIE104],ENOS_G1_RUBEOLA[[#This Row],[CIE-10]]),COUNTIFS(BASE[Cod.Establecimiento],$O$3,BASE[CODCIE104],ENOS_G1_RUBEOLA[[#This Row],[CIE-10]]))</calculatedColumnFormula>
    </tableColumn>
    <tableColumn id="5" xr3:uid="{00000000-0010-0000-0F00-000005000000}" name="D4" dataDxfId="1155">
      <calculatedColumnFormula>IF($O$3="(Todas)",COUNTIF(BASE[CODCIE106],ENOS_G1_RUBEOLA[[#This Row],[CIE-10]]),COUNTIFS(BASE[Cod.Establecimiento],$O$3,BASE[CODCIE106],ENOS_G1_RUBEOLA[[#This Row],[CIE-10]]))</calculatedColumnFormula>
    </tableColumn>
    <tableColumn id="6" xr3:uid="{00000000-0010-0000-0F00-000006000000}" name="D5" dataDxfId="1154">
      <calculatedColumnFormula>IF($O$3="(Todas)",COUNTIF(BASE[CODCIE108],ENOS_G1_RUBEOLA[[#This Row],[CIE-10]]),COUNTIFS(BASE[Cod.Establecimiento],$O$3,BASE[CODCIE108],ENOS_G1_RUBEOLA[[#This Row],[CIE-10]]))</calculatedColumnFormula>
    </tableColumn>
    <tableColumn id="7" xr3:uid="{00000000-0010-0000-0F00-000007000000}" name="D6" dataDxfId="1153">
      <calculatedColumnFormula>IF($O$3="(Todas)",COUNTIF(BASE[CODCIE1010],ENOS_G1_RUBEOLA[[#This Row],[CIE-10]]),COUNTIFS(BASE[Cod.Establecimiento],$O$3,BASE[CODCIE1010],ENOS_G1_RUBEOLA[[#This Row],[CIE-10]]))</calculatedColumnFormula>
    </tableColumn>
    <tableColumn id="8" xr3:uid="{00000000-0010-0000-0F00-000008000000}" name="TOT" dataDxfId="1152">
      <calculatedColumnFormula>SUM(ENOS_G1_RUBEOLA[[#This Row],[D1]:[D6]])</calculatedColumnFormula>
    </tableColumn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ENOS_G1_SINDROME_DE_RUBEOLA_CONGENITA" displayName="ENOS_G1_SINDROME_DE_RUBEOLA_CONGENITA" ref="P48:W49" totalsRowShown="0" headerRowDxfId="1151">
  <autoFilter ref="P48:W49" xr:uid="{00000000-0009-0000-0100-00001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000-000001000000}" name="CIE-10" dataCellStyle="20% - Énfasis4"/>
    <tableColumn id="2" xr3:uid="{00000000-0010-0000-1000-000002000000}" name="D1" dataDxfId="1150">
      <calculatedColumnFormula>IF($O$3="(Todas)",COUNTIF(BASE[CODCIE10],ENOS_G1_SINDROME_DE_RUBEOLA_CONGENITA[[#This Row],[CIE-10]]),COUNTIFS(BASE[Cod.Establecimiento],$O$3,BASE[CODCIE10],ENOS_G1_SINDROME_DE_RUBEOLA_CONGENITA[[#This Row],[CIE-10]]))</calculatedColumnFormula>
    </tableColumn>
    <tableColumn id="3" xr3:uid="{00000000-0010-0000-1000-000003000000}" name="D2" dataDxfId="1149">
      <calculatedColumnFormula>IF($O$3="(Todas)",COUNTIF(BASE[CODCIE102],ENOS_G1_SINDROME_DE_RUBEOLA_CONGENITA[[#This Row],[CIE-10]]),COUNTIFS(BASE[Cod.Establecimiento],$O$3,BASE[CODCIE102],ENOS_G1_SINDROME_DE_RUBEOLA_CONGENITA[[#This Row],[CIE-10]]))</calculatedColumnFormula>
    </tableColumn>
    <tableColumn id="4" xr3:uid="{00000000-0010-0000-1000-000004000000}" name="D3" dataDxfId="1148">
      <calculatedColumnFormula>IF($O$3="(Todas)",COUNTIF(BASE[CODCIE104],ENOS_G1_SINDROME_DE_RUBEOLA_CONGENITA[[#This Row],[CIE-10]]),COUNTIFS(BASE[Cod.Establecimiento],$O$3,BASE[CODCIE104],ENOS_G1_SINDROME_DE_RUBEOLA_CONGENITA[[#This Row],[CIE-10]]))</calculatedColumnFormula>
    </tableColumn>
    <tableColumn id="5" xr3:uid="{00000000-0010-0000-1000-000005000000}" name="D4" dataDxfId="1147">
      <calculatedColumnFormula>IF($O$3="(Todas)",COUNTIF(BASE[CODCIE106],ENOS_G1_SINDROME_DE_RUBEOLA_CONGENITA[[#This Row],[CIE-10]]),COUNTIFS(BASE[Cod.Establecimiento],$O$3,BASE[CODCIE106],ENOS_G1_SINDROME_DE_RUBEOLA_CONGENITA[[#This Row],[CIE-10]]))</calculatedColumnFormula>
    </tableColumn>
    <tableColumn id="6" xr3:uid="{00000000-0010-0000-1000-000006000000}" name="D5" dataDxfId="1146">
      <calculatedColumnFormula>IF($O$3="(Todas)",COUNTIF(BASE[CODCIE108],ENOS_G1_SINDROME_DE_RUBEOLA_CONGENITA[[#This Row],[CIE-10]]),COUNTIFS(BASE[Cod.Establecimiento],$O$3,BASE[CODCIE108],ENOS_G1_SINDROME_DE_RUBEOLA_CONGENITA[[#This Row],[CIE-10]]))</calculatedColumnFormula>
    </tableColumn>
    <tableColumn id="7" xr3:uid="{00000000-0010-0000-1000-000007000000}" name="D6" dataDxfId="1145">
      <calculatedColumnFormula>IF($O$3="(Todas)",COUNTIF(BASE[CODCIE1010],ENOS_G1_SINDROME_DE_RUBEOLA_CONGENITA[[#This Row],[CIE-10]]),COUNTIFS(BASE[Cod.Establecimiento],$O$3,BASE[CODCIE1010],ENOS_G1_SINDROME_DE_RUBEOLA_CONGENITA[[#This Row],[CIE-10]]))</calculatedColumnFormula>
    </tableColumn>
    <tableColumn id="8" xr3:uid="{00000000-0010-0000-1000-000008000000}" name="TOT" dataDxfId="1144">
      <calculatedColumnFormula>SUM(ENOS_G1_SINDROME_DE_RUBEOLA_CONGENITA[[#This Row],[D1]:[D6]])</calculatedColumnFormula>
    </tableColumn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ENOS_G1_SARAMPION" displayName="ENOS_G1_SARAMPION" ref="Y44:AF45" totalsRowShown="0" headerRowDxfId="1143">
  <autoFilter ref="Y44:AF45" xr:uid="{00000000-0009-0000-0100-00001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100-000001000000}" name="CIE-10" dataCellStyle="20% - Énfasis4"/>
    <tableColumn id="2" xr3:uid="{00000000-0010-0000-1100-000002000000}" name="D1" dataDxfId="1142">
      <calculatedColumnFormula>IF($O$3="(Todas)",COUNTIF(BASE[CODCIE10],ENOS_G1_SARAMPION[[#This Row],[CIE-10]]),COUNTIFS(BASE[Cod.Establecimiento],$O$3,BASE[CODCIE10],ENOS_G1_SARAMPION[[#This Row],[CIE-10]]))</calculatedColumnFormula>
    </tableColumn>
    <tableColumn id="3" xr3:uid="{00000000-0010-0000-1100-000003000000}" name="D2" dataDxfId="1141">
      <calculatedColumnFormula>IF($O$3="(Todas)",COUNTIF(BASE[CODCIE102],ENOS_G1_SARAMPION[[#This Row],[CIE-10]]),COUNTIFS(BASE[Cod.Establecimiento],$O$3,BASE[CODCIE102],ENOS_G1_SARAMPION[[#This Row],[CIE-10]]))</calculatedColumnFormula>
    </tableColumn>
    <tableColumn id="4" xr3:uid="{00000000-0010-0000-1100-000004000000}" name="D3" dataDxfId="1140">
      <calculatedColumnFormula>IF($O$3="(Todas)",COUNTIF(BASE[CODCIE104],ENOS_G1_SARAMPION[[#This Row],[CIE-10]]),COUNTIFS(BASE[Cod.Establecimiento],$O$3,BASE[CODCIE104],ENOS_G1_SARAMPION[[#This Row],[CIE-10]]))</calculatedColumnFormula>
    </tableColumn>
    <tableColumn id="5" xr3:uid="{00000000-0010-0000-1100-000005000000}" name="D4" dataDxfId="1139">
      <calculatedColumnFormula>IF($O$3="(Todas)",COUNTIF(BASE[CODCIE106],ENOS_G1_SARAMPION[[#This Row],[CIE-10]]),COUNTIFS(BASE[Cod.Establecimiento],$O$3,BASE[CODCIE106],ENOS_G1_SARAMPION[[#This Row],[CIE-10]]))</calculatedColumnFormula>
    </tableColumn>
    <tableColumn id="6" xr3:uid="{00000000-0010-0000-1100-000006000000}" name="D5" dataDxfId="1138">
      <calculatedColumnFormula>IF($O$3="(Todas)",COUNTIF(BASE[CODCIE108],ENOS_G1_SARAMPION[[#This Row],[CIE-10]]),COUNTIFS(BASE[Cod.Establecimiento],$O$3,BASE[CODCIE108],ENOS_G1_SARAMPION[[#This Row],[CIE-10]]))</calculatedColumnFormula>
    </tableColumn>
    <tableColumn id="7" xr3:uid="{00000000-0010-0000-1100-000007000000}" name="D6" dataDxfId="1137">
      <calculatedColumnFormula>IF($O$3="(Todas)",COUNTIF(BASE[CODCIE1010],ENOS_G1_SARAMPION[[#This Row],[CIE-10]]),COUNTIFS(BASE[Cod.Establecimiento],$O$3,BASE[CODCIE1010],ENOS_G1_SARAMPION[[#This Row],[CIE-10]]))</calculatedColumnFormula>
    </tableColumn>
    <tableColumn id="8" xr3:uid="{00000000-0010-0000-1100-000008000000}" name="TOT" dataDxfId="1136">
      <calculatedColumnFormula>SUM(ENOS_G1_SARAMPION[[#This Row],[D1]:[D6]])</calculatedColumnFormula>
    </tableColumn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ENOS_G1_TETANOS_NEONATAL" displayName="ENOS_G1_TETANOS_NEONATAL" ref="Y48:AF49" totalsRowShown="0" headerRowDxfId="1135">
  <autoFilter ref="Y48:AF49" xr:uid="{00000000-0009-0000-0100-00001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200-000001000000}" name="CIE-10" dataCellStyle="20% - Énfasis4"/>
    <tableColumn id="2" xr3:uid="{00000000-0010-0000-1200-000002000000}" name="D1" dataDxfId="1134">
      <calculatedColumnFormula>IF($O$3="(Todas)",COUNTIF(BASE[CODCIE10],ENOS_G1_TETANOS_NEONATAL[[#This Row],[CIE-10]]),COUNTIFS(BASE[Cod.Establecimiento],$O$3,BASE[CODCIE10],ENOS_G1_TETANOS_NEONATAL[[#This Row],[CIE-10]]))</calculatedColumnFormula>
    </tableColumn>
    <tableColumn id="3" xr3:uid="{00000000-0010-0000-1200-000003000000}" name="D2" dataDxfId="1133">
      <calculatedColumnFormula>IF($O$3="(Todas)",COUNTIF(BASE[CODCIE102],ENOS_G1_TETANOS_NEONATAL[[#This Row],[CIE-10]]),COUNTIFS(BASE[Cod.Establecimiento],$O$3,BASE[CODCIE102],ENOS_G1_TETANOS_NEONATAL[[#This Row],[CIE-10]]))</calculatedColumnFormula>
    </tableColumn>
    <tableColumn id="4" xr3:uid="{00000000-0010-0000-1200-000004000000}" name="D3" dataDxfId="1132">
      <calculatedColumnFormula>IF($O$3="(Todas)",COUNTIF(BASE[CODCIE104],ENOS_G1_TETANOS_NEONATAL[[#This Row],[CIE-10]]),COUNTIFS(BASE[Cod.Establecimiento],$O$3,BASE[CODCIE104],ENOS_G1_TETANOS_NEONATAL[[#This Row],[CIE-10]]))</calculatedColumnFormula>
    </tableColumn>
    <tableColumn id="5" xr3:uid="{00000000-0010-0000-1200-000005000000}" name="D4" dataDxfId="1131">
      <calculatedColumnFormula>IF($O$3="(Todas)",COUNTIF(BASE[CODCIE106],ENOS_G1_TETANOS_NEONATAL[[#This Row],[CIE-10]]),COUNTIFS(BASE[Cod.Establecimiento],$O$3,BASE[CODCIE106],ENOS_G1_TETANOS_NEONATAL[[#This Row],[CIE-10]]))</calculatedColumnFormula>
    </tableColumn>
    <tableColumn id="6" xr3:uid="{00000000-0010-0000-1200-000006000000}" name="D5" dataDxfId="1130">
      <calculatedColumnFormula>IF($O$3="(Todas)",COUNTIF(BASE[CODCIE108],ENOS_G1_TETANOS_NEONATAL[[#This Row],[CIE-10]]),COUNTIFS(BASE[Cod.Establecimiento],$O$3,BASE[CODCIE108],ENOS_G1_TETANOS_NEONATAL[[#This Row],[CIE-10]]))</calculatedColumnFormula>
    </tableColumn>
    <tableColumn id="7" xr3:uid="{00000000-0010-0000-1200-000007000000}" name="D6" dataDxfId="1129">
      <calculatedColumnFormula>IF($O$3="(Todas)",COUNTIF(BASE[CODCIE1010],ENOS_G1_TETANOS_NEONATAL[[#This Row],[CIE-10]]),COUNTIFS(BASE[Cod.Establecimiento],$O$3,BASE[CODCIE1010],ENOS_G1_TETANOS_NEONATAL[[#This Row],[CIE-10]]))</calculatedColumnFormula>
    </tableColumn>
    <tableColumn id="8" xr3:uid="{00000000-0010-0000-1200-000008000000}" name="TOT" dataDxfId="1128">
      <calculatedColumnFormula>SUM(ENOS_G1_TETANOS_NEONATAL[[#This Row],[D1]:[D6]])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PV_PARALISIS_FLACIDA_AGUDA" displayName="EPV_PARALISIS_FLACIDA_AGUDA" ref="A4:H11" totalsRowShown="0" headerRowDxfId="1271">
  <autoFilter ref="A4:H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100-000001000000}" name="CIE-10" dataCellStyle="20% - Énfasis4"/>
    <tableColumn id="2" xr3:uid="{00000000-0010-0000-0100-000002000000}" name="D1" dataDxfId="1270">
      <calculatedColumnFormula>IF($AK$2="(Todas)",COUNTIF(BASE[CODCIE10],EPV_PARALISIS_FLACIDA_AGUDA[[#This Row],[CIE-10]]),COUNTIFS(BASE[Cod.Establecimiento],$AK$2,BASE[CODCIE10],EPV_PARALISIS_FLACIDA_AGUDA[[#This Row],[CIE-10]]))</calculatedColumnFormula>
    </tableColumn>
    <tableColumn id="3" xr3:uid="{00000000-0010-0000-0100-000003000000}" name="D2" dataDxfId="1269">
      <calculatedColumnFormula>IF($AK$2="(Todas)",COUNTIF(BASE[CODCIE102],EPV_PARALISIS_FLACIDA_AGUDA[[#This Row],[CIE-10]]),COUNTIFS(BASE[Cod.Establecimiento],$AK$2,BASE[CODCIE102],EPV_PARALISIS_FLACIDA_AGUDA[[#This Row],[CIE-10]]))</calculatedColumnFormula>
    </tableColumn>
    <tableColumn id="4" xr3:uid="{00000000-0010-0000-0100-000004000000}" name="D3" dataDxfId="1268">
      <calculatedColumnFormula>IF($AK$2="(Todas)",COUNTIF(BASE[CODCIE104],EPV_PARALISIS_FLACIDA_AGUDA[[#This Row],[CIE-10]]),COUNTIFS(BASE[Cod.Establecimiento],$AK$2,BASE[CODCIE104],EPV_PARALISIS_FLACIDA_AGUDA[[#This Row],[CIE-10]]))</calculatedColumnFormula>
    </tableColumn>
    <tableColumn id="5" xr3:uid="{00000000-0010-0000-0100-000005000000}" name="D4" dataDxfId="1267">
      <calculatedColumnFormula>IF($AK$2="(Todas)",COUNTIF(BASE[CODCIE106],EPV_PARALISIS_FLACIDA_AGUDA[[#This Row],[CIE-10]]),COUNTIFS(BASE[Cod.Establecimiento],$AK$2,BASE[CODCIE106],EPV_PARALISIS_FLACIDA_AGUDA[[#This Row],[CIE-10]]))</calculatedColumnFormula>
    </tableColumn>
    <tableColumn id="6" xr3:uid="{00000000-0010-0000-0100-000006000000}" name="D5" dataDxfId="1266">
      <calculatedColumnFormula>IF($AK$2="(Todas)",COUNTIF(BASE[CODCIE108],EPV_PARALISIS_FLACIDA_AGUDA[[#This Row],[CIE-10]]),COUNTIFS(BASE[Cod.Establecimiento],$AK$2,BASE[CODCIE108],EPV_PARALISIS_FLACIDA_AGUDA[[#This Row],[CIE-10]]))</calculatedColumnFormula>
    </tableColumn>
    <tableColumn id="7" xr3:uid="{00000000-0010-0000-0100-000007000000}" name="D6" dataDxfId="1265">
      <calculatedColumnFormula>IF($AK$2="(Todas)",COUNTIF(BASE[CODCIE1010],EPV_PARALISIS_FLACIDA_AGUDA[[#This Row],[CIE-10]]),COUNTIFS(BASE[Cod.Establecimiento],$AK$2,BASE[CODCIE1010],EPV_PARALISIS_FLACIDA_AGUDA[[#This Row],[CIE-10]]))</calculatedColumnFormula>
    </tableColumn>
    <tableColumn id="8" xr3:uid="{00000000-0010-0000-0100-000008000000}" name="TOT" dataDxfId="1264">
      <calculatedColumnFormula>SUM(EPV_PARALISIS_FLACIDA_AGUDA[[#This Row],[D1]:[D6]])</calculatedColumnFormula>
    </tableColumn>
  </tableColumns>
  <tableStyleInfo name="TableStyleLight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ENOS_G1_PALUDISMO" displayName="ENOS_G1_PALUDISMO" ref="P52:W57" totalsRowShown="0" headerRowDxfId="1127">
  <autoFilter ref="P52:W57" xr:uid="{00000000-0009-0000-0100-00001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300-000001000000}" name="CIE-10" dataCellStyle="20% - Énfasis4"/>
    <tableColumn id="2" xr3:uid="{00000000-0010-0000-1300-000002000000}" name="D1" dataDxfId="1126">
      <calculatedColumnFormula>IF($O$3="(Todas)",COUNTIF(BASE[CODCIE10],ENOS_G1_PALUDISMO[[#This Row],[CIE-10]]),COUNTIFS(BASE[Cod.Establecimiento],$O$3,BASE[CODCIE10],ENOS_G1_PALUDISMO[[#This Row],[CIE-10]]))</calculatedColumnFormula>
    </tableColumn>
    <tableColumn id="3" xr3:uid="{00000000-0010-0000-1300-000003000000}" name="D2" dataDxfId="1125">
      <calculatedColumnFormula>IF($O$3="(Todas)",COUNTIF(BASE[CODCIE102],ENOS_G1_PALUDISMO[[#This Row],[CIE-10]]),COUNTIFS(BASE[Cod.Establecimiento],$O$3,BASE[CODCIE102],ENOS_G1_PALUDISMO[[#This Row],[CIE-10]]))</calculatedColumnFormula>
    </tableColumn>
    <tableColumn id="4" xr3:uid="{00000000-0010-0000-1300-000004000000}" name="D3" dataDxfId="1124">
      <calculatedColumnFormula>IF($O$3="(Todas)",COUNTIF(BASE[CODCIE104],ENOS_G1_PALUDISMO[[#This Row],[CIE-10]]),COUNTIFS(BASE[Cod.Establecimiento],$O$3,BASE[CODCIE104],ENOS_G1_PALUDISMO[[#This Row],[CIE-10]]))</calculatedColumnFormula>
    </tableColumn>
    <tableColumn id="5" xr3:uid="{00000000-0010-0000-1300-000005000000}" name="D4" dataDxfId="1123">
      <calculatedColumnFormula>IF($O$3="(Todas)",COUNTIF(BASE[CODCIE106],ENOS_G1_PALUDISMO[[#This Row],[CIE-10]]),COUNTIFS(BASE[Cod.Establecimiento],$O$3,BASE[CODCIE106],ENOS_G1_PALUDISMO[[#This Row],[CIE-10]]))</calculatedColumnFormula>
    </tableColumn>
    <tableColumn id="6" xr3:uid="{00000000-0010-0000-1300-000006000000}" name="D5" dataDxfId="1122">
      <calculatedColumnFormula>IF($O$3="(Todas)",COUNTIF(BASE[CODCIE108],ENOS_G1_PALUDISMO[[#This Row],[CIE-10]]),COUNTIFS(BASE[Cod.Establecimiento],$O$3,BASE[CODCIE108],ENOS_G1_PALUDISMO[[#This Row],[CIE-10]]))</calculatedColumnFormula>
    </tableColumn>
    <tableColumn id="7" xr3:uid="{00000000-0010-0000-1300-000007000000}" name="D6" dataDxfId="1121">
      <calculatedColumnFormula>IF($O$3="(Todas)",COUNTIF(BASE[CODCIE1010],ENOS_G1_PALUDISMO[[#This Row],[CIE-10]]),COUNTIFS(BASE[Cod.Establecimiento],$O$3,BASE[CODCIE1010],ENOS_G1_PALUDISMO[[#This Row],[CIE-10]]))</calculatedColumnFormula>
    </tableColumn>
    <tableColumn id="8" xr3:uid="{00000000-0010-0000-1300-000008000000}" name="TOT" dataDxfId="1120" dataCellStyle="40% - Énfasis6">
      <calculatedColumnFormula>SUM(ENOS_G1_PALUDISMO[[#This Row],[D1]:[D6]])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ENOS_G2_CONJUNTIVITIS_VIRAL" displayName="ENOS_G2_CONJUNTIVITIS_VIRAL" ref="Y52:AF53" totalsRowShown="0" headerRowDxfId="1119">
  <autoFilter ref="Y52:AF53" xr:uid="{00000000-0009-0000-0100-00001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400-000001000000}" name="CIE-10" dataCellStyle="20% - Énfasis4"/>
    <tableColumn id="2" xr3:uid="{00000000-0010-0000-1400-000002000000}" name="D1" dataDxfId="1118">
      <calculatedColumnFormula>IF($O$3="(Todas)",COUNTIF(BASE[CODCIE10],ENOS_G2_CONJUNTIVITIS_VIRAL[[#This Row],[CIE-10]]),COUNTIFS(BASE[Cod.Establecimiento],$O$3,BASE[CODCIE10],ENOS_G2_CONJUNTIVITIS_VIRAL[[#This Row],[CIE-10]]))</calculatedColumnFormula>
    </tableColumn>
    <tableColumn id="3" xr3:uid="{00000000-0010-0000-1400-000003000000}" name="D2" dataDxfId="1117">
      <calculatedColumnFormula>IF($O$3="(Todas)",COUNTIF(BASE[CODCIE102],ENOS_G2_CONJUNTIVITIS_VIRAL[[#This Row],[CIE-10]]),COUNTIFS(BASE[Cod.Establecimiento],$O$3,BASE[CODCIE102],ENOS_G2_CONJUNTIVITIS_VIRAL[[#This Row],[CIE-10]]))</calculatedColumnFormula>
    </tableColumn>
    <tableColumn id="4" xr3:uid="{00000000-0010-0000-1400-000004000000}" name="D3" dataDxfId="1116">
      <calculatedColumnFormula>IF($O$3="(Todas)",COUNTIF(BASE[CODCIE104],ENOS_G2_CONJUNTIVITIS_VIRAL[[#This Row],[CIE-10]]),COUNTIFS(BASE[Cod.Establecimiento],$O$3,BASE[CODCIE104],ENOS_G2_CONJUNTIVITIS_VIRAL[[#This Row],[CIE-10]]))</calculatedColumnFormula>
    </tableColumn>
    <tableColumn id="5" xr3:uid="{00000000-0010-0000-1400-000005000000}" name="D4" dataDxfId="1115">
      <calculatedColumnFormula>IF($O$3="(Todas)",COUNTIF(BASE[CODCIE106],ENOS_G2_CONJUNTIVITIS_VIRAL[[#This Row],[CIE-10]]),COUNTIFS(BASE[Cod.Establecimiento],$O$3,BASE[CODCIE106],ENOS_G2_CONJUNTIVITIS_VIRAL[[#This Row],[CIE-10]]))</calculatedColumnFormula>
    </tableColumn>
    <tableColumn id="6" xr3:uid="{00000000-0010-0000-1400-000006000000}" name="D5" dataDxfId="1114">
      <calculatedColumnFormula>IF($O$3="(Todas)",COUNTIF(BASE[CODCIE108],ENOS_G2_CONJUNTIVITIS_VIRAL[[#This Row],[CIE-10]]),COUNTIFS(BASE[Cod.Establecimiento],$O$3,BASE[CODCIE108],ENOS_G2_CONJUNTIVITIS_VIRAL[[#This Row],[CIE-10]]))</calculatedColumnFormula>
    </tableColumn>
    <tableColumn id="7" xr3:uid="{00000000-0010-0000-1400-000007000000}" name="D6" dataDxfId="1113">
      <calculatedColumnFormula>IF($O$3="(Todas)",COUNTIF(BASE[CODCIE1010],ENOS_G2_CONJUNTIVITIS_VIRAL[[#This Row],[CIE-10]]),COUNTIFS(BASE[Cod.Establecimiento],$O$3,BASE[CODCIE1010],ENOS_G2_CONJUNTIVITIS_VIRAL[[#This Row],[CIE-10]]))</calculatedColumnFormula>
    </tableColumn>
    <tableColumn id="8" xr3:uid="{00000000-0010-0000-1400-000008000000}" name="TOT" dataDxfId="1112" dataCellStyle="40% - Énfasis6">
      <calculatedColumnFormula>SUM(ENOS_G2_CONJUNTIVITIS_VIRAL[[#This Row],[D1]:[D6]])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ENOS_G2_PAROTIDITIS_INFECCIOSA_PAPERAS" displayName="ENOS_G2_PAROTIDITIS_INFECCIOSA_PAPERAS" ref="P60:W61" totalsRowShown="0" headerRowDxfId="1111">
  <autoFilter ref="P60:W61" xr:uid="{00000000-0009-0000-0100-00001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500-000001000000}" name="CIE-10" dataCellStyle="20% - Énfasis4"/>
    <tableColumn id="2" xr3:uid="{00000000-0010-0000-1500-000002000000}" name="D1" dataDxfId="1110">
      <calculatedColumnFormula>IF($O$3="(Todas)",COUNTIF(BASE[CODCIE10],ENOS_G2_PAROTIDITIS_INFECCIOSA_PAPERAS[[#This Row],[CIE-10]]),COUNTIFS(BASE[Cod.Establecimiento],$O$3,BASE[CODCIE10],ENOS_G2_PAROTIDITIS_INFECCIOSA_PAPERAS[[#This Row],[CIE-10]]))</calculatedColumnFormula>
    </tableColumn>
    <tableColumn id="3" xr3:uid="{00000000-0010-0000-1500-000003000000}" name="D2" dataDxfId="1109">
      <calculatedColumnFormula>IF($O$3="(Todas)",COUNTIF(BASE[CODCIE102],ENOS_G2_PAROTIDITIS_INFECCIOSA_PAPERAS[[#This Row],[CIE-10]]),COUNTIFS(BASE[Cod.Establecimiento],$O$3,BASE[CODCIE102],ENOS_G2_PAROTIDITIS_INFECCIOSA_PAPERAS[[#This Row],[CIE-10]]))</calculatedColumnFormula>
    </tableColumn>
    <tableColumn id="4" xr3:uid="{00000000-0010-0000-1500-000004000000}" name="D3" dataDxfId="1108">
      <calculatedColumnFormula>IF($O$3="(Todas)",COUNTIF(BASE[CODCIE104],ENOS_G2_PAROTIDITIS_INFECCIOSA_PAPERAS[[#This Row],[CIE-10]]),COUNTIFS(BASE[Cod.Establecimiento],$O$3,BASE[CODCIE104],ENOS_G2_PAROTIDITIS_INFECCIOSA_PAPERAS[[#This Row],[CIE-10]]))</calculatedColumnFormula>
    </tableColumn>
    <tableColumn id="5" xr3:uid="{00000000-0010-0000-1500-000005000000}" name="D4" dataDxfId="1107">
      <calculatedColumnFormula>IF($O$3="(Todas)",COUNTIF(BASE[CODCIE106],ENOS_G2_PAROTIDITIS_INFECCIOSA_PAPERAS[[#This Row],[CIE-10]]),COUNTIFS(BASE[Cod.Establecimiento],$O$3,BASE[CODCIE106],ENOS_G2_PAROTIDITIS_INFECCIOSA_PAPERAS[[#This Row],[CIE-10]]))</calculatedColumnFormula>
    </tableColumn>
    <tableColumn id="6" xr3:uid="{00000000-0010-0000-1500-000006000000}" name="D5" dataDxfId="1106">
      <calculatedColumnFormula>IF($O$3="(Todas)",COUNTIF(BASE[CODCIE108],ENOS_G2_PAROTIDITIS_INFECCIOSA_PAPERAS[[#This Row],[CIE-10]]),COUNTIFS(BASE[Cod.Establecimiento],$O$3,BASE[CODCIE108],ENOS_G2_PAROTIDITIS_INFECCIOSA_PAPERAS[[#This Row],[CIE-10]]))</calculatedColumnFormula>
    </tableColumn>
    <tableColumn id="7" xr3:uid="{00000000-0010-0000-1500-000007000000}" name="D6" dataDxfId="1105">
      <calculatedColumnFormula>IF($O$3="(Todas)",COUNTIF(BASE[CODCIE1010],ENOS_G2_PAROTIDITIS_INFECCIOSA_PAPERAS[[#This Row],[CIE-10]]),COUNTIFS(BASE[Cod.Establecimiento],$O$3,BASE[CODCIE1010],ENOS_G2_PAROTIDITIS_INFECCIOSA_PAPERAS[[#This Row],[CIE-10]]))</calculatedColumnFormula>
    </tableColumn>
    <tableColumn id="8" xr3:uid="{00000000-0010-0000-1500-000008000000}" name="TOT" dataDxfId="1104" dataCellStyle="40% - Énfasis6">
      <calculatedColumnFormula>SUM(ENOS_G2_PAROTIDITIS_INFECCIOSA_PAPERAS[[#This Row],[D1]:[D6]])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ENOS_G2_VARICELA" displayName="ENOS_G2_VARICELA" ref="Y60:AF61" totalsRowShown="0" headerRowDxfId="1103">
  <autoFilter ref="Y60:AF61" xr:uid="{00000000-0009-0000-0100-00001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600-000001000000}" name="CIE-10" dataCellStyle="20% - Énfasis4"/>
    <tableColumn id="2" xr3:uid="{00000000-0010-0000-1600-000002000000}" name="D1" dataDxfId="1102">
      <calculatedColumnFormula>IF($O$3="(Todas)",COUNTIF(BASE[CODCIE10],ENOS_G2_VARICELA[[#This Row],[CIE-10]]),COUNTIFS(BASE[Cod.Establecimiento],$O$3,BASE[CODCIE10],ENOS_G2_VARICELA[[#This Row],[CIE-10]]))</calculatedColumnFormula>
    </tableColumn>
    <tableColumn id="3" xr3:uid="{00000000-0010-0000-1600-000003000000}" name="D2" dataDxfId="1101">
      <calculatedColumnFormula>IF($O$3="(Todas)",COUNTIF(BASE[CODCIE102],ENOS_G2_VARICELA[[#This Row],[CIE-10]]),COUNTIFS(BASE[Cod.Establecimiento],$O$3,BASE[CODCIE102],ENOS_G2_VARICELA[[#This Row],[CIE-10]]))</calculatedColumnFormula>
    </tableColumn>
    <tableColumn id="4" xr3:uid="{00000000-0010-0000-1600-000004000000}" name="D3" dataDxfId="1100">
      <calculatedColumnFormula>IF($O$3="(Todas)",COUNTIF(BASE[CODCIE104],ENOS_G2_VARICELA[[#This Row],[CIE-10]]),COUNTIFS(BASE[Cod.Establecimiento],$O$3,BASE[CODCIE104],ENOS_G2_VARICELA[[#This Row],[CIE-10]]))</calculatedColumnFormula>
    </tableColumn>
    <tableColumn id="5" xr3:uid="{00000000-0010-0000-1600-000005000000}" name="D4" dataDxfId="1099">
      <calculatedColumnFormula>IF($O$3="(Todas)",COUNTIF(BASE[CODCIE106],ENOS_G2_VARICELA[[#This Row],[CIE-10]]),COUNTIFS(BASE[Cod.Establecimiento],$O$3,BASE[CODCIE106],ENOS_G2_VARICELA[[#This Row],[CIE-10]]))</calculatedColumnFormula>
    </tableColumn>
    <tableColumn id="6" xr3:uid="{00000000-0010-0000-1600-000006000000}" name="D5" dataDxfId="1098">
      <calculatedColumnFormula>IF($O$3="(Todas)",COUNTIF(BASE[CODCIE108],ENOS_G2_VARICELA[[#This Row],[CIE-10]]),COUNTIFS(BASE[Cod.Establecimiento],$O$3,BASE[CODCIE108],ENOS_G2_VARICELA[[#This Row],[CIE-10]]))</calculatedColumnFormula>
    </tableColumn>
    <tableColumn id="7" xr3:uid="{00000000-0010-0000-1600-000007000000}" name="D6" dataDxfId="1097">
      <calculatedColumnFormula>IF($O$3="(Todas)",COUNTIF(BASE[CODCIE1010],ENOS_G2_VARICELA[[#This Row],[CIE-10]]),COUNTIFS(BASE[Cod.Establecimiento],$O$3,BASE[CODCIE1010],ENOS_G2_VARICELA[[#This Row],[CIE-10]]))</calculatedColumnFormula>
    </tableColumn>
    <tableColumn id="8" xr3:uid="{00000000-0010-0000-1600-000008000000}" name="TOT" dataDxfId="1096" dataCellStyle="40% - Énfasis6">
      <calculatedColumnFormula>SUM(ENOS_G2_VARICELA[[#This Row],[D1]:[D6]])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ENOS_G2_HEPATITIS_A" displayName="ENOS_G2_HEPATITIS_A" ref="P64:W65" totalsRowShown="0" headerRowDxfId="1095">
  <autoFilter ref="P64:W65" xr:uid="{00000000-0009-0000-0100-00001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700-000001000000}" name="CIE-10" dataCellStyle="20% - Énfasis4"/>
    <tableColumn id="2" xr3:uid="{00000000-0010-0000-1700-000002000000}" name="D1" dataDxfId="1094">
      <calculatedColumnFormula>IF($O$3="(Todas)",COUNTIF(BASE[CODCIE10],ENOS_G2_HEPATITIS_A[[#This Row],[CIE-10]]),COUNTIFS(BASE[Cod.Establecimiento],$O$3,BASE[CODCIE10],ENOS_G2_HEPATITIS_A[[#This Row],[CIE-10]]))</calculatedColumnFormula>
    </tableColumn>
    <tableColumn id="3" xr3:uid="{00000000-0010-0000-1700-000003000000}" name="D2" dataDxfId="1093">
      <calculatedColumnFormula>IF($O$3="(Todas)",COUNTIF(BASE[CODCIE102],ENOS_G2_HEPATITIS_A[[#This Row],[CIE-10]]),COUNTIFS(BASE[Cod.Establecimiento],$O$3,BASE[CODCIE102],ENOS_G2_HEPATITIS_A[[#This Row],[CIE-10]]))</calculatedColumnFormula>
    </tableColumn>
    <tableColumn id="4" xr3:uid="{00000000-0010-0000-1700-000004000000}" name="D3" dataDxfId="1092">
      <calculatedColumnFormula>IF($O$3="(Todas)",COUNTIF(BASE[CODCIE104],ENOS_G2_HEPATITIS_A[[#This Row],[CIE-10]]),COUNTIFS(BASE[Cod.Establecimiento],$O$3,BASE[CODCIE104],ENOS_G2_HEPATITIS_A[[#This Row],[CIE-10]]))</calculatedColumnFormula>
    </tableColumn>
    <tableColumn id="5" xr3:uid="{00000000-0010-0000-1700-000005000000}" name="D4" dataDxfId="1091">
      <calculatedColumnFormula>IF($O$3="(Todas)",COUNTIF(BASE[CODCIE106],ENOS_G2_HEPATITIS_A[[#This Row],[CIE-10]]),COUNTIFS(BASE[Cod.Establecimiento],$O$3,BASE[CODCIE106],ENOS_G2_HEPATITIS_A[[#This Row],[CIE-10]]))</calculatedColumnFormula>
    </tableColumn>
    <tableColumn id="6" xr3:uid="{00000000-0010-0000-1700-000006000000}" name="D5" dataDxfId="1090">
      <calculatedColumnFormula>IF($O$3="(Todas)",COUNTIF(BASE[CODCIE108],ENOS_G2_HEPATITIS_A[[#This Row],[CIE-10]]),COUNTIFS(BASE[Cod.Establecimiento],$O$3,BASE[CODCIE108],ENOS_G2_HEPATITIS_A[[#This Row],[CIE-10]]))</calculatedColumnFormula>
    </tableColumn>
    <tableColumn id="7" xr3:uid="{00000000-0010-0000-1700-000007000000}" name="D6" dataDxfId="1089">
      <calculatedColumnFormula>IF($O$3="(Todas)",COUNTIF(BASE[CODCIE1010],ENOS_G2_HEPATITIS_A[[#This Row],[CIE-10]]),COUNTIFS(BASE[Cod.Establecimiento],$O$3,BASE[CODCIE1010],ENOS_G2_HEPATITIS_A[[#This Row],[CIE-10]]))</calculatedColumnFormula>
    </tableColumn>
    <tableColumn id="8" xr3:uid="{00000000-0010-0000-1700-000008000000}" name="TOT" dataDxfId="1088" dataCellStyle="40% - Énfasis6">
      <calculatedColumnFormula>SUM(ENOS_G2_HEPATITIS_A[[#This Row],[D1]:[D6]])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ENOS_G2_HEPATITIS_VIRAL_SIN_OTRA_ESPECIFIACION" displayName="ENOS_G2_HEPATITIS_VIRAL_SIN_OTRA_ESPECIFIACION" ref="Y64:AF65" totalsRowShown="0" headerRowDxfId="1087">
  <autoFilter ref="Y64:AF65" xr:uid="{00000000-0009-0000-0100-00001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800-000001000000}" name="CIE-10" dataCellStyle="20% - Énfasis4"/>
    <tableColumn id="2" xr3:uid="{00000000-0010-0000-1800-000002000000}" name="D1" dataDxfId="1086">
      <calculatedColumnFormula>IF($O$3="(Todas)",COUNTIF(BASE[CODCIE10],ENOS_G2_HEPATITIS_VIRAL_SIN_OTRA_ESPECIFIACION[[#This Row],[CIE-10]]),COUNTIFS(BASE[Cod.Establecimiento],$O$3,BASE[CODCIE10],ENOS_G2_HEPATITIS_VIRAL_SIN_OTRA_ESPECIFIACION[[#This Row],[CIE-10]]))</calculatedColumnFormula>
    </tableColumn>
    <tableColumn id="3" xr3:uid="{00000000-0010-0000-1800-000003000000}" name="D2" dataDxfId="1085">
      <calculatedColumnFormula>IF($O$3="(Todas)",COUNTIF(BASE[CODCIE102],ENOS_G2_HEPATITIS_VIRAL_SIN_OTRA_ESPECIFIACION[[#This Row],[CIE-10]]),COUNTIFS(BASE[Cod.Establecimiento],$O$3,BASE[CODCIE102],ENOS_G2_HEPATITIS_VIRAL_SIN_OTRA_ESPECIFIACION[[#This Row],[CIE-10]]))</calculatedColumnFormula>
    </tableColumn>
    <tableColumn id="4" xr3:uid="{00000000-0010-0000-1800-000004000000}" name="D3" dataDxfId="1084">
      <calculatedColumnFormula>IF($O$3="(Todas)",COUNTIF(BASE[CODCIE104],ENOS_G2_HEPATITIS_VIRAL_SIN_OTRA_ESPECIFIACION[[#This Row],[CIE-10]]),COUNTIFS(BASE[Cod.Establecimiento],$O$3,BASE[CODCIE104],ENOS_G2_HEPATITIS_VIRAL_SIN_OTRA_ESPECIFIACION[[#This Row],[CIE-10]]))</calculatedColumnFormula>
    </tableColumn>
    <tableColumn id="5" xr3:uid="{00000000-0010-0000-1800-000005000000}" name="D4" dataDxfId="1083">
      <calculatedColumnFormula>IF($O$3="(Todas)",COUNTIF(BASE[CODCIE106],ENOS_G2_HEPATITIS_VIRAL_SIN_OTRA_ESPECIFIACION[[#This Row],[CIE-10]]),COUNTIFS(BASE[Cod.Establecimiento],$O$3,BASE[CODCIE106],ENOS_G2_HEPATITIS_VIRAL_SIN_OTRA_ESPECIFIACION[[#This Row],[CIE-10]]))</calculatedColumnFormula>
    </tableColumn>
    <tableColumn id="6" xr3:uid="{00000000-0010-0000-1800-000006000000}" name="D5" dataDxfId="1082">
      <calculatedColumnFormula>IF($O$3="(Todas)",COUNTIF(BASE[CODCIE108],ENOS_G2_HEPATITIS_VIRAL_SIN_OTRA_ESPECIFIACION[[#This Row],[CIE-10]]),COUNTIFS(BASE[Cod.Establecimiento],$O$3,BASE[CODCIE108],ENOS_G2_HEPATITIS_VIRAL_SIN_OTRA_ESPECIFIACION[[#This Row],[CIE-10]]))</calculatedColumnFormula>
    </tableColumn>
    <tableColumn id="7" xr3:uid="{00000000-0010-0000-1800-000007000000}" name="D6" dataDxfId="1081">
      <calculatedColumnFormula>IF($O$3="(Todas)",COUNTIF(BASE[CODCIE1010],ENOS_G2_HEPATITIS_VIRAL_SIN_OTRA_ESPECIFIACION[[#This Row],[CIE-10]]),COUNTIFS(BASE[Cod.Establecimiento],$O$3,BASE[CODCIE1010],ENOS_G2_HEPATITIS_VIRAL_SIN_OTRA_ESPECIFIACION[[#This Row],[CIE-10]]))</calculatedColumnFormula>
    </tableColumn>
    <tableColumn id="8" xr3:uid="{00000000-0010-0000-1800-000008000000}" name="TOT" dataDxfId="1080" dataCellStyle="40% - Énfasis6">
      <calculatedColumnFormula>SUM(ENOS_G2_HEPATITIS_VIRAL_SIN_OTRA_ESPECIFIACION[[#This Row],[D1]:[D6]])</calculatedColumnFormula>
    </tableColumn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ENOS_G2_ETA" displayName="ENOS_G2_ETA" ref="P68:W69" totalsRowShown="0" headerRowDxfId="1079">
  <autoFilter ref="P68:W69" xr:uid="{00000000-0009-0000-0100-00001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900-000001000000}" name="CIE-10" dataCellStyle="20% - Énfasis4"/>
    <tableColumn id="2" xr3:uid="{00000000-0010-0000-1900-000002000000}" name="D1" dataDxfId="1078">
      <calculatedColumnFormula>IF($O$3="(Todas)",COUNTIF(BASE[CODCIE10],ENOS_G2_ETA[[#This Row],[CIE-10]]),COUNTIFS(BASE[Cod.Establecimiento],$O$3,BASE[CODCIE10],ENOS_G2_ETA[[#This Row],[CIE-10]]))</calculatedColumnFormula>
    </tableColumn>
    <tableColumn id="3" xr3:uid="{00000000-0010-0000-1900-000003000000}" name="D2" dataDxfId="1077">
      <calculatedColumnFormula>IF($O$3="(Todas)",COUNTIF(BASE[CODCIE102],ENOS_G2_ETA[[#This Row],[CIE-10]]),COUNTIFS(BASE[Cod.Establecimiento],$O$3,BASE[CODCIE102],ENOS_G2_ETA[[#This Row],[CIE-10]]))</calculatedColumnFormula>
    </tableColumn>
    <tableColumn id="4" xr3:uid="{00000000-0010-0000-1900-000004000000}" name="D3" dataDxfId="1076">
      <calculatedColumnFormula>IF($O$3="(Todas)",COUNTIF(BASE[CODCIE104],ENOS_G2_ETA[[#This Row],[CIE-10]]),COUNTIFS(BASE[Cod.Establecimiento],$O$3,BASE[CODCIE104],ENOS_G2_ETA[[#This Row],[CIE-10]]))</calculatedColumnFormula>
    </tableColumn>
    <tableColumn id="5" xr3:uid="{00000000-0010-0000-1900-000005000000}" name="D4" dataDxfId="1075">
      <calculatedColumnFormula>IF($O$3="(Todas)",COUNTIF(BASE[CODCIE106],ENOS_G2_ETA[[#This Row],[CIE-10]]),COUNTIFS(BASE[Cod.Establecimiento],$O$3,BASE[CODCIE106],ENOS_G2_ETA[[#This Row],[CIE-10]]))</calculatedColumnFormula>
    </tableColumn>
    <tableColumn id="6" xr3:uid="{00000000-0010-0000-1900-000006000000}" name="D5" dataDxfId="1074">
      <calculatedColumnFormula>IF($O$3="(Todas)",COUNTIF(BASE[CODCIE108],ENOS_G2_ETA[[#This Row],[CIE-10]]),COUNTIFS(BASE[Cod.Establecimiento],$O$3,BASE[CODCIE108],ENOS_G2_ETA[[#This Row],[CIE-10]]))</calculatedColumnFormula>
    </tableColumn>
    <tableColumn id="7" xr3:uid="{00000000-0010-0000-1900-000007000000}" name="D6" dataDxfId="1073">
      <calculatedColumnFormula>IF($O$3="(Todas)",COUNTIF(BASE[CODCIE1010],ENOS_G2_ETA[[#This Row],[CIE-10]]),COUNTIFS(BASE[Cod.Establecimiento],$O$3,BASE[CODCIE1010],ENOS_G2_ETA[[#This Row],[CIE-10]]))</calculatedColumnFormula>
    </tableColumn>
    <tableColumn id="8" xr3:uid="{00000000-0010-0000-1900-000008000000}" name="TOT" dataDxfId="1072" dataCellStyle="40% - Énfasis6">
      <calculatedColumnFormula>SUM(ENOS_G2_ETA[[#This Row],[D1]:[D6]])</calculatedColumnFormula>
    </tableColumn>
  </tableColumns>
  <tableStyleInfo name="TableStyleLight1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ENOS_G2_SIFILIS_CONGENITA" displayName="ENOS_G2_SIFILIS_CONGENITA" ref="Y68:AF69" totalsRowShown="0" headerRowDxfId="1071">
  <autoFilter ref="Y68:AF69" xr:uid="{00000000-0009-0000-0100-00001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A00-000001000000}" name="CIE-10" dataCellStyle="20% - Énfasis4"/>
    <tableColumn id="2" xr3:uid="{00000000-0010-0000-1A00-000002000000}" name="D1" dataDxfId="1070">
      <calculatedColumnFormula>IF($O$3="(Todas)",COUNTIF(BASE[CODCIE10],ENOS_G2_SIFILIS_CONGENITA[[#This Row],[CIE-10]]),COUNTIFS(BASE[Cod.Establecimiento],$O$3,BASE[CODCIE10],ENOS_G2_SIFILIS_CONGENITA[[#This Row],[CIE-10]]))</calculatedColumnFormula>
    </tableColumn>
    <tableColumn id="3" xr3:uid="{00000000-0010-0000-1A00-000003000000}" name="D2" dataDxfId="1069">
      <calculatedColumnFormula>IF($O$3="(Todas)",COUNTIF(BASE[CODCIE102],ENOS_G2_SIFILIS_CONGENITA[[#This Row],[CIE-10]]),COUNTIFS(BASE[Cod.Establecimiento],$O$3,BASE[CODCIE102],ENOS_G2_SIFILIS_CONGENITA[[#This Row],[CIE-10]]))</calculatedColumnFormula>
    </tableColumn>
    <tableColumn id="4" xr3:uid="{00000000-0010-0000-1A00-000004000000}" name="D3" dataDxfId="1068">
      <calculatedColumnFormula>IF($O$3="(Todas)",COUNTIF(BASE[CODCIE104],ENOS_G2_SIFILIS_CONGENITA[[#This Row],[CIE-10]]),COUNTIFS(BASE[Cod.Establecimiento],$O$3,BASE[CODCIE104],ENOS_G2_SIFILIS_CONGENITA[[#This Row],[CIE-10]]))</calculatedColumnFormula>
    </tableColumn>
    <tableColumn id="5" xr3:uid="{00000000-0010-0000-1A00-000005000000}" name="D4" dataDxfId="1067">
      <calculatedColumnFormula>IF($O$3="(Todas)",COUNTIF(BASE[CODCIE106],ENOS_G2_SIFILIS_CONGENITA[[#This Row],[CIE-10]]),COUNTIFS(BASE[Cod.Establecimiento],$O$3,BASE[CODCIE106],ENOS_G2_SIFILIS_CONGENITA[[#This Row],[CIE-10]]))</calculatedColumnFormula>
    </tableColumn>
    <tableColumn id="6" xr3:uid="{00000000-0010-0000-1A00-000006000000}" name="D5" dataDxfId="1066">
      <calculatedColumnFormula>IF($O$3="(Todas)",COUNTIF(BASE[CODCIE108],ENOS_G2_SIFILIS_CONGENITA[[#This Row],[CIE-10]]),COUNTIFS(BASE[Cod.Establecimiento],$O$3,BASE[CODCIE108],ENOS_G2_SIFILIS_CONGENITA[[#This Row],[CIE-10]]))</calculatedColumnFormula>
    </tableColumn>
    <tableColumn id="7" xr3:uid="{00000000-0010-0000-1A00-000007000000}" name="D6" dataDxfId="1065">
      <calculatedColumnFormula>IF($O$3="(Todas)",COUNTIF(BASE[CODCIE1010],ENOS_G2_SIFILIS_CONGENITA[[#This Row],[CIE-10]]),COUNTIFS(BASE[Cod.Establecimiento],$O$3,BASE[CODCIE1010],ENOS_G2_SIFILIS_CONGENITA[[#This Row],[CIE-10]]))</calculatedColumnFormula>
    </tableColumn>
    <tableColumn id="8" xr3:uid="{00000000-0010-0000-1A00-000008000000}" name="TOT" dataDxfId="1064" dataCellStyle="40% - Énfasis6">
      <calculatedColumnFormula>SUM(ENOS_G2_SIFILIS_CONGENITA[[#This Row],[D1]:[D6]])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ENOS_G2_SIFILIS_EMBARAZADA" displayName="ENOS_G2_SIFILIS_EMBARAZADA" ref="P72:W73" totalsRowShown="0" headerRowDxfId="1063">
  <autoFilter ref="P72:W73" xr:uid="{00000000-0009-0000-0100-00001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B00-000001000000}" name="CIE-10" dataCellStyle="20% - Énfasis4"/>
    <tableColumn id="2" xr3:uid="{00000000-0010-0000-1B00-000002000000}" name="D1" dataDxfId="1062">
      <calculatedColumnFormula>IF($O$3="(Todas)",COUNTIF(BASE[CODCIE10],ENOS_G2_SIFILIS_EMBARAZADA[[#This Row],[CIE-10]]),COUNTIFS(BASE[Cod.Establecimiento],$O$3,BASE[CODCIE10],ENOS_G2_SIFILIS_EMBARAZADA[[#This Row],[CIE-10]]))</calculatedColumnFormula>
    </tableColumn>
    <tableColumn id="3" xr3:uid="{00000000-0010-0000-1B00-000003000000}" name="D2" dataDxfId="1061">
      <calculatedColumnFormula>IF($O$3="(Todas)",COUNTIF(BASE[CODCIE102],ENOS_G2_SIFILIS_EMBARAZADA[[#This Row],[CIE-10]]),COUNTIFS(BASE[Cod.Establecimiento],$O$3,BASE[CODCIE102],ENOS_G2_SIFILIS_EMBARAZADA[[#This Row],[CIE-10]]))</calculatedColumnFormula>
    </tableColumn>
    <tableColumn id="4" xr3:uid="{00000000-0010-0000-1B00-000004000000}" name="D3" dataDxfId="1060">
      <calculatedColumnFormula>IF($O$3="(Todas)",COUNTIF(BASE[CODCIE104],ENOS_G2_SIFILIS_EMBARAZADA[[#This Row],[CIE-10]]),COUNTIFS(BASE[Cod.Establecimiento],$O$3,BASE[CODCIE104],ENOS_G2_SIFILIS_EMBARAZADA[[#This Row],[CIE-10]]))</calculatedColumnFormula>
    </tableColumn>
    <tableColumn id="5" xr3:uid="{00000000-0010-0000-1B00-000005000000}" name="D4" dataDxfId="1059">
      <calculatedColumnFormula>IF($O$3="(Todas)",COUNTIF(BASE[CODCIE106],ENOS_G2_SIFILIS_EMBARAZADA[[#This Row],[CIE-10]]),COUNTIFS(BASE[Cod.Establecimiento],$O$3,BASE[CODCIE106],ENOS_G2_SIFILIS_EMBARAZADA[[#This Row],[CIE-10]]))</calculatedColumnFormula>
    </tableColumn>
    <tableColumn id="6" xr3:uid="{00000000-0010-0000-1B00-000006000000}" name="D5" dataDxfId="1058">
      <calculatedColumnFormula>IF($O$3="(Todas)",COUNTIF(BASE[CODCIE108],ENOS_G2_SIFILIS_EMBARAZADA[[#This Row],[CIE-10]]),COUNTIFS(BASE[Cod.Establecimiento],$O$3,BASE[CODCIE108],ENOS_G2_SIFILIS_EMBARAZADA[[#This Row],[CIE-10]]))</calculatedColumnFormula>
    </tableColumn>
    <tableColumn id="7" xr3:uid="{00000000-0010-0000-1B00-000007000000}" name="D6" dataDxfId="1057">
      <calculatedColumnFormula>IF($O$3="(Todas)",COUNTIF(BASE[CODCIE1010],ENOS_G2_SIFILIS_EMBARAZADA[[#This Row],[CIE-10]]),COUNTIFS(BASE[Cod.Establecimiento],$O$3,BASE[CODCIE1010],ENOS_G2_SIFILIS_EMBARAZADA[[#This Row],[CIE-10]]))</calculatedColumnFormula>
    </tableColumn>
    <tableColumn id="8" xr3:uid="{00000000-0010-0000-1B00-000008000000}" name="TOT" dataDxfId="1056" dataCellStyle="40% - Énfasis6">
      <calculatedColumnFormula>SUM(ENOS_G2_SIFILIS_EMBARAZADA[[#This Row],[D1]:[D6]])</calculatedColumnFormula>
    </tableColumn>
  </tableColumns>
  <tableStyleInfo name="TableStyleLight1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ENOS_G2_SIFILIS_TODOS_LOS_CASOS" displayName="ENOS_G2_SIFILIS_TODOS_LOS_CASOS" ref="Y72:AF75" totalsRowShown="0" headerRowDxfId="1055">
  <autoFilter ref="Y72:AF75" xr:uid="{00000000-0009-0000-0100-00001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C00-000001000000}" name="CIE-10" dataCellStyle="20% - Énfasis4"/>
    <tableColumn id="2" xr3:uid="{00000000-0010-0000-1C00-000002000000}" name="D1" dataDxfId="1054">
      <calculatedColumnFormula>IF($O$3="(Todas)",COUNTIF(BASE[CODCIE10],ENOS_G2_SIFILIS_TODOS_LOS_CASOS[[#This Row],[CIE-10]]),COUNTIFS(BASE[Cod.Establecimiento],$O$3,BASE[CODCIE10],ENOS_G2_SIFILIS_TODOS_LOS_CASOS[[#This Row],[CIE-10]]))</calculatedColumnFormula>
    </tableColumn>
    <tableColumn id="3" xr3:uid="{00000000-0010-0000-1C00-000003000000}" name="D2" dataDxfId="1053">
      <calculatedColumnFormula>IF($O$3="(Todas)",COUNTIF(BASE[CODCIE102],ENOS_G2_SIFILIS_TODOS_LOS_CASOS[[#This Row],[CIE-10]]),COUNTIFS(BASE[Cod.Establecimiento],$O$3,BASE[CODCIE102],ENOS_G2_SIFILIS_TODOS_LOS_CASOS[[#This Row],[CIE-10]]))</calculatedColumnFormula>
    </tableColumn>
    <tableColumn id="4" xr3:uid="{00000000-0010-0000-1C00-000004000000}" name="D3" dataDxfId="1052">
      <calculatedColumnFormula>IF($O$3="(Todas)",COUNTIF(BASE[CODCIE104],ENOS_G2_SIFILIS_TODOS_LOS_CASOS[[#This Row],[CIE-10]]),COUNTIFS(BASE[Cod.Establecimiento],$O$3,BASE[CODCIE104],ENOS_G2_SIFILIS_TODOS_LOS_CASOS[[#This Row],[CIE-10]]))</calculatedColumnFormula>
    </tableColumn>
    <tableColumn id="5" xr3:uid="{00000000-0010-0000-1C00-000005000000}" name="D4" dataDxfId="1051">
      <calculatedColumnFormula>IF($O$3="(Todas)",COUNTIF(BASE[CODCIE106],ENOS_G2_SIFILIS_TODOS_LOS_CASOS[[#This Row],[CIE-10]]),COUNTIFS(BASE[Cod.Establecimiento],$O$3,BASE[CODCIE106],ENOS_G2_SIFILIS_TODOS_LOS_CASOS[[#This Row],[CIE-10]]))</calculatedColumnFormula>
    </tableColumn>
    <tableColumn id="6" xr3:uid="{00000000-0010-0000-1C00-000006000000}" name="D5" dataDxfId="1050">
      <calculatedColumnFormula>IF($O$3="(Todas)",COUNTIF(BASE[CODCIE108],ENOS_G2_SIFILIS_TODOS_LOS_CASOS[[#This Row],[CIE-10]]),COUNTIFS(BASE[Cod.Establecimiento],$O$3,BASE[CODCIE108],ENOS_G2_SIFILIS_TODOS_LOS_CASOS[[#This Row],[CIE-10]]))</calculatedColumnFormula>
    </tableColumn>
    <tableColumn id="7" xr3:uid="{00000000-0010-0000-1C00-000007000000}" name="D6" dataDxfId="1049">
      <calculatedColumnFormula>IF($O$3="(Todas)",COUNTIF(BASE[CODCIE1010],ENOS_G2_SIFILIS_TODOS_LOS_CASOS[[#This Row],[CIE-10]]),COUNTIFS(BASE[Cod.Establecimiento],$O$3,BASE[CODCIE1010],ENOS_G2_SIFILIS_TODOS_LOS_CASOS[[#This Row],[CIE-10]]))</calculatedColumnFormula>
    </tableColumn>
    <tableColumn id="8" xr3:uid="{00000000-0010-0000-1C00-000008000000}" name="TOT" dataDxfId="1048" dataCellStyle="40% - Énfasis6">
      <calculatedColumnFormula>SUM(ENOS_G2_SIFILIS_TODOS_LOS_CASOS[[#This Row],[D1]:[D6]])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PV_RUBEOLA" displayName="EPV_RUBEOLA" ref="J4:Q15" totalsRowShown="0" headerRowDxfId="1263">
  <autoFilter ref="J4:Q15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200-000001000000}" name="CIE-10" dataCellStyle="20% - Énfasis4"/>
    <tableColumn id="2" xr3:uid="{00000000-0010-0000-0200-000002000000}" name="D1" dataDxfId="1262">
      <calculatedColumnFormula>IF($AK$2="(Todas)",COUNTIF(BASE[CODCIE10],EPV_RUBEOLA[[#This Row],[CIE-10]]),COUNTIFS(BASE[Cod.Establecimiento],$AK$2,BASE[CODCIE10],EPV_RUBEOLA[[#This Row],[CIE-10]]))</calculatedColumnFormula>
    </tableColumn>
    <tableColumn id="3" xr3:uid="{00000000-0010-0000-0200-000003000000}" name="D2" dataDxfId="1261">
      <calculatedColumnFormula>IF($AK$2="(Todas)",COUNTIF(BASE[CODCIE102],EPV_RUBEOLA[[#This Row],[CIE-10]]),COUNTIFS(BASE[Cod.Establecimiento],$AK$2,BASE[CODCIE102],EPV_RUBEOLA[[#This Row],[CIE-10]]))</calculatedColumnFormula>
    </tableColumn>
    <tableColumn id="4" xr3:uid="{00000000-0010-0000-0200-000004000000}" name="D3" dataDxfId="1260">
      <calculatedColumnFormula>IF($AK$2="(Todas)",COUNTIF(BASE[CODCIE104],EPV_RUBEOLA[[#This Row],[CIE-10]]),COUNTIFS(BASE[Cod.Establecimiento],$AK$2,BASE[CODCIE104],EPV_RUBEOLA[[#This Row],[CIE-10]]))</calculatedColumnFormula>
    </tableColumn>
    <tableColumn id="5" xr3:uid="{00000000-0010-0000-0200-000005000000}" name="D4" dataDxfId="1259">
      <calculatedColumnFormula>IF($AK$2="(Todas)",COUNTIF(BASE[CODCIE106],EPV_RUBEOLA[[#This Row],[CIE-10]]),COUNTIFS(BASE[Cod.Establecimiento],$AK$2,BASE[CODCIE106],EPV_RUBEOLA[[#This Row],[CIE-10]]))</calculatedColumnFormula>
    </tableColumn>
    <tableColumn id="6" xr3:uid="{00000000-0010-0000-0200-000006000000}" name="D5" dataDxfId="1258">
      <calculatedColumnFormula>IF($AK$2="(Todas)",COUNTIF(BASE[CODCIE108],EPV_RUBEOLA[[#This Row],[CIE-10]]),COUNTIFS(BASE[Cod.Establecimiento],$AK$2,BASE[CODCIE108],EPV_RUBEOLA[[#This Row],[CIE-10]]))</calculatedColumnFormula>
    </tableColumn>
    <tableColumn id="7" xr3:uid="{00000000-0010-0000-0200-000007000000}" name="D6" dataDxfId="1257">
      <calculatedColumnFormula>IF($AK$2="(Todas)",COUNTIF(BASE[CODCIE1010],EPV_RUBEOLA[[#This Row],[CIE-10]]),COUNTIFS(BASE[Cod.Establecimiento],$AK$2,BASE[CODCIE1010],EPV_RUBEOLA[[#This Row],[CIE-10]]))</calculatedColumnFormula>
    </tableColumn>
    <tableColumn id="8" xr3:uid="{00000000-0010-0000-0200-000008000000}" name="TOT" dataDxfId="1256" dataCellStyle="40% - Énfasis6">
      <calculatedColumnFormula>SUM(EPV_RUBEOLA[[#This Row],[D1]:[D6]])</calculatedColumnFormula>
    </tableColumn>
  </tableColumns>
  <tableStyleInfo name="TableStyleLight1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ENOS_G2_ENF_VIRICAS_LESIONES_PIEL_Y_MEMB_MUCOSAS" displayName="ENOS_G2_ENF_VIRICAS_LESIONES_PIEL_Y_MEMB_MUCOSAS" ref="P78:W79" totalsRowShown="0" headerRowDxfId="1047">
  <autoFilter ref="P78:W79" xr:uid="{00000000-0009-0000-0100-00001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D00-000001000000}" name="CIE-10" dataCellStyle="20% - Énfasis4"/>
    <tableColumn id="2" xr3:uid="{00000000-0010-0000-1D00-000002000000}" name="D1" dataDxfId="1046">
      <calculatedColumnFormula>IF($O$3="(Todas)",COUNTIF(BASE[CODCIE10],ENOS_G2_ENF_VIRICAS_LESIONES_PIEL_Y_MEMB_MUCOSAS[[#This Row],[CIE-10]]),COUNTIFS(BASE[Cod.Establecimiento],$O$3,BASE[CODCIE10],ENOS_G2_ENF_VIRICAS_LESIONES_PIEL_Y_MEMB_MUCOSAS[[#This Row],[CIE-10]]))</calculatedColumnFormula>
    </tableColumn>
    <tableColumn id="3" xr3:uid="{00000000-0010-0000-1D00-000003000000}" name="D2" dataDxfId="1045">
      <calculatedColumnFormula>IF($O$3="(Todas)",COUNTIF(BASE[CODCIE102],ENOS_G2_ENF_VIRICAS_LESIONES_PIEL_Y_MEMB_MUCOSAS[[#This Row],[CIE-10]]),COUNTIFS(BASE[Cod.Establecimiento],$O$3,BASE[CODCIE102],ENOS_G2_ENF_VIRICAS_LESIONES_PIEL_Y_MEMB_MUCOSAS[[#This Row],[CIE-10]]))</calculatedColumnFormula>
    </tableColumn>
    <tableColumn id="4" xr3:uid="{00000000-0010-0000-1D00-000004000000}" name="D3" dataDxfId="1044">
      <calculatedColumnFormula>IF($O$3="(Todas)",COUNTIF(BASE[CODCIE104],ENOS_G2_ENF_VIRICAS_LESIONES_PIEL_Y_MEMB_MUCOSAS[[#This Row],[CIE-10]]),COUNTIFS(BASE[Cod.Establecimiento],$O$3,BASE[CODCIE104],ENOS_G2_ENF_VIRICAS_LESIONES_PIEL_Y_MEMB_MUCOSAS[[#This Row],[CIE-10]]))</calculatedColumnFormula>
    </tableColumn>
    <tableColumn id="5" xr3:uid="{00000000-0010-0000-1D00-000005000000}" name="D4" dataDxfId="1043">
      <calculatedColumnFormula>IF($O$3="(Todas)",COUNTIF(BASE[CODCIE106],ENOS_G2_ENF_VIRICAS_LESIONES_PIEL_Y_MEMB_MUCOSAS[[#This Row],[CIE-10]]),COUNTIFS(BASE[Cod.Establecimiento],$O$3,BASE[CODCIE106],ENOS_G2_ENF_VIRICAS_LESIONES_PIEL_Y_MEMB_MUCOSAS[[#This Row],[CIE-10]]))</calculatedColumnFormula>
    </tableColumn>
    <tableColumn id="6" xr3:uid="{00000000-0010-0000-1D00-000006000000}" name="D5" dataDxfId="1042">
      <calculatedColumnFormula>IF($O$3="(Todas)",COUNTIF(BASE[CODCIE108],ENOS_G2_ENF_VIRICAS_LESIONES_PIEL_Y_MEMB_MUCOSAS[[#This Row],[CIE-10]]),COUNTIFS(BASE[Cod.Establecimiento],$O$3,BASE[CODCIE108],ENOS_G2_ENF_VIRICAS_LESIONES_PIEL_Y_MEMB_MUCOSAS[[#This Row],[CIE-10]]))</calculatedColumnFormula>
    </tableColumn>
    <tableColumn id="7" xr3:uid="{00000000-0010-0000-1D00-000007000000}" name="D6" dataDxfId="1041">
      <calculatedColumnFormula>IF($O$3="(Todas)",COUNTIF(BASE[CODCIE1010],ENOS_G2_ENF_VIRICAS_LESIONES_PIEL_Y_MEMB_MUCOSAS[[#This Row],[CIE-10]]),COUNTIFS(BASE[Cod.Establecimiento],$O$3,BASE[CODCIE1010],ENOS_G2_ENF_VIRICAS_LESIONES_PIEL_Y_MEMB_MUCOSAS[[#This Row],[CIE-10]]))</calculatedColumnFormula>
    </tableColumn>
    <tableColumn id="8" xr3:uid="{00000000-0010-0000-1D00-000008000000}" name="TOT" dataDxfId="1040" dataCellStyle="40% - Énfasis6">
      <calculatedColumnFormula>SUM(ENOS_G2_ENF_VIRICAS_LESIONES_PIEL_Y_MEMB_MUCOSAS[[#This Row],[D1]:[D6]])</calculatedColumnFormula>
    </tableColumn>
  </tableColumns>
  <tableStyleInfo name="TableStyleLight1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ENOS_G3_ETI_MENOR_QUE_1_AÑO" displayName="ENOS_G3_ETI_MENOR_QUE_1_AÑO" ref="P82:W85" totalsRowShown="0" headerRowDxfId="1039">
  <autoFilter ref="P82:W85" xr:uid="{00000000-0009-0000-0100-00001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E00-000001000000}" name="CIE-10" dataCellStyle="20% - Énfasis4"/>
    <tableColumn id="2" xr3:uid="{00000000-0010-0000-1E00-000002000000}" name="D1" dataDxfId="1038">
      <calculatedColumnFormula>IF($O$3="(Todas)",COUNTIFS(BASE[CODCIE10],ENOS_G3_ETI_MENOR_QUE_1_AÑO[[#This Row],[CIE-10]],BASE[Edad],"&lt;1"),COUNTIFS(BASE[Cod.Establecimiento],$O$3,BASE[CODCIE10],ENOS_G3_ETI_MENOR_QUE_1_AÑO[[#This Row],[CIE-10]],BASE[Edad],"&lt;1"))</calculatedColumnFormula>
    </tableColumn>
    <tableColumn id="3" xr3:uid="{00000000-0010-0000-1E00-000003000000}" name="D2" dataDxfId="1037">
      <calculatedColumnFormula>IF($O$3="(Todas)",COUNTIFS(BASE[CODCIE102],ENOS_G3_ETI_MENOR_QUE_1_AÑO[[#This Row],[CIE-10]],BASE[Edad],"&lt;1"),COUNTIFS(BASE[Cod.Establecimiento],$O$3,BASE[CODCIE102],ENOS_G3_ETI_MENOR_QUE_1_AÑO[[#This Row],[CIE-10]],BASE[Edad],"&lt;1"))</calculatedColumnFormula>
    </tableColumn>
    <tableColumn id="4" xr3:uid="{00000000-0010-0000-1E00-000004000000}" name="D3" dataDxfId="1036">
      <calculatedColumnFormula>IF($O$3="(Todas)",COUNTIFS(BASE[CODCIE104],ENOS_G3_ETI_MENOR_QUE_1_AÑO[[#This Row],[CIE-10]],BASE[Edad],"&lt;1"),COUNTIFS(BASE[Cod.Establecimiento],$O$3,BASE[CODCIE104],ENOS_G3_ETI_MENOR_QUE_1_AÑO[[#This Row],[CIE-10]],BASE[Edad],"&lt;1"))</calculatedColumnFormula>
    </tableColumn>
    <tableColumn id="5" xr3:uid="{00000000-0010-0000-1E00-000005000000}" name="D4" dataDxfId="1035">
      <calculatedColumnFormula>IF($O$3="(Todas)",COUNTIFS(BASE[CODCIE106],ENOS_G3_ETI_MENOR_QUE_1_AÑO[[#This Row],[CIE-10]],BASE[Edad],"&lt;1"),COUNTIFS(BASE[Cod.Establecimiento],$O$3,BASE[CODCIE106],ENOS_G3_ETI_MENOR_QUE_1_AÑO[[#This Row],[CIE-10]],BASE[Edad],"&lt;1"))</calculatedColumnFormula>
    </tableColumn>
    <tableColumn id="6" xr3:uid="{00000000-0010-0000-1E00-000006000000}" name="D5" dataDxfId="1034">
      <calculatedColumnFormula>IF($O$3="(Todas)",COUNTIFS(BASE[CODCIE108],ENOS_G3_ETI_MENOR_QUE_1_AÑO[[#This Row],[CIE-10]],BASE[Edad],"&lt;1"),COUNTIFS(BASE[Cod.Establecimiento],$O$3,BASE[CODCIE108],ENOS_G3_ETI_MENOR_QUE_1_AÑO[[#This Row],[CIE-10]],BASE[Edad],"&lt;1"))</calculatedColumnFormula>
    </tableColumn>
    <tableColumn id="7" xr3:uid="{00000000-0010-0000-1E00-000007000000}" name="D6" dataDxfId="1033">
      <calculatedColumnFormula>IF($O$3="(Todas)",COUNTIFS(BASE[CODCIE1010],ENOS_G3_ETI_MENOR_QUE_1_AÑO[[#This Row],[CIE-10]],BASE[Edad],"&lt;1"),COUNTIFS(BASE[Cod.Establecimiento],$O$3,BASE[CODCIE1010],ENOS_G3_ETI_MENOR_QUE_1_AÑO[[#This Row],[CIE-10]],BASE[Edad],"&lt;1"))</calculatedColumnFormula>
    </tableColumn>
    <tableColumn id="8" xr3:uid="{00000000-0010-0000-1E00-000008000000}" name="TOT" dataDxfId="1032" dataCellStyle="40% - Énfasis6">
      <calculatedColumnFormula>SUM(ENOS_G3_ETI_MENOR_QUE_1_AÑO[[#This Row],[D1]:[D6]])</calculatedColumnFormula>
    </tableColumn>
  </tableColumns>
  <tableStyleInfo name="TableStyleLight1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ENOS_G3_ETI_1_4_AÑOS" displayName="ENOS_G3_ETI_1_4_AÑOS" ref="Y82:AF85" totalsRowShown="0" headerRowDxfId="1031">
  <autoFilter ref="Y82:AF85" xr:uid="{00000000-0009-0000-0100-00002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F00-000001000000}" name="CIE-10" dataCellStyle="20% - Énfasis4"/>
    <tableColumn id="2" xr3:uid="{00000000-0010-0000-1F00-000002000000}" name="D1" dataDxfId="1030">
      <calculatedColumnFormula>IF($O$3="(Todas)",COUNTIFS(BASE[CODCIE10],ENOS_G3_ETI_1_4_AÑOS[[#This Row],[CIE-10]],BASE[Edad],"&gt;=1",BASE[Edad],"&lt;=4"),COUNTIFS(BASE[Cod.Establecimiento],$O$3,BASE[CODCIE10],ENOS_G3_ETI_1_4_AÑOS[[#This Row],[CIE-10]],BASE[Edad],"&gt;=1",BASE[Edad],"&lt;=4"))</calculatedColumnFormula>
    </tableColumn>
    <tableColumn id="3" xr3:uid="{00000000-0010-0000-1F00-000003000000}" name="D2" dataDxfId="1029">
      <calculatedColumnFormula>IF($O$3="(Todas)",COUNTIFS(BASE[CODCIE102],ENOS_G3_ETI_1_4_AÑOS[[#This Row],[CIE-10]],BASE[Edad],"&gt;=1",BASE[Edad],"&lt;=4"),COUNTIFS(BASE[Cod.Establecimiento],$O$3,BASE[CODCIE102],ENOS_G3_ETI_1_4_AÑOS[[#This Row],[CIE-10]],BASE[Edad],"&gt;=1",BASE[Edad],"&lt;=4"))</calculatedColumnFormula>
    </tableColumn>
    <tableColumn id="4" xr3:uid="{00000000-0010-0000-1F00-000004000000}" name="D3" dataDxfId="1028">
      <calculatedColumnFormula>IF($O$3="(Todas)",COUNTIFS(BASE[CODCIE104],ENOS_G3_ETI_1_4_AÑOS[[#This Row],[CIE-10]],BASE[Edad],"&gt;=1",BASE[Edad],"&lt;=4"),COUNTIFS(BASE[Cod.Establecimiento],$O$3,BASE[CODCIE104],ENOS_G3_ETI_1_4_AÑOS[[#This Row],[CIE-10]],BASE[Edad],"&gt;=1",BASE[Edad],"&lt;=4"))</calculatedColumnFormula>
    </tableColumn>
    <tableColumn id="5" xr3:uid="{00000000-0010-0000-1F00-000005000000}" name="D4" dataDxfId="1027">
      <calculatedColumnFormula>IF($O$3="(Todas)",COUNTIFS(BASE[CODCIE106],ENOS_G3_ETI_1_4_AÑOS[[#This Row],[CIE-10]],BASE[Edad],"&gt;=1",BASE[Edad],"&lt;=4"),COUNTIFS(BASE[Cod.Establecimiento],$O$3,BASE[CODCIE106],ENOS_G3_ETI_1_4_AÑOS[[#This Row],[CIE-10]],BASE[Edad],"&gt;=1",BASE[Edad],"&lt;=4"))</calculatedColumnFormula>
    </tableColumn>
    <tableColumn id="6" xr3:uid="{00000000-0010-0000-1F00-000006000000}" name="D5" dataDxfId="1026">
      <calculatedColumnFormula>IF($O$3="(Todas)",COUNTIFS(BASE[CODCIE108],ENOS_G3_ETI_1_4_AÑOS[[#This Row],[CIE-10]],BASE[Edad],"&gt;=1",BASE[Edad],"&lt;=4"),COUNTIFS(BASE[Cod.Establecimiento],$O$3,BASE[CODCIE108],ENOS_G3_ETI_1_4_AÑOS[[#This Row],[CIE-10]],BASE[Edad],"&gt;=1",BASE[Edad],"&lt;=4"))</calculatedColumnFormula>
    </tableColumn>
    <tableColumn id="7" xr3:uid="{00000000-0010-0000-1F00-000007000000}" name="D6" dataDxfId="1025">
      <calculatedColumnFormula>IF($O$3="(Todas)",COUNTIFS(BASE[CODCIE1010],ENOS_G3_ETI_1_4_AÑOS[[#This Row],[CIE-10]],BASE[Edad],"&gt;=1",BASE[Edad],"&lt;=4"),COUNTIFS(BASE[Cod.Establecimiento],$O$3,BASE[CODCIE1010],ENOS_G3_ETI_1_4_AÑOS[[#This Row],[CIE-10]],BASE[Edad],"&gt;=1",BASE[Edad],"&lt;=4"))</calculatedColumnFormula>
    </tableColumn>
    <tableColumn id="8" xr3:uid="{00000000-0010-0000-1F00-000008000000}" name="TOT" dataDxfId="1024" dataCellStyle="40% - Énfasis6">
      <calculatedColumnFormula>SUM(ENOS_G3_ETI_1_4_AÑOS[[#This Row],[D1]:[D6]])</calculatedColumnFormula>
    </tableColumn>
  </tableColumns>
  <tableStyleInfo name="TableStyleLight1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ENOS_G3_ETI_5_19_AÑOS" displayName="ENOS_G3_ETI_5_19_AÑOS" ref="P88:W91" totalsRowShown="0" headerRowDxfId="1023">
  <autoFilter ref="P88:W91" xr:uid="{00000000-0009-0000-0100-00002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000-000001000000}" name="CIE-10" dataCellStyle="20% - Énfasis4"/>
    <tableColumn id="2" xr3:uid="{00000000-0010-0000-2000-000002000000}" name="D1" dataDxfId="1022">
      <calculatedColumnFormula>IF($O$3="(Todas)",COUNTIFS(BASE[CODCIE10],ENOS_G3_ETI_5_19_AÑOS[[#This Row],[CIE-10]],BASE[Edad],"&gt;=5",BASE[Edad],"&lt;=19"),COUNTIFS(BASE[Cod.Establecimiento],$O$3,BASE[CODCIE10],ENOS_G3_ETI_5_19_AÑOS[[#This Row],[CIE-10]],BASE[Edad],"&gt;=5",BASE[Edad],"&lt;=19"))</calculatedColumnFormula>
    </tableColumn>
    <tableColumn id="3" xr3:uid="{00000000-0010-0000-2000-000003000000}" name="D2" dataDxfId="1021">
      <calculatedColumnFormula>IF($O$3="(Todas)",COUNTIFS(BASE[CODCIE102],ENOS_G3_ETI_5_19_AÑOS[[#This Row],[CIE-10]],BASE[Edad],"&gt;=5",BASE[Edad],"&lt;=19"),COUNTIFS(BASE[Cod.Establecimiento],$O$3,BASE[CODCIE102],ENOS_G3_ETI_5_19_AÑOS[[#This Row],[CIE-10]],BASE[Edad],"&gt;=5",BASE[Edad],"&lt;=19"))</calculatedColumnFormula>
    </tableColumn>
    <tableColumn id="4" xr3:uid="{00000000-0010-0000-2000-000004000000}" name="D3" dataDxfId="1020">
      <calculatedColumnFormula>IF($O$3="(Todas)",COUNTIFS(BASE[CODCIE104],ENOS_G3_ETI_5_19_AÑOS[[#This Row],[CIE-10]],BASE[Edad],"&gt;=5",BASE[Edad],"&lt;=19"),COUNTIFS(BASE[Cod.Establecimiento],$O$3,BASE[CODCIE104],ENOS_G3_ETI_5_19_AÑOS[[#This Row],[CIE-10]],BASE[Edad],"&gt;=5",BASE[Edad],"&lt;=19"))</calculatedColumnFormula>
    </tableColumn>
    <tableColumn id="5" xr3:uid="{00000000-0010-0000-2000-000005000000}" name="D4" dataDxfId="1019">
      <calculatedColumnFormula>IF($O$3="(Todas)",COUNTIFS(BASE[CODCIE106],ENOS_G3_ETI_5_19_AÑOS[[#This Row],[CIE-10]],BASE[Edad],"&gt;=5",BASE[Edad],"&lt;=19"),COUNTIFS(BASE[Cod.Establecimiento],$O$3,BASE[CODCIE106],ENOS_G3_ETI_5_19_AÑOS[[#This Row],[CIE-10]],BASE[Edad],"&gt;=5",BASE[Edad],"&lt;=19"))</calculatedColumnFormula>
    </tableColumn>
    <tableColumn id="6" xr3:uid="{00000000-0010-0000-2000-000006000000}" name="D5" dataDxfId="1018">
      <calculatedColumnFormula>IF($O$3="(Todas)",COUNTIFS(BASE[CODCIE108],ENOS_G3_ETI_5_19_AÑOS[[#This Row],[CIE-10]],BASE[Edad],"&gt;=5",BASE[Edad],"&lt;=19"),COUNTIFS(BASE[Cod.Establecimiento],$O$3,BASE[CODCIE108],ENOS_G3_ETI_5_19_AÑOS[[#This Row],[CIE-10]],BASE[Edad],"&gt;=5",BASE[Edad],"&lt;=19"))</calculatedColumnFormula>
    </tableColumn>
    <tableColumn id="7" xr3:uid="{00000000-0010-0000-2000-000007000000}" name="D6" dataDxfId="1017">
      <calculatedColumnFormula>IF($O$3="(Todas)",COUNTIFS(BASE[CODCIE1010],ENOS_G3_ETI_5_19_AÑOS[[#This Row],[CIE-10]],BASE[Edad],"&gt;=5",BASE[Edad],"&lt;=19"),COUNTIFS(BASE[Cod.Establecimiento],$O$3,BASE[CODCIE1010],ENOS_G3_ETI_5_19_AÑOS[[#This Row],[CIE-10]],BASE[Edad],"&gt;=5",BASE[Edad],"&lt;=19"))</calculatedColumnFormula>
    </tableColumn>
    <tableColumn id="8" xr3:uid="{00000000-0010-0000-2000-000008000000}" name="TOT" dataDxfId="1016" dataCellStyle="40% - Énfasis6">
      <calculatedColumnFormula>SUM(ENOS_G3_ETI_5_19_AÑOS[[#This Row],[D1]:[D6]])</calculatedColumnFormula>
    </tableColumn>
  </tableColumns>
  <tableStyleInfo name="TableStyleLight1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ENOS_G3_ETI_20_59_AÑOS" displayName="ENOS_G3_ETI_20_59_AÑOS" ref="Y88:AF91" totalsRowShown="0" headerRowDxfId="1015">
  <autoFilter ref="Y88:AF91" xr:uid="{00000000-0009-0000-0100-00002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100-000001000000}" name="CIE-10" dataCellStyle="20% - Énfasis4"/>
    <tableColumn id="2" xr3:uid="{00000000-0010-0000-2100-000002000000}" name="D1" dataDxfId="1014">
      <calculatedColumnFormula>IF($O$3="(Todas)",COUNTIFS(BASE[CODCIE10],ENOS_G3_ETI_20_59_AÑOS[[#This Row],[CIE-10]],BASE[Edad],"&gt;=20",BASE[Edad],"&lt;=59"),COUNTIFS(BASE[Cod.Establecimiento],$O$3,BASE[CODCIE10],ENOS_G3_ETI_20_59_AÑOS[[#This Row],[CIE-10]],BASE[Edad],"&gt;=20",BASE[Edad],"&lt;=59"))</calculatedColumnFormula>
    </tableColumn>
    <tableColumn id="3" xr3:uid="{00000000-0010-0000-2100-000003000000}" name="D2" dataDxfId="1013">
      <calculatedColumnFormula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calculatedColumnFormula>
    </tableColumn>
    <tableColumn id="4" xr3:uid="{00000000-0010-0000-2100-000004000000}" name="D3" dataDxfId="1012">
      <calculatedColumnFormula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calculatedColumnFormula>
    </tableColumn>
    <tableColumn id="5" xr3:uid="{00000000-0010-0000-2100-000005000000}" name="D4" dataDxfId="1011">
      <calculatedColumnFormula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calculatedColumnFormula>
    </tableColumn>
    <tableColumn id="6" xr3:uid="{00000000-0010-0000-2100-000006000000}" name="D5" dataDxfId="1010">
      <calculatedColumnFormula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calculatedColumnFormula>
    </tableColumn>
    <tableColumn id="7" xr3:uid="{00000000-0010-0000-2100-000007000000}" name="D6" dataDxfId="1009">
      <calculatedColumnFormula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calculatedColumnFormula>
    </tableColumn>
    <tableColumn id="8" xr3:uid="{00000000-0010-0000-2100-000008000000}" name="TOT" dataDxfId="1008" dataCellStyle="40% - Énfasis6">
      <calculatedColumnFormula>SUM(ENOS_G3_ETI_20_59_AÑOS[[#This Row],[D1]:[D6]])</calculatedColumnFormula>
    </tableColumn>
  </tableColumns>
  <tableStyleInfo name="TableStyleLight1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ENOS_G3_ETI_60_MAS_AÑOS" displayName="ENOS_G3_ETI_60_MAS_AÑOS" ref="P94:W97" totalsRowShown="0" headerRowDxfId="1007">
  <autoFilter ref="P94:W97" xr:uid="{00000000-0009-0000-0100-00002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200-000001000000}" name="CIE-10" dataCellStyle="20% - Énfasis4"/>
    <tableColumn id="2" xr3:uid="{00000000-0010-0000-2200-000002000000}" name="D1" dataDxfId="1006">
      <calculatedColumnFormula>IF($O$3="(Todas)",COUNTIFS(BASE[CODCIE10],ENOS_G3_ETI_60_MAS_AÑOS[[#This Row],[CIE-10]],BASE[Edad],"&gt;=60"),COUNTIFS(BASE[Cod.Establecimiento],$O$3,BASE[CODCIE10],ENOS_G3_ETI_60_MAS_AÑOS[[#This Row],[CIE-10]],BASE[Edad],"&gt;=60"))</calculatedColumnFormula>
    </tableColumn>
    <tableColumn id="3" xr3:uid="{00000000-0010-0000-2200-000003000000}" name="D2" dataDxfId="1005">
      <calculatedColumnFormula>IF($O$3="(Todas)",COUNTIFS(BASE[CODCIE102],ENOS_G3_ETI_60_MAS_AÑOS[[#This Row],[CIE-10]],BASE[Edad],"&gt;=60"),COUNTIFS(BASE[Cod.Establecimiento],$O$3,BASE[CODCIE102],ENOS_G3_ETI_60_MAS_AÑOS[[#This Row],[CIE-10]],BASE[Edad],"&gt;=60"))</calculatedColumnFormula>
    </tableColumn>
    <tableColumn id="4" xr3:uid="{00000000-0010-0000-2200-000004000000}" name="D3" dataDxfId="1004">
      <calculatedColumnFormula>IF($O$3="(Todas)",COUNTIFS(BASE[CODCIE104],ENOS_G3_ETI_60_MAS_AÑOS[[#This Row],[CIE-10]],BASE[Edad],"&gt;=60"),COUNTIFS(BASE[Cod.Establecimiento],$O$3,BASE[CODCIE104],ENOS_G3_ETI_60_MAS_AÑOS[[#This Row],[CIE-10]],BASE[Edad],"&gt;=60"))</calculatedColumnFormula>
    </tableColumn>
    <tableColumn id="5" xr3:uid="{00000000-0010-0000-2200-000005000000}" name="D4" dataDxfId="1003">
      <calculatedColumnFormula>IF($O$3="(Todas)",COUNTIFS(BASE[CODCIE106],ENOS_G3_ETI_60_MAS_AÑOS[[#This Row],[CIE-10]],BASE[Edad],"&gt;=60"),COUNTIFS(BASE[Cod.Establecimiento],$O$3,BASE[CODCIE106],ENOS_G3_ETI_60_MAS_AÑOS[[#This Row],[CIE-10]],BASE[Edad],"&gt;=60"))</calculatedColumnFormula>
    </tableColumn>
    <tableColumn id="6" xr3:uid="{00000000-0010-0000-2200-000006000000}" name="D5" dataDxfId="1002">
      <calculatedColumnFormula>IF($O$3="(Todas)",COUNTIFS(BASE[CODCIE108],ENOS_G3_ETI_60_MAS_AÑOS[[#This Row],[CIE-10]],BASE[Edad],"&gt;=60"),COUNTIFS(BASE[Cod.Establecimiento],$O$3,BASE[CODCIE108],ENOS_G3_ETI_60_MAS_AÑOS[[#This Row],[CIE-10]],BASE[Edad],"&gt;=60"))</calculatedColumnFormula>
    </tableColumn>
    <tableColumn id="7" xr3:uid="{00000000-0010-0000-2200-000007000000}" name="D6" dataDxfId="1001">
      <calculatedColumnFormula>IF($O$3="(Todas)",COUNTIFS(BASE[CODCIE1010],ENOS_G3_ETI_60_MAS_AÑOS[[#This Row],[CIE-10]],BASE[Edad],"&gt;=60"),COUNTIFS(BASE[Cod.Establecimiento],$O$3,BASE[CODCIE1010],ENOS_G3_ETI_60_MAS_AÑOS[[#This Row],[CIE-10]],BASE[Edad],"&gt;=60"))</calculatedColumnFormula>
    </tableColumn>
    <tableColumn id="8" xr3:uid="{00000000-0010-0000-2200-000008000000}" name="TOT" dataDxfId="1000" dataCellStyle="40% - Énfasis6">
      <calculatedColumnFormula>SUM(ENOS_G3_ETI_60_MAS_AÑOS[[#This Row],[D1]:[D6]])</calculatedColumnFormula>
    </tableColumn>
  </tableColumns>
  <tableStyleInfo name="TableStyleLight1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ENOS_G3_ETI_SD_AÑOS" displayName="ENOS_G3_ETI_SD_AÑOS" ref="Y94:AF97" totalsRowShown="0" headerRowDxfId="999">
  <autoFilter ref="Y94:AF97" xr:uid="{00000000-0009-0000-0100-00002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300-000001000000}" name="CIE-10" dataCellStyle="20% - Énfasis4"/>
    <tableColumn id="2" xr3:uid="{00000000-0010-0000-2300-000002000000}" name="D1" dataDxfId="998">
      <calculatedColumnFormula>IF($O$3="(Todas)",COUNTIFS(BASE[CODCIE10],ENOS_G3_ETI_SD_AÑOS[[#This Row],[CIE-10]],BASE[Edad],""),COUNTIFS(BASE[Cod.Establecimiento],$O$3,BASE[CODCIE10],ENOS_G3_ETI_SD_AÑOS[[#This Row],[CIE-10]],BASE[Edad],""))</calculatedColumnFormula>
    </tableColumn>
    <tableColumn id="3" xr3:uid="{00000000-0010-0000-2300-000003000000}" name="D2" dataDxfId="997">
      <calculatedColumnFormula>IF($O$3="(Todas)",COUNTIFS(BASE[CODCIE102],ENOS_G3_ETI_SD_AÑOS[[#This Row],[CIE-10]],BASE[Edad],""),COUNTIFS(BASE[Cod.Establecimiento],$O$3,BASE[CODCIE102],ENOS_G3_ETI_SD_AÑOS[[#This Row],[CIE-10]],BASE[Edad],""))</calculatedColumnFormula>
    </tableColumn>
    <tableColumn id="4" xr3:uid="{00000000-0010-0000-2300-000004000000}" name="D3" dataDxfId="996">
      <calculatedColumnFormula>IF($O$3="(Todas)",COUNTIFS(BASE[CODCIE104],ENOS_G3_ETI_SD_AÑOS[[#This Row],[CIE-10]],BASE[Edad],""),COUNTIFS(BASE[Cod.Establecimiento],$O$3,BASE[CODCIE104],ENOS_G3_ETI_SD_AÑOS[[#This Row],[CIE-10]],BASE[Edad],""))</calculatedColumnFormula>
    </tableColumn>
    <tableColumn id="5" xr3:uid="{00000000-0010-0000-2300-000005000000}" name="D4" dataDxfId="995">
      <calculatedColumnFormula>IF($O$3="(Todas)",COUNTIFS(BASE[CODCIE106],ENOS_G3_ETI_SD_AÑOS[[#This Row],[CIE-10]],BASE[Edad],""),COUNTIFS(BASE[Cod.Establecimiento],$O$3,BASE[CODCIE106],ENOS_G3_ETI_SD_AÑOS[[#This Row],[CIE-10]],BASE[Edad],""))</calculatedColumnFormula>
    </tableColumn>
    <tableColumn id="6" xr3:uid="{00000000-0010-0000-2300-000006000000}" name="D5" dataDxfId="994">
      <calculatedColumnFormula>IF($O$3="(Todas)",COUNTIFS(BASE[CODCIE108],ENOS_G3_ETI_SD_AÑOS[[#This Row],[CIE-10]],BASE[Edad],""),COUNTIFS(BASE[Cod.Establecimiento],$O$3,BASE[CODCIE108],ENOS_G3_ETI_SD_AÑOS[[#This Row],[CIE-10]],BASE[Edad],""))</calculatedColumnFormula>
    </tableColumn>
    <tableColumn id="7" xr3:uid="{00000000-0010-0000-2300-000007000000}" name="D6" dataDxfId="993">
      <calculatedColumnFormula>IF($O$3="(Todas)",COUNTIFS(BASE[CODCIE1010],ENOS_G3_ETI_SD_AÑOS[[#This Row],[CIE-10]],BASE[Edad],""),COUNTIFS(BASE[Cod.Establecimiento],$O$3,BASE[CODCIE1010],ENOS_G3_ETI_SD_AÑOS[[#This Row],[CIE-10]],BASE[Edad],""))</calculatedColumnFormula>
    </tableColumn>
    <tableColumn id="8" xr3:uid="{00000000-0010-0000-2300-000008000000}" name="TOT" dataDxfId="992" dataCellStyle="40% - Énfasis6">
      <calculatedColumnFormula>SUM(ENOS_G3_ETI_SD_AÑOS[[#This Row],[D1]:[D6]])</calculatedColumnFormula>
    </tableColumn>
  </tableColumns>
  <tableStyleInfo name="TableStyleLight1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ENOS_G3_IRANN_MENOR_QUE_1_AÑO" displayName="ENOS_G3_IRANN_MENOR_QUE_1_AÑO" ref="P100:W109" totalsRowShown="0" headerRowDxfId="991">
  <autoFilter ref="P100:W109" xr:uid="{00000000-0009-0000-0100-00002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400-000001000000}" name="CIE-10" dataCellStyle="20% - Énfasis4"/>
    <tableColumn id="2" xr3:uid="{00000000-0010-0000-2400-000002000000}" name="D1" dataDxfId="990">
      <calculatedColumnFormula>IF($O$3="(Todas)",COUNTIFS(BASE[CODCIE10],ENOS_G3_IRANN_MENOR_QUE_1_AÑO[[#This Row],[CIE-10]],BASE[Edad],"&lt;1"),COUNTIFS(BASE[Cod.Establecimiento],$O$3,BASE[CODCIE10],ENOS_G3_IRANN_MENOR_QUE_1_AÑO[[#This Row],[CIE-10]],BASE[Edad],"&lt;1"))</calculatedColumnFormula>
    </tableColumn>
    <tableColumn id="3" xr3:uid="{00000000-0010-0000-2400-000003000000}" name="D2" dataDxfId="989">
      <calculatedColumnFormula>IF($O$3="(Todas)",COUNTIFS(BASE[CODCIE102],ENOS_G3_IRANN_MENOR_QUE_1_AÑO[[#This Row],[CIE-10]],BASE[Edad],"&lt;1"),COUNTIFS(BASE[Cod.Establecimiento],$O$3,BASE[CODCIE102],ENOS_G3_IRANN_MENOR_QUE_1_AÑO[[#This Row],[CIE-10]],BASE[Edad],"&lt;1"))</calculatedColumnFormula>
    </tableColumn>
    <tableColumn id="4" xr3:uid="{00000000-0010-0000-2400-000004000000}" name="D3" dataDxfId="988">
      <calculatedColumnFormula>IF($O$3="(Todas)",COUNTIFS(BASE[CODCIE104],ENOS_G3_IRANN_MENOR_QUE_1_AÑO[[#This Row],[CIE-10]],BASE[Edad],"&lt;1"),COUNTIFS(BASE[Cod.Establecimiento],$O$3,BASE[CODCIE104],ENOS_G3_IRANN_MENOR_QUE_1_AÑO[[#This Row],[CIE-10]],BASE[Edad],"&lt;1"))</calculatedColumnFormula>
    </tableColumn>
    <tableColumn id="5" xr3:uid="{00000000-0010-0000-2400-000005000000}" name="D4" dataDxfId="987">
      <calculatedColumnFormula>IF($O$3="(Todas)",COUNTIFS(BASE[CODCIE106],ENOS_G3_IRANN_MENOR_QUE_1_AÑO[[#This Row],[CIE-10]],BASE[Edad],"&lt;1"),COUNTIFS(BASE[Cod.Establecimiento],$O$3,BASE[CODCIE106],ENOS_G3_IRANN_MENOR_QUE_1_AÑO[[#This Row],[CIE-10]],BASE[Edad],"&lt;1"))</calculatedColumnFormula>
    </tableColumn>
    <tableColumn id="6" xr3:uid="{00000000-0010-0000-2400-000006000000}" name="D5" dataDxfId="986">
      <calculatedColumnFormula>IF($O$3="(Todas)",COUNTIFS(BASE[CODCIE108],ENOS_G3_IRANN_MENOR_QUE_1_AÑO[[#This Row],[CIE-10]],BASE[Edad],"&lt;1"),COUNTIFS(BASE[Cod.Establecimiento],$O$3,BASE[CODCIE108],ENOS_G3_IRANN_MENOR_QUE_1_AÑO[[#This Row],[CIE-10]],BASE[Edad],"&lt;1"))</calculatedColumnFormula>
    </tableColumn>
    <tableColumn id="7" xr3:uid="{00000000-0010-0000-2400-000007000000}" name="D6" dataDxfId="985">
      <calculatedColumnFormula>IF($O$3="(Todas)",COUNTIFS(BASE[CODCIE1010],ENOS_G3_IRANN_MENOR_QUE_1_AÑO[[#This Row],[CIE-10]],BASE[Edad],"&lt;1"),COUNTIFS(BASE[Cod.Establecimiento],$O$3,BASE[CODCIE1010],ENOS_G3_IRANN_MENOR_QUE_1_AÑO[[#This Row],[CIE-10]],BASE[Edad],"&lt;1"))</calculatedColumnFormula>
    </tableColumn>
    <tableColumn id="8" xr3:uid="{00000000-0010-0000-2400-000008000000}" name="TOT" dataDxfId="984" dataCellStyle="40% - Énfasis6">
      <calculatedColumnFormula>SUM(ENOS_G3_IRANN_MENOR_QUE_1_AÑO[[#This Row],[D1]:[D6]])</calculatedColumnFormula>
    </tableColumn>
  </tableColumns>
  <tableStyleInfo name="TableStyleLight1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ENOS_G3_IRANN_1_4_AÑOS" displayName="ENOS_G3_IRANN_1_4_AÑOS" ref="Y100:AF109" totalsRowShown="0" headerRowDxfId="983">
  <autoFilter ref="Y100:AF109" xr:uid="{00000000-0009-0000-0100-00002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500-000001000000}" name="CIE-10" dataCellStyle="20% - Énfasis4"/>
    <tableColumn id="2" xr3:uid="{00000000-0010-0000-2500-000002000000}" name="D1" dataDxfId="982">
      <calculatedColumnFormula>IF($O$3="(Todas)",COUNTIFS(BASE[CODCIE10],ENOS_G3_IRANN_1_4_AÑOS[[#This Row],[CIE-10]],BASE[Edad],"&gt;=1",BASE[Edad],"&lt;=4"),COUNTIFS(BASE[Cod.Establecimiento],$O$3,BASE[CODCIE10],ENOS_G3_IRANN_1_4_AÑOS[[#This Row],[CIE-10]],BASE[Edad],"&gt;=1",BASE[Edad],"&lt;=4"))</calculatedColumnFormula>
    </tableColumn>
    <tableColumn id="3" xr3:uid="{00000000-0010-0000-2500-000003000000}" name="D2" dataDxfId="981">
      <calculatedColumnFormula>IF($O$3="(Todas)",COUNTIFS(BASE[CODCIE102],ENOS_G3_IRANN_1_4_AÑOS[[#This Row],[CIE-10]],BASE[Edad],"&gt;=1",BASE[Edad],"&lt;=4"),COUNTIFS(BASE[Cod.Establecimiento],$O$3,BASE[CODCIE102],ENOS_G3_IRANN_1_4_AÑOS[[#This Row],[CIE-10]],BASE[Edad],"&gt;=1",BASE[Edad],"&lt;=4"))</calculatedColumnFormula>
    </tableColumn>
    <tableColumn id="4" xr3:uid="{00000000-0010-0000-2500-000004000000}" name="D3" dataDxfId="980">
      <calculatedColumnFormula>IF($O$3="(Todas)",COUNTIFS(BASE[CODCIE104],ENOS_G3_IRANN_1_4_AÑOS[[#This Row],[CIE-10]],BASE[Edad],"&gt;=1",BASE[Edad],"&lt;=4"),COUNTIFS(BASE[Cod.Establecimiento],$O$3,BASE[CODCIE104],ENOS_G3_IRANN_1_4_AÑOS[[#This Row],[CIE-10]],BASE[Edad],"&gt;=1",BASE[Edad],"&lt;=4"))</calculatedColumnFormula>
    </tableColumn>
    <tableColumn id="5" xr3:uid="{00000000-0010-0000-2500-000005000000}" name="D4" dataDxfId="979">
      <calculatedColumnFormula>IF($O$3="(Todas)",COUNTIFS(BASE[CODCIE106],ENOS_G3_IRANN_1_4_AÑOS[[#This Row],[CIE-10]],BASE[Edad],"&gt;=1",BASE[Edad],"&lt;=4"),COUNTIFS(BASE[Cod.Establecimiento],$O$3,BASE[CODCIE106],ENOS_G3_IRANN_1_4_AÑOS[[#This Row],[CIE-10]],BASE[Edad],"&gt;=1",BASE[Edad],"&lt;=4"))</calculatedColumnFormula>
    </tableColumn>
    <tableColumn id="6" xr3:uid="{00000000-0010-0000-2500-000006000000}" name="D5" dataDxfId="978">
      <calculatedColumnFormula>IF($O$3="(Todas)",COUNTIFS(BASE[CODCIE108],ENOS_G3_IRANN_1_4_AÑOS[[#This Row],[CIE-10]],BASE[Edad],"&gt;=1",BASE[Edad],"&lt;=4"),COUNTIFS(BASE[Cod.Establecimiento],$O$3,BASE[CODCIE108],ENOS_G3_IRANN_1_4_AÑOS[[#This Row],[CIE-10]],BASE[Edad],"&gt;=1",BASE[Edad],"&lt;=4"))</calculatedColumnFormula>
    </tableColumn>
    <tableColumn id="7" xr3:uid="{00000000-0010-0000-2500-000007000000}" name="D6" dataDxfId="977">
      <calculatedColumnFormula>IF($O$3="(Todas)",COUNTIFS(BASE[CODCIE1010],ENOS_G3_IRANN_1_4_AÑOS[[#This Row],[CIE-10]],BASE[Edad],"&gt;=1",BASE[Edad],"&lt;=4"),COUNTIFS(BASE[Cod.Establecimiento],$O$3,BASE[CODCIE1010],ENOS_G3_IRANN_1_4_AÑOS[[#This Row],[CIE-10]],BASE[Edad],"&gt;=1",BASE[Edad],"&lt;=4"))</calculatedColumnFormula>
    </tableColumn>
    <tableColumn id="8" xr3:uid="{00000000-0010-0000-2500-000008000000}" name="TOT" dataDxfId="976" dataCellStyle="40% - Énfasis6">
      <calculatedColumnFormula>SUM(ENOS_G3_IRANN_1_4_AÑOS[[#This Row],[D1]:[D6]])</calculatedColumnFormula>
    </tableColumn>
  </tableColumns>
  <tableStyleInfo name="TableStyleLight1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ENOS_G3_IRANN_5_19_AÑOS" displayName="ENOS_G3_IRANN_5_19_AÑOS" ref="P112:W121" totalsRowShown="0" headerRowDxfId="975">
  <autoFilter ref="P112:W121" xr:uid="{00000000-0009-0000-0100-00002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600-000001000000}" name="CIE-10" dataCellStyle="20% - Énfasis4"/>
    <tableColumn id="2" xr3:uid="{00000000-0010-0000-2600-000002000000}" name="D1" dataDxfId="974">
      <calculatedColumnFormula>IF($O$3="(Todas)",COUNTIFS(BASE[CODCIE10],ENOS_G3_IRANN_5_19_AÑOS[[#This Row],[CIE-10]],BASE[Edad],"&gt;=5",BASE[Edad],"&lt;=19"),COUNTIFS(BASE[Cod.Establecimiento],$O$3,BASE[CODCIE10],ENOS_G3_IRANN_5_19_AÑOS[[#This Row],[CIE-10]],BASE[Edad],"&gt;=5",BASE[Edad],"&lt;=19"))</calculatedColumnFormula>
    </tableColumn>
    <tableColumn id="3" xr3:uid="{00000000-0010-0000-2600-000003000000}" name="D2" dataDxfId="973">
      <calculatedColumnFormula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calculatedColumnFormula>
    </tableColumn>
    <tableColumn id="4" xr3:uid="{00000000-0010-0000-2600-000004000000}" name="D3" dataDxfId="972">
      <calculatedColumnFormula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calculatedColumnFormula>
    </tableColumn>
    <tableColumn id="5" xr3:uid="{00000000-0010-0000-2600-000005000000}" name="D4" dataDxfId="971">
      <calculatedColumnFormula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calculatedColumnFormula>
    </tableColumn>
    <tableColumn id="6" xr3:uid="{00000000-0010-0000-2600-000006000000}" name="D5" dataDxfId="970">
      <calculatedColumnFormula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calculatedColumnFormula>
    </tableColumn>
    <tableColumn id="7" xr3:uid="{00000000-0010-0000-2600-000007000000}" name="D6" dataDxfId="969">
      <calculatedColumnFormula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calculatedColumnFormula>
    </tableColumn>
    <tableColumn id="8" xr3:uid="{00000000-0010-0000-2600-000008000000}" name="TOT" dataDxfId="968" dataCellStyle="40% - Énfasis6">
      <calculatedColumnFormula>SUM(ENOS_G3_IRANN_5_19_AÑOS[[#This Row],[D1]:[D6]])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PV_SARAMPION" displayName="EPV_SARAMPION" ref="S4:Z13" totalsRowShown="0" headerRowDxfId="1255">
  <autoFilter ref="S4:Z13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CIE-10" dataCellStyle="20% - Énfasis4"/>
    <tableColumn id="2" xr3:uid="{00000000-0010-0000-0300-000002000000}" name="D1" dataDxfId="1254">
      <calculatedColumnFormula>IF($AK$2="(Todas)",COUNTIF(BASE[CODCIE10],EPV_SARAMPION[[#This Row],[CIE-10]]),COUNTIFS(BASE[Cod.Establecimiento],$AK$2,BASE[CODCIE10],EPV_SARAMPION[[#This Row],[CIE-10]]))</calculatedColumnFormula>
    </tableColumn>
    <tableColumn id="3" xr3:uid="{00000000-0010-0000-0300-000003000000}" name="D2" dataDxfId="1253">
      <calculatedColumnFormula>IF($AK$2="(Todas)",COUNTIF(BASE[CODCIE102],EPV_SARAMPION[[#This Row],[CIE-10]]),COUNTIFS(BASE[Cod.Establecimiento],$AK$2,BASE[CODCIE102],EPV_SARAMPION[[#This Row],[CIE-10]]))</calculatedColumnFormula>
    </tableColumn>
    <tableColumn id="4" xr3:uid="{00000000-0010-0000-0300-000004000000}" name="D3" dataDxfId="1252">
      <calculatedColumnFormula>IF($AK$2="(Todas)",COUNTIF(BASE[CODCIE104],EPV_SARAMPION[[#This Row],[CIE-10]]),COUNTIFS(BASE[Cod.Establecimiento],$AK$2,BASE[CODCIE104],EPV_SARAMPION[[#This Row],[CIE-10]]))</calculatedColumnFormula>
    </tableColumn>
    <tableColumn id="5" xr3:uid="{00000000-0010-0000-0300-000005000000}" name="D4" dataDxfId="1251">
      <calculatedColumnFormula>IF($AK$2="(Todas)",COUNTIF(BASE[CODCIE106],EPV_SARAMPION[[#This Row],[CIE-10]]),COUNTIFS(BASE[Cod.Establecimiento],$AK$2,BASE[CODCIE106],EPV_SARAMPION[[#This Row],[CIE-10]]))</calculatedColumnFormula>
    </tableColumn>
    <tableColumn id="6" xr3:uid="{00000000-0010-0000-0300-000006000000}" name="D5" dataDxfId="1250">
      <calculatedColumnFormula>IF($AK$2="(Todas)",COUNTIF(BASE[CODCIE108],EPV_SARAMPION[[#This Row],[CIE-10]]),COUNTIFS(BASE[Cod.Establecimiento],$AK$2,BASE[CODCIE108],EPV_SARAMPION[[#This Row],[CIE-10]]))</calculatedColumnFormula>
    </tableColumn>
    <tableColumn id="7" xr3:uid="{00000000-0010-0000-0300-000007000000}" name="D6" dataDxfId="1249">
      <calculatedColumnFormula>IF($AK$2="(Todas)",COUNTIF(BASE[CODCIE1010],EPV_SARAMPION[[#This Row],[CIE-10]]),COUNTIFS(BASE[Cod.Establecimiento],$AK$2,BASE[CODCIE1010],EPV_SARAMPION[[#This Row],[CIE-10]]))</calculatedColumnFormula>
    </tableColumn>
    <tableColumn id="8" xr3:uid="{00000000-0010-0000-0300-000008000000}" name="TOT" dataDxfId="1248" dataCellStyle="40% - Énfasis6">
      <calculatedColumnFormula>SUM(EPV_SARAMPION[[#This Row],[D1]:[D6]])</calculatedColumnFormula>
    </tableColumn>
  </tableColumns>
  <tableStyleInfo name="TableStyleLight1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ENOS_G3_IRANN_20_59_AÑOS" displayName="ENOS_G3_IRANN_20_59_AÑOS" ref="Y112:AF121" totalsRowShown="0" headerRowDxfId="967">
  <autoFilter ref="Y112:AF121" xr:uid="{00000000-0009-0000-0100-00002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700-000001000000}" name="CIE-10" dataCellStyle="20% - Énfasis4"/>
    <tableColumn id="2" xr3:uid="{00000000-0010-0000-2700-000002000000}" name="D1" dataDxfId="966">
      <calculatedColumnFormula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calculatedColumnFormula>
    </tableColumn>
    <tableColumn id="3" xr3:uid="{00000000-0010-0000-2700-000003000000}" name="D2" dataDxfId="965">
      <calculatedColumnFormula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calculatedColumnFormula>
    </tableColumn>
    <tableColumn id="4" xr3:uid="{00000000-0010-0000-2700-000004000000}" name="D3" dataDxfId="964">
      <calculatedColumnFormula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calculatedColumnFormula>
    </tableColumn>
    <tableColumn id="5" xr3:uid="{00000000-0010-0000-2700-000005000000}" name="D4" dataDxfId="963">
      <calculatedColumnFormula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calculatedColumnFormula>
    </tableColumn>
    <tableColumn id="6" xr3:uid="{00000000-0010-0000-2700-000006000000}" name="D5" dataDxfId="962">
      <calculatedColumnFormula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calculatedColumnFormula>
    </tableColumn>
    <tableColumn id="7" xr3:uid="{00000000-0010-0000-2700-000007000000}" name="D6" dataDxfId="961">
      <calculatedColumnFormula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calculatedColumnFormula>
    </tableColumn>
    <tableColumn id="8" xr3:uid="{00000000-0010-0000-2700-000008000000}" name="TOT" dataDxfId="960" dataCellStyle="40% - Énfasis6">
      <calculatedColumnFormula>SUM(ENOS_G3_IRANN_20_59_AÑOS[[#This Row],[D1]:[D6]])</calculatedColumnFormula>
    </tableColumn>
  </tableColumns>
  <tableStyleInfo name="TableStyleLight1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ENOS_G3_IRANN_60_MAS_AÑOS" displayName="ENOS_G3_IRANN_60_MAS_AÑOS" ref="P124:W133" totalsRowShown="0" headerRowDxfId="959">
  <autoFilter ref="P124:W133" xr:uid="{00000000-0009-0000-0100-00002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800-000001000000}" name="CIE-10" dataCellStyle="20% - Énfasis4"/>
    <tableColumn id="2" xr3:uid="{00000000-0010-0000-2800-000002000000}" name="D1" dataDxfId="958">
      <calculatedColumnFormula>IF($O$3="(Todas)",COUNTIFS(BASE[CODCIE10],ENOS_G3_IRANN_60_MAS_AÑOS[[#This Row],[CIE-10]],BASE[Edad],"&gt;=60"),COUNTIFS(BASE[Cod.Establecimiento],$O$3,BASE[CODCIE10],ENOS_G3_IRANN_60_MAS_AÑOS[[#This Row],[CIE-10]],BASE[Edad],"&gt;=60"))</calculatedColumnFormula>
    </tableColumn>
    <tableColumn id="3" xr3:uid="{00000000-0010-0000-2800-000003000000}" name="D2" dataDxfId="957">
      <calculatedColumnFormula>IF($O$3="(Todas)",COUNTIFS(BASE[CODCIE102],ENOS_G3_IRANN_60_MAS_AÑOS[[#This Row],[CIE-10]],BASE[Edad],"&gt;=60"),COUNTIFS(BASE[Cod.Establecimiento],$O$3,BASE[CODCIE102],ENOS_G3_IRANN_60_MAS_AÑOS[[#This Row],[CIE-10]],BASE[Edad],"&gt;=60"))</calculatedColumnFormula>
    </tableColumn>
    <tableColumn id="4" xr3:uid="{00000000-0010-0000-2800-000004000000}" name="D3" dataDxfId="956">
      <calculatedColumnFormula>IF($O$3="(Todas)",COUNTIFS(BASE[CODCIE104],ENOS_G3_IRANN_60_MAS_AÑOS[[#This Row],[CIE-10]],BASE[Edad],"&gt;=60"),COUNTIFS(BASE[Cod.Establecimiento],$O$3,BASE[CODCIE104],ENOS_G3_IRANN_60_MAS_AÑOS[[#This Row],[CIE-10]],BASE[Edad],"&gt;=60"))</calculatedColumnFormula>
    </tableColumn>
    <tableColumn id="5" xr3:uid="{00000000-0010-0000-2800-000005000000}" name="D4" dataDxfId="955">
      <calculatedColumnFormula>IF($O$3="(Todas)",COUNTIFS(BASE[CODCIE106],ENOS_G3_IRANN_60_MAS_AÑOS[[#This Row],[CIE-10]],BASE[Edad],"&gt;=60"),COUNTIFS(BASE[Cod.Establecimiento],$O$3,BASE[CODCIE106],ENOS_G3_IRANN_60_MAS_AÑOS[[#This Row],[CIE-10]],BASE[Edad],"&gt;=60"))</calculatedColumnFormula>
    </tableColumn>
    <tableColumn id="6" xr3:uid="{00000000-0010-0000-2800-000006000000}" name="D5" dataDxfId="954">
      <calculatedColumnFormula>IF($O$3="(Todas)",COUNTIFS(BASE[CODCIE108],ENOS_G3_IRANN_60_MAS_AÑOS[[#This Row],[CIE-10]],BASE[Edad],"&gt;=60"),COUNTIFS(BASE[Cod.Establecimiento],$O$3,BASE[CODCIE108],ENOS_G3_IRANN_60_MAS_AÑOS[[#This Row],[CIE-10]],BASE[Edad],"&gt;=60"))</calculatedColumnFormula>
    </tableColumn>
    <tableColumn id="7" xr3:uid="{00000000-0010-0000-2800-000007000000}" name="D6" dataDxfId="953">
      <calculatedColumnFormula>IF($O$3="(Todas)",COUNTIFS(BASE[CODCIE1010],ENOS_G3_IRANN_60_MAS_AÑOS[[#This Row],[CIE-10]],BASE[Edad],"&gt;=60"),COUNTIFS(BASE[Cod.Establecimiento],$O$3,BASE[CODCIE1010],ENOS_G3_IRANN_60_MAS_AÑOS[[#This Row],[CIE-10]],BASE[Edad],"&gt;=60"))</calculatedColumnFormula>
    </tableColumn>
    <tableColumn id="8" xr3:uid="{00000000-0010-0000-2800-000008000000}" name="TOT" dataDxfId="952" dataCellStyle="40% - Énfasis6">
      <calculatedColumnFormula>SUM(ENOS_G3_IRANN_60_MAS_AÑOS[[#This Row],[D1]:[D6]])</calculatedColumnFormula>
    </tableColumn>
  </tableColumns>
  <tableStyleInfo name="TableStyleLight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ENOS_G3_IRANN_SD_AÑOS" displayName="ENOS_G3_IRANN_SD_AÑOS" ref="Y124:AF133" totalsRowShown="0" headerRowDxfId="951">
  <autoFilter ref="Y124:AF133" xr:uid="{00000000-0009-0000-0100-00002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900-000001000000}" name="CIE-10" dataCellStyle="20% - Énfasis4"/>
    <tableColumn id="2" xr3:uid="{00000000-0010-0000-2900-000002000000}" name="D1" dataDxfId="950">
      <calculatedColumnFormula>IF($O$3="(Todas)",COUNTIFS(BASE[CODCIE10],ENOS_G3_IRANN_SD_AÑOS[[#This Row],[CIE-10]],BASE[Edad],""),COUNTIFS(BASE[Cod.Establecimiento],$O$3,BASE[CODCIE10],ENOS_G3_IRANN_SD_AÑOS[[#This Row],[CIE-10]],BASE[Edad],""))</calculatedColumnFormula>
    </tableColumn>
    <tableColumn id="3" xr3:uid="{00000000-0010-0000-2900-000003000000}" name="D2" dataDxfId="949">
      <calculatedColumnFormula>IF($O$3="(Todas)",COUNTIFS(BASE[CODCIE102],ENOS_G3_IRANN_SD_AÑOS[[#This Row],[CIE-10]],BASE[Edad],""),COUNTIFS(BASE[Cod.Establecimiento],$O$3,BASE[CODCIE102],ENOS_G3_IRANN_SD_AÑOS[[#This Row],[CIE-10]],BASE[Edad],""))</calculatedColumnFormula>
    </tableColumn>
    <tableColumn id="4" xr3:uid="{00000000-0010-0000-2900-000004000000}" name="D3" dataDxfId="948">
      <calculatedColumnFormula>IF($O$3="(Todas)",COUNTIFS(BASE[CODCIE104],ENOS_G3_IRANN_SD_AÑOS[[#This Row],[CIE-10]],BASE[Edad],""),COUNTIFS(BASE[Cod.Establecimiento],$O$3,BASE[CODCIE104],ENOS_G3_IRANN_SD_AÑOS[[#This Row],[CIE-10]],BASE[Edad],""))</calculatedColumnFormula>
    </tableColumn>
    <tableColumn id="5" xr3:uid="{00000000-0010-0000-2900-000005000000}" name="D4" dataDxfId="947">
      <calculatedColumnFormula>IF($O$3="(Todas)",COUNTIFS(BASE[CODCIE106],ENOS_G3_IRANN_SD_AÑOS[[#This Row],[CIE-10]],BASE[Edad],""),COUNTIFS(BASE[Cod.Establecimiento],$O$3,BASE[CODCIE106],ENOS_G3_IRANN_SD_AÑOS[[#This Row],[CIE-10]],BASE[Edad],""))</calculatedColumnFormula>
    </tableColumn>
    <tableColumn id="6" xr3:uid="{00000000-0010-0000-2900-000006000000}" name="D5" dataDxfId="946">
      <calculatedColumnFormula>IF($O$3="(Todas)",COUNTIFS(BASE[CODCIE108],ENOS_G3_IRANN_SD_AÑOS[[#This Row],[CIE-10]],BASE[Edad],""),COUNTIFS(BASE[Cod.Establecimiento],$O$3,BASE[CODCIE108],ENOS_G3_IRANN_SD_AÑOS[[#This Row],[CIE-10]],BASE[Edad],""))</calculatedColumnFormula>
    </tableColumn>
    <tableColumn id="7" xr3:uid="{00000000-0010-0000-2900-000007000000}" name="D6" dataDxfId="945">
      <calculatedColumnFormula>IF($O$3="(Todas)",COUNTIFS(BASE[CODCIE1010],ENOS_G3_IRANN_SD_AÑOS[[#This Row],[CIE-10]],BASE[Edad],""),COUNTIFS(BASE[Cod.Establecimiento],$O$3,BASE[CODCIE1010],ENOS_G3_IRANN_SD_AÑOS[[#This Row],[CIE-10]],BASE[Edad],""))</calculatedColumnFormula>
    </tableColumn>
    <tableColumn id="8" xr3:uid="{00000000-0010-0000-2900-000008000000}" name="TOT" dataDxfId="944" dataCellStyle="40% - Énfasis6">
      <calculatedColumnFormula>SUM(ENOS_G3_IRANN_SD_AÑOS[[#This Row],[D1]:[D6]])</calculatedColumnFormula>
    </tableColumn>
  </tableColumns>
  <tableStyleInfo name="TableStyleLight1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ENOS_G3_NEU_MENOR_QUE_1_AÑO" displayName="ENOS_G3_NEU_MENOR_QUE_1_AÑO" ref="P136:W143" totalsRowShown="0" headerRowDxfId="943">
  <autoFilter ref="P136:W143" xr:uid="{00000000-0009-0000-0100-00002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A00-000001000000}" name="CIE-10" dataCellStyle="20% - Énfasis4"/>
    <tableColumn id="2" xr3:uid="{00000000-0010-0000-2A00-000002000000}" name="D1" dataDxfId="942">
      <calculatedColumnFormula>IF($O$3="(Todas)",COUNTIFS(BASE[CODCIE10],ENOS_G3_NEU_MENOR_QUE_1_AÑO[[#This Row],[CIE-10]],BASE[Edad],"&lt;1"),COUNTIFS(BASE[Cod.Establecimiento],$O$3,BASE[CODCIE10],ENOS_G3_NEU_MENOR_QUE_1_AÑO[[#This Row],[CIE-10]],BASE[Edad],"&lt;1"))</calculatedColumnFormula>
    </tableColumn>
    <tableColumn id="3" xr3:uid="{00000000-0010-0000-2A00-000003000000}" name="D2" dataDxfId="941">
      <calculatedColumnFormula>IF($O$3="(Todas)",COUNTIFS(BASE[CODCIE102],ENOS_G3_NEU_MENOR_QUE_1_AÑO[[#This Row],[CIE-10]],BASE[Edad],"&lt;1"),COUNTIFS(BASE[Cod.Establecimiento],$O$3,BASE[CODCIE102],ENOS_G3_NEU_MENOR_QUE_1_AÑO[[#This Row],[CIE-10]],BASE[Edad],"&lt;1"))</calculatedColumnFormula>
    </tableColumn>
    <tableColumn id="4" xr3:uid="{00000000-0010-0000-2A00-000004000000}" name="D3" dataDxfId="940">
      <calculatedColumnFormula>IF($O$3="(Todas)",COUNTIFS(BASE[CODCIE104],ENOS_G3_NEU_MENOR_QUE_1_AÑO[[#This Row],[CIE-10]],BASE[Edad],"&lt;1"),COUNTIFS(BASE[Cod.Establecimiento],$O$3,BASE[CODCIE104],ENOS_G3_NEU_MENOR_QUE_1_AÑO[[#This Row],[CIE-10]],BASE[Edad],"&lt;1"))</calculatedColumnFormula>
    </tableColumn>
    <tableColumn id="5" xr3:uid="{00000000-0010-0000-2A00-000005000000}" name="D4" dataDxfId="939">
      <calculatedColumnFormula>IF($O$3="(Todas)",COUNTIFS(BASE[CODCIE106],ENOS_G3_NEU_MENOR_QUE_1_AÑO[[#This Row],[CIE-10]],BASE[Edad],"&lt;1"),COUNTIFS(BASE[Cod.Establecimiento],$O$3,BASE[CODCIE106],ENOS_G3_NEU_MENOR_QUE_1_AÑO[[#This Row],[CIE-10]],BASE[Edad],"&lt;1"))</calculatedColumnFormula>
    </tableColumn>
    <tableColumn id="6" xr3:uid="{00000000-0010-0000-2A00-000006000000}" name="D5" dataDxfId="938">
      <calculatedColumnFormula>IF($O$3="(Todas)",COUNTIFS(BASE[CODCIE108],ENOS_G3_NEU_MENOR_QUE_1_AÑO[[#This Row],[CIE-10]],BASE[Edad],"&lt;1"),COUNTIFS(BASE[Cod.Establecimiento],$O$3,BASE[CODCIE108],ENOS_G3_NEU_MENOR_QUE_1_AÑO[[#This Row],[CIE-10]],BASE[Edad],"&lt;1"))</calculatedColumnFormula>
    </tableColumn>
    <tableColumn id="7" xr3:uid="{00000000-0010-0000-2A00-000007000000}" name="D6" dataDxfId="937">
      <calculatedColumnFormula>IF($O$3="(Todas)",COUNTIFS(BASE[CODCIE1010],ENOS_G3_NEU_MENOR_QUE_1_AÑO[[#This Row],[CIE-10]],BASE[Edad],"&lt;1"),COUNTIFS(BASE[Cod.Establecimiento],$O$3,BASE[CODCIE1010],ENOS_G3_NEU_MENOR_QUE_1_AÑO[[#This Row],[CIE-10]],BASE[Edad],"&lt;1"))</calculatedColumnFormula>
    </tableColumn>
    <tableColumn id="8" xr3:uid="{00000000-0010-0000-2A00-000008000000}" name="TOT" dataDxfId="936" dataCellStyle="40% - Énfasis6">
      <calculatedColumnFormula>SUM(ENOS_G3_NEU_MENOR_QUE_1_AÑO[[#This Row],[D1]:[D6]])</calculatedColumnFormula>
    </tableColumn>
  </tableColumns>
  <tableStyleInfo name="TableStyleLight1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ENOS_G3_NEU_1_4_AÑOS" displayName="ENOS_G3_NEU_1_4_AÑOS" ref="Y136:AF143" totalsRowShown="0" headerRowDxfId="935">
  <autoFilter ref="Y136:AF143" xr:uid="{00000000-0009-0000-0100-00002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B00-000001000000}" name="CIE-10" dataCellStyle="20% - Énfasis4"/>
    <tableColumn id="2" xr3:uid="{00000000-0010-0000-2B00-000002000000}" name="D1" dataDxfId="934">
      <calculatedColumnFormula>IF($O$3="(Todas)",COUNTIFS(BASE[CODCIE10],ENOS_G3_NEU_1_4_AÑOS[[#This Row],[CIE-10]],BASE[Edad],"&gt;=1",BASE[Edad],"&lt;=4"),COUNTIFS(BASE[Cod.Establecimiento],$O$3,BASE[CODCIE10],ENOS_G3_NEU_1_4_AÑOS[[#This Row],[CIE-10]],BASE[Edad],"&gt;=1",BASE[Edad],"&lt;=4"))</calculatedColumnFormula>
    </tableColumn>
    <tableColumn id="3" xr3:uid="{00000000-0010-0000-2B00-000003000000}" name="D2" dataDxfId="933">
      <calculatedColumnFormula>IF($O$3="(Todas)",COUNTIFS(BASE[CODCIE102],ENOS_G3_NEU_1_4_AÑOS[[#This Row],[CIE-10]],BASE[Edad],"&gt;=1",BASE[Edad],"&lt;=4"),COUNTIFS(BASE[Cod.Establecimiento],$O$3,BASE[CODCIE102],ENOS_G3_NEU_1_4_AÑOS[[#This Row],[CIE-10]],BASE[Edad],"&gt;=1",BASE[Edad],"&lt;=4"))</calculatedColumnFormula>
    </tableColumn>
    <tableColumn id="4" xr3:uid="{00000000-0010-0000-2B00-000004000000}" name="D3" dataDxfId="932">
      <calculatedColumnFormula>IF($O$3="(Todas)",COUNTIFS(BASE[CODCIE104],ENOS_G3_NEU_1_4_AÑOS[[#This Row],[CIE-10]],BASE[Edad],"&gt;=1",BASE[Edad],"&lt;=4"),COUNTIFS(BASE[Cod.Establecimiento],$O$3,BASE[CODCIE104],ENOS_G3_NEU_1_4_AÑOS[[#This Row],[CIE-10]],BASE[Edad],"&gt;=1",BASE[Edad],"&lt;=4"))</calculatedColumnFormula>
    </tableColumn>
    <tableColumn id="5" xr3:uid="{00000000-0010-0000-2B00-000005000000}" name="D4" dataDxfId="931">
      <calculatedColumnFormula>IF($O$3="(Todas)",COUNTIFS(BASE[CODCIE106],ENOS_G3_NEU_1_4_AÑOS[[#This Row],[CIE-10]],BASE[Edad],"&gt;=1",BASE[Edad],"&lt;=4"),COUNTIFS(BASE[Cod.Establecimiento],$O$3,BASE[CODCIE106],ENOS_G3_NEU_1_4_AÑOS[[#This Row],[CIE-10]],BASE[Edad],"&gt;=1",BASE[Edad],"&lt;=4"))</calculatedColumnFormula>
    </tableColumn>
    <tableColumn id="6" xr3:uid="{00000000-0010-0000-2B00-000006000000}" name="D5" dataDxfId="930">
      <calculatedColumnFormula>IF($O$3="(Todas)",COUNTIFS(BASE[CODCIE108],ENOS_G3_NEU_1_4_AÑOS[[#This Row],[CIE-10]],BASE[Edad],"&gt;=1",BASE[Edad],"&lt;=4"),COUNTIFS(BASE[Cod.Establecimiento],$O$3,BASE[CODCIE108],ENOS_G3_NEU_1_4_AÑOS[[#This Row],[CIE-10]],BASE[Edad],"&gt;=1",BASE[Edad],"&lt;=4"))</calculatedColumnFormula>
    </tableColumn>
    <tableColumn id="7" xr3:uid="{00000000-0010-0000-2B00-000007000000}" name="D6" dataDxfId="929">
      <calculatedColumnFormula>IF($O$3="(Todas)",COUNTIFS(BASE[CODCIE1010],ENOS_G3_NEU_1_4_AÑOS[[#This Row],[CIE-10]],BASE[Edad],"&gt;=1",BASE[Edad],"&lt;=4"),COUNTIFS(BASE[Cod.Establecimiento],$O$3,BASE[CODCIE1010],ENOS_G3_NEU_1_4_AÑOS[[#This Row],[CIE-10]],BASE[Edad],"&gt;=1",BASE[Edad],"&lt;=4"))</calculatedColumnFormula>
    </tableColumn>
    <tableColumn id="8" xr3:uid="{00000000-0010-0000-2B00-000008000000}" name="TOT" dataDxfId="928" dataCellStyle="40% - Énfasis6">
      <calculatedColumnFormula>SUM(ENOS_G3_NEU_1_4_AÑOS[[#This Row],[D1]:[D6]])</calculatedColumnFormula>
    </tableColumn>
  </tableColumns>
  <tableStyleInfo name="TableStyleLight1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ENOS_G3_NEU_5_19_AÑOS" displayName="ENOS_G3_NEU_5_19_AÑOS" ref="P146:W153" totalsRowShown="0" headerRowDxfId="927">
  <autoFilter ref="P146:W153" xr:uid="{00000000-0009-0000-0100-00002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C00-000001000000}" name="CIE-10" dataCellStyle="20% - Énfasis4"/>
    <tableColumn id="2" xr3:uid="{00000000-0010-0000-2C00-000002000000}" name="D1" dataDxfId="926">
      <calculatedColumnFormula>IF($O$3="(Todas)",COUNTIFS(BASE[CODCIE10],ENOS_G3_NEU_5_19_AÑOS[[#This Row],[CIE-10]],BASE[Edad],"&gt;=5",BASE[Edad],"&lt;=19"),COUNTIFS(BASE[Cod.Establecimiento],$O$3,BASE[CODCIE10],ENOS_G3_NEU_5_19_AÑOS[[#This Row],[CIE-10]],BASE[Edad],"&gt;=5",BASE[Edad],"&lt;=19"))</calculatedColumnFormula>
    </tableColumn>
    <tableColumn id="3" xr3:uid="{00000000-0010-0000-2C00-000003000000}" name="D2" dataDxfId="925">
      <calculatedColumnFormula>IF($O$3="(Todas)",COUNTIFS(BASE[CODCIE102],ENOS_G3_NEU_5_19_AÑOS[[#This Row],[CIE-10]],BASE[Edad],"&gt;=5",BASE[Edad],"&lt;=19"),COUNTIFS(BASE[Cod.Establecimiento],$O$3,BASE[CODCIE102],ENOS_G3_NEU_5_19_AÑOS[[#This Row],[CIE-10]],BASE[Edad],"&gt;=5",BASE[Edad],"&lt;=19"))</calculatedColumnFormula>
    </tableColumn>
    <tableColumn id="4" xr3:uid="{00000000-0010-0000-2C00-000004000000}" name="D3" dataDxfId="924">
      <calculatedColumnFormula>IF($O$3="(Todas)",COUNTIFS(BASE[CODCIE104],ENOS_G3_NEU_5_19_AÑOS[[#This Row],[CIE-10]],BASE[Edad],"&gt;=5",BASE[Edad],"&lt;=19"),COUNTIFS(BASE[Cod.Establecimiento],$O$3,BASE[CODCIE104],ENOS_G3_NEU_5_19_AÑOS[[#This Row],[CIE-10]],BASE[Edad],"&gt;=5",BASE[Edad],"&lt;=19"))</calculatedColumnFormula>
    </tableColumn>
    <tableColumn id="5" xr3:uid="{00000000-0010-0000-2C00-000005000000}" name="D4" dataDxfId="923">
      <calculatedColumnFormula>IF($O$3="(Todas)",COUNTIFS(BASE[CODCIE106],ENOS_G3_NEU_5_19_AÑOS[[#This Row],[CIE-10]],BASE[Edad],"&gt;=5",BASE[Edad],"&lt;=19"),COUNTIFS(BASE[Cod.Establecimiento],$O$3,BASE[CODCIE106],ENOS_G3_NEU_5_19_AÑOS[[#This Row],[CIE-10]],BASE[Edad],"&gt;=5",BASE[Edad],"&lt;=19"))</calculatedColumnFormula>
    </tableColumn>
    <tableColumn id="6" xr3:uid="{00000000-0010-0000-2C00-000006000000}" name="D5" dataDxfId="922">
      <calculatedColumnFormula>IF($O$3="(Todas)",COUNTIFS(BASE[CODCIE108],ENOS_G3_NEU_5_19_AÑOS[[#This Row],[CIE-10]],BASE[Edad],"&gt;=5",BASE[Edad],"&lt;=19"),COUNTIFS(BASE[Cod.Establecimiento],$O$3,BASE[CODCIE108],ENOS_G3_NEU_5_19_AÑOS[[#This Row],[CIE-10]],BASE[Edad],"&gt;=5",BASE[Edad],"&lt;=19"))</calculatedColumnFormula>
    </tableColumn>
    <tableColumn id="7" xr3:uid="{00000000-0010-0000-2C00-000007000000}" name="D6" dataDxfId="921">
      <calculatedColumnFormula>IF($O$3="(Todas)",COUNTIFS(BASE[CODCIE1010],ENOS_G3_NEU_5_19_AÑOS[[#This Row],[CIE-10]],BASE[Edad],"&gt;=5",BASE[Edad],"&lt;=19"),COUNTIFS(BASE[Cod.Establecimiento],$O$3,BASE[CODCIE1010],ENOS_G3_NEU_5_19_AÑOS[[#This Row],[CIE-10]],BASE[Edad],"&gt;=5",BASE[Edad],"&lt;=19"))</calculatedColumnFormula>
    </tableColumn>
    <tableColumn id="8" xr3:uid="{00000000-0010-0000-2C00-000008000000}" name="TOT" dataDxfId="920" dataCellStyle="40% - Énfasis6">
      <calculatedColumnFormula>SUM(ENOS_G3_NEU_5_19_AÑOS[[#This Row],[D1]:[D6]])</calculatedColumnFormula>
    </tableColumn>
  </tableColumns>
  <tableStyleInfo name="TableStyleLight1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ENOS_G3_NEU_20_59_AÑOS" displayName="ENOS_G3_NEU_20_59_AÑOS" ref="Y146:AF153" totalsRowShown="0" headerRowDxfId="919">
  <autoFilter ref="Y146:AF153" xr:uid="{00000000-0009-0000-0100-00002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D00-000001000000}" name="CIE-10" dataCellStyle="20% - Énfasis4"/>
    <tableColumn id="2" xr3:uid="{00000000-0010-0000-2D00-000002000000}" name="D1" dataDxfId="918">
      <calculatedColumnFormula>IF($O$3="(Todas)",COUNTIFS(BASE[CODCIE10],ENOS_G3_NEU_20_59_AÑOS[[#This Row],[CIE-10]],BASE[Edad],"&gt;=20",BASE[Edad],"&lt;=59"),COUNTIFS(BASE[Cod.Establecimiento],$O$3,BASE[CODCIE10],ENOS_G3_NEU_20_59_AÑOS[[#This Row],[CIE-10]],BASE[Edad],"&gt;=20",BASE[Edad],"&lt;=59"))</calculatedColumnFormula>
    </tableColumn>
    <tableColumn id="3" xr3:uid="{00000000-0010-0000-2D00-000003000000}" name="D2" dataDxfId="917">
      <calculatedColumnFormula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calculatedColumnFormula>
    </tableColumn>
    <tableColumn id="4" xr3:uid="{00000000-0010-0000-2D00-000004000000}" name="D3" dataDxfId="916">
      <calculatedColumnFormula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calculatedColumnFormula>
    </tableColumn>
    <tableColumn id="5" xr3:uid="{00000000-0010-0000-2D00-000005000000}" name="D4" dataDxfId="915">
      <calculatedColumnFormula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calculatedColumnFormula>
    </tableColumn>
    <tableColumn id="6" xr3:uid="{00000000-0010-0000-2D00-000006000000}" name="D5" dataDxfId="914">
      <calculatedColumnFormula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calculatedColumnFormula>
    </tableColumn>
    <tableColumn id="7" xr3:uid="{00000000-0010-0000-2D00-000007000000}" name="D6" dataDxfId="913">
      <calculatedColumnFormula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calculatedColumnFormula>
    </tableColumn>
    <tableColumn id="8" xr3:uid="{00000000-0010-0000-2D00-000008000000}" name="TOT" dataDxfId="912" dataCellStyle="40% - Énfasis6">
      <calculatedColumnFormula>SUM(ENOS_G3_NEU_20_59_AÑOS[[#This Row],[D1]:[D6]])</calculatedColumnFormula>
    </tableColumn>
  </tableColumns>
  <tableStyleInfo name="TableStyleLight1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ENOS_G3_NEU_60_MAS_AÑOS" displayName="ENOS_G3_NEU_60_MAS_AÑOS" ref="P156:W163" totalsRowShown="0" headerRowDxfId="911">
  <autoFilter ref="P156:W163" xr:uid="{00000000-0009-0000-0100-00002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E00-000001000000}" name="CIE-10" dataCellStyle="20% - Énfasis4"/>
    <tableColumn id="2" xr3:uid="{00000000-0010-0000-2E00-000002000000}" name="D1" dataDxfId="910">
      <calculatedColumnFormula>IF($O$3="(Todas)",COUNTIFS(BASE[CODCIE10],ENOS_G3_NEU_60_MAS_AÑOS[[#This Row],[CIE-10]],BASE[Edad],"&gt;=60"),COUNTIFS(BASE[Cod.Establecimiento],$O$3,BASE[CODCIE10],ENOS_G3_NEU_60_MAS_AÑOS[[#This Row],[CIE-10]],BASE[Edad],"&gt;=60"))</calculatedColumnFormula>
    </tableColumn>
    <tableColumn id="3" xr3:uid="{00000000-0010-0000-2E00-000003000000}" name="D2" dataDxfId="909">
      <calculatedColumnFormula>IF($O$3="(Todas)",COUNTIFS(BASE[CODCIE102],ENOS_G3_NEU_60_MAS_AÑOS[[#This Row],[CIE-10]],BASE[Edad],"&gt;=60"),COUNTIFS(BASE[Cod.Establecimiento],$O$3,BASE[CODCIE102],ENOS_G3_NEU_60_MAS_AÑOS[[#This Row],[CIE-10]],BASE[Edad],"&gt;=60"))</calculatedColumnFormula>
    </tableColumn>
    <tableColumn id="4" xr3:uid="{00000000-0010-0000-2E00-000004000000}" name="D3" dataDxfId="908">
      <calculatedColumnFormula>IF($O$3="(Todas)",COUNTIFS(BASE[CODCIE104],ENOS_G3_NEU_60_MAS_AÑOS[[#This Row],[CIE-10]],BASE[Edad],"&gt;=60"),COUNTIFS(BASE[Cod.Establecimiento],$O$3,BASE[CODCIE104],ENOS_G3_NEU_60_MAS_AÑOS[[#This Row],[CIE-10]],BASE[Edad],"&gt;=60"))</calculatedColumnFormula>
    </tableColumn>
    <tableColumn id="5" xr3:uid="{00000000-0010-0000-2E00-000005000000}" name="D4" dataDxfId="907">
      <calculatedColumnFormula>IF($O$3="(Todas)",COUNTIFS(BASE[CODCIE106],ENOS_G3_NEU_60_MAS_AÑOS[[#This Row],[CIE-10]],BASE[Edad],"&gt;=60"),COUNTIFS(BASE[Cod.Establecimiento],$O$3,BASE[CODCIE106],ENOS_G3_NEU_60_MAS_AÑOS[[#This Row],[CIE-10]],BASE[Edad],"&gt;=60"))</calculatedColumnFormula>
    </tableColumn>
    <tableColumn id="6" xr3:uid="{00000000-0010-0000-2E00-000006000000}" name="D5" dataDxfId="906">
      <calculatedColumnFormula>IF($O$3="(Todas)",COUNTIFS(BASE[CODCIE108],ENOS_G3_NEU_60_MAS_AÑOS[[#This Row],[CIE-10]],BASE[Edad],"&gt;=60"),COUNTIFS(BASE[Cod.Establecimiento],$O$3,BASE[CODCIE108],ENOS_G3_NEU_60_MAS_AÑOS[[#This Row],[CIE-10]],BASE[Edad],"&gt;=60"))</calculatedColumnFormula>
    </tableColumn>
    <tableColumn id="7" xr3:uid="{00000000-0010-0000-2E00-000007000000}" name="D6" dataDxfId="905">
      <calculatedColumnFormula>IF($O$3="(Todas)",COUNTIFS(BASE[CODCIE1010],ENOS_G3_NEU_60_MAS_AÑOS[[#This Row],[CIE-10]],BASE[Edad],"&gt;=60"),COUNTIFS(BASE[Cod.Establecimiento],$O$3,BASE[CODCIE1010],ENOS_G3_NEU_60_MAS_AÑOS[[#This Row],[CIE-10]],BASE[Edad],"&gt;=60"))</calculatedColumnFormula>
    </tableColumn>
    <tableColumn id="8" xr3:uid="{00000000-0010-0000-2E00-000008000000}" name="TOT" dataDxfId="904" dataCellStyle="40% - Énfasis6">
      <calculatedColumnFormula>SUM(ENOS_G3_NEU_60_MAS_AÑOS[[#This Row],[D1]:[D6]])</calculatedColumnFormula>
    </tableColumn>
  </tableColumns>
  <tableStyleInfo name="TableStyleLight1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ENOS_G3_NEU_SD_AÑOS" displayName="ENOS_G3_NEU_SD_AÑOS" ref="Y156:AF163" totalsRowShown="0" headerRowDxfId="903">
  <autoFilter ref="Y156:AF163" xr:uid="{00000000-0009-0000-0100-00003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F00-000001000000}" name="CIE-10" dataCellStyle="20% - Énfasis4"/>
    <tableColumn id="2" xr3:uid="{00000000-0010-0000-2F00-000002000000}" name="D1" dataDxfId="902">
      <calculatedColumnFormula>IF($O$3="(Todas)",COUNTIFS(BASE[CODCIE10],ENOS_G3_NEU_SD_AÑOS[[#This Row],[CIE-10]],BASE[Edad],""),COUNTIFS(BASE[Cod.Establecimiento],$O$3,BASE[CODCIE10],ENOS_G3_NEU_SD_AÑOS[[#This Row],[CIE-10]],BASE[Edad],""))</calculatedColumnFormula>
    </tableColumn>
    <tableColumn id="3" xr3:uid="{00000000-0010-0000-2F00-000003000000}" name="D2" dataDxfId="901">
      <calculatedColumnFormula>IF($O$3="(Todas)",COUNTIFS(BASE[CODCIE102],ENOS_G3_NEU_SD_AÑOS[[#This Row],[CIE-10]],BASE[Edad],""),COUNTIFS(BASE[Cod.Establecimiento],$O$3,BASE[CODCIE102],ENOS_G3_NEU_SD_AÑOS[[#This Row],[CIE-10]],BASE[Edad],""))</calculatedColumnFormula>
    </tableColumn>
    <tableColumn id="4" xr3:uid="{00000000-0010-0000-2F00-000004000000}" name="D3" dataDxfId="900">
      <calculatedColumnFormula>IF($O$3="(Todas)",COUNTIFS(BASE[CODCIE104],ENOS_G3_NEU_SD_AÑOS[[#This Row],[CIE-10]],BASE[Edad],""),COUNTIFS(BASE[Cod.Establecimiento],$O$3,BASE[CODCIE104],ENOS_G3_NEU_SD_AÑOS[[#This Row],[CIE-10]],BASE[Edad],""))</calculatedColumnFormula>
    </tableColumn>
    <tableColumn id="5" xr3:uid="{00000000-0010-0000-2F00-000005000000}" name="D4" dataDxfId="899">
      <calculatedColumnFormula>IF($O$3="(Todas)",COUNTIFS(BASE[CODCIE106],ENOS_G3_NEU_SD_AÑOS[[#This Row],[CIE-10]],BASE[Edad],""),COUNTIFS(BASE[Cod.Establecimiento],$O$3,BASE[CODCIE106],ENOS_G3_NEU_SD_AÑOS[[#This Row],[CIE-10]],BASE[Edad],""))</calculatedColumnFormula>
    </tableColumn>
    <tableColumn id="6" xr3:uid="{00000000-0010-0000-2F00-000006000000}" name="D5" dataDxfId="898">
      <calculatedColumnFormula>IF($O$3="(Todas)",COUNTIFS(BASE[CODCIE108],ENOS_G3_NEU_SD_AÑOS[[#This Row],[CIE-10]],BASE[Edad],""),COUNTIFS(BASE[Cod.Establecimiento],$O$3,BASE[CODCIE108],ENOS_G3_NEU_SD_AÑOS[[#This Row],[CIE-10]],BASE[Edad],""))</calculatedColumnFormula>
    </tableColumn>
    <tableColumn id="7" xr3:uid="{00000000-0010-0000-2F00-000007000000}" name="D6" dataDxfId="897">
      <calculatedColumnFormula>IF($O$3="(Todas)",COUNTIFS(BASE[CODCIE1010],ENOS_G3_NEU_SD_AÑOS[[#This Row],[CIE-10]],BASE[Edad],""),COUNTIFS(BASE[Cod.Establecimiento],$O$3,BASE[CODCIE1010],ENOS_G3_NEU_SD_AÑOS[[#This Row],[CIE-10]],BASE[Edad],""))</calculatedColumnFormula>
    </tableColumn>
    <tableColumn id="8" xr3:uid="{00000000-0010-0000-2F00-000008000000}" name="TOT" dataDxfId="896" dataCellStyle="40% - Énfasis6">
      <calculatedColumnFormula>SUM(ENOS_G3_NEU_SD_AÑOS[[#This Row],[D1]:[D6]])</calculatedColumnFormula>
    </tableColumn>
  </tableColumns>
  <tableStyleInfo name="TableStyleLight1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ENOS_G3_IRAGNG_MENOR_QUE_1_AÑO" displayName="ENOS_G3_IRAGNG_MENOR_QUE_1_AÑO" ref="P166:W169" totalsRowShown="0" headerRowDxfId="895">
  <autoFilter ref="P166:W169" xr:uid="{00000000-0009-0000-0100-00003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000-000001000000}" name="CIE-10" dataCellStyle="20% - Énfasis4"/>
    <tableColumn id="2" xr3:uid="{00000000-0010-0000-3000-000002000000}" name="D1" dataDxfId="894">
      <calculatedColumnFormula>IF($O$3="(Todas)",COUNTIFS(BASE[CODCIE10],ENOS_G3_IRAGNG_MENOR_QUE_1_AÑO[[#This Row],[CIE-10]],BASE[Edad],"&lt;1"),COUNTIFS(BASE[Cod.Establecimiento],$O$3,BASE[CODCIE10],ENOS_G3_IRAGNG_MENOR_QUE_1_AÑO[[#This Row],[CIE-10]],BASE[Edad],"&lt;1"))</calculatedColumnFormula>
    </tableColumn>
    <tableColumn id="3" xr3:uid="{00000000-0010-0000-3000-000003000000}" name="D2" dataDxfId="893">
      <calculatedColumnFormula>IF($O$3="(Todas)",COUNTIFS(BASE[CODCIE102],ENOS_G3_IRAGNG_MENOR_QUE_1_AÑO[[#This Row],[CIE-10]],BASE[Edad],"&lt;1"),COUNTIFS(BASE[Cod.Establecimiento],$O$3,BASE[CODCIE102],ENOS_G3_IRAGNG_MENOR_QUE_1_AÑO[[#This Row],[CIE-10]],BASE[Edad],"&lt;1"))</calculatedColumnFormula>
    </tableColumn>
    <tableColumn id="4" xr3:uid="{00000000-0010-0000-3000-000004000000}" name="D3" dataDxfId="892">
      <calculatedColumnFormula>IF($O$3="(Todas)",COUNTIFS(BASE[CODCIE104],ENOS_G3_IRAGNG_MENOR_QUE_1_AÑO[[#This Row],[CIE-10]],BASE[Edad],"&lt;1"),COUNTIFS(BASE[Cod.Establecimiento],$O$3,BASE[CODCIE104],ENOS_G3_IRAGNG_MENOR_QUE_1_AÑO[[#This Row],[CIE-10]],BASE[Edad],"&lt;1"))</calculatedColumnFormula>
    </tableColumn>
    <tableColumn id="5" xr3:uid="{00000000-0010-0000-3000-000005000000}" name="D4" dataDxfId="891">
      <calculatedColumnFormula>IF($O$3="(Todas)",COUNTIFS(BASE[CODCIE106],ENOS_G3_IRAGNG_MENOR_QUE_1_AÑO[[#This Row],[CIE-10]],BASE[Edad],"&lt;1"),COUNTIFS(BASE[Cod.Establecimiento],$O$3,BASE[CODCIE106],ENOS_G3_IRAGNG_MENOR_QUE_1_AÑO[[#This Row],[CIE-10]],BASE[Edad],"&lt;1"))</calculatedColumnFormula>
    </tableColumn>
    <tableColumn id="6" xr3:uid="{00000000-0010-0000-3000-000006000000}" name="D5" dataDxfId="890">
      <calculatedColumnFormula>IF($O$3="(Todas)",COUNTIFS(BASE[CODCIE108],ENOS_G3_IRAGNG_MENOR_QUE_1_AÑO[[#This Row],[CIE-10]],BASE[Edad],"&lt;1"),COUNTIFS(BASE[Cod.Establecimiento],$O$3,BASE[CODCIE108],ENOS_G3_IRAGNG_MENOR_QUE_1_AÑO[[#This Row],[CIE-10]],BASE[Edad],"&lt;1"))</calculatedColumnFormula>
    </tableColumn>
    <tableColumn id="7" xr3:uid="{00000000-0010-0000-3000-000007000000}" name="D6" dataDxfId="889">
      <calculatedColumnFormula>IF($O$3="(Todas)",COUNTIFS(BASE[CODCIE1010],ENOS_G3_IRAGNG_MENOR_QUE_1_AÑO[[#This Row],[CIE-10]],BASE[Edad],"&lt;1"),COUNTIFS(BASE[Cod.Establecimiento],$O$3,BASE[CODCIE1010],ENOS_G3_IRAGNG_MENOR_QUE_1_AÑO[[#This Row],[CIE-10]],BASE[Edad],"&lt;1"))</calculatedColumnFormula>
    </tableColumn>
    <tableColumn id="8" xr3:uid="{00000000-0010-0000-3000-000008000000}" name="TOT" dataDxfId="888" dataCellStyle="40% - Énfasis6">
      <calculatedColumnFormula>SUM(ENOS_G3_IRAGNG_MENOR_QUE_1_AÑO[[#This Row],[D1]:[D6]])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EPV_DIFTERIA" displayName="EPV_DIFTERIA" ref="AB4:AI13" totalsRowShown="0" headerRowDxfId="1247">
  <autoFilter ref="AB4:AI13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400-000001000000}" name="CIE-10" dataCellStyle="20% - Énfasis4"/>
    <tableColumn id="2" xr3:uid="{00000000-0010-0000-0400-000002000000}" name="D1" dataDxfId="1246">
      <calculatedColumnFormula>IF($AK$2="(Todas)",COUNTIF(BASE[CODCIE10],EPV_DIFTERIA[[#This Row],[CIE-10]]),COUNTIFS(BASE[Cod.Establecimiento],$AK$2,BASE[CODCIE10],EPV_DIFTERIA[[#This Row],[CIE-10]]))</calculatedColumnFormula>
    </tableColumn>
    <tableColumn id="3" xr3:uid="{00000000-0010-0000-0400-000003000000}" name="D2" dataDxfId="1245">
      <calculatedColumnFormula>IF($AK$2="(Todas)",COUNTIF(BASE[CODCIE102],EPV_DIFTERIA[[#This Row],[CIE-10]]),COUNTIFS(BASE[Cod.Establecimiento],$AK$2,BASE[CODCIE102],EPV_DIFTERIA[[#This Row],[CIE-10]]))</calculatedColumnFormula>
    </tableColumn>
    <tableColumn id="4" xr3:uid="{00000000-0010-0000-0400-000004000000}" name="D3" dataDxfId="1244">
      <calculatedColumnFormula>IF($AK$2="(Todas)",COUNTIF(BASE[CODCIE104],EPV_DIFTERIA[[#This Row],[CIE-10]]),COUNTIFS(BASE[Cod.Establecimiento],$AK$2,BASE[CODCIE104],EPV_DIFTERIA[[#This Row],[CIE-10]]))</calculatedColumnFormula>
    </tableColumn>
    <tableColumn id="5" xr3:uid="{00000000-0010-0000-0400-000005000000}" name="D4" dataDxfId="1243">
      <calculatedColumnFormula>IF($AK$2="(Todas)",COUNTIF(BASE[CODCIE106],EPV_DIFTERIA[[#This Row],[CIE-10]]),COUNTIFS(BASE[Cod.Establecimiento],$AK$2,BASE[CODCIE106],EPV_DIFTERIA[[#This Row],[CIE-10]]))</calculatedColumnFormula>
    </tableColumn>
    <tableColumn id="6" xr3:uid="{00000000-0010-0000-0400-000006000000}" name="D5" dataDxfId="1242">
      <calculatedColumnFormula>IF($AK$2="(Todas)",COUNTIF(BASE[CODCIE108],EPV_DIFTERIA[[#This Row],[CIE-10]]),COUNTIFS(BASE[Cod.Establecimiento],$AK$2,BASE[CODCIE108],EPV_DIFTERIA[[#This Row],[CIE-10]]))</calculatedColumnFormula>
    </tableColumn>
    <tableColumn id="7" xr3:uid="{00000000-0010-0000-0400-000007000000}" name="D6" dataDxfId="1241">
      <calculatedColumnFormula>IF($AK$2="(Todas)",COUNTIF(BASE[CODCIE1010],EPV_DIFTERIA[[#This Row],[CIE-10]]),COUNTIFS(BASE[Cod.Establecimiento],$AK$2,BASE[CODCIE1010],EPV_DIFTERIA[[#This Row],[CIE-10]]))</calculatedColumnFormula>
    </tableColumn>
    <tableColumn id="8" xr3:uid="{00000000-0010-0000-0400-000008000000}" name="TOT" dataDxfId="1240" dataCellStyle="40% - Énfasis6">
      <calculatedColumnFormula>SUM(EPV_DIFTERIA[[#This Row],[D1]:[D6]])</calculatedColumnFormula>
    </tableColumn>
  </tableColumns>
  <tableStyleInfo name="TableStyleLight1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ENOS_G3_IRAGNG_1_4_AÑOS" displayName="ENOS_G3_IRAGNG_1_4_AÑOS" ref="Y166:AF169" totalsRowShown="0" headerRowDxfId="887">
  <autoFilter ref="Y166:AF169" xr:uid="{00000000-0009-0000-0100-00003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100-000001000000}" name="CIE-10" dataCellStyle="20% - Énfasis4"/>
    <tableColumn id="2" xr3:uid="{00000000-0010-0000-3100-000002000000}" name="D1" dataDxfId="886">
      <calculatedColumnFormula>IF($O$3="(Todas)",COUNTIFS(BASE[CODCIE10],ENOS_G3_IRAGNG_1_4_AÑOS[[#This Row],[CIE-10]],BASE[Edad],"&gt;=1",BASE[Edad],"&lt;=4"),COUNTIFS(BASE[Cod.Establecimiento],$O$3,BASE[CODCIE10],ENOS_G3_IRAGNG_1_4_AÑOS[[#This Row],[CIE-10]],BASE[Edad],"&gt;=1",BASE[Edad],"&lt;=4"))</calculatedColumnFormula>
    </tableColumn>
    <tableColumn id="3" xr3:uid="{00000000-0010-0000-3100-000003000000}" name="D2" dataDxfId="885">
      <calculatedColumnFormula>IF($O$3="(Todas)",COUNTIFS(BASE[CODCIE102],ENOS_G3_IRAGNG_1_4_AÑOS[[#This Row],[CIE-10]],BASE[Edad],"&gt;=1",BASE[Edad],"&lt;=4"),COUNTIFS(BASE[Cod.Establecimiento],$O$3,BASE[CODCIE102],ENOS_G3_IRAGNG_1_4_AÑOS[[#This Row],[CIE-10]],BASE[Edad],"&gt;=1",BASE[Edad],"&lt;=4"))</calculatedColumnFormula>
    </tableColumn>
    <tableColumn id="4" xr3:uid="{00000000-0010-0000-3100-000004000000}" name="D3" dataDxfId="884">
      <calculatedColumnFormula>IF($O$3="(Todas)",COUNTIFS(BASE[CODCIE104],ENOS_G3_IRAGNG_1_4_AÑOS[[#This Row],[CIE-10]],BASE[Edad],"&gt;=1",BASE[Edad],"&lt;=4"),COUNTIFS(BASE[Cod.Establecimiento],$O$3,BASE[CODCIE104],ENOS_G3_IRAGNG_1_4_AÑOS[[#This Row],[CIE-10]],BASE[Edad],"&gt;=1",BASE[Edad],"&lt;=4"))</calculatedColumnFormula>
    </tableColumn>
    <tableColumn id="5" xr3:uid="{00000000-0010-0000-3100-000005000000}" name="D4" dataDxfId="883">
      <calculatedColumnFormula>IF($O$3="(Todas)",COUNTIFS(BASE[CODCIE106],ENOS_G3_IRAGNG_1_4_AÑOS[[#This Row],[CIE-10]],BASE[Edad],"&gt;=1",BASE[Edad],"&lt;=4"),COUNTIFS(BASE[Cod.Establecimiento],$O$3,BASE[CODCIE106],ENOS_G3_IRAGNG_1_4_AÑOS[[#This Row],[CIE-10]],BASE[Edad],"&gt;=1",BASE[Edad],"&lt;=4"))</calculatedColumnFormula>
    </tableColumn>
    <tableColumn id="6" xr3:uid="{00000000-0010-0000-3100-000006000000}" name="D5" dataDxfId="882">
      <calculatedColumnFormula>IF($O$3="(Todas)",COUNTIFS(BASE[CODCIE108],ENOS_G3_IRAGNG_1_4_AÑOS[[#This Row],[CIE-10]],BASE[Edad],"&gt;=1",BASE[Edad],"&lt;=4"),COUNTIFS(BASE[Cod.Establecimiento],$O$3,BASE[CODCIE108],ENOS_G3_IRAGNG_1_4_AÑOS[[#This Row],[CIE-10]],BASE[Edad],"&gt;=1",BASE[Edad],"&lt;=4"))</calculatedColumnFormula>
    </tableColumn>
    <tableColumn id="7" xr3:uid="{00000000-0010-0000-3100-000007000000}" name="D6" dataDxfId="881">
      <calculatedColumnFormula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calculatedColumnFormula>
    </tableColumn>
    <tableColumn id="8" xr3:uid="{00000000-0010-0000-3100-000008000000}" name="TOT" dataDxfId="880" dataCellStyle="40% - Énfasis6">
      <calculatedColumnFormula>SUM(ENOS_G3_IRAGNG_1_4_AÑOS[[#This Row],[D1]:[D6]])</calculatedColumnFormula>
    </tableColumn>
  </tableColumns>
  <tableStyleInfo name="TableStyleLight1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ENOS_G3_IRAGNG_5_19_AÑOS" displayName="ENOS_G3_IRAGNG_5_19_AÑOS" ref="P172:W175" totalsRowShown="0" headerRowDxfId="879">
  <autoFilter ref="P172:W175" xr:uid="{00000000-0009-0000-0100-00003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200-000001000000}" name="CIE-10" dataCellStyle="20% - Énfasis4"/>
    <tableColumn id="2" xr3:uid="{00000000-0010-0000-3200-000002000000}" name="D1" dataDxfId="878">
      <calculatedColumnFormula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calculatedColumnFormula>
    </tableColumn>
    <tableColumn id="3" xr3:uid="{00000000-0010-0000-3200-000003000000}" name="D2" dataDxfId="877">
      <calculatedColumnFormula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calculatedColumnFormula>
    </tableColumn>
    <tableColumn id="4" xr3:uid="{00000000-0010-0000-3200-000004000000}" name="D3" dataDxfId="876">
      <calculatedColumnFormula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calculatedColumnFormula>
    </tableColumn>
    <tableColumn id="5" xr3:uid="{00000000-0010-0000-3200-000005000000}" name="D4" dataDxfId="875">
      <calculatedColumnFormula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calculatedColumnFormula>
    </tableColumn>
    <tableColumn id="6" xr3:uid="{00000000-0010-0000-3200-000006000000}" name="D5" dataDxfId="874">
      <calculatedColumnFormula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calculatedColumnFormula>
    </tableColumn>
    <tableColumn id="7" xr3:uid="{00000000-0010-0000-3200-000007000000}" name="D6" dataDxfId="873">
      <calculatedColumnFormula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calculatedColumnFormula>
    </tableColumn>
    <tableColumn id="8" xr3:uid="{00000000-0010-0000-3200-000008000000}" name="TOT" dataDxfId="872" dataCellStyle="40% - Énfasis6">
      <calculatedColumnFormula>SUM(ENOS_G3_IRAGNG_5_19_AÑOS[[#This Row],[D1]:[D6]])</calculatedColumnFormula>
    </tableColumn>
  </tableColumns>
  <tableStyleInfo name="TableStyleLight1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ENOS_G3_IRAGNG_20_59_AÑOS" displayName="ENOS_G3_IRAGNG_20_59_AÑOS" ref="Y172:AF175" totalsRowShown="0" headerRowDxfId="871">
  <autoFilter ref="Y172:AF175" xr:uid="{00000000-0009-0000-0100-00003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300-000001000000}" name="CIE-10" dataCellStyle="20% - Énfasis4"/>
    <tableColumn id="2" xr3:uid="{00000000-0010-0000-3300-000002000000}" name="D1" dataDxfId="870">
      <calculatedColumnFormula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calculatedColumnFormula>
    </tableColumn>
    <tableColumn id="3" xr3:uid="{00000000-0010-0000-3300-000003000000}" name="D2" dataDxfId="869">
      <calculatedColumnFormula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calculatedColumnFormula>
    </tableColumn>
    <tableColumn id="4" xr3:uid="{00000000-0010-0000-3300-000004000000}" name="D3" dataDxfId="868">
      <calculatedColumnFormula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calculatedColumnFormula>
    </tableColumn>
    <tableColumn id="5" xr3:uid="{00000000-0010-0000-3300-000005000000}" name="D4" dataDxfId="867">
      <calculatedColumnFormula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calculatedColumnFormula>
    </tableColumn>
    <tableColumn id="6" xr3:uid="{00000000-0010-0000-3300-000006000000}" name="D5" dataDxfId="866">
      <calculatedColumnFormula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calculatedColumnFormula>
    </tableColumn>
    <tableColumn id="7" xr3:uid="{00000000-0010-0000-3300-000007000000}" name="D6" dataDxfId="865">
      <calculatedColumnFormula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calculatedColumnFormula>
    </tableColumn>
    <tableColumn id="8" xr3:uid="{00000000-0010-0000-3300-000008000000}" name="TOT" dataDxfId="864" dataCellStyle="40% - Énfasis6">
      <calculatedColumnFormula>SUM(ENOS_G3_IRAGNG_20_59_AÑOS[[#This Row],[D1]:[D6]])</calculatedColumnFormula>
    </tableColumn>
  </tableColumns>
  <tableStyleInfo name="TableStyleLight1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ENOS_G3_IRAGNG_60_MAS_AÑOS" displayName="ENOS_G3_IRAGNG_60_MAS_AÑOS" ref="P178:W181" totalsRowShown="0" headerRowDxfId="863">
  <autoFilter ref="P178:W181" xr:uid="{00000000-0009-0000-0100-00003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400-000001000000}" name="CIE-10" dataCellStyle="20% - Énfasis4"/>
    <tableColumn id="2" xr3:uid="{00000000-0010-0000-3400-000002000000}" name="D1" dataDxfId="862">
      <calculatedColumnFormula>IF($O$3="(Todas)",COUNTIFS(BASE[CODCIE10],ENOS_G3_IRAGNG_60_MAS_AÑOS[[#This Row],[CIE-10]],BASE[Edad],"&gt;=60"),COUNTIFS(BASE[Cod.Establecimiento],$O$3,BASE[CODCIE10],ENOS_G3_IRAGNG_60_MAS_AÑOS[[#This Row],[CIE-10]],BASE[Edad],"&gt;=60"))</calculatedColumnFormula>
    </tableColumn>
    <tableColumn id="3" xr3:uid="{00000000-0010-0000-3400-000003000000}" name="D2" dataDxfId="861">
      <calculatedColumnFormula>IF($O$3="(Todas)",COUNTIFS(BASE[CODCIE102],ENOS_G3_IRAGNG_60_MAS_AÑOS[[#This Row],[CIE-10]],BASE[Edad],"&gt;=60"),COUNTIFS(BASE[Cod.Establecimiento],$O$3,BASE[CODCIE102],ENOS_G3_IRAGNG_60_MAS_AÑOS[[#This Row],[CIE-10]],BASE[Edad],"&gt;=60"))</calculatedColumnFormula>
    </tableColumn>
    <tableColumn id="4" xr3:uid="{00000000-0010-0000-3400-000004000000}" name="D3" dataDxfId="860">
      <calculatedColumnFormula>IF($O$3="(Todas)",COUNTIFS(BASE[CODCIE104],ENOS_G3_IRAGNG_60_MAS_AÑOS[[#This Row],[CIE-10]],BASE[Edad],"&gt;=60"),COUNTIFS(BASE[Cod.Establecimiento],$O$3,BASE[CODCIE104],ENOS_G3_IRAGNG_60_MAS_AÑOS[[#This Row],[CIE-10]],BASE[Edad],"&gt;=60"))</calculatedColumnFormula>
    </tableColumn>
    <tableColumn id="5" xr3:uid="{00000000-0010-0000-3400-000005000000}" name="D4" dataDxfId="859">
      <calculatedColumnFormula>IF($O$3="(Todas)",COUNTIFS(BASE[CODCIE106],ENOS_G3_IRAGNG_60_MAS_AÑOS[[#This Row],[CIE-10]],BASE[Edad],"&gt;=60"),COUNTIFS(BASE[Cod.Establecimiento],$O$3,BASE[CODCIE106],ENOS_G3_IRAGNG_60_MAS_AÑOS[[#This Row],[CIE-10]],BASE[Edad],"&gt;=60"))</calculatedColumnFormula>
    </tableColumn>
    <tableColumn id="6" xr3:uid="{00000000-0010-0000-3400-000006000000}" name="D5" dataDxfId="858">
      <calculatedColumnFormula>IF($O$3="(Todas)",COUNTIFS(BASE[CODCIE108],ENOS_G3_IRAGNG_60_MAS_AÑOS[[#This Row],[CIE-10]],BASE[Edad],"&gt;=60"),COUNTIFS(BASE[Cod.Establecimiento],$O$3,BASE[CODCIE108],ENOS_G3_IRAGNG_60_MAS_AÑOS[[#This Row],[CIE-10]],BASE[Edad],"&gt;=60"))</calculatedColumnFormula>
    </tableColumn>
    <tableColumn id="7" xr3:uid="{00000000-0010-0000-3400-000007000000}" name="D6" dataDxfId="857">
      <calculatedColumnFormula>IF($O$3="(Todas)",COUNTIFS(BASE[CODCIE1010],ENOS_G3_IRAGNG_60_MAS_AÑOS[[#This Row],[CIE-10]],BASE[Edad],"&gt;=60"),COUNTIFS(BASE[Cod.Establecimiento],$O$3,BASE[CODCIE1010],ENOS_G3_IRAGNG_60_MAS_AÑOS[[#This Row],[CIE-10]],BASE[Edad],"&gt;=60"))</calculatedColumnFormula>
    </tableColumn>
    <tableColumn id="8" xr3:uid="{00000000-0010-0000-3400-000008000000}" name="TOT" dataDxfId="856" dataCellStyle="40% - Énfasis6">
      <calculatedColumnFormula>SUM(ENOS_G3_IRAGNG_60_MAS_AÑOS[[#This Row],[D1]:[D6]])</calculatedColumnFormula>
    </tableColumn>
  </tableColumns>
  <tableStyleInfo name="TableStyleLight1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ENOS_G3_IRAGNG_SD_AÑOS" displayName="ENOS_G3_IRAGNG_SD_AÑOS" ref="Y178:AF181" totalsRowShown="0" headerRowDxfId="855">
  <autoFilter ref="Y178:AF181" xr:uid="{00000000-0009-0000-0100-00003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500-000001000000}" name="CIE-10" dataCellStyle="20% - Énfasis4"/>
    <tableColumn id="2" xr3:uid="{00000000-0010-0000-3500-000002000000}" name="D1" dataDxfId="854">
      <calculatedColumnFormula>IF($O$3="(Todas)",COUNTIFS(BASE[CODCIE10],ENOS_G3_IRAGNG_SD_AÑOS[[#This Row],[CIE-10]],BASE[Edad],""),COUNTIFS(BASE[Cod.Establecimiento],$O$3,BASE[CODCIE10],ENOS_G3_IRAGNG_SD_AÑOS[[#This Row],[CIE-10]],BASE[Edad],""))</calculatedColumnFormula>
    </tableColumn>
    <tableColumn id="3" xr3:uid="{00000000-0010-0000-3500-000003000000}" name="D2" dataDxfId="853">
      <calculatedColumnFormula>IF($O$3="(Todas)",COUNTIFS(BASE[CODCIE102],ENOS_G3_IRAGNG_SD_AÑOS[[#This Row],[CIE-10]],BASE[Edad],""),COUNTIFS(BASE[Cod.Establecimiento],$O$3,BASE[CODCIE102],ENOS_G3_IRAGNG_SD_AÑOS[[#This Row],[CIE-10]],BASE[Edad],""))</calculatedColumnFormula>
    </tableColumn>
    <tableColumn id="4" xr3:uid="{00000000-0010-0000-3500-000004000000}" name="D3" dataDxfId="852">
      <calculatedColumnFormula>IF($O$3="(Todas)",COUNTIFS(BASE[CODCIE104],ENOS_G3_IRAGNG_SD_AÑOS[[#This Row],[CIE-10]],BASE[Edad],""),COUNTIFS(BASE[Cod.Establecimiento],$O$3,BASE[CODCIE104],ENOS_G3_IRAGNG_SD_AÑOS[[#This Row],[CIE-10]],BASE[Edad],""))</calculatedColumnFormula>
    </tableColumn>
    <tableColumn id="5" xr3:uid="{00000000-0010-0000-3500-000005000000}" name="D4" dataDxfId="851">
      <calculatedColumnFormula>IF($O$3="(Todas)",COUNTIFS(BASE[CODCIE106],ENOS_G3_IRAGNG_SD_AÑOS[[#This Row],[CIE-10]],BASE[Edad],""),COUNTIFS(BASE[Cod.Establecimiento],$O$3,BASE[CODCIE106],ENOS_G3_IRAGNG_SD_AÑOS[[#This Row],[CIE-10]],BASE[Edad],""))</calculatedColumnFormula>
    </tableColumn>
    <tableColumn id="6" xr3:uid="{00000000-0010-0000-3500-000006000000}" name="D5" dataDxfId="850">
      <calculatedColumnFormula>IF($O$3="(Todas)",COUNTIFS(BASE[CODCIE108],ENOS_G3_IRAGNG_SD_AÑOS[[#This Row],[CIE-10]],BASE[Edad],""),COUNTIFS(BASE[Cod.Establecimiento],$O$3,BASE[CODCIE108],ENOS_G3_IRAGNG_SD_AÑOS[[#This Row],[CIE-10]],BASE[Edad],""))</calculatedColumnFormula>
    </tableColumn>
    <tableColumn id="7" xr3:uid="{00000000-0010-0000-3500-000007000000}" name="D6" dataDxfId="849">
      <calculatedColumnFormula>IF($O$3="(Todas)",COUNTIFS(BASE[CODCIE1010],ENOS_G3_IRAGNG_SD_AÑOS[[#This Row],[CIE-10]],BASE[Edad],""),COUNTIFS(BASE[Cod.Establecimiento],$O$3,BASE[CODCIE1010],ENOS_G3_IRAGNG_SD_AÑOS[[#This Row],[CIE-10]],BASE[Edad],""))</calculatedColumnFormula>
    </tableColumn>
    <tableColumn id="8" xr3:uid="{00000000-0010-0000-3500-000008000000}" name="TOT" dataDxfId="848" dataCellStyle="40% - Énfasis6">
      <calculatedColumnFormula>SUM(ENOS_G3_IRAGNG_SD_AÑOS[[#This Row],[D1]:[D6]])</calculatedColumnFormula>
    </tableColumn>
  </tableColumns>
  <tableStyleInfo name="TableStyleLight1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ENOS_G3_DA_MENOR_QUE_1_AÑO" displayName="ENOS_G3_DA_MENOR_QUE_1_AÑO" ref="P184:W192" totalsRowShown="0" headerRowDxfId="847">
  <autoFilter ref="P184:W192" xr:uid="{00000000-0009-0000-0100-00003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600-000001000000}" name="CIE-10" dataCellStyle="20% - Énfasis4"/>
    <tableColumn id="2" xr3:uid="{00000000-0010-0000-3600-000002000000}" name="D1" dataDxfId="846">
      <calculatedColumnFormula>IF($O$3="(Todas)",COUNTIFS(BASE[CODCIE10],ENOS_G3_DA_MENOR_QUE_1_AÑO[[#This Row],[CIE-10]],BASE[Edad],"&lt;1"),COUNTIFS(BASE[Cod.Establecimiento],$O$3,BASE[CODCIE10],ENOS_G3_DA_MENOR_QUE_1_AÑO[[#This Row],[CIE-10]],BASE[Edad],"&lt;1"))</calculatedColumnFormula>
    </tableColumn>
    <tableColumn id="3" xr3:uid="{00000000-0010-0000-3600-000003000000}" name="D2" dataDxfId="845">
      <calculatedColumnFormula>IF($O$3="(Todas)",COUNTIFS(BASE[CODCIE102],ENOS_G3_DA_MENOR_QUE_1_AÑO[[#This Row],[CIE-10]],BASE[Edad],"&lt;1"),COUNTIFS(BASE[Cod.Establecimiento],$O$3,BASE[CODCIE102],ENOS_G3_DA_MENOR_QUE_1_AÑO[[#This Row],[CIE-10]],BASE[Edad],"&lt;1"))</calculatedColumnFormula>
    </tableColumn>
    <tableColumn id="4" xr3:uid="{00000000-0010-0000-3600-000004000000}" name="D3" dataDxfId="844">
      <calculatedColumnFormula>IF($O$3="(Todas)",COUNTIFS(BASE[CODCIE104],ENOS_G3_DA_MENOR_QUE_1_AÑO[[#This Row],[CIE-10]],BASE[Edad],"&lt;1"),COUNTIFS(BASE[Cod.Establecimiento],$O$3,BASE[CODCIE104],ENOS_G3_DA_MENOR_QUE_1_AÑO[[#This Row],[CIE-10]],BASE[Edad],"&lt;1"))</calculatedColumnFormula>
    </tableColumn>
    <tableColumn id="5" xr3:uid="{00000000-0010-0000-3600-000005000000}" name="D4" dataDxfId="843">
      <calculatedColumnFormula>IF($O$3="(Todas)",COUNTIFS(BASE[CODCIE106],ENOS_G3_DA_MENOR_QUE_1_AÑO[[#This Row],[CIE-10]],BASE[Edad],"&lt;1"),COUNTIFS(BASE[Cod.Establecimiento],$O$3,BASE[CODCIE106],ENOS_G3_DA_MENOR_QUE_1_AÑO[[#This Row],[CIE-10]],BASE[Edad],"&lt;1"))</calculatedColumnFormula>
    </tableColumn>
    <tableColumn id="6" xr3:uid="{00000000-0010-0000-3600-000006000000}" name="D5" dataDxfId="842">
      <calculatedColumnFormula>IF($O$3="(Todas)",COUNTIFS(BASE[CODCIE108],ENOS_G3_DA_MENOR_QUE_1_AÑO[[#This Row],[CIE-10]],BASE[Edad],"&lt;1"),COUNTIFS(BASE[Cod.Establecimiento],$O$3,BASE[CODCIE108],ENOS_G3_DA_MENOR_QUE_1_AÑO[[#This Row],[CIE-10]],BASE[Edad],"&lt;1"))</calculatedColumnFormula>
    </tableColumn>
    <tableColumn id="7" xr3:uid="{00000000-0010-0000-3600-000007000000}" name="D6" dataDxfId="841">
      <calculatedColumnFormula>IF($O$3="(Todas)",COUNTIFS(BASE[CODCIE1010],ENOS_G3_DA_MENOR_QUE_1_AÑO[[#This Row],[CIE-10]],BASE[Edad],"&lt;1"),COUNTIFS(BASE[Cod.Establecimiento],$O$3,BASE[CODCIE1010],ENOS_G3_DA_MENOR_QUE_1_AÑO[[#This Row],[CIE-10]],BASE[Edad],"&lt;1"))</calculatedColumnFormula>
    </tableColumn>
    <tableColumn id="8" xr3:uid="{00000000-0010-0000-3600-000008000000}" name="TOT" dataDxfId="840" dataCellStyle="40% - Énfasis6">
      <calculatedColumnFormula>SUM(ENOS_G3_DA_MENOR_QUE_1_AÑO[[#This Row],[D1]:[D6]])</calculatedColumnFormula>
    </tableColumn>
  </tableColumns>
  <tableStyleInfo name="TableStyleLight1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ENOS_G3_DA_1_4_AÑOS" displayName="ENOS_G3_DA_1_4_AÑOS" ref="Y184:AF192" totalsRowShown="0" headerRowDxfId="839">
  <autoFilter ref="Y184:AF192" xr:uid="{00000000-0009-0000-0100-00003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700-000001000000}" name="CIE-10" dataCellStyle="20% - Énfasis4"/>
    <tableColumn id="2" xr3:uid="{00000000-0010-0000-3700-000002000000}" name="D1" dataDxfId="838">
      <calculatedColumnFormula>IF($O$3="(Todas)",COUNTIFS(BASE[CODCIE10],ENOS_G3_DA_1_4_AÑOS[[#This Row],[CIE-10]],BASE[Edad],"&gt;=1",BASE[Edad],"&lt;=4"),COUNTIFS(BASE[Cod.Establecimiento],$O$3,BASE[CODCIE10],ENOS_G3_DA_1_4_AÑOS[[#This Row],[CIE-10]],BASE[Edad],"&gt;=1",BASE[Edad],"&lt;=4"))</calculatedColumnFormula>
    </tableColumn>
    <tableColumn id="3" xr3:uid="{00000000-0010-0000-3700-000003000000}" name="D2" dataDxfId="837">
      <calculatedColumnFormula>IF($O$3="(Todas)",COUNTIFS(BASE[CODCIE102],ENOS_G3_DA_1_4_AÑOS[[#This Row],[CIE-10]],BASE[Edad],"&gt;=1",BASE[Edad],"&lt;=4"),COUNTIFS(BASE[Cod.Establecimiento],$O$3,BASE[CODCIE102],ENOS_G3_DA_1_4_AÑOS[[#This Row],[CIE-10]],BASE[Edad],"&gt;=1",BASE[Edad],"&lt;=4"))</calculatedColumnFormula>
    </tableColumn>
    <tableColumn id="4" xr3:uid="{00000000-0010-0000-3700-000004000000}" name="D3" dataDxfId="836">
      <calculatedColumnFormula>IF($O$3="(Todas)",COUNTIFS(BASE[CODCIE104],ENOS_G3_DA_1_4_AÑOS[[#This Row],[CIE-10]],BASE[Edad],"&gt;=1",BASE[Edad],"&lt;=4"),COUNTIFS(BASE[Cod.Establecimiento],$O$3,BASE[CODCIE104],ENOS_G3_DA_1_4_AÑOS[[#This Row],[CIE-10]],BASE[Edad],"&gt;=1",BASE[Edad],"&lt;=4"))</calculatedColumnFormula>
    </tableColumn>
    <tableColumn id="5" xr3:uid="{00000000-0010-0000-3700-000005000000}" name="D4" dataDxfId="835">
      <calculatedColumnFormula>IF($O$3="(Todas)",COUNTIFS(BASE[CODCIE106],ENOS_G3_DA_1_4_AÑOS[[#This Row],[CIE-10]],BASE[Edad],"&gt;=1",BASE[Edad],"&lt;=4"),COUNTIFS(BASE[Cod.Establecimiento],$O$3,BASE[CODCIE106],ENOS_G3_DA_1_4_AÑOS[[#This Row],[CIE-10]],BASE[Edad],"&gt;=1",BASE[Edad],"&lt;=4"))</calculatedColumnFormula>
    </tableColumn>
    <tableColumn id="6" xr3:uid="{00000000-0010-0000-3700-000006000000}" name="D5" dataDxfId="834">
      <calculatedColumnFormula>IF($O$3="(Todas)",COUNTIFS(BASE[CODCIE108],ENOS_G3_DA_1_4_AÑOS[[#This Row],[CIE-10]],BASE[Edad],"&gt;=1",BASE[Edad],"&lt;=4"),COUNTIFS(BASE[Cod.Establecimiento],$O$3,BASE[CODCIE108],ENOS_G3_DA_1_4_AÑOS[[#This Row],[CIE-10]],BASE[Edad],"&gt;=1",BASE[Edad],"&lt;=4"))</calculatedColumnFormula>
    </tableColumn>
    <tableColumn id="7" xr3:uid="{00000000-0010-0000-3700-000007000000}" name="D6" dataDxfId="833">
      <calculatedColumnFormula>IF($O$3="(Todas)",COUNTIFS(BASE[CODCIE1010],ENOS_G3_DA_1_4_AÑOS[[#This Row],[CIE-10]],BASE[Edad],"&gt;=1",BASE[Edad],"&lt;=4"),COUNTIFS(BASE[Cod.Establecimiento],$O$3,BASE[CODCIE1010],ENOS_G3_DA_1_4_AÑOS[[#This Row],[CIE-10]],BASE[Edad],"&gt;=1",BASE[Edad],"&lt;=4"))</calculatedColumnFormula>
    </tableColumn>
    <tableColumn id="8" xr3:uid="{00000000-0010-0000-3700-000008000000}" name="TOT" dataDxfId="832" dataCellStyle="40% - Énfasis6">
      <calculatedColumnFormula>SUM(ENOS_G3_DA_1_4_AÑOS[[#This Row],[D1]:[D6]])</calculatedColumnFormula>
    </tableColumn>
  </tableColumns>
  <tableStyleInfo name="TableStyleLight1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ENOS_G3_DA_5_19_AÑOS" displayName="ENOS_G3_DA_5_19_AÑOS" ref="P195:W203" totalsRowShown="0" headerRowDxfId="831">
  <autoFilter ref="P195:W203" xr:uid="{00000000-0009-0000-0100-00003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800-000001000000}" name="CIE-10" dataCellStyle="20% - Énfasis4"/>
    <tableColumn id="2" xr3:uid="{00000000-0010-0000-3800-000002000000}" name="D1" dataDxfId="830">
      <calculatedColumnFormula>IF($O$3="(Todas)",COUNTIFS(BASE[CODCIE10],ENOS_G3_DA_5_19_AÑOS[[#This Row],[CIE-10]],BASE[Edad],"&gt;=5",BASE[Edad],"&lt;=19"),COUNTIFS(BASE[Cod.Establecimiento],$O$3,BASE[CODCIE10],ENOS_G3_DA_5_19_AÑOS[[#This Row],[CIE-10]],BASE[Edad],"&gt;=5",BASE[Edad],"&lt;=19"))</calculatedColumnFormula>
    </tableColumn>
    <tableColumn id="3" xr3:uid="{00000000-0010-0000-3800-000003000000}" name="D2" dataDxfId="829">
      <calculatedColumnFormula>IF($O$3="(Todas)",COUNTIFS(BASE[CODCIE102],ENOS_G3_DA_5_19_AÑOS[[#This Row],[CIE-10]],BASE[Edad],"&gt;=5",BASE[Edad],"&lt;=19"),COUNTIFS(BASE[Cod.Establecimiento],$O$3,BASE[CODCIE102],ENOS_G3_DA_5_19_AÑOS[[#This Row],[CIE-10]],BASE[Edad],"&gt;=5",BASE[Edad],"&lt;=19"))</calculatedColumnFormula>
    </tableColumn>
    <tableColumn id="4" xr3:uid="{00000000-0010-0000-3800-000004000000}" name="D3" dataDxfId="828">
      <calculatedColumnFormula>IF($O$3="(Todas)",COUNTIFS(BASE[CODCIE104],ENOS_G3_DA_5_19_AÑOS[[#This Row],[CIE-10]],BASE[Edad],"&gt;=5",BASE[Edad],"&lt;=19"),COUNTIFS(BASE[Cod.Establecimiento],$O$3,BASE[CODCIE104],ENOS_G3_DA_5_19_AÑOS[[#This Row],[CIE-10]],BASE[Edad],"&gt;=5",BASE[Edad],"&lt;=19"))</calculatedColumnFormula>
    </tableColumn>
    <tableColumn id="5" xr3:uid="{00000000-0010-0000-3800-000005000000}" name="D4" dataDxfId="827">
      <calculatedColumnFormula>IF($O$3="(Todas)",COUNTIFS(BASE[CODCIE106],ENOS_G3_DA_5_19_AÑOS[[#This Row],[CIE-10]],BASE[Edad],"&gt;=5",BASE[Edad],"&lt;=19"),COUNTIFS(BASE[Cod.Establecimiento],$O$3,BASE[CODCIE106],ENOS_G3_DA_5_19_AÑOS[[#This Row],[CIE-10]],BASE[Edad],"&gt;=5",BASE[Edad],"&lt;=19"))</calculatedColumnFormula>
    </tableColumn>
    <tableColumn id="6" xr3:uid="{00000000-0010-0000-3800-000006000000}" name="D5" dataDxfId="826">
      <calculatedColumnFormula>IF($O$3="(Todas)",COUNTIFS(BASE[CODCIE108],ENOS_G3_DA_5_19_AÑOS[[#This Row],[CIE-10]],BASE[Edad],"&gt;=5",BASE[Edad],"&lt;=19"),COUNTIFS(BASE[Cod.Establecimiento],$O$3,BASE[CODCIE108],ENOS_G3_DA_5_19_AÑOS[[#This Row],[CIE-10]],BASE[Edad],"&gt;=5",BASE[Edad],"&lt;=19"))</calculatedColumnFormula>
    </tableColumn>
    <tableColumn id="7" xr3:uid="{00000000-0010-0000-3800-000007000000}" name="D6" dataDxfId="825">
      <calculatedColumnFormula>IF($O$3="(Todas)",COUNTIFS(BASE[CODCIE1010],ENOS_G3_DA_5_19_AÑOS[[#This Row],[CIE-10]],BASE[Edad],"&gt;=5",BASE[Edad],"&lt;=19"),COUNTIFS(BASE[Cod.Establecimiento],$O$3,BASE[CODCIE1010],ENOS_G3_DA_5_19_AÑOS[[#This Row],[CIE-10]],BASE[Edad],"&gt;=5",BASE[Edad],"&lt;=19"))</calculatedColumnFormula>
    </tableColumn>
    <tableColumn id="8" xr3:uid="{00000000-0010-0000-3800-000008000000}" name="TOT" dataDxfId="824" dataCellStyle="40% - Énfasis6">
      <calculatedColumnFormula>SUM(ENOS_G3_DA_5_19_AÑOS[[#This Row],[D1]:[D6]])</calculatedColumnFormula>
    </tableColumn>
  </tableColumns>
  <tableStyleInfo name="TableStyleLight1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ENOS_G3_DA_20_59_AÑOS" displayName="ENOS_G3_DA_20_59_AÑOS" ref="Y195:AF203" totalsRowShown="0" headerRowDxfId="823">
  <autoFilter ref="Y195:AF203" xr:uid="{00000000-0009-0000-0100-00003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900-000001000000}" name="CIE-10" dataCellStyle="20% - Énfasis4"/>
    <tableColumn id="2" xr3:uid="{00000000-0010-0000-3900-000002000000}" name="D1" dataDxfId="822">
      <calculatedColumnFormula>IF($O$3="(Todas)",COUNTIFS(BASE[CODCIE10],ENOS_G3_DA_20_59_AÑOS[[#This Row],[CIE-10]],BASE[Edad],"&gt;=20",BASE[Edad],"&lt;=59"),COUNTIFS(BASE[Cod.Establecimiento],$O$3,BASE[CODCIE10],ENOS_G3_DA_20_59_AÑOS[[#This Row],[CIE-10]],BASE[Edad],"&gt;=20",BASE[Edad],"&lt;=59"))</calculatedColumnFormula>
    </tableColumn>
    <tableColumn id="3" xr3:uid="{00000000-0010-0000-3900-000003000000}" name="D2" dataDxfId="821">
      <calculatedColumnFormula>IF($O$3="(Todas)",COUNTIFS(BASE[CODCIE102],ENOS_G3_DA_20_59_AÑOS[[#This Row],[CIE-10]],BASE[Edad],"&gt;=20",BASE[Edad],"&lt;=59"),COUNTIFS(BASE[Cod.Establecimiento],$O$3,BASE[CODCIE102],ENOS_G3_DA_20_59_AÑOS[[#This Row],[CIE-10]],BASE[Edad],"&gt;=20",BASE[Edad],"&lt;=59"))</calculatedColumnFormula>
    </tableColumn>
    <tableColumn id="4" xr3:uid="{00000000-0010-0000-3900-000004000000}" name="D3" dataDxfId="820">
      <calculatedColumnFormula>IF($O$3="(Todas)",COUNTIFS(BASE[CODCIE104],ENOS_G3_DA_20_59_AÑOS[[#This Row],[CIE-10]],BASE[Edad],"&gt;=20",BASE[Edad],"&lt;=59"),COUNTIFS(BASE[Cod.Establecimiento],$O$3,BASE[CODCIE104],ENOS_G3_DA_20_59_AÑOS[[#This Row],[CIE-10]],BASE[Edad],"&gt;=20",BASE[Edad],"&lt;=59"))</calculatedColumnFormula>
    </tableColumn>
    <tableColumn id="5" xr3:uid="{00000000-0010-0000-3900-000005000000}" name="D4" dataDxfId="819">
      <calculatedColumnFormula>IF($O$3="(Todas)",COUNTIFS(BASE[CODCIE106],ENOS_G3_DA_20_59_AÑOS[[#This Row],[CIE-10]],BASE[Edad],"&gt;=20",BASE[Edad],"&lt;=59"),COUNTIFS(BASE[Cod.Establecimiento],$O$3,BASE[CODCIE106],ENOS_G3_DA_20_59_AÑOS[[#This Row],[CIE-10]],BASE[Edad],"&gt;=20",BASE[Edad],"&lt;=59"))</calculatedColumnFormula>
    </tableColumn>
    <tableColumn id="6" xr3:uid="{00000000-0010-0000-3900-000006000000}" name="D5" dataDxfId="818">
      <calculatedColumnFormula>IF($O$3="(Todas)",COUNTIFS(BASE[CODCIE108],ENOS_G3_DA_20_59_AÑOS[[#This Row],[CIE-10]],BASE[Edad],"&gt;=20",BASE[Edad],"&lt;=59"),COUNTIFS(BASE[Cod.Establecimiento],$O$3,BASE[CODCIE108],ENOS_G3_DA_20_59_AÑOS[[#This Row],[CIE-10]],BASE[Edad],"&gt;=20",BASE[Edad],"&lt;=59"))</calculatedColumnFormula>
    </tableColumn>
    <tableColumn id="7" xr3:uid="{00000000-0010-0000-3900-000007000000}" name="D6" dataDxfId="817">
      <calculatedColumnFormula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calculatedColumnFormula>
    </tableColumn>
    <tableColumn id="8" xr3:uid="{00000000-0010-0000-3900-000008000000}" name="TOT" dataDxfId="816" dataCellStyle="40% - Énfasis6">
      <calculatedColumnFormula>SUM(ENOS_G3_DA_20_59_AÑOS[[#This Row],[D1]:[D6]])</calculatedColumnFormula>
    </tableColumn>
  </tableColumns>
  <tableStyleInfo name="TableStyleLight1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ENOS_G3_DA_60_MAS_AÑOS" displayName="ENOS_G3_DA_60_MAS_AÑOS" ref="P206:W214" totalsRowShown="0" headerRowDxfId="815">
  <autoFilter ref="P206:W214" xr:uid="{00000000-0009-0000-0100-00003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A00-000001000000}" name="CIE-10" dataCellStyle="20% - Énfasis4"/>
    <tableColumn id="2" xr3:uid="{00000000-0010-0000-3A00-000002000000}" name="D1" dataDxfId="814">
      <calculatedColumnFormula>IF($O$3="(Todas)",COUNTIFS(BASE[CODCIE10],ENOS_G3_DA_60_MAS_AÑOS[[#This Row],[CIE-10]],BASE[Edad],"&gt;=60"),COUNTIFS(BASE[Cod.Establecimiento],$O$3,BASE[CODCIE10],ENOS_G3_DA_60_MAS_AÑOS[[#This Row],[CIE-10]],BASE[Edad],"&gt;=60"))</calculatedColumnFormula>
    </tableColumn>
    <tableColumn id="3" xr3:uid="{00000000-0010-0000-3A00-000003000000}" name="D2" dataDxfId="813">
      <calculatedColumnFormula>IF($O$3="(Todas)",COUNTIFS(BASE[CODCIE102],ENOS_G3_DA_60_MAS_AÑOS[[#This Row],[CIE-10]],BASE[Edad],"&gt;=60"),COUNTIFS(BASE[Cod.Establecimiento],$O$3,BASE[CODCIE102],ENOS_G3_DA_60_MAS_AÑOS[[#This Row],[CIE-10]],BASE[Edad],"&gt;=60"))</calculatedColumnFormula>
    </tableColumn>
    <tableColumn id="4" xr3:uid="{00000000-0010-0000-3A00-000004000000}" name="D3" dataDxfId="812">
      <calculatedColumnFormula>IF($O$3="(Todas)",COUNTIFS(BASE[CODCIE104],ENOS_G3_DA_60_MAS_AÑOS[[#This Row],[CIE-10]],BASE[Edad],"&gt;=60"),COUNTIFS(BASE[Cod.Establecimiento],$O$3,BASE[CODCIE104],ENOS_G3_DA_60_MAS_AÑOS[[#This Row],[CIE-10]],BASE[Edad],"&gt;=60"))</calculatedColumnFormula>
    </tableColumn>
    <tableColumn id="5" xr3:uid="{00000000-0010-0000-3A00-000005000000}" name="D4" dataDxfId="811">
      <calculatedColumnFormula>IF($O$3="(Todas)",COUNTIFS(BASE[CODCIE106],ENOS_G3_DA_60_MAS_AÑOS[[#This Row],[CIE-10]],BASE[Edad],"&gt;=60"),COUNTIFS(BASE[Cod.Establecimiento],$O$3,BASE[CODCIE106],ENOS_G3_DA_60_MAS_AÑOS[[#This Row],[CIE-10]],BASE[Edad],"&gt;=60"))</calculatedColumnFormula>
    </tableColumn>
    <tableColumn id="6" xr3:uid="{00000000-0010-0000-3A00-000006000000}" name="D5" dataDxfId="810">
      <calculatedColumnFormula>IF($O$3="(Todas)",COUNTIFS(BASE[CODCIE108],ENOS_G3_DA_60_MAS_AÑOS[[#This Row],[CIE-10]],BASE[Edad],"&gt;=60"),COUNTIFS(BASE[Cod.Establecimiento],$O$3,BASE[CODCIE108],ENOS_G3_DA_60_MAS_AÑOS[[#This Row],[CIE-10]],BASE[Edad],"&gt;=60"))</calculatedColumnFormula>
    </tableColumn>
    <tableColumn id="7" xr3:uid="{00000000-0010-0000-3A00-000007000000}" name="D6" dataDxfId="809">
      <calculatedColumnFormula>IF($O$3="(Todas)",COUNTIFS(BASE[CODCIE1010],ENOS_G3_DA_60_MAS_AÑOS[[#This Row],[CIE-10]],BASE[Edad],"&gt;=60"),COUNTIFS(BASE[Cod.Establecimiento],$O$3,BASE[CODCIE1010],ENOS_G3_DA_60_MAS_AÑOS[[#This Row],[CIE-10]],BASE[Edad],"&gt;=60"))</calculatedColumnFormula>
    </tableColumn>
    <tableColumn id="8" xr3:uid="{00000000-0010-0000-3A00-000008000000}" name="TOT" dataDxfId="808" dataCellStyle="40% - Énfasis6">
      <calculatedColumnFormula>SUM(ENOS_G3_DA_60_MAS_AÑOS[[#This Row],[D1]:[D6]])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PV_COQUELUCHE" displayName="EPV_COQUELUCHE" ref="A19:H23" totalsRowShown="0" headerRowDxfId="1239">
  <autoFilter ref="A19:H2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500-000001000000}" name="CIE-10" dataCellStyle="20% - Énfasis4"/>
    <tableColumn id="2" xr3:uid="{00000000-0010-0000-0500-000002000000}" name="D1" dataDxfId="1238">
      <calculatedColumnFormula>IF($AK$2="(Todas)",COUNTIF(BASE[CODCIE10],EPV_COQUELUCHE[[#This Row],[CIE-10]]),COUNTIFS(BASE[Cod.Establecimiento],$AK$2,BASE[CODCIE10],EPV_COQUELUCHE[[#This Row],[CIE-10]]))</calculatedColumnFormula>
    </tableColumn>
    <tableColumn id="3" xr3:uid="{00000000-0010-0000-0500-000003000000}" name="D2" dataDxfId="1237">
      <calculatedColumnFormula>IF($AK$2="(Todas)",COUNTIF(BASE[CODCIE102],EPV_COQUELUCHE[[#This Row],[CIE-10]]),COUNTIFS(BASE[Cod.Establecimiento],$AK$2,BASE[CODCIE102],EPV_COQUELUCHE[[#This Row],[CIE-10]]))</calculatedColumnFormula>
    </tableColumn>
    <tableColumn id="4" xr3:uid="{00000000-0010-0000-0500-000004000000}" name="D3" dataDxfId="1236">
      <calculatedColumnFormula>IF($AK$2="(Todas)",COUNTIF(BASE[CODCIE104],EPV_COQUELUCHE[[#This Row],[CIE-10]]),COUNTIFS(BASE[Cod.Establecimiento],$AK$2,BASE[CODCIE104],EPV_COQUELUCHE[[#This Row],[CIE-10]]))</calculatedColumnFormula>
    </tableColumn>
    <tableColumn id="5" xr3:uid="{00000000-0010-0000-0500-000005000000}" name="D4" dataDxfId="1235">
      <calculatedColumnFormula>IF($AK$2="(Todas)",COUNTIF(BASE[CODCIE106],EPV_COQUELUCHE[[#This Row],[CIE-10]]),COUNTIFS(BASE[Cod.Establecimiento],$AK$2,BASE[CODCIE106],EPV_COQUELUCHE[[#This Row],[CIE-10]]))</calculatedColumnFormula>
    </tableColumn>
    <tableColumn id="6" xr3:uid="{00000000-0010-0000-0500-000006000000}" name="D5" dataDxfId="1234">
      <calculatedColumnFormula>IF($AK$2="(Todas)",COUNTIF(BASE[CODCIE108],EPV_COQUELUCHE[[#This Row],[CIE-10]]),COUNTIFS(BASE[Cod.Establecimiento],$AK$2,BASE[CODCIE108],EPV_COQUELUCHE[[#This Row],[CIE-10]]))</calculatedColumnFormula>
    </tableColumn>
    <tableColumn id="7" xr3:uid="{00000000-0010-0000-0500-000007000000}" name="D6" dataDxfId="1233">
      <calculatedColumnFormula>IF($AK$2="(Todas)",COUNTIF(BASE[CODCIE1010],EPV_COQUELUCHE[[#This Row],[CIE-10]]),COUNTIFS(BASE[Cod.Establecimiento],$AK$2,BASE[CODCIE1010],EPV_COQUELUCHE[[#This Row],[CIE-10]]))</calculatedColumnFormula>
    </tableColumn>
    <tableColumn id="8" xr3:uid="{00000000-0010-0000-0500-000008000000}" name="TOT" dataDxfId="1232" dataCellStyle="40% - Énfasis6">
      <calculatedColumnFormula>SUM(EPV_COQUELUCHE[[#This Row],[D1]:[D6]])</calculatedColumnFormula>
    </tableColumn>
  </tableColumns>
  <tableStyleInfo name="TableStyleLight1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ENOS_G3_DA_SD_AÑOS" displayName="ENOS_G3_DA_SD_AÑOS" ref="Y206:AF214" totalsRowShown="0" headerRowDxfId="807">
  <autoFilter ref="Y206:AF214" xr:uid="{00000000-0009-0000-0100-00003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B00-000001000000}" name="CIE-10" dataCellStyle="20% - Énfasis4"/>
    <tableColumn id="2" xr3:uid="{00000000-0010-0000-3B00-000002000000}" name="D1" dataDxfId="806">
      <calculatedColumnFormula>IF($O$3="(Todas)",COUNTIFS(BASE[CODCIE10],ENOS_G3_DA_SD_AÑOS[[#This Row],[CIE-10]],BASE[Edad],""),COUNTIFS(BASE[Cod.Establecimiento],$O$3,BASE[CODCIE10],ENOS_G3_DA_SD_AÑOS[[#This Row],[CIE-10]],BASE[Edad],""))</calculatedColumnFormula>
    </tableColumn>
    <tableColumn id="3" xr3:uid="{00000000-0010-0000-3B00-000003000000}" name="D2" dataDxfId="805">
      <calculatedColumnFormula>IF($O$3="(Todas)",COUNTIFS(BASE[CODCIE102],ENOS_G3_DA_SD_AÑOS[[#This Row],[CIE-10]],BASE[Edad],""),COUNTIFS(BASE[Cod.Establecimiento],$O$3,BASE[CODCIE102],ENOS_G3_DA_SD_AÑOS[[#This Row],[CIE-10]],BASE[Edad],""))</calculatedColumnFormula>
    </tableColumn>
    <tableColumn id="4" xr3:uid="{00000000-0010-0000-3B00-000004000000}" name="D3" dataDxfId="804">
      <calculatedColumnFormula>IF($O$3="(Todas)",COUNTIFS(BASE[CODCIE104],ENOS_G3_DA_SD_AÑOS[[#This Row],[CIE-10]],BASE[Edad],""),COUNTIFS(BASE[Cod.Establecimiento],$O$3,BASE[CODCIE104],ENOS_G3_DA_SD_AÑOS[[#This Row],[CIE-10]],BASE[Edad],""))</calculatedColumnFormula>
    </tableColumn>
    <tableColumn id="5" xr3:uid="{00000000-0010-0000-3B00-000005000000}" name="D4" dataDxfId="803">
      <calculatedColumnFormula>IF($O$3="(Todas)",COUNTIFS(BASE[CODCIE106],ENOS_G3_DA_SD_AÑOS[[#This Row],[CIE-10]],BASE[Edad],""),COUNTIFS(BASE[Cod.Establecimiento],$O$3,BASE[CODCIE106],ENOS_G3_DA_SD_AÑOS[[#This Row],[CIE-10]],BASE[Edad],""))</calculatedColumnFormula>
    </tableColumn>
    <tableColumn id="6" xr3:uid="{00000000-0010-0000-3B00-000006000000}" name="D5" dataDxfId="802">
      <calculatedColumnFormula>IF($O$3="(Todas)",COUNTIFS(BASE[CODCIE108],ENOS_G3_DA_SD_AÑOS[[#This Row],[CIE-10]],BASE[Edad],""),COUNTIFS(BASE[Cod.Establecimiento],$O$3,BASE[CODCIE108],ENOS_G3_DA_SD_AÑOS[[#This Row],[CIE-10]],BASE[Edad],""))</calculatedColumnFormula>
    </tableColumn>
    <tableColumn id="7" xr3:uid="{00000000-0010-0000-3B00-000007000000}" name="D6" dataDxfId="801">
      <calculatedColumnFormula>IF($O$3="(Todas)",COUNTIFS(BASE[CODCIE1010],ENOS_G3_DA_SD_AÑOS[[#This Row],[CIE-10]],BASE[Edad],""),COUNTIFS(BASE[Cod.Establecimiento],$O$3,BASE[CODCIE1010],ENOS_G3_DA_SD_AÑOS[[#This Row],[CIE-10]],BASE[Edad],""))</calculatedColumnFormula>
    </tableColumn>
    <tableColumn id="8" xr3:uid="{00000000-0010-0000-3B00-000008000000}" name="TOT" dataDxfId="800" dataCellStyle="40% - Énfasis6">
      <calculatedColumnFormula>SUM(ENOS_G3_DA_SD_AÑOS[[#This Row],[D1]:[D6]])</calculatedColumnFormula>
    </tableColumn>
  </tableColumns>
  <tableStyleInfo name="TableStyleLight1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3F13FA4-3AEC-4CA5-85E6-E52654968246}" name="EPV_PARALISIS_FLACIDA_AGUDA62" displayName="EPV_PARALISIS_FLACIDA_AGUDA62" ref="A4:H24" totalsRowShown="0" headerRowDxfId="799">
  <autoFilter ref="A4:H24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123C81F-0ED1-4645-96FC-0FD42A4C2EE8}" name="CIE-10" dataCellStyle="20% - Énfasis4"/>
    <tableColumn id="2" xr3:uid="{B4B46142-9045-4652-B05C-7A8ED2CDB91A}" name="D1" dataDxfId="798">
      <calculatedColumnFormula>IF($AK$2="(Todas)",COUNTIF(BASE[CODCIE10],EPV_PARALISIS_FLACIDA_AGUDA62[[#This Row],[CIE-10]]),COUNTIFS(BASE[Cod.Establecimiento],$AK$2,BASE[CODCIE10],EPV_PARALISIS_FLACIDA_AGUDA62[[#This Row],[CIE-10]]))</calculatedColumnFormula>
    </tableColumn>
    <tableColumn id="3" xr3:uid="{D8D83546-6B4C-4FEA-938F-FE13E66762E1}" name="D2" dataDxfId="797">
      <calculatedColumnFormula>IF($AK$2="(Todas)",COUNTIF(BASE[CODCIE102],EPV_PARALISIS_FLACIDA_AGUDA62[[#This Row],[CIE-10]]),COUNTIFS(BASE[Cod.Establecimiento],$AK$2,BASE[CODCIE102],EPV_PARALISIS_FLACIDA_AGUDA62[[#This Row],[CIE-10]]))</calculatedColumnFormula>
    </tableColumn>
    <tableColumn id="4" xr3:uid="{B8580DC6-B333-44FE-989C-A9BED9FBCBCA}" name="D3" dataDxfId="796">
      <calculatedColumnFormula>IF($AK$2="(Todas)",COUNTIF(BASE[CODCIE104],EPV_PARALISIS_FLACIDA_AGUDA62[[#This Row],[CIE-10]]),COUNTIFS(BASE[Cod.Establecimiento],$AK$2,BASE[CODCIE104],EPV_PARALISIS_FLACIDA_AGUDA62[[#This Row],[CIE-10]]))</calculatedColumnFormula>
    </tableColumn>
    <tableColumn id="5" xr3:uid="{6F7EE3FC-0E79-4041-9B8E-E3C761383EAB}" name="D4" dataDxfId="795">
      <calculatedColumnFormula>IF($AK$2="(Todas)",COUNTIF(BASE[CODCIE106],EPV_PARALISIS_FLACIDA_AGUDA62[[#This Row],[CIE-10]]),COUNTIFS(BASE[Cod.Establecimiento],$AK$2,BASE[CODCIE106],EPV_PARALISIS_FLACIDA_AGUDA62[[#This Row],[CIE-10]]))</calculatedColumnFormula>
    </tableColumn>
    <tableColumn id="6" xr3:uid="{00B77666-54EE-43FD-92F5-69C9935F31CD}" name="D5" dataDxfId="794">
      <calculatedColumnFormula>IF($AK$2="(Todas)",COUNTIF(BASE[CODCIE108],EPV_PARALISIS_FLACIDA_AGUDA62[[#This Row],[CIE-10]]),COUNTIFS(BASE[Cod.Establecimiento],$AK$2,BASE[CODCIE108],EPV_PARALISIS_FLACIDA_AGUDA62[[#This Row],[CIE-10]]))</calculatedColumnFormula>
    </tableColumn>
    <tableColumn id="7" xr3:uid="{D03BB791-5454-41C3-B7F3-1A4EA87C9B7C}" name="D6" dataDxfId="793">
      <calculatedColumnFormula>IF($AK$2="(Todas)",COUNTIF(BASE[CODCIE1010],EPV_PARALISIS_FLACIDA_AGUDA62[[#This Row],[CIE-10]]),COUNTIFS(BASE[Cod.Establecimiento],$AK$2,BASE[CODCIE1010],EPV_PARALISIS_FLACIDA_AGUDA62[[#This Row],[CIE-10]]))</calculatedColumnFormula>
    </tableColumn>
    <tableColumn id="8" xr3:uid="{2212AF58-376C-4BE7-A186-140CB21B73BE}" name="TOT" dataDxfId="792">
      <calculatedColumnFormula>SUM(EPV_PARALISIS_FLACIDA_AGUDA62[[#This Row],[D1]:[D6]])</calculatedColumnFormula>
    </tableColumn>
  </tableColumns>
  <tableStyleInfo name="TableStyleLight1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7A57DFF7-2665-4669-B81A-DE387F174362}" name="EPV_RUBEOLA63" displayName="EPV_RUBEOLA63" ref="J4:Q8" totalsRowShown="0" headerRowDxfId="791">
  <autoFilter ref="J4:Q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34F546A-C21F-4FE3-A2F6-0E01924C2E4A}" name="CIE-10" dataCellStyle="20% - Énfasis4"/>
    <tableColumn id="2" xr3:uid="{1ABC3470-8AF5-48A4-B4F1-8FC3294CEFC9}" name="D1" dataDxfId="790">
      <calculatedColumnFormula>IF($AK$2="(Todas)",COUNTIF(BASE[CODCIE10],EPV_RUBEOLA63[[#This Row],[CIE-10]]),COUNTIFS(BASE[Cod.Establecimiento],$AK$2,BASE[CODCIE10],EPV_RUBEOLA63[[#This Row],[CIE-10]]))</calculatedColumnFormula>
    </tableColumn>
    <tableColumn id="3" xr3:uid="{7A5AD759-77CB-41E6-B0E5-4D4A9BC8138F}" name="D2" dataDxfId="789">
      <calculatedColumnFormula>IF($AK$2="(Todas)",COUNTIF(BASE[CODCIE102],EPV_RUBEOLA63[[#This Row],[CIE-10]]),COUNTIFS(BASE[Cod.Establecimiento],$AK$2,BASE[CODCIE102],EPV_RUBEOLA63[[#This Row],[CIE-10]]))</calculatedColumnFormula>
    </tableColumn>
    <tableColumn id="4" xr3:uid="{AD429FD3-1839-4EF9-B7EC-648593681E70}" name="D3" dataDxfId="788">
      <calculatedColumnFormula>IF($AK$2="(Todas)",COUNTIF(BASE[CODCIE104],EPV_RUBEOLA63[[#This Row],[CIE-10]]),COUNTIFS(BASE[Cod.Establecimiento],$AK$2,BASE[CODCIE104],EPV_RUBEOLA63[[#This Row],[CIE-10]]))</calculatedColumnFormula>
    </tableColumn>
    <tableColumn id="5" xr3:uid="{69581973-7B7D-4F70-957A-6D9471377369}" name="D4" dataDxfId="787">
      <calculatedColumnFormula>IF($AK$2="(Todas)",COUNTIF(BASE[CODCIE106],EPV_RUBEOLA63[[#This Row],[CIE-10]]),COUNTIFS(BASE[Cod.Establecimiento],$AK$2,BASE[CODCIE106],EPV_RUBEOLA63[[#This Row],[CIE-10]]))</calculatedColumnFormula>
    </tableColumn>
    <tableColumn id="6" xr3:uid="{3120DBF6-601F-4D46-992F-0A8860C114E7}" name="D5" dataDxfId="786">
      <calculatedColumnFormula>IF($AK$2="(Todas)",COUNTIF(BASE[CODCIE108],EPV_RUBEOLA63[[#This Row],[CIE-10]]),COUNTIFS(BASE[Cod.Establecimiento],$AK$2,BASE[CODCIE108],EPV_RUBEOLA63[[#This Row],[CIE-10]]))</calculatedColumnFormula>
    </tableColumn>
    <tableColumn id="7" xr3:uid="{D6CE3B5D-6F9A-45BC-9034-0F14EEDBC0D8}" name="D6" dataDxfId="785">
      <calculatedColumnFormula>IF($AK$2="(Todas)",COUNTIF(BASE[CODCIE1010],EPV_RUBEOLA63[[#This Row],[CIE-10]]),COUNTIFS(BASE[Cod.Establecimiento],$AK$2,BASE[CODCIE1010],EPV_RUBEOLA63[[#This Row],[CIE-10]]))</calculatedColumnFormula>
    </tableColumn>
    <tableColumn id="8" xr3:uid="{D9178D6C-A7FE-4FC0-A980-69B38EF827E6}" name="TOT" dataDxfId="784" dataCellStyle="40% - Énfasis6">
      <calculatedColumnFormula>SUM(EPV_RUBEOLA63[[#This Row],[D1]:[D6]])</calculatedColumnFormula>
    </tableColumn>
  </tableColumns>
  <tableStyleInfo name="TableStyleLight1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B8C60B6-A60F-4588-BEB2-67A3C3922F94}" name="EPV_SARAMPION64" displayName="EPV_SARAMPION64" ref="S4:Z5" totalsRowShown="0" headerRowDxfId="783">
  <autoFilter ref="S4:Z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615E9B6-521F-47E5-B510-82682227D5C5}" name="CIE-10" dataCellStyle="20% - Énfasis4"/>
    <tableColumn id="2" xr3:uid="{33AD3036-B588-4B32-8C05-5188257D0D14}" name="D1" dataDxfId="782">
      <calculatedColumnFormula>IF($AK$2="(Todas)",COUNTIF(BASE[CODCIE10],EPV_SARAMPION64[[#This Row],[CIE-10]]),COUNTIFS(BASE[Cod.Establecimiento],$AK$2,BASE[CODCIE10],EPV_SARAMPION64[[#This Row],[CIE-10]]))</calculatedColumnFormula>
    </tableColumn>
    <tableColumn id="3" xr3:uid="{0D2FD9C3-13D5-4810-ABB3-EFB0F357854D}" name="D2" dataDxfId="781">
      <calculatedColumnFormula>IF($AK$2="(Todas)",COUNTIF(BASE[CODCIE102],EPV_SARAMPION64[[#This Row],[CIE-10]]),COUNTIFS(BASE[Cod.Establecimiento],$AK$2,BASE[CODCIE102],EPV_SARAMPION64[[#This Row],[CIE-10]]))</calculatedColumnFormula>
    </tableColumn>
    <tableColumn id="4" xr3:uid="{F3122303-F6CB-4C37-8C7D-C13708CBC5A8}" name="D3" dataDxfId="780">
      <calculatedColumnFormula>IF($AK$2="(Todas)",COUNTIF(BASE[CODCIE104],EPV_SARAMPION64[[#This Row],[CIE-10]]),COUNTIFS(BASE[Cod.Establecimiento],$AK$2,BASE[CODCIE104],EPV_SARAMPION64[[#This Row],[CIE-10]]))</calculatedColumnFormula>
    </tableColumn>
    <tableColumn id="5" xr3:uid="{9AB0CFD0-8EC5-4483-A3FB-9CC5CA79D05C}" name="D4" dataDxfId="779">
      <calculatedColumnFormula>IF($AK$2="(Todas)",COUNTIF(BASE[CODCIE106],EPV_SARAMPION64[[#This Row],[CIE-10]]),COUNTIFS(BASE[Cod.Establecimiento],$AK$2,BASE[CODCIE106],EPV_SARAMPION64[[#This Row],[CIE-10]]))</calculatedColumnFormula>
    </tableColumn>
    <tableColumn id="6" xr3:uid="{CBE7AAD3-AAAA-42B8-B0C8-BDD32F5EC28F}" name="D5" dataDxfId="778">
      <calculatedColumnFormula>IF($AK$2="(Todas)",COUNTIF(BASE[CODCIE108],EPV_SARAMPION64[[#This Row],[CIE-10]]),COUNTIFS(BASE[Cod.Establecimiento],$AK$2,BASE[CODCIE108],EPV_SARAMPION64[[#This Row],[CIE-10]]))</calculatedColumnFormula>
    </tableColumn>
    <tableColumn id="7" xr3:uid="{B8AD53E9-776E-4CD3-B7BB-75E3C5652FB6}" name="D6" dataDxfId="777">
      <calculatedColumnFormula>IF($AK$2="(Todas)",COUNTIF(BASE[CODCIE1010],EPV_SARAMPION64[[#This Row],[CIE-10]]),COUNTIFS(BASE[Cod.Establecimiento],$AK$2,BASE[CODCIE1010],EPV_SARAMPION64[[#This Row],[CIE-10]]))</calculatedColumnFormula>
    </tableColumn>
    <tableColumn id="8" xr3:uid="{60450E1A-3601-42F5-89CB-FEB78C2F51BF}" name="TOT" dataDxfId="776" dataCellStyle="40% - Énfasis6">
      <calculatedColumnFormula>SUM(EPV_SARAMPION64[[#This Row],[D1]:[D6]])</calculatedColumnFormula>
    </tableColumn>
  </tableColumns>
  <tableStyleInfo name="TableStyleLight1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9EF0B2E1-5669-4B58-B9CD-EA330ABCDCC4}" name="EPV_DIFTERIA65" displayName="EPV_DIFTERIA65" ref="AB4:AI5" totalsRowShown="0" headerRowDxfId="775">
  <autoFilter ref="AB4:AI5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A44CEFC-2958-4659-AE8B-16D5C275564A}" name="CIE-10" dataCellStyle="20% - Énfasis4"/>
    <tableColumn id="2" xr3:uid="{76B9CCC4-4A74-48E6-B72F-E8C14D5A981C}" name="D1" dataDxfId="774">
      <calculatedColumnFormula>IF($AK$2="(Todas)",COUNTIF(BASE[CODCIE10],EPV_DIFTERIA65[[#This Row],[CIE-10]]),COUNTIFS(BASE[Cod.Establecimiento],$AK$2,BASE[CODCIE10],EPV_DIFTERIA65[[#This Row],[CIE-10]]))</calculatedColumnFormula>
    </tableColumn>
    <tableColumn id="3" xr3:uid="{1CF97495-2B6E-4122-AEDE-BDA518107496}" name="D2" dataDxfId="773">
      <calculatedColumnFormula>IF($AK$2="(Todas)",COUNTIF(BASE[CODCIE102],EPV_DIFTERIA65[[#This Row],[CIE-10]]),COUNTIFS(BASE[Cod.Establecimiento],$AK$2,BASE[CODCIE102],EPV_DIFTERIA65[[#This Row],[CIE-10]]))</calculatedColumnFormula>
    </tableColumn>
    <tableColumn id="4" xr3:uid="{F05C382F-5E8B-495B-85C5-21A9DF462BAC}" name="D3" dataDxfId="772">
      <calculatedColumnFormula>IF($AK$2="(Todas)",COUNTIF(BASE[CODCIE104],EPV_DIFTERIA65[[#This Row],[CIE-10]]),COUNTIFS(BASE[Cod.Establecimiento],$AK$2,BASE[CODCIE104],EPV_DIFTERIA65[[#This Row],[CIE-10]]))</calculatedColumnFormula>
    </tableColumn>
    <tableColumn id="5" xr3:uid="{37020E37-2165-4336-B882-C923D7E5E8FC}" name="D4" dataDxfId="771">
      <calculatedColumnFormula>IF($AK$2="(Todas)",COUNTIF(BASE[CODCIE106],EPV_DIFTERIA65[[#This Row],[CIE-10]]),COUNTIFS(BASE[Cod.Establecimiento],$AK$2,BASE[CODCIE106],EPV_DIFTERIA65[[#This Row],[CIE-10]]))</calculatedColumnFormula>
    </tableColumn>
    <tableColumn id="6" xr3:uid="{87BAD790-F34C-4A1E-815A-B3ABA3541CCF}" name="D5" dataDxfId="770">
      <calculatedColumnFormula>IF($AK$2="(Todas)",COUNTIF(BASE[CODCIE108],EPV_DIFTERIA65[[#This Row],[CIE-10]]),COUNTIFS(BASE[Cod.Establecimiento],$AK$2,BASE[CODCIE108],EPV_DIFTERIA65[[#This Row],[CIE-10]]))</calculatedColumnFormula>
    </tableColumn>
    <tableColumn id="7" xr3:uid="{21A51CA7-3840-4D1C-A3F0-C07814C891B8}" name="D6" dataDxfId="769">
      <calculatedColumnFormula>IF($AK$2="(Todas)",COUNTIF(BASE[CODCIE1010],EPV_DIFTERIA65[[#This Row],[CIE-10]]),COUNTIFS(BASE[Cod.Establecimiento],$AK$2,BASE[CODCIE1010],EPV_DIFTERIA65[[#This Row],[CIE-10]]))</calculatedColumnFormula>
    </tableColumn>
    <tableColumn id="8" xr3:uid="{36616E31-DAE8-4F42-B07F-31D1305F9BDC}" name="TOT" dataDxfId="768" dataCellStyle="40% - Énfasis6">
      <calculatedColumnFormula>SUM(EPV_DIFTERIA65[[#This Row],[D1]:[D6]])</calculatedColumnFormula>
    </tableColumn>
  </tableColumns>
  <tableStyleInfo name="TableStyleLight1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FB51FE38-31BD-46E0-A51C-16635163149B}" name="EPV_SARAMPION6466" displayName="EPV_SARAMPION6466" ref="S9:Z10" totalsRowShown="0" headerRowDxfId="767">
  <autoFilter ref="S9:Z10" xr:uid="{FB51FE38-31BD-46E0-A51C-1663516314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3DFECBA-6F9A-4AAF-BF9C-B88F13788F43}" name="CIE-10" dataCellStyle="20% - Énfasis4"/>
    <tableColumn id="2" xr3:uid="{CD1FA7BA-C634-42C3-ABA1-9F276F75EE55}" name="D1" dataDxfId="766">
      <calculatedColumnFormula>IF($AK$2="(Todas)",COUNTIF(BASE[CODCIE10],EPV_SARAMPION6466[[#This Row],[CIE-10]]),COUNTIFS(BASE[Cod.Establecimiento],$AK$2,BASE[CODCIE10],EPV_SARAMPION6466[[#This Row],[CIE-10]]))</calculatedColumnFormula>
    </tableColumn>
    <tableColumn id="3" xr3:uid="{FE7E333A-A9FF-4F28-A6A7-051886212EA1}" name="D2" dataDxfId="765">
      <calculatedColumnFormula>IF($AK$2="(Todas)",COUNTIF(BASE[CODCIE102],EPV_SARAMPION6466[[#This Row],[CIE-10]]),COUNTIFS(BASE[Cod.Establecimiento],$AK$2,BASE[CODCIE102],EPV_SARAMPION6466[[#This Row],[CIE-10]]))</calculatedColumnFormula>
    </tableColumn>
    <tableColumn id="4" xr3:uid="{3022C22B-BF05-49B5-A20C-70DE7952FA5E}" name="D3" dataDxfId="764">
      <calculatedColumnFormula>IF($AK$2="(Todas)",COUNTIF(BASE[CODCIE104],EPV_SARAMPION6466[[#This Row],[CIE-10]]),COUNTIFS(BASE[Cod.Establecimiento],$AK$2,BASE[CODCIE104],EPV_SARAMPION6466[[#This Row],[CIE-10]]))</calculatedColumnFormula>
    </tableColumn>
    <tableColumn id="5" xr3:uid="{543E2605-D224-42C2-8EF8-D775B9DC461A}" name="D4" dataDxfId="763">
      <calculatedColumnFormula>IF($AK$2="(Todas)",COUNTIF(BASE[CODCIE106],EPV_SARAMPION6466[[#This Row],[CIE-10]]),COUNTIFS(BASE[Cod.Establecimiento],$AK$2,BASE[CODCIE106],EPV_SARAMPION6466[[#This Row],[CIE-10]]))</calculatedColumnFormula>
    </tableColumn>
    <tableColumn id="6" xr3:uid="{75C89E45-E514-444A-AAD5-DA5DA9D64BEF}" name="D5" dataDxfId="762">
      <calculatedColumnFormula>IF($AK$2="(Todas)",COUNTIF(BASE[CODCIE108],EPV_SARAMPION6466[[#This Row],[CIE-10]]),COUNTIFS(BASE[Cod.Establecimiento],$AK$2,BASE[CODCIE108],EPV_SARAMPION6466[[#This Row],[CIE-10]]))</calculatedColumnFormula>
    </tableColumn>
    <tableColumn id="7" xr3:uid="{17A2F05F-CEA5-4FC9-AD06-4F7DC0B88B70}" name="D6" dataDxfId="761">
      <calculatedColumnFormula>IF($AK$2="(Todas)",COUNTIF(BASE[CODCIE1010],EPV_SARAMPION6466[[#This Row],[CIE-10]]),COUNTIFS(BASE[Cod.Establecimiento],$AK$2,BASE[CODCIE1010],EPV_SARAMPION6466[[#This Row],[CIE-10]]))</calculatedColumnFormula>
    </tableColumn>
    <tableColumn id="8" xr3:uid="{4EA3E4D5-441A-40A5-B29F-8C24BF7F8248}" name="TOT" dataDxfId="760" dataCellStyle="40% - Énfasis6">
      <calculatedColumnFormula>SUM(EPV_SARAMPION6466[[#This Row],[D1]:[D6]])</calculatedColumnFormula>
    </tableColumn>
  </tableColumns>
  <tableStyleInfo name="TableStyleLight1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EF3DCEA-75AA-41B2-8BB9-90DB4BCD519F}" name="EPV_SARAMPION646667" displayName="EPV_SARAMPION646667" ref="AB9:AI10" totalsRowShown="0" headerRowDxfId="759">
  <autoFilter ref="AB9:AI10" xr:uid="{5EF3DCEA-75AA-41B2-8BB9-90DB4BCD51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8868B14-8EDE-451D-BE9B-A2F4DB5A9663}" name="CIE-10" dataCellStyle="20% - Énfasis4"/>
    <tableColumn id="2" xr3:uid="{3CD560C2-2E2E-4CA7-88CB-7A037103725C}" name="D1" dataDxfId="758">
      <calculatedColumnFormula>IF($AK$2="(Todas)",COUNTIF(BASE[CODCIE10],EPV_SARAMPION646667[[#This Row],[CIE-10]]),COUNTIFS(BASE[Cod.Establecimiento],$AK$2,BASE[CODCIE10],EPV_SARAMPION646667[[#This Row],[CIE-10]]))</calculatedColumnFormula>
    </tableColumn>
    <tableColumn id="3" xr3:uid="{F89B7E4B-113C-4775-BEAD-E0FE100F7200}" name="D2" dataDxfId="757">
      <calculatedColumnFormula>IF($AK$2="(Todas)",COUNTIF(BASE[CODCIE102],EPV_SARAMPION646667[[#This Row],[CIE-10]]),COUNTIFS(BASE[Cod.Establecimiento],$AK$2,BASE[CODCIE102],EPV_SARAMPION646667[[#This Row],[CIE-10]]))</calculatedColumnFormula>
    </tableColumn>
    <tableColumn id="4" xr3:uid="{0B8685B8-E5ED-40FE-A0D8-7CB794D7A078}" name="D3" dataDxfId="756">
      <calculatedColumnFormula>IF($AK$2="(Todas)",COUNTIF(BASE[CODCIE104],EPV_SARAMPION646667[[#This Row],[CIE-10]]),COUNTIFS(BASE[Cod.Establecimiento],$AK$2,BASE[CODCIE104],EPV_SARAMPION646667[[#This Row],[CIE-10]]))</calculatedColumnFormula>
    </tableColumn>
    <tableColumn id="5" xr3:uid="{17EFC107-BDC8-487D-B9E6-4082F7959AD3}" name="D4" dataDxfId="755">
      <calculatedColumnFormula>IF($AK$2="(Todas)",COUNTIF(BASE[CODCIE106],EPV_SARAMPION646667[[#This Row],[CIE-10]]),COUNTIFS(BASE[Cod.Establecimiento],$AK$2,BASE[CODCIE106],EPV_SARAMPION646667[[#This Row],[CIE-10]]))</calculatedColumnFormula>
    </tableColumn>
    <tableColumn id="6" xr3:uid="{99E39ECA-C830-4668-BA00-BEFC89591BEC}" name="D5" dataDxfId="754">
      <calculatedColumnFormula>IF($AK$2="(Todas)",COUNTIF(BASE[CODCIE108],EPV_SARAMPION646667[[#This Row],[CIE-10]]),COUNTIFS(BASE[Cod.Establecimiento],$AK$2,BASE[CODCIE108],EPV_SARAMPION646667[[#This Row],[CIE-10]]))</calculatedColumnFormula>
    </tableColumn>
    <tableColumn id="7" xr3:uid="{FF5746C8-CAA9-443E-9567-6F23C925B8CB}" name="D6" dataDxfId="753">
      <calculatedColumnFormula>IF($AK$2="(Todas)",COUNTIF(BASE[CODCIE1010],EPV_SARAMPION646667[[#This Row],[CIE-10]]),COUNTIFS(BASE[Cod.Establecimiento],$AK$2,BASE[CODCIE1010],EPV_SARAMPION646667[[#This Row],[CIE-10]]))</calculatedColumnFormula>
    </tableColumn>
    <tableColumn id="8" xr3:uid="{82C40B3E-2A87-4583-B3E7-802611DF6167}" name="TOT" dataDxfId="752" dataCellStyle="40% - Énfasis6">
      <calculatedColumnFormula>SUM(EPV_SARAMPION646667[[#This Row],[D1]:[D6]])</calculatedColumnFormula>
    </tableColumn>
  </tableColumns>
  <tableStyleInfo name="TableStyleLight1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1FAFF953-2103-4B3F-AF79-FCD4B91A9CE8}" name="EPV_SARAMPION646669" displayName="EPV_SARAMPION646669" ref="J14:Q15" totalsRowShown="0" headerRowDxfId="751">
  <autoFilter ref="J14:Q15" xr:uid="{1FAFF953-2103-4B3F-AF79-FCD4B91A9C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DF1C762-E4F3-40EB-9D31-8C90AEB5C55E}" name="CIE-10" dataCellStyle="20% - Énfasis4"/>
    <tableColumn id="2" xr3:uid="{8AC04638-9889-42A1-B20B-EEA3586418E8}" name="D1" dataDxfId="750">
      <calculatedColumnFormula>IF($AK$2="(Todas)",COUNTIF(BASE[CODCIE10],EPV_SARAMPION646669[[#This Row],[CIE-10]]),COUNTIFS(BASE[Cod.Establecimiento],$AK$2,BASE[CODCIE10],EPV_SARAMPION646669[[#This Row],[CIE-10]]))</calculatedColumnFormula>
    </tableColumn>
    <tableColumn id="3" xr3:uid="{0C78112E-3BDC-41B2-90E6-A4DC00C6E05B}" name="D2" dataDxfId="749">
      <calculatedColumnFormula>IF($AK$2="(Todas)",COUNTIF(BASE[CODCIE102],EPV_SARAMPION646669[[#This Row],[CIE-10]]),COUNTIFS(BASE[Cod.Establecimiento],$AK$2,BASE[CODCIE102],EPV_SARAMPION646669[[#This Row],[CIE-10]]))</calculatedColumnFormula>
    </tableColumn>
    <tableColumn id="4" xr3:uid="{00CA6C97-5695-430F-81B7-329C758C0622}" name="D3" dataDxfId="748">
      <calculatedColumnFormula>IF($AK$2="(Todas)",COUNTIF(BASE[CODCIE104],EPV_SARAMPION646669[[#This Row],[CIE-10]]),COUNTIFS(BASE[Cod.Establecimiento],$AK$2,BASE[CODCIE104],EPV_SARAMPION646669[[#This Row],[CIE-10]]))</calculatedColumnFormula>
    </tableColumn>
    <tableColumn id="5" xr3:uid="{0B22FB28-4C00-4BF8-BEBB-70570CB8EA5E}" name="D4" dataDxfId="747">
      <calculatedColumnFormula>IF($AK$2="(Todas)",COUNTIF(BASE[CODCIE106],EPV_SARAMPION646669[[#This Row],[CIE-10]]),COUNTIFS(BASE[Cod.Establecimiento],$AK$2,BASE[CODCIE106],EPV_SARAMPION646669[[#This Row],[CIE-10]]))</calculatedColumnFormula>
    </tableColumn>
    <tableColumn id="6" xr3:uid="{7202E959-8BDA-404A-AC53-6EEDDB27808C}" name="D5" dataDxfId="746">
      <calculatedColumnFormula>IF($AK$2="(Todas)",COUNTIF(BASE[CODCIE108],EPV_SARAMPION646669[[#This Row],[CIE-10]]),COUNTIFS(BASE[Cod.Establecimiento],$AK$2,BASE[CODCIE108],EPV_SARAMPION646669[[#This Row],[CIE-10]]))</calculatedColumnFormula>
    </tableColumn>
    <tableColumn id="7" xr3:uid="{BEC6A924-3CF0-4C9B-9FE2-F741DCEF9D66}" name="D6" dataDxfId="745">
      <calculatedColumnFormula>IF($AK$2="(Todas)",COUNTIF(BASE[CODCIE1010],EPV_SARAMPION646669[[#This Row],[CIE-10]]),COUNTIFS(BASE[Cod.Establecimiento],$AK$2,BASE[CODCIE1010],EPV_SARAMPION646669[[#This Row],[CIE-10]]))</calculatedColumnFormula>
    </tableColumn>
    <tableColumn id="8" xr3:uid="{6974CF82-F9BC-4726-BC74-C5EC564A534D}" name="TOT" dataDxfId="744" dataCellStyle="40% - Énfasis6">
      <calculatedColumnFormula>SUM(EPV_SARAMPION646669[[#This Row],[D1]:[D6]])</calculatedColumnFormula>
    </tableColumn>
  </tableColumns>
  <tableStyleInfo name="TableStyleLight1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A16E9F08-F8A6-4B73-901E-2CFF79F7173B}" name="EPV_SARAMPION646670" displayName="EPV_SARAMPION646670" ref="S14:Z15" totalsRowShown="0" headerRowDxfId="743">
  <autoFilter ref="S14:Z15" xr:uid="{A16E9F08-F8A6-4B73-901E-2CFF79F717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C79FE31-3122-4EE1-88FA-705D7D7C02D2}" name="CIE-10" dataCellStyle="20% - Énfasis4"/>
    <tableColumn id="2" xr3:uid="{9C078C2D-2B83-4592-A7E4-46922716F5F4}" name="D1" dataDxfId="742">
      <calculatedColumnFormula>IF($AK$2="(Todas)",COUNTIF(BASE[CODCIE10],EPV_SARAMPION646670[[#This Row],[CIE-10]]),COUNTIFS(BASE[Cod.Establecimiento],$AK$2,BASE[CODCIE10],EPV_SARAMPION646670[[#This Row],[CIE-10]]))</calculatedColumnFormula>
    </tableColumn>
    <tableColumn id="3" xr3:uid="{C1ECA015-6545-4006-9960-5093F5A09692}" name="D2" dataDxfId="741">
      <calculatedColumnFormula>IF($AK$2="(Todas)",COUNTIF(BASE[CODCIE102],EPV_SARAMPION646670[[#This Row],[CIE-10]]),COUNTIFS(BASE[Cod.Establecimiento],$AK$2,BASE[CODCIE102],EPV_SARAMPION646670[[#This Row],[CIE-10]]))</calculatedColumnFormula>
    </tableColumn>
    <tableColumn id="4" xr3:uid="{426B7827-307C-4F3F-A27A-023304D88E6A}" name="D3" dataDxfId="740">
      <calculatedColumnFormula>IF($AK$2="(Todas)",COUNTIF(BASE[CODCIE104],EPV_SARAMPION646670[[#This Row],[CIE-10]]),COUNTIFS(BASE[Cod.Establecimiento],$AK$2,BASE[CODCIE104],EPV_SARAMPION646670[[#This Row],[CIE-10]]))</calculatedColumnFormula>
    </tableColumn>
    <tableColumn id="5" xr3:uid="{5CB74C07-C4F5-4FD1-8155-C05EE96BACAE}" name="D4" dataDxfId="739">
      <calculatedColumnFormula>IF($AK$2="(Todas)",COUNTIF(BASE[CODCIE106],EPV_SARAMPION646670[[#This Row],[CIE-10]]),COUNTIFS(BASE[Cod.Establecimiento],$AK$2,BASE[CODCIE106],EPV_SARAMPION646670[[#This Row],[CIE-10]]))</calculatedColumnFormula>
    </tableColumn>
    <tableColumn id="6" xr3:uid="{A50B0798-32D6-4CD0-9B9D-71A2564F1B80}" name="D5" dataDxfId="738">
      <calculatedColumnFormula>IF($AK$2="(Todas)",COUNTIF(BASE[CODCIE108],EPV_SARAMPION646670[[#This Row],[CIE-10]]),COUNTIFS(BASE[Cod.Establecimiento],$AK$2,BASE[CODCIE108],EPV_SARAMPION646670[[#This Row],[CIE-10]]))</calculatedColumnFormula>
    </tableColumn>
    <tableColumn id="7" xr3:uid="{389C4DB1-CD8B-4D61-BEEF-C132D864E480}" name="D6" dataDxfId="737">
      <calculatedColumnFormula>IF($AK$2="(Todas)",COUNTIF(BASE[CODCIE1010],EPV_SARAMPION646670[[#This Row],[CIE-10]]),COUNTIFS(BASE[Cod.Establecimiento],$AK$2,BASE[CODCIE1010],EPV_SARAMPION646670[[#This Row],[CIE-10]]))</calculatedColumnFormula>
    </tableColumn>
    <tableColumn id="8" xr3:uid="{3C81530E-5BCA-4916-90BB-EBC8EEEAF548}" name="TOT" dataDxfId="736" dataCellStyle="40% - Énfasis6">
      <calculatedColumnFormula>SUM(EPV_SARAMPION646670[[#This Row],[D1]:[D6]])</calculatedColumnFormula>
    </tableColumn>
  </tableColumns>
  <tableStyleInfo name="TableStyleLight1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671C85D-95B4-41BF-8D46-94752F4C62D7}" name="EPV_SARAMPION646671" displayName="EPV_SARAMPION646671" ref="AB14:AI15" totalsRowShown="0" headerRowDxfId="735">
  <autoFilter ref="AB14:AI15" xr:uid="{F671C85D-95B4-41BF-8D46-94752F4C62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C1AEB40-0E87-463C-9970-1C9F5DB24A7F}" name="CIE-10" dataCellStyle="20% - Énfasis4"/>
    <tableColumn id="2" xr3:uid="{F669145D-A2F8-4E24-994B-371A6709D035}" name="D1" dataDxfId="734">
      <calculatedColumnFormula>IF($AK$2="(Todas)",COUNTIF(BASE[CODCIE10],EPV_SARAMPION646671[[#This Row],[CIE-10]]),COUNTIFS(BASE[Cod.Establecimiento],$AK$2,BASE[CODCIE10],EPV_SARAMPION646671[[#This Row],[CIE-10]]))</calculatedColumnFormula>
    </tableColumn>
    <tableColumn id="3" xr3:uid="{C54985AB-D894-4BFE-BEB5-6701AB4D366B}" name="D2" dataDxfId="733">
      <calculatedColumnFormula>IF($AK$2="(Todas)",COUNTIF(BASE[CODCIE102],EPV_SARAMPION646671[[#This Row],[CIE-10]]),COUNTIFS(BASE[Cod.Establecimiento],$AK$2,BASE[CODCIE102],EPV_SARAMPION646671[[#This Row],[CIE-10]]))</calculatedColumnFormula>
    </tableColumn>
    <tableColumn id="4" xr3:uid="{1459E6F2-BBFA-477C-9ACD-7ABBDD09662E}" name="D3" dataDxfId="732">
      <calculatedColumnFormula>IF($AK$2="(Todas)",COUNTIF(BASE[CODCIE104],EPV_SARAMPION646671[[#This Row],[CIE-10]]),COUNTIFS(BASE[Cod.Establecimiento],$AK$2,BASE[CODCIE104],EPV_SARAMPION646671[[#This Row],[CIE-10]]))</calculatedColumnFormula>
    </tableColumn>
    <tableColumn id="5" xr3:uid="{58658A07-0FCC-4F90-A9F7-2E01BD7E9978}" name="D4" dataDxfId="731">
      <calculatedColumnFormula>IF($AK$2="(Todas)",COUNTIF(BASE[CODCIE106],EPV_SARAMPION646671[[#This Row],[CIE-10]]),COUNTIFS(BASE[Cod.Establecimiento],$AK$2,BASE[CODCIE106],EPV_SARAMPION646671[[#This Row],[CIE-10]]))</calculatedColumnFormula>
    </tableColumn>
    <tableColumn id="6" xr3:uid="{D99D62FD-2EF4-470F-A8E5-780FC528B840}" name="D5" dataDxfId="730">
      <calculatedColumnFormula>IF($AK$2="(Todas)",COUNTIF(BASE[CODCIE108],EPV_SARAMPION646671[[#This Row],[CIE-10]]),COUNTIFS(BASE[Cod.Establecimiento],$AK$2,BASE[CODCIE108],EPV_SARAMPION646671[[#This Row],[CIE-10]]))</calculatedColumnFormula>
    </tableColumn>
    <tableColumn id="7" xr3:uid="{DCC8BD2B-AD2A-46E9-9482-C3DB50A01135}" name="D6" dataDxfId="729">
      <calculatedColumnFormula>IF($AK$2="(Todas)",COUNTIF(BASE[CODCIE1010],EPV_SARAMPION646671[[#This Row],[CIE-10]]),COUNTIFS(BASE[Cod.Establecimiento],$AK$2,BASE[CODCIE1010],EPV_SARAMPION646671[[#This Row],[CIE-10]]))</calculatedColumnFormula>
    </tableColumn>
    <tableColumn id="8" xr3:uid="{322F59E6-AD54-4DF1-B249-907C52F7EC3C}" name="TOT" dataDxfId="728" dataCellStyle="40% - Énfasis6">
      <calculatedColumnFormula>SUM(EPV_SARAMPION646671[[#This Row],[D1]:[D6]])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PV_PAROTIDITIS" displayName="EPV_PAROTIDITIS" ref="J19:Q26" totalsRowShown="0" headerRowDxfId="1231">
  <autoFilter ref="J19:Q26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600-000001000000}" name="CIE-10" dataCellStyle="20% - Énfasis4"/>
    <tableColumn id="2" xr3:uid="{00000000-0010-0000-0600-000002000000}" name="D1" dataDxfId="1230">
      <calculatedColumnFormula>IF($AK$2="(Todas)",COUNTIF(BASE[CODCIE10],EPV_PAROTIDITIS[[#This Row],[CIE-10]]),COUNTIFS(BASE[Cod.Establecimiento],$AK$2,BASE[CODCIE10],EPV_PAROTIDITIS[[#This Row],[CIE-10]]))</calculatedColumnFormula>
    </tableColumn>
    <tableColumn id="3" xr3:uid="{00000000-0010-0000-0600-000003000000}" name="D2" dataDxfId="1229">
      <calculatedColumnFormula>IF($AK$2="(Todas)",COUNTIF(BASE[CODCIE102],EPV_PAROTIDITIS[[#This Row],[CIE-10]]),COUNTIFS(BASE[Cod.Establecimiento],$AK$2,BASE[CODCIE102],EPV_PAROTIDITIS[[#This Row],[CIE-10]]))</calculatedColumnFormula>
    </tableColumn>
    <tableColumn id="4" xr3:uid="{00000000-0010-0000-0600-000004000000}" name="D3" dataDxfId="1228">
      <calculatedColumnFormula>IF($AK$2="(Todas)",COUNTIF(BASE[CODCIE104],EPV_PAROTIDITIS[[#This Row],[CIE-10]]),COUNTIFS(BASE[Cod.Establecimiento],$AK$2,BASE[CODCIE104],EPV_PAROTIDITIS[[#This Row],[CIE-10]]))</calculatedColumnFormula>
    </tableColumn>
    <tableColumn id="5" xr3:uid="{00000000-0010-0000-0600-000005000000}" name="D4" dataDxfId="1227">
      <calculatedColumnFormula>IF($AK$2="(Todas)",COUNTIF(BASE[CODCIE106],EPV_PAROTIDITIS[[#This Row],[CIE-10]]),COUNTIFS(BASE[Cod.Establecimiento],$AK$2,BASE[CODCIE106],EPV_PAROTIDITIS[[#This Row],[CIE-10]]))</calculatedColumnFormula>
    </tableColumn>
    <tableColumn id="6" xr3:uid="{00000000-0010-0000-0600-000006000000}" name="D5" dataDxfId="1226">
      <calculatedColumnFormula>IF($AK$2="(Todas)",COUNTIF(BASE[CODCIE108],EPV_PAROTIDITIS[[#This Row],[CIE-10]]),COUNTIFS(BASE[Cod.Establecimiento],$AK$2,BASE[CODCIE108],EPV_PAROTIDITIS[[#This Row],[CIE-10]]))</calculatedColumnFormula>
    </tableColumn>
    <tableColumn id="7" xr3:uid="{00000000-0010-0000-0600-000007000000}" name="D6" dataDxfId="1225">
      <calculatedColumnFormula>IF($AK$2="(Todas)",COUNTIF(BASE[CODCIE1010],EPV_PAROTIDITIS[[#This Row],[CIE-10]]),COUNTIFS(BASE[Cod.Establecimiento],$AK$2,BASE[CODCIE1010],EPV_PAROTIDITIS[[#This Row],[CIE-10]]))</calculatedColumnFormula>
    </tableColumn>
    <tableColumn id="8" xr3:uid="{00000000-0010-0000-0600-000008000000}" name="TOT" dataDxfId="1224" dataCellStyle="40% - Énfasis6">
      <calculatedColumnFormula>SUM(EPV_PAROTIDITIS[[#This Row],[D1]:[D6]])</calculatedColumnFormula>
    </tableColumn>
  </tableColumns>
  <tableStyleInfo name="TableStyleLight1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181B938C-8099-483F-9E6E-D467972AC99D}" name="EPV_SARAMPION64666972" displayName="EPV_SARAMPION64666972" ref="J19:Q20" totalsRowShown="0" headerRowDxfId="727">
  <autoFilter ref="J19:Q20" xr:uid="{181B938C-8099-483F-9E6E-D467972AC9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5AA5B8F-4C76-4019-B93B-6FACA3C236FD}" name="CIE-10" dataCellStyle="20% - Énfasis4"/>
    <tableColumn id="2" xr3:uid="{406A6D3C-2575-44BB-8C9E-7B0A6A96CC80}" name="D1" dataDxfId="726">
      <calculatedColumnFormula>IF($AK$2="(Todas)",COUNTIF(BASE[CODCIE10],EPV_SARAMPION64666972[[#This Row],[CIE-10]]),COUNTIFS(BASE[Cod.Establecimiento],$AK$2,BASE[CODCIE10],EPV_SARAMPION64666972[[#This Row],[CIE-10]]))</calculatedColumnFormula>
    </tableColumn>
    <tableColumn id="3" xr3:uid="{37D83C66-F006-4A09-BB66-C7DE19A2064E}" name="D2" dataDxfId="725">
      <calculatedColumnFormula>IF($AK$2="(Todas)",COUNTIF(BASE[CODCIE102],EPV_SARAMPION64666972[[#This Row],[CIE-10]]),COUNTIFS(BASE[Cod.Establecimiento],$AK$2,BASE[CODCIE102],EPV_SARAMPION64666972[[#This Row],[CIE-10]]))</calculatedColumnFormula>
    </tableColumn>
    <tableColumn id="4" xr3:uid="{04F51DF8-B531-47C0-BC53-EB20DEB31D54}" name="D3" dataDxfId="724">
      <calculatedColumnFormula>IF($AK$2="(Todas)",COUNTIF(BASE[CODCIE104],EPV_SARAMPION64666972[[#This Row],[CIE-10]]),COUNTIFS(BASE[Cod.Establecimiento],$AK$2,BASE[CODCIE104],EPV_SARAMPION64666972[[#This Row],[CIE-10]]))</calculatedColumnFormula>
    </tableColumn>
    <tableColumn id="5" xr3:uid="{0D15CFF3-E2DA-41BD-8DE1-EB897435197E}" name="D4" dataDxfId="723">
      <calculatedColumnFormula>IF($AK$2="(Todas)",COUNTIF(BASE[CODCIE106],EPV_SARAMPION64666972[[#This Row],[CIE-10]]),COUNTIFS(BASE[Cod.Establecimiento],$AK$2,BASE[CODCIE106],EPV_SARAMPION64666972[[#This Row],[CIE-10]]))</calculatedColumnFormula>
    </tableColumn>
    <tableColumn id="6" xr3:uid="{A3F864DA-EE68-42B3-93FD-06562AC14A4D}" name="D5" dataDxfId="722">
      <calculatedColumnFormula>IF($AK$2="(Todas)",COUNTIF(BASE[CODCIE108],EPV_SARAMPION64666972[[#This Row],[CIE-10]]),COUNTIFS(BASE[Cod.Establecimiento],$AK$2,BASE[CODCIE108],EPV_SARAMPION64666972[[#This Row],[CIE-10]]))</calculatedColumnFormula>
    </tableColumn>
    <tableColumn id="7" xr3:uid="{4207AF59-D9E5-449C-B992-3837606E84AC}" name="D6" dataDxfId="721">
      <calculatedColumnFormula>IF($AK$2="(Todas)",COUNTIF(BASE[CODCIE1010],EPV_SARAMPION64666972[[#This Row],[CIE-10]]),COUNTIFS(BASE[Cod.Establecimiento],$AK$2,BASE[CODCIE1010],EPV_SARAMPION64666972[[#This Row],[CIE-10]]))</calculatedColumnFormula>
    </tableColumn>
    <tableColumn id="8" xr3:uid="{F36CEEC2-4115-4EDC-AD47-90B14083F215}" name="TOT" dataDxfId="720" dataCellStyle="40% - Énfasis6">
      <calculatedColumnFormula>SUM(EPV_SARAMPION64666972[[#This Row],[D1]:[D6]])</calculatedColumnFormula>
    </tableColumn>
  </tableColumns>
  <tableStyleInfo name="TableStyleLight1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864736C-5A8F-499B-A5C5-018D3B4FF9DC}" name="EPV_SARAMPION6466697273" displayName="EPV_SARAMPION6466697273" ref="J24:Q25" totalsRowShown="0" headerRowDxfId="719">
  <autoFilter ref="J24:Q25" xr:uid="{C864736C-5A8F-499B-A5C5-018D3B4FF9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258DA3E-D316-47E1-8C8C-A2DB787C723C}" name="CIE-10" dataCellStyle="20% - Énfasis4"/>
    <tableColumn id="2" xr3:uid="{B8972D20-F918-429E-BB6C-E482AAEBCC0A}" name="D1" dataDxfId="718">
      <calculatedColumnFormula>IF($AK$2="(Todas)",COUNTIF(BASE[CODCIE10],EPV_SARAMPION6466697273[[#This Row],[CIE-10]]),COUNTIFS(BASE[Cod.Establecimiento],$AK$2,BASE[CODCIE10],EPV_SARAMPION6466697273[[#This Row],[CIE-10]]))</calculatedColumnFormula>
    </tableColumn>
    <tableColumn id="3" xr3:uid="{34B24403-B009-4166-92D0-43A5ADE5404B}" name="D2" dataDxfId="717">
      <calculatedColumnFormula>IF($AK$2="(Todas)",COUNTIF(BASE[CODCIE102],EPV_SARAMPION6466697273[[#This Row],[CIE-10]]),COUNTIFS(BASE[Cod.Establecimiento],$AK$2,BASE[CODCIE102],EPV_SARAMPION6466697273[[#This Row],[CIE-10]]))</calculatedColumnFormula>
    </tableColumn>
    <tableColumn id="4" xr3:uid="{2632F2DC-CE96-43C8-B4D7-A7FA45483CD3}" name="D3" dataDxfId="716">
      <calculatedColumnFormula>IF($AK$2="(Todas)",COUNTIF(BASE[CODCIE104],EPV_SARAMPION6466697273[[#This Row],[CIE-10]]),COUNTIFS(BASE[Cod.Establecimiento],$AK$2,BASE[CODCIE104],EPV_SARAMPION6466697273[[#This Row],[CIE-10]]))</calculatedColumnFormula>
    </tableColumn>
    <tableColumn id="5" xr3:uid="{2D506845-130B-4BB9-85E6-70E4EA2CCBB0}" name="D4" dataDxfId="715">
      <calculatedColumnFormula>IF($AK$2="(Todas)",COUNTIF(BASE[CODCIE106],EPV_SARAMPION6466697273[[#This Row],[CIE-10]]),COUNTIFS(BASE[Cod.Establecimiento],$AK$2,BASE[CODCIE106],EPV_SARAMPION6466697273[[#This Row],[CIE-10]]))</calculatedColumnFormula>
    </tableColumn>
    <tableColumn id="6" xr3:uid="{6E423950-1824-4C65-84D9-6C32D669A6E1}" name="D5" dataDxfId="714">
      <calculatedColumnFormula>IF($AK$2="(Todas)",COUNTIF(BASE[CODCIE108],EPV_SARAMPION6466697273[[#This Row],[CIE-10]]),COUNTIFS(BASE[Cod.Establecimiento],$AK$2,BASE[CODCIE108],EPV_SARAMPION6466697273[[#This Row],[CIE-10]]))</calculatedColumnFormula>
    </tableColumn>
    <tableColumn id="7" xr3:uid="{4AFC3E79-B7BB-4B6B-896D-5DF53ADFC323}" name="D6" dataDxfId="713">
      <calculatedColumnFormula>IF($AK$2="(Todas)",COUNTIF(BASE[CODCIE1010],EPV_SARAMPION6466697273[[#This Row],[CIE-10]]),COUNTIFS(BASE[Cod.Establecimiento],$AK$2,BASE[CODCIE1010],EPV_SARAMPION6466697273[[#This Row],[CIE-10]]))</calculatedColumnFormula>
    </tableColumn>
    <tableColumn id="8" xr3:uid="{5C38998B-EC7E-4236-B9ED-1DBA6824CA08}" name="TOT" dataDxfId="712" dataCellStyle="40% - Énfasis6">
      <calculatedColumnFormula>SUM(EPV_SARAMPION6466697273[[#This Row],[D1]:[D6]])</calculatedColumnFormula>
    </tableColumn>
  </tableColumns>
  <tableStyleInfo name="TableStyleLight1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F1E3E00F-9D92-45A7-BC8E-579ADFB6B738}" name="EPV_SARAMPION6466697274" displayName="EPV_SARAMPION6466697274" ref="S19:Z20" totalsRowShown="0" headerRowDxfId="711">
  <autoFilter ref="S19:Z20" xr:uid="{F1E3E00F-9D92-45A7-BC8E-579ADFB6B7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F7905EF-BC59-442B-9E04-EEC2C1D2AFCE}" name="CIE-10" dataCellStyle="20% - Énfasis4"/>
    <tableColumn id="2" xr3:uid="{57CE4816-1BBD-4231-B89D-71162E07F5B1}" name="D1" dataDxfId="710">
      <calculatedColumnFormula>IF($AK$2="(Todas)",COUNTIF(BASE[CODCIE10],EPV_SARAMPION6466697274[[#This Row],[CIE-10]]),COUNTIFS(BASE[Cod.Establecimiento],$AK$2,BASE[CODCIE10],EPV_SARAMPION6466697274[[#This Row],[CIE-10]]))</calculatedColumnFormula>
    </tableColumn>
    <tableColumn id="3" xr3:uid="{C69E5B2D-2D2E-4D9E-91AD-36FA303705C6}" name="D2" dataDxfId="709">
      <calculatedColumnFormula>IF($AK$2="(Todas)",COUNTIF(BASE[CODCIE102],EPV_SARAMPION6466697274[[#This Row],[CIE-10]]),COUNTIFS(BASE[Cod.Establecimiento],$AK$2,BASE[CODCIE102],EPV_SARAMPION6466697274[[#This Row],[CIE-10]]))</calculatedColumnFormula>
    </tableColumn>
    <tableColumn id="4" xr3:uid="{F6E698BB-2D08-4654-A8C6-E4DA07418F80}" name="D3" dataDxfId="708">
      <calculatedColumnFormula>IF($AK$2="(Todas)",COUNTIF(BASE[CODCIE104],EPV_SARAMPION6466697274[[#This Row],[CIE-10]]),COUNTIFS(BASE[Cod.Establecimiento],$AK$2,BASE[CODCIE104],EPV_SARAMPION6466697274[[#This Row],[CIE-10]]))</calculatedColumnFormula>
    </tableColumn>
    <tableColumn id="5" xr3:uid="{726146E1-5FF8-4BF2-BEF3-AF3778C8FD04}" name="D4" dataDxfId="707">
      <calculatedColumnFormula>IF($AK$2="(Todas)",COUNTIF(BASE[CODCIE106],EPV_SARAMPION6466697274[[#This Row],[CIE-10]]),COUNTIFS(BASE[Cod.Establecimiento],$AK$2,BASE[CODCIE106],EPV_SARAMPION6466697274[[#This Row],[CIE-10]]))</calculatedColumnFormula>
    </tableColumn>
    <tableColumn id="6" xr3:uid="{0A26477A-BE52-47D2-BAA0-D0FAD12EB52C}" name="D5" dataDxfId="706">
      <calculatedColumnFormula>IF($AK$2="(Todas)",COUNTIF(BASE[CODCIE108],EPV_SARAMPION6466697274[[#This Row],[CIE-10]]),COUNTIFS(BASE[Cod.Establecimiento],$AK$2,BASE[CODCIE108],EPV_SARAMPION6466697274[[#This Row],[CIE-10]]))</calculatedColumnFormula>
    </tableColumn>
    <tableColumn id="7" xr3:uid="{E104BDC5-A829-4F50-97CA-AA7D6668BA68}" name="D6" dataDxfId="705">
      <calculatedColumnFormula>IF($AK$2="(Todas)",COUNTIF(BASE[CODCIE1010],EPV_SARAMPION6466697274[[#This Row],[CIE-10]]),COUNTIFS(BASE[Cod.Establecimiento],$AK$2,BASE[CODCIE1010],EPV_SARAMPION6466697274[[#This Row],[CIE-10]]))</calculatedColumnFormula>
    </tableColumn>
    <tableColumn id="8" xr3:uid="{1B76F0B7-F775-4DF4-9C36-8D0259DC56AB}" name="TOT" dataDxfId="704" dataCellStyle="40% - Énfasis6">
      <calculatedColumnFormula>SUM(EPV_SARAMPION6466697274[[#This Row],[D1]:[D6]])</calculatedColumnFormula>
    </tableColumn>
  </tableColumns>
  <tableStyleInfo name="TableStyleLight1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DEF28F0B-AAF4-4758-AFF5-11ACC9CA1980}" name="EPV_SARAMPION646669727475" displayName="EPV_SARAMPION646669727475" ref="AB19:AI20" totalsRowShown="0" headerRowDxfId="703">
  <autoFilter ref="AB19:AI20" xr:uid="{DEF28F0B-AAF4-4758-AFF5-11ACC9CA19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8F0AAD0-4FA4-4982-8BF3-798224A2650A}" name="CIE-10" dataCellStyle="20% - Énfasis4"/>
    <tableColumn id="2" xr3:uid="{57A237A9-A18A-410B-BA69-D77FD613042F}" name="D1" dataDxfId="702">
      <calculatedColumnFormula>IF($AK$2="(Todas)",COUNTIF(BASE[CODCIE10],EPV_SARAMPION646669727475[[#This Row],[CIE-10]]),COUNTIFS(BASE[Cod.Establecimiento],$AK$2,BASE[CODCIE10],EPV_SARAMPION646669727475[[#This Row],[CIE-10]]))</calculatedColumnFormula>
    </tableColumn>
    <tableColumn id="3" xr3:uid="{07412771-01CE-4DDB-8A32-70468F4CA06C}" name="D2" dataDxfId="701">
      <calculatedColumnFormula>IF($AK$2="(Todas)",COUNTIF(BASE[CODCIE102],EPV_SARAMPION646669727475[[#This Row],[CIE-10]]),COUNTIFS(BASE[Cod.Establecimiento],$AK$2,BASE[CODCIE102],EPV_SARAMPION646669727475[[#This Row],[CIE-10]]))</calculatedColumnFormula>
    </tableColumn>
    <tableColumn id="4" xr3:uid="{E93D36AA-10F7-4BE8-B68C-1D065416A621}" name="D3" dataDxfId="700">
      <calculatedColumnFormula>IF($AK$2="(Todas)",COUNTIF(BASE[CODCIE104],EPV_SARAMPION646669727475[[#This Row],[CIE-10]]),COUNTIFS(BASE[Cod.Establecimiento],$AK$2,BASE[CODCIE104],EPV_SARAMPION646669727475[[#This Row],[CIE-10]]))</calculatedColumnFormula>
    </tableColumn>
    <tableColumn id="5" xr3:uid="{90B4924E-CABD-4064-9B16-CC0F58256160}" name="D4" dataDxfId="699">
      <calculatedColumnFormula>IF($AK$2="(Todas)",COUNTIF(BASE[CODCIE106],EPV_SARAMPION646669727475[[#This Row],[CIE-10]]),COUNTIFS(BASE[Cod.Establecimiento],$AK$2,BASE[CODCIE106],EPV_SARAMPION646669727475[[#This Row],[CIE-10]]))</calculatedColumnFormula>
    </tableColumn>
    <tableColumn id="6" xr3:uid="{5137362F-8375-4988-94F7-39CB54DC50BC}" name="D5" dataDxfId="698">
      <calculatedColumnFormula>IF($AK$2="(Todas)",COUNTIF(BASE[CODCIE108],EPV_SARAMPION646669727475[[#This Row],[CIE-10]]),COUNTIFS(BASE[Cod.Establecimiento],$AK$2,BASE[CODCIE108],EPV_SARAMPION646669727475[[#This Row],[CIE-10]]))</calculatedColumnFormula>
    </tableColumn>
    <tableColumn id="7" xr3:uid="{FDBCF1E9-01BE-4522-8627-2881D99B5748}" name="D6" dataDxfId="697">
      <calculatedColumnFormula>IF($AK$2="(Todas)",COUNTIF(BASE[CODCIE1010],EPV_SARAMPION646669727475[[#This Row],[CIE-10]]),COUNTIFS(BASE[Cod.Establecimiento],$AK$2,BASE[CODCIE1010],EPV_SARAMPION646669727475[[#This Row],[CIE-10]]))</calculatedColumnFormula>
    </tableColumn>
    <tableColumn id="8" xr3:uid="{A4716834-148B-4553-9328-1D12AFD1F9E2}" name="TOT" dataDxfId="696" dataCellStyle="40% - Énfasis6">
      <calculatedColumnFormula>SUM(EPV_SARAMPION646669727475[[#This Row],[D1]:[D6]])</calculatedColumnFormula>
    </tableColumn>
  </tableColumns>
  <tableStyleInfo name="TableStyleLight1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80BE51F-FD1B-4089-B21D-BFE2B5D1AFF2}" name="EPV_SARAMPION646669727376" displayName="EPV_SARAMPION646669727376" ref="S24:Z27" totalsRowShown="0" headerRowDxfId="695">
  <autoFilter ref="S24:Z27" xr:uid="{080BE51F-FD1B-4089-B21D-BFE2B5D1AFF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8D30201-DE6B-4AE3-AF17-6DAE2AE72928}" name="CIE-10" dataCellStyle="20% - Énfasis4"/>
    <tableColumn id="2" xr3:uid="{4F9985FB-3662-4E35-872C-EEB11D3BB732}" name="D1" dataDxfId="694">
      <calculatedColumnFormula>IF($AK$2="(Todas)",COUNTIF(BASE[CODCIE10],EPV_SARAMPION646669727376[[#This Row],[CIE-10]]),COUNTIFS(BASE[Cod.Establecimiento],$AK$2,BASE[CODCIE10],EPV_SARAMPION646669727376[[#This Row],[CIE-10]]))</calculatedColumnFormula>
    </tableColumn>
    <tableColumn id="3" xr3:uid="{44375EC3-3DC2-4C1B-A333-1E352F7D507E}" name="D2" dataDxfId="693">
      <calculatedColumnFormula>IF($AK$2="(Todas)",COUNTIF(BASE[CODCIE102],EPV_SARAMPION646669727376[[#This Row],[CIE-10]]),COUNTIFS(BASE[Cod.Establecimiento],$AK$2,BASE[CODCIE102],EPV_SARAMPION646669727376[[#This Row],[CIE-10]]))</calculatedColumnFormula>
    </tableColumn>
    <tableColumn id="4" xr3:uid="{2D0C32A8-EC83-44CD-B6E8-EDB8466155E9}" name="D3" dataDxfId="692">
      <calculatedColumnFormula>IF($AK$2="(Todas)",COUNTIF(BASE[CODCIE104],EPV_SARAMPION646669727376[[#This Row],[CIE-10]]),COUNTIFS(BASE[Cod.Establecimiento],$AK$2,BASE[CODCIE104],EPV_SARAMPION646669727376[[#This Row],[CIE-10]]))</calculatedColumnFormula>
    </tableColumn>
    <tableColumn id="5" xr3:uid="{E4B64A65-8020-49F4-98CD-C4CCA3EBF507}" name="D4" dataDxfId="691">
      <calculatedColumnFormula>IF($AK$2="(Todas)",COUNTIF(BASE[CODCIE106],EPV_SARAMPION646669727376[[#This Row],[CIE-10]]),COUNTIFS(BASE[Cod.Establecimiento],$AK$2,BASE[CODCIE106],EPV_SARAMPION646669727376[[#This Row],[CIE-10]]))</calculatedColumnFormula>
    </tableColumn>
    <tableColumn id="6" xr3:uid="{6144EFFE-6C91-4F0B-ABB9-E35276688218}" name="D5" dataDxfId="690">
      <calculatedColumnFormula>IF($AK$2="(Todas)",COUNTIF(BASE[CODCIE108],EPV_SARAMPION646669727376[[#This Row],[CIE-10]]),COUNTIFS(BASE[Cod.Establecimiento],$AK$2,BASE[CODCIE108],EPV_SARAMPION646669727376[[#This Row],[CIE-10]]))</calculatedColumnFormula>
    </tableColumn>
    <tableColumn id="7" xr3:uid="{CABEC90F-123C-43D0-B13A-C2C78847CAC4}" name="D6" dataDxfId="689">
      <calculatedColumnFormula>IF($AK$2="(Todas)",COUNTIF(BASE[CODCIE1010],EPV_SARAMPION646669727376[[#This Row],[CIE-10]]),COUNTIFS(BASE[Cod.Establecimiento],$AK$2,BASE[CODCIE1010],EPV_SARAMPION646669727376[[#This Row],[CIE-10]]))</calculatedColumnFormula>
    </tableColumn>
    <tableColumn id="8" xr3:uid="{2D15FC29-F665-4C0F-8296-1B738ACBCDAC}" name="TOT" dataDxfId="688" dataCellStyle="40% - Énfasis6">
      <calculatedColumnFormula>SUM(EPV_SARAMPION646669727376[[#This Row],[D1]:[D6]])</calculatedColumnFormula>
    </tableColumn>
  </tableColumns>
  <tableStyleInfo name="TableStyleLight1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AC59B77A-66F7-4B24-AE9A-E4784209A4CE}" name="EPV_SARAMPION64666972737677" displayName="EPV_SARAMPION64666972737677" ref="AB24:AI29" totalsRowShown="0" headerRowDxfId="687">
  <autoFilter ref="AB24:AI29" xr:uid="{AC59B77A-66F7-4B24-AE9A-E4784209A4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041B23-2751-4FA3-BF01-DFE003A97DAB}" name="CIE-10" dataCellStyle="20% - Énfasis4"/>
    <tableColumn id="2" xr3:uid="{2F8456AD-58AB-4C0D-AFEC-0C85740599C1}" name="D1" dataDxfId="686">
      <calculatedColumnFormula>IF($AK$2="(Todas)",COUNTIF(BASE[CODCIE10],EPV_SARAMPION64666972737677[[#This Row],[CIE-10]]),COUNTIFS(BASE[Cod.Establecimiento],$AK$2,BASE[CODCIE10],EPV_SARAMPION64666972737677[[#This Row],[CIE-10]]))</calculatedColumnFormula>
    </tableColumn>
    <tableColumn id="3" xr3:uid="{62E8E614-4B8A-4A36-94B1-0FEBEE55A505}" name="D2" dataDxfId="685">
      <calculatedColumnFormula>IF($AK$2="(Todas)",COUNTIF(BASE[CODCIE102],EPV_SARAMPION64666972737677[[#This Row],[CIE-10]]),COUNTIFS(BASE[Cod.Establecimiento],$AK$2,BASE[CODCIE102],EPV_SARAMPION64666972737677[[#This Row],[CIE-10]]))</calculatedColumnFormula>
    </tableColumn>
    <tableColumn id="4" xr3:uid="{F52413A9-2E13-4E65-8C86-FAE4400BBA16}" name="D3" dataDxfId="684">
      <calculatedColumnFormula>IF($AK$2="(Todas)",COUNTIF(BASE[CODCIE104],EPV_SARAMPION64666972737677[[#This Row],[CIE-10]]),COUNTIFS(BASE[Cod.Establecimiento],$AK$2,BASE[CODCIE104],EPV_SARAMPION64666972737677[[#This Row],[CIE-10]]))</calculatedColumnFormula>
    </tableColumn>
    <tableColumn id="5" xr3:uid="{4D017478-9355-45FE-865C-00474C963773}" name="D4" dataDxfId="683">
      <calculatedColumnFormula>IF($AK$2="(Todas)",COUNTIF(BASE[CODCIE106],EPV_SARAMPION64666972737677[[#This Row],[CIE-10]]),COUNTIFS(BASE[Cod.Establecimiento],$AK$2,BASE[CODCIE106],EPV_SARAMPION64666972737677[[#This Row],[CIE-10]]))</calculatedColumnFormula>
    </tableColumn>
    <tableColumn id="6" xr3:uid="{AE657896-49B9-4BAD-832A-680A6710811A}" name="D5" dataDxfId="682">
      <calculatedColumnFormula>IF($AK$2="(Todas)",COUNTIF(BASE[CODCIE108],EPV_SARAMPION64666972737677[[#This Row],[CIE-10]]),COUNTIFS(BASE[Cod.Establecimiento],$AK$2,BASE[CODCIE108],EPV_SARAMPION64666972737677[[#This Row],[CIE-10]]))</calculatedColumnFormula>
    </tableColumn>
    <tableColumn id="7" xr3:uid="{DB9FC35B-9BD2-42BC-997F-4E0BD1313E55}" name="D6" dataDxfId="681">
      <calculatedColumnFormula>IF($AK$2="(Todas)",COUNTIF(BASE[CODCIE1010],EPV_SARAMPION64666972737677[[#This Row],[CIE-10]]),COUNTIFS(BASE[Cod.Establecimiento],$AK$2,BASE[CODCIE1010],EPV_SARAMPION64666972737677[[#This Row],[CIE-10]]))</calculatedColumnFormula>
    </tableColumn>
    <tableColumn id="8" xr3:uid="{FF950028-BB65-4236-9A19-7DEC52AA5F87}" name="TOT" dataDxfId="680" dataCellStyle="40% - Énfasis6">
      <calculatedColumnFormula>SUM(EPV_SARAMPION64666972737677[[#This Row],[D1]:[D6]])</calculatedColumnFormula>
    </tableColumn>
  </tableColumns>
  <tableStyleInfo name="TableStyleLight1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CD8B7555-CC99-4ECD-81CB-580FEA3241C4}" name="EPV_SARAMPION646669727378" displayName="EPV_SARAMPION646669727378" ref="J29:Q30" totalsRowShown="0" headerRowDxfId="679">
  <autoFilter ref="J29:Q30" xr:uid="{CD8B7555-CC99-4ECD-81CB-580FEA3241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1E65A6C-2FF6-4848-86F7-F66B19031379}" name="CIE-10" dataCellStyle="20% - Énfasis4"/>
    <tableColumn id="2" xr3:uid="{AB2CB325-B267-4818-9FE1-5F85DA7A538E}" name="D1" dataDxfId="678">
      <calculatedColumnFormula>IF($AK$2="(Todas)",COUNTIF(BASE[CODCIE10],EPV_SARAMPION646669727378[[#This Row],[CIE-10]]),COUNTIFS(BASE[Cod.Establecimiento],$AK$2,BASE[CODCIE10],EPV_SARAMPION646669727378[[#This Row],[CIE-10]]))</calculatedColumnFormula>
    </tableColumn>
    <tableColumn id="3" xr3:uid="{19C247AD-4F05-4E1B-92BD-39D5296E8449}" name="D2" dataDxfId="677">
      <calculatedColumnFormula>IF($AK$2="(Todas)",COUNTIF(BASE[CODCIE102],EPV_SARAMPION646669727378[[#This Row],[CIE-10]]),COUNTIFS(BASE[Cod.Establecimiento],$AK$2,BASE[CODCIE102],EPV_SARAMPION646669727378[[#This Row],[CIE-10]]))</calculatedColumnFormula>
    </tableColumn>
    <tableColumn id="4" xr3:uid="{37011B31-AE9B-463C-AB89-3F81D6508AA7}" name="D3" dataDxfId="676">
      <calculatedColumnFormula>IF($AK$2="(Todas)",COUNTIF(BASE[CODCIE104],EPV_SARAMPION646669727378[[#This Row],[CIE-10]]),COUNTIFS(BASE[Cod.Establecimiento],$AK$2,BASE[CODCIE104],EPV_SARAMPION646669727378[[#This Row],[CIE-10]]))</calculatedColumnFormula>
    </tableColumn>
    <tableColumn id="5" xr3:uid="{4BB16CC2-B4BD-458E-B78F-B0C0791E7F74}" name="D4" dataDxfId="675">
      <calculatedColumnFormula>IF($AK$2="(Todas)",COUNTIF(BASE[CODCIE106],EPV_SARAMPION646669727378[[#This Row],[CIE-10]]),COUNTIFS(BASE[Cod.Establecimiento],$AK$2,BASE[CODCIE106],EPV_SARAMPION646669727378[[#This Row],[CIE-10]]))</calculatedColumnFormula>
    </tableColumn>
    <tableColumn id="6" xr3:uid="{394A810F-6907-44BB-8A08-A237446DF331}" name="D5" dataDxfId="674">
      <calculatedColumnFormula>IF($AK$2="(Todas)",COUNTIF(BASE[CODCIE108],EPV_SARAMPION646669727378[[#This Row],[CIE-10]]),COUNTIFS(BASE[Cod.Establecimiento],$AK$2,BASE[CODCIE108],EPV_SARAMPION646669727378[[#This Row],[CIE-10]]))</calculatedColumnFormula>
    </tableColumn>
    <tableColumn id="7" xr3:uid="{50F9A43E-009E-4103-B217-816702B35ECD}" name="D6" dataDxfId="673">
      <calculatedColumnFormula>IF($AK$2="(Todas)",COUNTIF(BASE[CODCIE1010],EPV_SARAMPION646669727378[[#This Row],[CIE-10]]),COUNTIFS(BASE[Cod.Establecimiento],$AK$2,BASE[CODCIE1010],EPV_SARAMPION646669727378[[#This Row],[CIE-10]]))</calculatedColumnFormula>
    </tableColumn>
    <tableColumn id="8" xr3:uid="{8D0534A7-6B17-47D2-A552-AFAF0B0364E5}" name="TOT" dataDxfId="672" dataCellStyle="40% - Énfasis6">
      <calculatedColumnFormula>SUM(EPV_SARAMPION646669727378[[#This Row],[D1]:[D6]])</calculatedColumnFormula>
    </tableColumn>
  </tableColumns>
  <tableStyleInfo name="TableStyleLight1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BE88982A-7569-4CA7-A42B-0A80DED0D2BB}" name="EPV_SARAMPION64666972737880" displayName="EPV_SARAMPION64666972737880" ref="A29:H30" totalsRowShown="0" headerRowDxfId="671">
  <autoFilter ref="A29:H30" xr:uid="{BE88982A-7569-4CA7-A42B-0A80DED0D2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F525249-9D36-4C30-B488-3E8005883285}" name="CIE-10" dataCellStyle="20% - Énfasis4"/>
    <tableColumn id="2" xr3:uid="{25B04F12-782B-46D8-88DA-A089A7B72DE8}" name="D1" dataDxfId="670">
      <calculatedColumnFormula>IF($AK$2="(Todas)",COUNTIF(BASE[CODCIE10],EPV_SARAMPION64666972737880[[#This Row],[CIE-10]]),COUNTIFS(BASE[Cod.Establecimiento],$AK$2,BASE[CODCIE10],EPV_SARAMPION64666972737880[[#This Row],[CIE-10]]))</calculatedColumnFormula>
    </tableColumn>
    <tableColumn id="3" xr3:uid="{C12ABA4B-0BE4-428F-8FDC-9305150A9734}" name="D2" dataDxfId="669">
      <calculatedColumnFormula>IF($AK$2="(Todas)",COUNTIF(BASE[CODCIE102],EPV_SARAMPION64666972737880[[#This Row],[CIE-10]]),COUNTIFS(BASE[Cod.Establecimiento],$AK$2,BASE[CODCIE102],EPV_SARAMPION64666972737880[[#This Row],[CIE-10]]))</calculatedColumnFormula>
    </tableColumn>
    <tableColumn id="4" xr3:uid="{43201D9D-E7E8-4B31-8837-B55C0EE5BC2E}" name="D3" dataDxfId="668">
      <calculatedColumnFormula>IF($AK$2="(Todas)",COUNTIF(BASE[CODCIE104],EPV_SARAMPION64666972737880[[#This Row],[CIE-10]]),COUNTIFS(BASE[Cod.Establecimiento],$AK$2,BASE[CODCIE104],EPV_SARAMPION64666972737880[[#This Row],[CIE-10]]))</calculatedColumnFormula>
    </tableColumn>
    <tableColumn id="5" xr3:uid="{A737D774-7E8C-4EDC-AC6C-1F19F207EF2B}" name="D4" dataDxfId="667">
      <calculatedColumnFormula>IF($AK$2="(Todas)",COUNTIF(BASE[CODCIE106],EPV_SARAMPION64666972737880[[#This Row],[CIE-10]]),COUNTIFS(BASE[Cod.Establecimiento],$AK$2,BASE[CODCIE106],EPV_SARAMPION64666972737880[[#This Row],[CIE-10]]))</calculatedColumnFormula>
    </tableColumn>
    <tableColumn id="6" xr3:uid="{282F77BD-7B9C-4214-A3EC-D89DCC16A3B5}" name="D5" dataDxfId="666">
      <calculatedColumnFormula>IF($AK$2="(Todas)",COUNTIF(BASE[CODCIE108],EPV_SARAMPION64666972737880[[#This Row],[CIE-10]]),COUNTIFS(BASE[Cod.Establecimiento],$AK$2,BASE[CODCIE108],EPV_SARAMPION64666972737880[[#This Row],[CIE-10]]))</calculatedColumnFormula>
    </tableColumn>
    <tableColumn id="7" xr3:uid="{14F0EC76-846F-4A6D-90CF-758A25664E1F}" name="D6" dataDxfId="665">
      <calculatedColumnFormula>IF($AK$2="(Todas)",COUNTIF(BASE[CODCIE1010],EPV_SARAMPION64666972737880[[#This Row],[CIE-10]]),COUNTIFS(BASE[Cod.Establecimiento],$AK$2,BASE[CODCIE1010],EPV_SARAMPION64666972737880[[#This Row],[CIE-10]]))</calculatedColumnFormula>
    </tableColumn>
    <tableColumn id="8" xr3:uid="{592C5F95-FE8E-41BF-AB65-6CA7B298DC37}" name="TOT" dataDxfId="664" dataCellStyle="40% - Énfasis6">
      <calculatedColumnFormula>SUM(EPV_SARAMPION64666972737880[[#This Row],[D1]:[D6]])</calculatedColumnFormula>
    </tableColumn>
  </tableColumns>
  <tableStyleInfo name="TableStyleLight1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DB0F9BC-1C6E-4D93-8FCC-1320C4515207}" name="EPV_SARAMPION6466697273788081" displayName="EPV_SARAMPION6466697273788081" ref="A34:H35" totalsRowShown="0" headerRowDxfId="663">
  <autoFilter ref="A34:H35" xr:uid="{8DB0F9BC-1C6E-4D93-8FCC-1320C45152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C341597-7E1E-4DD5-B5A6-8E293817FA47}" name="CIE-10" dataCellStyle="20% - Énfasis4"/>
    <tableColumn id="2" xr3:uid="{78DB53C7-7B64-4D1B-80AE-A3345D694847}" name="D1" dataDxfId="662">
      <calculatedColumnFormula>IF($AK$2="(Todas)",COUNTIF(BASE[CODCIE10],EPV_SARAMPION6466697273788081[[#This Row],[CIE-10]]),COUNTIFS(BASE[Cod.Establecimiento],$AK$2,BASE[CODCIE10],EPV_SARAMPION6466697273788081[[#This Row],[CIE-10]]))</calculatedColumnFormula>
    </tableColumn>
    <tableColumn id="3" xr3:uid="{CD63E51D-3DCB-42F3-9CAA-13A33E30773E}" name="D2" dataDxfId="661">
      <calculatedColumnFormula>IF($AK$2="(Todas)",COUNTIF(BASE[CODCIE102],EPV_SARAMPION6466697273788081[[#This Row],[CIE-10]]),COUNTIFS(BASE[Cod.Establecimiento],$AK$2,BASE[CODCIE102],EPV_SARAMPION6466697273788081[[#This Row],[CIE-10]]))</calculatedColumnFormula>
    </tableColumn>
    <tableColumn id="4" xr3:uid="{2ECAA573-1DD1-4C57-9D53-226690A088B7}" name="D3" dataDxfId="660">
      <calculatedColumnFormula>IF($AK$2="(Todas)",COUNTIF(BASE[CODCIE104],EPV_SARAMPION6466697273788081[[#This Row],[CIE-10]]),COUNTIFS(BASE[Cod.Establecimiento],$AK$2,BASE[CODCIE104],EPV_SARAMPION6466697273788081[[#This Row],[CIE-10]]))</calculatedColumnFormula>
    </tableColumn>
    <tableColumn id="5" xr3:uid="{BAEB662B-7136-42EA-8030-75689A385809}" name="D4" dataDxfId="659">
      <calculatedColumnFormula>IF($AK$2="(Todas)",COUNTIF(BASE[CODCIE106],EPV_SARAMPION6466697273788081[[#This Row],[CIE-10]]),COUNTIFS(BASE[Cod.Establecimiento],$AK$2,BASE[CODCIE106],EPV_SARAMPION6466697273788081[[#This Row],[CIE-10]]))</calculatedColumnFormula>
    </tableColumn>
    <tableColumn id="6" xr3:uid="{54819674-0B98-4162-B319-F3694F200F64}" name="D5" dataDxfId="658">
      <calculatedColumnFormula>IF($AK$2="(Todas)",COUNTIF(BASE[CODCIE108],EPV_SARAMPION6466697273788081[[#This Row],[CIE-10]]),COUNTIFS(BASE[Cod.Establecimiento],$AK$2,BASE[CODCIE108],EPV_SARAMPION6466697273788081[[#This Row],[CIE-10]]))</calculatedColumnFormula>
    </tableColumn>
    <tableColumn id="7" xr3:uid="{281E3ABF-8CA2-4B17-8215-8039362EA495}" name="D6" dataDxfId="657">
      <calculatedColumnFormula>IF($AK$2="(Todas)",COUNTIF(BASE[CODCIE1010],EPV_SARAMPION6466697273788081[[#This Row],[CIE-10]]),COUNTIFS(BASE[Cod.Establecimiento],$AK$2,BASE[CODCIE1010],EPV_SARAMPION6466697273788081[[#This Row],[CIE-10]]))</calculatedColumnFormula>
    </tableColumn>
    <tableColumn id="8" xr3:uid="{1C43DCDB-526A-4139-866E-ACF0E04B2FB6}" name="TOT" dataDxfId="656" dataCellStyle="40% - Énfasis6">
      <calculatedColumnFormula>SUM(EPV_SARAMPION6466697273788081[[#This Row],[D1]:[D6]])</calculatedColumnFormula>
    </tableColumn>
  </tableColumns>
  <tableStyleInfo name="TableStyleLight1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6F506441-DF14-4F5C-85BA-983175B9B2C4}" name="EPV_SARAMPION646669727378808182" displayName="EPV_SARAMPION646669727378808182" ref="J34:Q35" totalsRowShown="0" headerRowDxfId="655">
  <autoFilter ref="J34:Q35" xr:uid="{6F506441-DF14-4F5C-85BA-983175B9B2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D6AACDF-49AA-4C92-9F2E-5A9E54F58FB6}" name="CIE-10" dataCellStyle="20% - Énfasis4"/>
    <tableColumn id="2" xr3:uid="{96046818-1450-4FFE-90FA-B24DE80F70D4}" name="D1" dataDxfId="654">
      <calculatedColumnFormula>IF($AK$2="(Todas)",COUNTIF(BASE[CODCIE10],EPV_SARAMPION646669727378808182[[#This Row],[CIE-10]]),COUNTIFS(BASE[Cod.Establecimiento],$AK$2,BASE[CODCIE10],EPV_SARAMPION646669727378808182[[#This Row],[CIE-10]]))</calculatedColumnFormula>
    </tableColumn>
    <tableColumn id="3" xr3:uid="{FED6D3E1-5598-44D3-91C8-9DE947D6AF64}" name="D2" dataDxfId="653">
      <calculatedColumnFormula>IF($AK$2="(Todas)",COUNTIF(BASE[CODCIE102],EPV_SARAMPION646669727378808182[[#This Row],[CIE-10]]),COUNTIFS(BASE[Cod.Establecimiento],$AK$2,BASE[CODCIE102],EPV_SARAMPION646669727378808182[[#This Row],[CIE-10]]))</calculatedColumnFormula>
    </tableColumn>
    <tableColumn id="4" xr3:uid="{CC8A9C7C-5217-4ACD-9E32-BBAF0286BB6C}" name="D3" dataDxfId="652">
      <calculatedColumnFormula>IF($AK$2="(Todas)",COUNTIF(BASE[CODCIE104],EPV_SARAMPION646669727378808182[[#This Row],[CIE-10]]),COUNTIFS(BASE[Cod.Establecimiento],$AK$2,BASE[CODCIE104],EPV_SARAMPION646669727378808182[[#This Row],[CIE-10]]))</calculatedColumnFormula>
    </tableColumn>
    <tableColumn id="5" xr3:uid="{8C291FF7-B40F-4B96-8799-03AF5CD89C06}" name="D4" dataDxfId="651">
      <calculatedColumnFormula>IF($AK$2="(Todas)",COUNTIF(BASE[CODCIE106],EPV_SARAMPION646669727378808182[[#This Row],[CIE-10]]),COUNTIFS(BASE[Cod.Establecimiento],$AK$2,BASE[CODCIE106],EPV_SARAMPION646669727378808182[[#This Row],[CIE-10]]))</calculatedColumnFormula>
    </tableColumn>
    <tableColumn id="6" xr3:uid="{D8044B61-CC22-4B80-ABB6-1D71A659B316}" name="D5" dataDxfId="650">
      <calculatedColumnFormula>IF($AK$2="(Todas)",COUNTIF(BASE[CODCIE108],EPV_SARAMPION646669727378808182[[#This Row],[CIE-10]]),COUNTIFS(BASE[Cod.Establecimiento],$AK$2,BASE[CODCIE108],EPV_SARAMPION646669727378808182[[#This Row],[CIE-10]]))</calculatedColumnFormula>
    </tableColumn>
    <tableColumn id="7" xr3:uid="{EFAB595F-B726-4DA7-9270-4E307423DE61}" name="D6" dataDxfId="649">
      <calculatedColumnFormula>IF($AK$2="(Todas)",COUNTIF(BASE[CODCIE1010],EPV_SARAMPION646669727378808182[[#This Row],[CIE-10]]),COUNTIFS(BASE[Cod.Establecimiento],$AK$2,BASE[CODCIE1010],EPV_SARAMPION646669727378808182[[#This Row],[CIE-10]]))</calculatedColumnFormula>
    </tableColumn>
    <tableColumn id="8" xr3:uid="{C140EB41-EF1F-4E94-B390-53C53BEAAA71}" name="TOT" dataDxfId="648" dataCellStyle="40% - Énfasis6">
      <calculatedColumnFormula>SUM(EPV_SARAMPION646669727378808182[[#This Row],[D1]:[D6]])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PV_TETANOS_NEONATAL" displayName="EPV_TETANOS_NEONATAL" ref="S19:Z21" totalsRowShown="0" headerRowDxfId="1223">
  <autoFilter ref="S19:Z21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700-000001000000}" name="CIE-10" dataCellStyle="20% - Énfasis4"/>
    <tableColumn id="2" xr3:uid="{00000000-0010-0000-0700-000002000000}" name="D1" dataDxfId="1222">
      <calculatedColumnFormula>IF($AK$2="(Todas)",COUNTIF(BASE[CODCIE10],EPV_TETANOS_NEONATAL[[#This Row],[CIE-10]]),COUNTIFS(BASE[Cod.Establecimiento],$AK$2,BASE[CODCIE10],EPV_TETANOS_NEONATAL[[#This Row],[CIE-10]]))</calculatedColumnFormula>
    </tableColumn>
    <tableColumn id="3" xr3:uid="{00000000-0010-0000-0700-000003000000}" name="D2" dataDxfId="1221">
      <calculatedColumnFormula>IF($AK$2="(Todas)",COUNTIF(BASE[CODCIE102],EPV_TETANOS_NEONATAL[[#This Row],[CIE-10]]),COUNTIFS(BASE[Cod.Establecimiento],$AK$2,BASE[CODCIE102],EPV_TETANOS_NEONATAL[[#This Row],[CIE-10]]))</calculatedColumnFormula>
    </tableColumn>
    <tableColumn id="4" xr3:uid="{00000000-0010-0000-0700-000004000000}" name="D3" dataDxfId="1220">
      <calculatedColumnFormula>IF($AK$2="(Todas)",COUNTIF(BASE[CODCIE104],EPV_TETANOS_NEONATAL[[#This Row],[CIE-10]]),COUNTIFS(BASE[Cod.Establecimiento],$AK$2,BASE[CODCIE104],EPV_TETANOS_NEONATAL[[#This Row],[CIE-10]]))</calculatedColumnFormula>
    </tableColumn>
    <tableColumn id="5" xr3:uid="{00000000-0010-0000-0700-000005000000}" name="D4" dataDxfId="1219">
      <calculatedColumnFormula>IF($AK$2="(Todas)",COUNTIF(BASE[CODCIE106],EPV_TETANOS_NEONATAL[[#This Row],[CIE-10]]),COUNTIFS(BASE[Cod.Establecimiento],$AK$2,BASE[CODCIE106],EPV_TETANOS_NEONATAL[[#This Row],[CIE-10]]))</calculatedColumnFormula>
    </tableColumn>
    <tableColumn id="6" xr3:uid="{00000000-0010-0000-0700-000006000000}" name="D5" dataDxfId="1218">
      <calculatedColumnFormula>IF($AK$2="(Todas)",COUNTIF(BASE[CODCIE108],EPV_TETANOS_NEONATAL[[#This Row],[CIE-10]]),COUNTIFS(BASE[Cod.Establecimiento],$AK$2,BASE[CODCIE108],EPV_TETANOS_NEONATAL[[#This Row],[CIE-10]]))</calculatedColumnFormula>
    </tableColumn>
    <tableColumn id="7" xr3:uid="{00000000-0010-0000-0700-000007000000}" name="D6" dataDxfId="1217">
      <calculatedColumnFormula>IF($AK$2="(Todas)",COUNTIF(BASE[CODCIE1010],EPV_TETANOS_NEONATAL[[#This Row],[CIE-10]]),COUNTIFS(BASE[Cod.Establecimiento],$AK$2,BASE[CODCIE1010],EPV_TETANOS_NEONATAL[[#This Row],[CIE-10]]))</calculatedColumnFormula>
    </tableColumn>
    <tableColumn id="8" xr3:uid="{00000000-0010-0000-0700-000008000000}" name="TOT" dataDxfId="1216" dataCellStyle="40% - Énfasis6">
      <calculatedColumnFormula>SUM(EPV_TETANOS_NEONATAL[[#This Row],[D1]:[D6]])</calculatedColumnFormula>
    </tableColumn>
  </tableColumns>
  <tableStyleInfo name="TableStyleLight1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C6072002-962B-4371-A003-0049BB15659F}" name="EPV_SARAMPION64666972737880818283" displayName="EPV_SARAMPION64666972737880818283" ref="S33:Z35" totalsRowShown="0" headerRowDxfId="647">
  <autoFilter ref="S33:Z35" xr:uid="{C6072002-962B-4371-A003-0049BB1565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5B58955-DD9F-45A2-B5B5-416FFE80B5FB}" name="CIE-10" dataCellStyle="20% - Énfasis4"/>
    <tableColumn id="2" xr3:uid="{6DB35FC3-B989-4381-AB3D-A27E949A82C0}" name="D1" dataDxfId="646">
      <calculatedColumnFormula>IF($AK$2="(Todas)",COUNTIF(BASE[CODCIE10],EPV_SARAMPION64666972737880818283[[#This Row],[CIE-10]]),COUNTIFS(BASE[Cod.Establecimiento],$AK$2,BASE[CODCIE10],EPV_SARAMPION64666972737880818283[[#This Row],[CIE-10]]))</calculatedColumnFormula>
    </tableColumn>
    <tableColumn id="3" xr3:uid="{2CC4BE9D-2256-423E-9D85-53D87C5F3484}" name="D2" dataDxfId="645">
      <calculatedColumnFormula>IF($AK$2="(Todas)",COUNTIF(BASE[CODCIE102],EPV_SARAMPION64666972737880818283[[#This Row],[CIE-10]]),COUNTIFS(BASE[Cod.Establecimiento],$AK$2,BASE[CODCIE102],EPV_SARAMPION64666972737880818283[[#This Row],[CIE-10]]))</calculatedColumnFormula>
    </tableColumn>
    <tableColumn id="4" xr3:uid="{20569E90-DFE9-4FE4-8ACC-B950B8946242}" name="D3" dataDxfId="644">
      <calculatedColumnFormula>IF($AK$2="(Todas)",COUNTIF(BASE[CODCIE104],EPV_SARAMPION64666972737880818283[[#This Row],[CIE-10]]),COUNTIFS(BASE[Cod.Establecimiento],$AK$2,BASE[CODCIE104],EPV_SARAMPION64666972737880818283[[#This Row],[CIE-10]]))</calculatedColumnFormula>
    </tableColumn>
    <tableColumn id="5" xr3:uid="{52D918C9-DFBB-4ED9-B86A-97944A63E4A6}" name="D4" dataDxfId="643">
      <calculatedColumnFormula>IF($AK$2="(Todas)",COUNTIF(BASE[CODCIE106],EPV_SARAMPION64666972737880818283[[#This Row],[CIE-10]]),COUNTIFS(BASE[Cod.Establecimiento],$AK$2,BASE[CODCIE106],EPV_SARAMPION64666972737880818283[[#This Row],[CIE-10]]))</calculatedColumnFormula>
    </tableColumn>
    <tableColumn id="6" xr3:uid="{16C97CCB-5BF8-4957-805B-DAD83C9B2A8D}" name="D5" dataDxfId="642">
      <calculatedColumnFormula>IF($AK$2="(Todas)",COUNTIF(BASE[CODCIE108],EPV_SARAMPION64666972737880818283[[#This Row],[CIE-10]]),COUNTIFS(BASE[Cod.Establecimiento],$AK$2,BASE[CODCIE108],EPV_SARAMPION64666972737880818283[[#This Row],[CIE-10]]))</calculatedColumnFormula>
    </tableColumn>
    <tableColumn id="7" xr3:uid="{1466D71C-3D79-421F-98C3-32AB97F25503}" name="D6" dataDxfId="641">
      <calculatedColumnFormula>IF($AK$2="(Todas)",COUNTIF(BASE[CODCIE1010],EPV_SARAMPION64666972737880818283[[#This Row],[CIE-10]]),COUNTIFS(BASE[Cod.Establecimiento],$AK$2,BASE[CODCIE1010],EPV_SARAMPION64666972737880818283[[#This Row],[CIE-10]]))</calculatedColumnFormula>
    </tableColumn>
    <tableColumn id="8" xr3:uid="{7DFDF05E-10EC-45B6-9C90-A2C595EB6821}" name="TOT" dataDxfId="640" dataCellStyle="40% - Énfasis6">
      <calculatedColumnFormula>SUM(EPV_SARAMPION64666972737880818283[[#This Row],[D1]:[D6]])</calculatedColumnFormula>
    </tableColumn>
  </tableColumns>
  <tableStyleInfo name="TableStyleLight1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4FC94E2F-51BC-4489-9175-07A87609F36C}" name="EPV_SARAMPION6466697273788081828384" displayName="EPV_SARAMPION6466697273788081828384" ref="AB34:AI35" totalsRowShown="0" headerRowDxfId="639">
  <autoFilter ref="AB34:AI35" xr:uid="{4FC94E2F-51BC-4489-9175-07A87609F3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F832530-E120-42D5-BC70-6200853568B1}" name="CIE-10" dataCellStyle="20% - Énfasis4"/>
    <tableColumn id="2" xr3:uid="{AFFC74E5-A843-4C1B-A0E8-1533D66FFBC8}" name="D1" dataDxfId="638">
      <calculatedColumnFormula>IF($AK$2="(Todas)",COUNTIF(BASE[CODCIE10],EPV_SARAMPION6466697273788081828384[[#This Row],[CIE-10]]),COUNTIFS(BASE[Cod.Establecimiento],$AK$2,BASE[CODCIE10],EPV_SARAMPION6466697273788081828384[[#This Row],[CIE-10]]))</calculatedColumnFormula>
    </tableColumn>
    <tableColumn id="3" xr3:uid="{99ACBCEB-2E24-49EB-AD05-C16874CCFC5C}" name="D2" dataDxfId="637">
      <calculatedColumnFormula>IF($AK$2="(Todas)",COUNTIF(BASE[CODCIE102],EPV_SARAMPION6466697273788081828384[[#This Row],[CIE-10]]),COUNTIFS(BASE[Cod.Establecimiento],$AK$2,BASE[CODCIE102],EPV_SARAMPION6466697273788081828384[[#This Row],[CIE-10]]))</calculatedColumnFormula>
    </tableColumn>
    <tableColumn id="4" xr3:uid="{C4BC990C-DD77-47EA-9EE9-1F9CF4D6FACD}" name="D3" dataDxfId="636">
      <calculatedColumnFormula>IF($AK$2="(Todas)",COUNTIF(BASE[CODCIE104],EPV_SARAMPION6466697273788081828384[[#This Row],[CIE-10]]),COUNTIFS(BASE[Cod.Establecimiento],$AK$2,BASE[CODCIE104],EPV_SARAMPION6466697273788081828384[[#This Row],[CIE-10]]))</calculatedColumnFormula>
    </tableColumn>
    <tableColumn id="5" xr3:uid="{CCF0B1DB-B9AD-46BB-993B-F6ADE73DD0BD}" name="D4" dataDxfId="635">
      <calculatedColumnFormula>IF($AK$2="(Todas)",COUNTIF(BASE[CODCIE106],EPV_SARAMPION6466697273788081828384[[#This Row],[CIE-10]]),COUNTIFS(BASE[Cod.Establecimiento],$AK$2,BASE[CODCIE106],EPV_SARAMPION6466697273788081828384[[#This Row],[CIE-10]]))</calculatedColumnFormula>
    </tableColumn>
    <tableColumn id="6" xr3:uid="{9054C5D2-2782-4566-9DCA-F4CB1312B867}" name="D5" dataDxfId="634">
      <calculatedColumnFormula>IF($AK$2="(Todas)",COUNTIF(BASE[CODCIE108],EPV_SARAMPION6466697273788081828384[[#This Row],[CIE-10]]),COUNTIFS(BASE[Cod.Establecimiento],$AK$2,BASE[CODCIE108],EPV_SARAMPION6466697273788081828384[[#This Row],[CIE-10]]))</calculatedColumnFormula>
    </tableColumn>
    <tableColumn id="7" xr3:uid="{705CB5F4-E6F1-438C-90AC-4C3DFB10D1D5}" name="D6" dataDxfId="633">
      <calculatedColumnFormula>IF($AK$2="(Todas)",COUNTIF(BASE[CODCIE1010],EPV_SARAMPION6466697273788081828384[[#This Row],[CIE-10]]),COUNTIFS(BASE[Cod.Establecimiento],$AK$2,BASE[CODCIE1010],EPV_SARAMPION6466697273788081828384[[#This Row],[CIE-10]]))</calculatedColumnFormula>
    </tableColumn>
    <tableColumn id="8" xr3:uid="{ADCECE35-BB48-4150-B4DB-4F7673E54518}" name="TOT" dataDxfId="632" dataCellStyle="40% - Énfasis6">
      <calculatedColumnFormula>SUM(EPV_SARAMPION6466697273788081828384[[#This Row],[D1]:[D6]])</calculatedColumnFormula>
    </tableColumn>
  </tableColumns>
  <tableStyleInfo name="TableStyleLight1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C986FA0F-5E27-4B64-AD52-B88A4D301AD2}" name="EPV_SARAMPION646669727378808185" displayName="EPV_SARAMPION646669727378808185" ref="A39:H40" totalsRowShown="0" headerRowDxfId="631">
  <autoFilter ref="A39:H40" xr:uid="{C986FA0F-5E27-4B64-AD52-B88A4D301A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E0200BA-1172-4007-8F42-4543FCECB797}" name="CIE-10" dataCellStyle="20% - Énfasis4"/>
    <tableColumn id="2" xr3:uid="{2887AB9C-625F-4E35-A59B-68DB2CBCE450}" name="D1" dataDxfId="630">
      <calculatedColumnFormula>IF($AK$2="(Todas)",COUNTIF(BASE[CODCIE10],EPV_SARAMPION646669727378808185[[#This Row],[CIE-10]]),COUNTIFS(BASE[Cod.Establecimiento],$AK$2,BASE[CODCIE10],EPV_SARAMPION646669727378808185[[#This Row],[CIE-10]]))</calculatedColumnFormula>
    </tableColumn>
    <tableColumn id="3" xr3:uid="{EC931176-4989-442F-84E2-DCA864B9037A}" name="D2" dataDxfId="629">
      <calculatedColumnFormula>IF($AK$2="(Todas)",COUNTIF(BASE[CODCIE102],EPV_SARAMPION646669727378808185[[#This Row],[CIE-10]]),COUNTIFS(BASE[Cod.Establecimiento],$AK$2,BASE[CODCIE102],EPV_SARAMPION646669727378808185[[#This Row],[CIE-10]]))</calculatedColumnFormula>
    </tableColumn>
    <tableColumn id="4" xr3:uid="{B225BAC5-A63B-4891-A43D-85F9E6CE28F0}" name="D3" dataDxfId="628">
      <calculatedColumnFormula>IF($AK$2="(Todas)",COUNTIF(BASE[CODCIE104],EPV_SARAMPION646669727378808185[[#This Row],[CIE-10]]),COUNTIFS(BASE[Cod.Establecimiento],$AK$2,BASE[CODCIE104],EPV_SARAMPION646669727378808185[[#This Row],[CIE-10]]))</calculatedColumnFormula>
    </tableColumn>
    <tableColumn id="5" xr3:uid="{C1B76034-1307-48FC-9322-F8C595FED77E}" name="D4" dataDxfId="627">
      <calculatedColumnFormula>IF($AK$2="(Todas)",COUNTIF(BASE[CODCIE106],EPV_SARAMPION646669727378808185[[#This Row],[CIE-10]]),COUNTIFS(BASE[Cod.Establecimiento],$AK$2,BASE[CODCIE106],EPV_SARAMPION646669727378808185[[#This Row],[CIE-10]]))</calculatedColumnFormula>
    </tableColumn>
    <tableColumn id="6" xr3:uid="{69FA3B56-E39F-4D1D-B082-8FB72A25534F}" name="D5" dataDxfId="626">
      <calculatedColumnFormula>IF($AK$2="(Todas)",COUNTIF(BASE[CODCIE108],EPV_SARAMPION646669727378808185[[#This Row],[CIE-10]]),COUNTIFS(BASE[Cod.Establecimiento],$AK$2,BASE[CODCIE108],EPV_SARAMPION646669727378808185[[#This Row],[CIE-10]]))</calculatedColumnFormula>
    </tableColumn>
    <tableColumn id="7" xr3:uid="{A9DAF539-5034-4975-B8DC-86DD08080422}" name="D6" dataDxfId="625">
      <calculatedColumnFormula>IF($AK$2="(Todas)",COUNTIF(BASE[CODCIE1010],EPV_SARAMPION646669727378808185[[#This Row],[CIE-10]]),COUNTIFS(BASE[Cod.Establecimiento],$AK$2,BASE[CODCIE1010],EPV_SARAMPION646669727378808185[[#This Row],[CIE-10]]))</calculatedColumnFormula>
    </tableColumn>
    <tableColumn id="8" xr3:uid="{5A96F474-7881-40A2-BC4B-BE32CC7B8533}" name="TOT" dataDxfId="624" dataCellStyle="40% - Énfasis6">
      <calculatedColumnFormula>SUM(EPV_SARAMPION646669727378808185[[#This Row],[D1]:[D6]])</calculatedColumnFormula>
    </tableColumn>
  </tableColumns>
  <tableStyleInfo name="TableStyleLight1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EA4CEFF5-F3BB-4A12-9D8A-A9B939AD7394}" name="EPV_SARAMPION64666972737880818586" displayName="EPV_SARAMPION64666972737880818586" ref="J39:Q40" totalsRowShown="0" headerRowDxfId="623">
  <autoFilter ref="J39:Q40" xr:uid="{EA4CEFF5-F3BB-4A12-9D8A-A9B939AD73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0B9B7B2-1108-4C5F-89EA-3E2549D63B5A}" name="CIE-10" dataCellStyle="20% - Énfasis4"/>
    <tableColumn id="2" xr3:uid="{993BCDEE-8F5E-4E3A-BCC1-F3685498D7C5}" name="D1" dataDxfId="622">
      <calculatedColumnFormula>IF($AK$2="(Todas)",COUNTIF(BASE[CODCIE10],EPV_SARAMPION64666972737880818586[[#This Row],[CIE-10]]),COUNTIFS(BASE[Cod.Establecimiento],$AK$2,BASE[CODCIE10],EPV_SARAMPION64666972737880818586[[#This Row],[CIE-10]]))</calculatedColumnFormula>
    </tableColumn>
    <tableColumn id="3" xr3:uid="{A0B34C8D-D5C6-4006-B49B-17B2504E3409}" name="D2" dataDxfId="621">
      <calculatedColumnFormula>IF($AK$2="(Todas)",COUNTIF(BASE[CODCIE102],EPV_SARAMPION64666972737880818586[[#This Row],[CIE-10]]),COUNTIFS(BASE[Cod.Establecimiento],$AK$2,BASE[CODCIE102],EPV_SARAMPION64666972737880818586[[#This Row],[CIE-10]]))</calculatedColumnFormula>
    </tableColumn>
    <tableColumn id="4" xr3:uid="{E15DE1C5-5909-4264-871C-EAA9091C8CCA}" name="D3" dataDxfId="620">
      <calculatedColumnFormula>IF($AK$2="(Todas)",COUNTIF(BASE[CODCIE104],EPV_SARAMPION64666972737880818586[[#This Row],[CIE-10]]),COUNTIFS(BASE[Cod.Establecimiento],$AK$2,BASE[CODCIE104],EPV_SARAMPION64666972737880818586[[#This Row],[CIE-10]]))</calculatedColumnFormula>
    </tableColumn>
    <tableColumn id="5" xr3:uid="{EB4AD385-994E-4E90-8AF1-5BB6F92845EA}" name="D4" dataDxfId="619">
      <calculatedColumnFormula>IF($AK$2="(Todas)",COUNTIF(BASE[CODCIE106],EPV_SARAMPION64666972737880818586[[#This Row],[CIE-10]]),COUNTIFS(BASE[Cod.Establecimiento],$AK$2,BASE[CODCIE106],EPV_SARAMPION64666972737880818586[[#This Row],[CIE-10]]))</calculatedColumnFormula>
    </tableColumn>
    <tableColumn id="6" xr3:uid="{63BC610B-120F-4766-A7BA-C670F28C5F8F}" name="D5" dataDxfId="618">
      <calculatedColumnFormula>IF($AK$2="(Todas)",COUNTIF(BASE[CODCIE108],EPV_SARAMPION64666972737880818586[[#This Row],[CIE-10]]),COUNTIFS(BASE[Cod.Establecimiento],$AK$2,BASE[CODCIE108],EPV_SARAMPION64666972737880818586[[#This Row],[CIE-10]]))</calculatedColumnFormula>
    </tableColumn>
    <tableColumn id="7" xr3:uid="{8571CF24-12A5-482D-A101-B942A316A791}" name="D6" dataDxfId="617">
      <calculatedColumnFormula>IF($AK$2="(Todas)",COUNTIF(BASE[CODCIE1010],EPV_SARAMPION64666972737880818586[[#This Row],[CIE-10]]),COUNTIFS(BASE[Cod.Establecimiento],$AK$2,BASE[CODCIE1010],EPV_SARAMPION64666972737880818586[[#This Row],[CIE-10]]))</calculatedColumnFormula>
    </tableColumn>
    <tableColumn id="8" xr3:uid="{DD8A0425-182C-4A2A-A739-C0DEEA58FF10}" name="TOT" dataDxfId="616" dataCellStyle="40% - Énfasis6">
      <calculatedColumnFormula>SUM(EPV_SARAMPION64666972737880818586[[#This Row],[D1]:[D6]])</calculatedColumnFormula>
    </tableColumn>
  </tableColumns>
  <tableStyleInfo name="TableStyleLight1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AD36954-B0C2-473A-8270-F14E9B3843AB}" name="EPV_SARAMPION6466697273788081858687" displayName="EPV_SARAMPION6466697273788081858687" ref="S39:Z41" totalsRowShown="0" headerRowDxfId="615">
  <autoFilter ref="S39:Z41" xr:uid="{AAD36954-B0C2-473A-8270-F14E9B3843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B953D17-99F1-4A38-BA8A-52C5B8647C86}" name="CIE-10" dataCellStyle="20% - Énfasis4"/>
    <tableColumn id="2" xr3:uid="{86FF2480-A389-4F90-8AC4-773E5D4717B1}" name="D1" dataDxfId="614">
      <calculatedColumnFormula>IF($AK$2="(Todas)",COUNTIF(BASE[CODCIE10],EPV_SARAMPION6466697273788081858687[[#This Row],[CIE-10]]),COUNTIFS(BASE[Cod.Establecimiento],$AK$2,BASE[CODCIE10],EPV_SARAMPION6466697273788081858687[[#This Row],[CIE-10]]))</calculatedColumnFormula>
    </tableColumn>
    <tableColumn id="3" xr3:uid="{6167700C-8D9D-4EEA-98BF-33865236E533}" name="D2" dataDxfId="613">
      <calculatedColumnFormula>IF($AK$2="(Todas)",COUNTIF(BASE[CODCIE102],EPV_SARAMPION6466697273788081858687[[#This Row],[CIE-10]]),COUNTIFS(BASE[Cod.Establecimiento],$AK$2,BASE[CODCIE102],EPV_SARAMPION6466697273788081858687[[#This Row],[CIE-10]]))</calculatedColumnFormula>
    </tableColumn>
    <tableColumn id="4" xr3:uid="{115F457F-399F-4C88-8927-BAEB5A64E935}" name="D3" dataDxfId="612">
      <calculatedColumnFormula>IF($AK$2="(Todas)",COUNTIF(BASE[CODCIE104],EPV_SARAMPION6466697273788081858687[[#This Row],[CIE-10]]),COUNTIFS(BASE[Cod.Establecimiento],$AK$2,BASE[CODCIE104],EPV_SARAMPION6466697273788081858687[[#This Row],[CIE-10]]))</calculatedColumnFormula>
    </tableColumn>
    <tableColumn id="5" xr3:uid="{F448266E-B4F5-46AB-A9E9-9B7C8A684A63}" name="D4" dataDxfId="611">
      <calculatedColumnFormula>IF($AK$2="(Todas)",COUNTIF(BASE[CODCIE106],EPV_SARAMPION6466697273788081858687[[#This Row],[CIE-10]]),COUNTIFS(BASE[Cod.Establecimiento],$AK$2,BASE[CODCIE106],EPV_SARAMPION6466697273788081858687[[#This Row],[CIE-10]]))</calculatedColumnFormula>
    </tableColumn>
    <tableColumn id="6" xr3:uid="{62BC0C53-84E4-4C7C-9A79-E7C0CF309086}" name="D5" dataDxfId="610">
      <calculatedColumnFormula>IF($AK$2="(Todas)",COUNTIF(BASE[CODCIE108],EPV_SARAMPION6466697273788081858687[[#This Row],[CIE-10]]),COUNTIFS(BASE[Cod.Establecimiento],$AK$2,BASE[CODCIE108],EPV_SARAMPION6466697273788081858687[[#This Row],[CIE-10]]))</calculatedColumnFormula>
    </tableColumn>
    <tableColumn id="7" xr3:uid="{3577EB8D-C4C6-4F81-BCC7-837AB0242E8C}" name="D6" dataDxfId="609">
      <calculatedColumnFormula>IF($AK$2="(Todas)",COUNTIF(BASE[CODCIE1010],EPV_SARAMPION6466697273788081858687[[#This Row],[CIE-10]]),COUNTIFS(BASE[Cod.Establecimiento],$AK$2,BASE[CODCIE1010],EPV_SARAMPION6466697273788081858687[[#This Row],[CIE-10]]))</calculatedColumnFormula>
    </tableColumn>
    <tableColumn id="8" xr3:uid="{8186FA2B-3778-4AB6-944A-80C062848345}" name="TOT" dataDxfId="608" dataCellStyle="40% - Énfasis6">
      <calculatedColumnFormula>SUM(EPV_SARAMPION6466697273788081858687[[#This Row],[D1]:[D6]])</calculatedColumnFormula>
    </tableColumn>
  </tableColumns>
  <tableStyleInfo name="TableStyleLight1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AA25D953-2384-49FD-88BC-084551B2B219}" name="EPV_SARAMPION646669727378808185868788" displayName="EPV_SARAMPION646669727378808185868788" ref="AB39:AI41" totalsRowShown="0" headerRowDxfId="607">
  <autoFilter ref="AB39:AI41" xr:uid="{AA25D953-2384-49FD-88BC-084551B2B2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AD94C7B-67C1-46EA-85A3-43C5C5CD042A}" name="CIE-10" dataCellStyle="20% - Énfasis4"/>
    <tableColumn id="2" xr3:uid="{2E748B0C-CD0B-4C14-8BC4-767A7814094F}" name="D1" dataDxfId="606">
      <calculatedColumnFormula>IF($AK$2="(Todas)",COUNTIF(BASE[CODCIE10],EPV_SARAMPION646669727378808185868788[[#This Row],[CIE-10]]),COUNTIFS(BASE[Cod.Establecimiento],$AK$2,BASE[CODCIE10],EPV_SARAMPION646669727378808185868788[[#This Row],[CIE-10]]))</calculatedColumnFormula>
    </tableColumn>
    <tableColumn id="3" xr3:uid="{8184DABB-D90D-4184-A1E0-FCF9EF58DAA1}" name="D2" dataDxfId="605">
      <calculatedColumnFormula>IF($AK$2="(Todas)",COUNTIF(BASE[CODCIE102],EPV_SARAMPION646669727378808185868788[[#This Row],[CIE-10]]),COUNTIFS(BASE[Cod.Establecimiento],$AK$2,BASE[CODCIE102],EPV_SARAMPION646669727378808185868788[[#This Row],[CIE-10]]))</calculatedColumnFormula>
    </tableColumn>
    <tableColumn id="4" xr3:uid="{7C2F76C6-BBD8-4F79-9CD9-060EBC690DB8}" name="D3" dataDxfId="604">
      <calculatedColumnFormula>IF($AK$2="(Todas)",COUNTIF(BASE[CODCIE104],EPV_SARAMPION646669727378808185868788[[#This Row],[CIE-10]]),COUNTIFS(BASE[Cod.Establecimiento],$AK$2,BASE[CODCIE104],EPV_SARAMPION646669727378808185868788[[#This Row],[CIE-10]]))</calculatedColumnFormula>
    </tableColumn>
    <tableColumn id="5" xr3:uid="{DE177BAA-6842-485F-BF67-8B8699681A3D}" name="D4" dataDxfId="603">
      <calculatedColumnFormula>IF($AK$2="(Todas)",COUNTIF(BASE[CODCIE106],EPV_SARAMPION646669727378808185868788[[#This Row],[CIE-10]]),COUNTIFS(BASE[Cod.Establecimiento],$AK$2,BASE[CODCIE106],EPV_SARAMPION646669727378808185868788[[#This Row],[CIE-10]]))</calculatedColumnFormula>
    </tableColumn>
    <tableColumn id="6" xr3:uid="{6BDC30B5-5E1E-4F09-9202-084412913366}" name="D5" dataDxfId="602">
      <calculatedColumnFormula>IF($AK$2="(Todas)",COUNTIF(BASE[CODCIE108],EPV_SARAMPION646669727378808185868788[[#This Row],[CIE-10]]),COUNTIFS(BASE[Cod.Establecimiento],$AK$2,BASE[CODCIE108],EPV_SARAMPION646669727378808185868788[[#This Row],[CIE-10]]))</calculatedColumnFormula>
    </tableColumn>
    <tableColumn id="7" xr3:uid="{8E989589-413B-4E17-861B-CC0B93A3E2B7}" name="D6" dataDxfId="601">
      <calculatedColumnFormula>IF($AK$2="(Todas)",COUNTIF(BASE[CODCIE1010],EPV_SARAMPION646669727378808185868788[[#This Row],[CIE-10]]),COUNTIFS(BASE[Cod.Establecimiento],$AK$2,BASE[CODCIE1010],EPV_SARAMPION646669727378808185868788[[#This Row],[CIE-10]]))</calculatedColumnFormula>
    </tableColumn>
    <tableColumn id="8" xr3:uid="{634AC89E-D3C3-4A8B-B371-E93A1F81275C}" name="TOT" dataDxfId="600" dataCellStyle="40% - Énfasis6">
      <calculatedColumnFormula>SUM(EPV_SARAMPION646669727378808185868788[[#This Row],[D1]:[D6]])</calculatedColumnFormula>
    </tableColumn>
  </tableColumns>
  <tableStyleInfo name="TableStyleLight1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9C23BC29-F8EB-4A73-88CA-77D4802F22C9}" name="EPV_SARAMPION64666972737880818591" displayName="EPV_SARAMPION64666972737880818591" ref="A45:H50" totalsRowShown="0" headerRowDxfId="599">
  <autoFilter ref="A45:H50" xr:uid="{9C23BC29-F8EB-4A73-88CA-77D4802F22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9C57B95-424A-4FBF-B0A8-8B467114D50D}" name="CIE-10" dataCellStyle="20% - Énfasis4"/>
    <tableColumn id="2" xr3:uid="{5BB34AED-539D-43C4-B27B-CF7E6E0E939E}" name="D1" dataDxfId="598">
      <calculatedColumnFormula>IF($AK$2="(Todas)",COUNTIF(BASE[CODCIE10],EPV_SARAMPION64666972737880818591[[#This Row],[CIE-10]]),COUNTIFS(BASE[Cod.Establecimiento],$AK$2,BASE[CODCIE10],EPV_SARAMPION64666972737880818591[[#This Row],[CIE-10]]))</calculatedColumnFormula>
    </tableColumn>
    <tableColumn id="3" xr3:uid="{B4BF248F-6CE8-4076-92A7-747C709CEA17}" name="D2" dataDxfId="597">
      <calculatedColumnFormula>IF($AK$2="(Todas)",COUNTIF(BASE[CODCIE102],EPV_SARAMPION64666972737880818591[[#This Row],[CIE-10]]),COUNTIFS(BASE[Cod.Establecimiento],$AK$2,BASE[CODCIE102],EPV_SARAMPION64666972737880818591[[#This Row],[CIE-10]]))</calculatedColumnFormula>
    </tableColumn>
    <tableColumn id="4" xr3:uid="{4259D659-0D12-41B7-96C1-CDA41BE8FAD0}" name="D3" dataDxfId="596">
      <calculatedColumnFormula>IF($AK$2="(Todas)",COUNTIF(BASE[CODCIE104],EPV_SARAMPION64666972737880818591[[#This Row],[CIE-10]]),COUNTIFS(BASE[Cod.Establecimiento],$AK$2,BASE[CODCIE104],EPV_SARAMPION64666972737880818591[[#This Row],[CIE-10]]))</calculatedColumnFormula>
    </tableColumn>
    <tableColumn id="5" xr3:uid="{0387E141-4975-4D83-8425-9FA99FB25022}" name="D4" dataDxfId="595">
      <calculatedColumnFormula>IF($AK$2="(Todas)",COUNTIF(BASE[CODCIE106],EPV_SARAMPION64666972737880818591[[#This Row],[CIE-10]]),COUNTIFS(BASE[Cod.Establecimiento],$AK$2,BASE[CODCIE106],EPV_SARAMPION64666972737880818591[[#This Row],[CIE-10]]))</calculatedColumnFormula>
    </tableColumn>
    <tableColumn id="6" xr3:uid="{DA7668A0-29A8-4F6F-9D92-05A91849EE28}" name="D5" dataDxfId="594">
      <calculatedColumnFormula>IF($AK$2="(Todas)",COUNTIF(BASE[CODCIE108],EPV_SARAMPION64666972737880818591[[#This Row],[CIE-10]]),COUNTIFS(BASE[Cod.Establecimiento],$AK$2,BASE[CODCIE108],EPV_SARAMPION64666972737880818591[[#This Row],[CIE-10]]))</calculatedColumnFormula>
    </tableColumn>
    <tableColumn id="7" xr3:uid="{2D03AF7A-677D-41AF-8795-086A5949E4C6}" name="D6" dataDxfId="593">
      <calculatedColumnFormula>IF($AK$2="(Todas)",COUNTIF(BASE[CODCIE1010],EPV_SARAMPION64666972737880818591[[#This Row],[CIE-10]]),COUNTIFS(BASE[Cod.Establecimiento],$AK$2,BASE[CODCIE1010],EPV_SARAMPION64666972737880818591[[#This Row],[CIE-10]]))</calculatedColumnFormula>
    </tableColumn>
    <tableColumn id="8" xr3:uid="{27BD4DB2-2C63-495D-A89E-2392E6158311}" name="TOT" dataDxfId="592" dataCellStyle="40% - Énfasis6">
      <calculatedColumnFormula>SUM(EPV_SARAMPION64666972737880818591[[#This Row],[D1]:[D6]])</calculatedColumnFormula>
    </tableColumn>
  </tableColumns>
  <tableStyleInfo name="TableStyleLight1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95963621-B5F3-4B5D-895E-30D52AD5A193}" name="EPV_SARAMPION64666972737880818592" displayName="EPV_SARAMPION64666972737880818592" ref="J45:Q46" totalsRowShown="0" headerRowDxfId="591">
  <autoFilter ref="J45:Q46" xr:uid="{95963621-B5F3-4B5D-895E-30D52AD5A1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42E08FD-5EB4-4C77-8B65-F2B24C982739}" name="CIE-10" dataCellStyle="20% - Énfasis4"/>
    <tableColumn id="2" xr3:uid="{FC8BD2BA-0F1D-410C-B2FC-FCB5AF7E5DF4}" name="D1" dataDxfId="590">
      <calculatedColumnFormula>IF($AK$2="(Todas)",COUNTIF(BASE[CODCIE10],EPV_SARAMPION64666972737880818592[[#This Row],[CIE-10]]),COUNTIFS(BASE[Cod.Establecimiento],$AK$2,BASE[CODCIE10],EPV_SARAMPION64666972737880818592[[#This Row],[CIE-10]]))</calculatedColumnFormula>
    </tableColumn>
    <tableColumn id="3" xr3:uid="{223603B8-E1E1-4244-A889-D92A3365B066}" name="D2" dataDxfId="589">
      <calculatedColumnFormula>IF($AK$2="(Todas)",COUNTIF(BASE[CODCIE102],EPV_SARAMPION64666972737880818592[[#This Row],[CIE-10]]),COUNTIFS(BASE[Cod.Establecimiento],$AK$2,BASE[CODCIE102],EPV_SARAMPION64666972737880818592[[#This Row],[CIE-10]]))</calculatedColumnFormula>
    </tableColumn>
    <tableColumn id="4" xr3:uid="{3DA53427-B5D1-41FB-8EC8-48892D8976C7}" name="D3" dataDxfId="588">
      <calculatedColumnFormula>IF($AK$2="(Todas)",COUNTIF(BASE[CODCIE104],EPV_SARAMPION64666972737880818592[[#This Row],[CIE-10]]),COUNTIFS(BASE[Cod.Establecimiento],$AK$2,BASE[CODCIE104],EPV_SARAMPION64666972737880818592[[#This Row],[CIE-10]]))</calculatedColumnFormula>
    </tableColumn>
    <tableColumn id="5" xr3:uid="{A124FE21-BBDE-4FB1-9FFD-EF94FE6926C2}" name="D4" dataDxfId="587">
      <calculatedColumnFormula>IF($AK$2="(Todas)",COUNTIF(BASE[CODCIE106],EPV_SARAMPION64666972737880818592[[#This Row],[CIE-10]]),COUNTIFS(BASE[Cod.Establecimiento],$AK$2,BASE[CODCIE106],EPV_SARAMPION64666972737880818592[[#This Row],[CIE-10]]))</calculatedColumnFormula>
    </tableColumn>
    <tableColumn id="6" xr3:uid="{3D9CDDD5-3914-4C5D-B04A-053128970EAF}" name="D5" dataDxfId="586">
      <calculatedColumnFormula>IF($AK$2="(Todas)",COUNTIF(BASE[CODCIE108],EPV_SARAMPION64666972737880818592[[#This Row],[CIE-10]]),COUNTIFS(BASE[Cod.Establecimiento],$AK$2,BASE[CODCIE108],EPV_SARAMPION64666972737880818592[[#This Row],[CIE-10]]))</calculatedColumnFormula>
    </tableColumn>
    <tableColumn id="7" xr3:uid="{56B7485A-C652-4401-9FC3-968E7293E2ED}" name="D6" dataDxfId="585">
      <calculatedColumnFormula>IF($AK$2="(Todas)",COUNTIF(BASE[CODCIE1010],EPV_SARAMPION64666972737880818592[[#This Row],[CIE-10]]),COUNTIFS(BASE[Cod.Establecimiento],$AK$2,BASE[CODCIE1010],EPV_SARAMPION64666972737880818592[[#This Row],[CIE-10]]))</calculatedColumnFormula>
    </tableColumn>
    <tableColumn id="8" xr3:uid="{69B042F9-AB0E-426D-ACEE-09127DD0077E}" name="TOT" dataDxfId="584" dataCellStyle="40% - Énfasis6">
      <calculatedColumnFormula>SUM(EPV_SARAMPION64666972737880818592[[#This Row],[D1]:[D6]])</calculatedColumnFormula>
    </tableColumn>
  </tableColumns>
  <tableStyleInfo name="TableStyleLight1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FA52E70C-E36C-49B1-B46D-F99C50D58672}" name="EPV_SARAMPION6466697273788081859294" displayName="EPV_SARAMPION6466697273788081859294" ref="S45:Z46" totalsRowShown="0" headerRowDxfId="583">
  <autoFilter ref="S45:Z46" xr:uid="{FA52E70C-E36C-49B1-B46D-F99C50D586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02DD1D8-65D3-45EB-9412-FDB7E3C82DAA}" name="CIE-10" dataCellStyle="20% - Énfasis4"/>
    <tableColumn id="2" xr3:uid="{13A4942E-8E8F-4255-B1C2-AE7E57A14E0C}" name="D1" dataDxfId="582">
      <calculatedColumnFormula>IF($AK$2="(Todas)",COUNTIF(BASE[CODCIE10],EPV_SARAMPION6466697273788081859294[[#This Row],[CIE-10]]),COUNTIFS(BASE[Cod.Establecimiento],$AK$2,BASE[CODCIE10],EPV_SARAMPION6466697273788081859294[[#This Row],[CIE-10]]))</calculatedColumnFormula>
    </tableColumn>
    <tableColumn id="3" xr3:uid="{3FC81637-758A-43E8-8E28-29B3B0711E3C}" name="D2" dataDxfId="581">
      <calculatedColumnFormula>IF($AK$2="(Todas)",COUNTIF(BASE[CODCIE102],EPV_SARAMPION6466697273788081859294[[#This Row],[CIE-10]]),COUNTIFS(BASE[Cod.Establecimiento],$AK$2,BASE[CODCIE102],EPV_SARAMPION6466697273788081859294[[#This Row],[CIE-10]]))</calculatedColumnFormula>
    </tableColumn>
    <tableColumn id="4" xr3:uid="{9860198B-F8D6-456C-AB9A-AEC25703ED84}" name="D3" dataDxfId="580">
      <calculatedColumnFormula>IF($AK$2="(Todas)",COUNTIF(BASE[CODCIE104],EPV_SARAMPION6466697273788081859294[[#This Row],[CIE-10]]),COUNTIFS(BASE[Cod.Establecimiento],$AK$2,BASE[CODCIE104],EPV_SARAMPION6466697273788081859294[[#This Row],[CIE-10]]))</calculatedColumnFormula>
    </tableColumn>
    <tableColumn id="5" xr3:uid="{AD370675-ABE9-45C0-94A5-D6051D11D36B}" name="D4" dataDxfId="579">
      <calculatedColumnFormula>IF($AK$2="(Todas)",COUNTIF(BASE[CODCIE106],EPV_SARAMPION6466697273788081859294[[#This Row],[CIE-10]]),COUNTIFS(BASE[Cod.Establecimiento],$AK$2,BASE[CODCIE106],EPV_SARAMPION6466697273788081859294[[#This Row],[CIE-10]]))</calculatedColumnFormula>
    </tableColumn>
    <tableColumn id="6" xr3:uid="{3536EF4C-84F4-4C6D-B668-672C17A1E63C}" name="D5" dataDxfId="578">
      <calculatedColumnFormula>IF($AK$2="(Todas)",COUNTIF(BASE[CODCIE108],EPV_SARAMPION6466697273788081859294[[#This Row],[CIE-10]]),COUNTIFS(BASE[Cod.Establecimiento],$AK$2,BASE[CODCIE108],EPV_SARAMPION6466697273788081859294[[#This Row],[CIE-10]]))</calculatedColumnFormula>
    </tableColumn>
    <tableColumn id="7" xr3:uid="{B567B408-B180-49B1-8E54-5B571CB827EB}" name="D6" dataDxfId="577">
      <calculatedColumnFormula>IF($AK$2="(Todas)",COUNTIF(BASE[CODCIE1010],EPV_SARAMPION6466697273788081859294[[#This Row],[CIE-10]]),COUNTIFS(BASE[Cod.Establecimiento],$AK$2,BASE[CODCIE1010],EPV_SARAMPION6466697273788081859294[[#This Row],[CIE-10]]))</calculatedColumnFormula>
    </tableColumn>
    <tableColumn id="8" xr3:uid="{E94E04B5-16DC-44F7-8EC6-6645076D9D63}" name="TOT" dataDxfId="576" dataCellStyle="40% - Énfasis6">
      <calculatedColumnFormula>SUM(EPV_SARAMPION6466697273788081859294[[#This Row],[D1]:[D6]])</calculatedColumnFormula>
    </tableColumn>
  </tableColumns>
  <tableStyleInfo name="TableStyleLight1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BE9E47FB-C722-42C3-AE8E-462C77D51FA1}" name="EPV_SARAMPION646669727378808185929495" displayName="EPV_SARAMPION646669727378808185929495" ref="AB45:AI46" totalsRowShown="0" headerRowDxfId="575">
  <autoFilter ref="AB45:AI46" xr:uid="{BE9E47FB-C722-42C3-AE8E-462C77D51F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7D91ACD-38EC-44E7-9372-FBC7384778AB}" name="CIE-10" dataCellStyle="20% - Énfasis4"/>
    <tableColumn id="2" xr3:uid="{CE75A479-60BE-435C-823B-FB1C6A54C46A}" name="D1" dataDxfId="574">
      <calculatedColumnFormula>IF($AK$2="(Todas)",COUNTIF(BASE[CODCIE10],EPV_SARAMPION646669727378808185929495[[#This Row],[CIE-10]]),COUNTIFS(BASE[Cod.Establecimiento],$AK$2,BASE[CODCIE10],EPV_SARAMPION646669727378808185929495[[#This Row],[CIE-10]]))</calculatedColumnFormula>
    </tableColumn>
    <tableColumn id="3" xr3:uid="{23E66158-9D20-42BB-8E10-B93E741C3DDE}" name="D2" dataDxfId="573">
      <calculatedColumnFormula>IF($AK$2="(Todas)",COUNTIF(BASE[CODCIE102],EPV_SARAMPION646669727378808185929495[[#This Row],[CIE-10]]),COUNTIFS(BASE[Cod.Establecimiento],$AK$2,BASE[CODCIE102],EPV_SARAMPION646669727378808185929495[[#This Row],[CIE-10]]))</calculatedColumnFormula>
    </tableColumn>
    <tableColumn id="4" xr3:uid="{3820E649-DFBC-499E-A8FE-E4D51A0172F6}" name="D3" dataDxfId="572">
      <calculatedColumnFormula>IF($AK$2="(Todas)",COUNTIF(BASE[CODCIE104],EPV_SARAMPION646669727378808185929495[[#This Row],[CIE-10]]),COUNTIFS(BASE[Cod.Establecimiento],$AK$2,BASE[CODCIE104],EPV_SARAMPION646669727378808185929495[[#This Row],[CIE-10]]))</calculatedColumnFormula>
    </tableColumn>
    <tableColumn id="5" xr3:uid="{1791C673-D43F-4B63-9856-494E43E785B0}" name="D4" dataDxfId="571">
      <calculatedColumnFormula>IF($AK$2="(Todas)",COUNTIF(BASE[CODCIE106],EPV_SARAMPION646669727378808185929495[[#This Row],[CIE-10]]),COUNTIFS(BASE[Cod.Establecimiento],$AK$2,BASE[CODCIE106],EPV_SARAMPION646669727378808185929495[[#This Row],[CIE-10]]))</calculatedColumnFormula>
    </tableColumn>
    <tableColumn id="6" xr3:uid="{22533AF6-B00C-4A65-B86D-650E3AE25FBF}" name="D5" dataDxfId="570">
      <calculatedColumnFormula>IF($AK$2="(Todas)",COUNTIF(BASE[CODCIE108],EPV_SARAMPION646669727378808185929495[[#This Row],[CIE-10]]),COUNTIFS(BASE[Cod.Establecimiento],$AK$2,BASE[CODCIE108],EPV_SARAMPION646669727378808185929495[[#This Row],[CIE-10]]))</calculatedColumnFormula>
    </tableColumn>
    <tableColumn id="7" xr3:uid="{15EC2CC2-2BDA-4650-A19A-C2EEF9B89ED3}" name="D6" dataDxfId="569">
      <calculatedColumnFormula>IF($AK$2="(Todas)",COUNTIF(BASE[CODCIE1010],EPV_SARAMPION646669727378808185929495[[#This Row],[CIE-10]]),COUNTIFS(BASE[Cod.Establecimiento],$AK$2,BASE[CODCIE1010],EPV_SARAMPION646669727378808185929495[[#This Row],[CIE-10]]))</calculatedColumnFormula>
    </tableColumn>
    <tableColumn id="8" xr3:uid="{AAB22664-C648-475D-A109-1137CDE3F3D7}" name="TOT" dataDxfId="568" dataCellStyle="40% - Énfasis6">
      <calculatedColumnFormula>SUM(EPV_SARAMPION646669727378808185929495[[#This Row],[D1]:[D6]])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PV_TETANOS_OTRAS_EDADES" displayName="EPV_TETANOS_OTRAS_EDADES" ref="AB19:AI20" totalsRowShown="0" headerRowDxfId="1215">
  <autoFilter ref="AB19:AI20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800-000001000000}" name="CIE-10" dataCellStyle="20% - Énfasis4"/>
    <tableColumn id="2" xr3:uid="{00000000-0010-0000-0800-000002000000}" name="D1" dataDxfId="1214">
      <calculatedColumnFormula>IF($AK$2="(Todas)",COUNTIF(BASE[CODCIE10],EPV_TETANOS_OTRAS_EDADES[[#This Row],[CIE-10]]),COUNTIFS(BASE[Cod.Establecimiento],$AK$2,BASE[CODCIE10],EPV_TETANOS_OTRAS_EDADES[[#This Row],[CIE-10]]))</calculatedColumnFormula>
    </tableColumn>
    <tableColumn id="3" xr3:uid="{00000000-0010-0000-0800-000003000000}" name="D2" dataDxfId="1213">
      <calculatedColumnFormula>IF($AK$2="(Todas)",COUNTIF(BASE[CODCIE102],EPV_TETANOS_OTRAS_EDADES[[#This Row],[CIE-10]]),COUNTIFS(BASE[Cod.Establecimiento],$AK$2,BASE[CODCIE102],EPV_TETANOS_OTRAS_EDADES[[#This Row],[CIE-10]]))</calculatedColumnFormula>
    </tableColumn>
    <tableColumn id="4" xr3:uid="{00000000-0010-0000-0800-000004000000}" name="D3" dataDxfId="1212">
      <calculatedColumnFormula>IF($AK$2="(Todas)",COUNTIF(BASE[CODCIE104],EPV_TETANOS_OTRAS_EDADES[[#This Row],[CIE-10]]),COUNTIFS(BASE[Cod.Establecimiento],$AK$2,BASE[CODCIE104],EPV_TETANOS_OTRAS_EDADES[[#This Row],[CIE-10]]))</calculatedColumnFormula>
    </tableColumn>
    <tableColumn id="5" xr3:uid="{00000000-0010-0000-0800-000005000000}" name="D4" dataDxfId="1211">
      <calculatedColumnFormula>IF($AK$2="(Todas)",COUNTIF(BASE[CODCIE106],EPV_TETANOS_OTRAS_EDADES[[#This Row],[CIE-10]]),COUNTIFS(BASE[Cod.Establecimiento],$AK$2,BASE[CODCIE106],EPV_TETANOS_OTRAS_EDADES[[#This Row],[CIE-10]]))</calculatedColumnFormula>
    </tableColumn>
    <tableColumn id="6" xr3:uid="{00000000-0010-0000-0800-000006000000}" name="D5" dataDxfId="1210">
      <calculatedColumnFormula>IF($AK$2="(Todas)",COUNTIF(BASE[CODCIE108],EPV_TETANOS_OTRAS_EDADES[[#This Row],[CIE-10]]),COUNTIFS(BASE[Cod.Establecimiento],$AK$2,BASE[CODCIE108],EPV_TETANOS_OTRAS_EDADES[[#This Row],[CIE-10]]))</calculatedColumnFormula>
    </tableColumn>
    <tableColumn id="7" xr3:uid="{00000000-0010-0000-0800-000007000000}" name="D6" dataDxfId="1209">
      <calculatedColumnFormula>IF($AK$2="(Todas)",COUNTIF(BASE[CODCIE1010],EPV_TETANOS_OTRAS_EDADES[[#This Row],[CIE-10]]),COUNTIFS(BASE[Cod.Establecimiento],$AK$2,BASE[CODCIE1010],EPV_TETANOS_OTRAS_EDADES[[#This Row],[CIE-10]]))</calculatedColumnFormula>
    </tableColumn>
    <tableColumn id="8" xr3:uid="{00000000-0010-0000-0800-000008000000}" name="TOT" dataDxfId="1208" dataCellStyle="40% - Énfasis6">
      <calculatedColumnFormula>SUM(EPV_TETANOS_OTRAS_EDADES[[#This Row],[D1]:[D6]])</calculatedColumnFormula>
    </tableColumn>
  </tableColumns>
  <tableStyleInfo name="TableStyleLight1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9A27300-640E-46A4-82EC-AEBD6F12FBCA}" name="EPV_SARAMPION6466697273788081859296" displayName="EPV_SARAMPION6466697273788081859296" ref="J50:Q51" totalsRowShown="0" headerRowDxfId="567">
  <autoFilter ref="J50:Q51" xr:uid="{D9A27300-640E-46A4-82EC-AEBD6F12FB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237DC00-8984-401B-8F07-0B30F2CE4119}" name="CIE-10" dataCellStyle="20% - Énfasis4"/>
    <tableColumn id="2" xr3:uid="{F587C5AB-95A4-4E67-A14C-ECA2B29ECA52}" name="D1" dataDxfId="566">
      <calculatedColumnFormula>IF($AK$2="(Todas)",COUNTIF(BASE[CODCIE10],EPV_SARAMPION6466697273788081859296[[#This Row],[CIE-10]]),COUNTIFS(BASE[Cod.Establecimiento],$AK$2,BASE[CODCIE10],EPV_SARAMPION6466697273788081859296[[#This Row],[CIE-10]]))</calculatedColumnFormula>
    </tableColumn>
    <tableColumn id="3" xr3:uid="{EA762E63-4728-4B62-8EC2-2937AD2A9053}" name="D2" dataDxfId="565">
      <calculatedColumnFormula>IF($AK$2="(Todas)",COUNTIF(BASE[CODCIE102],EPV_SARAMPION6466697273788081859296[[#This Row],[CIE-10]]),COUNTIFS(BASE[Cod.Establecimiento],$AK$2,BASE[CODCIE102],EPV_SARAMPION6466697273788081859296[[#This Row],[CIE-10]]))</calculatedColumnFormula>
    </tableColumn>
    <tableColumn id="4" xr3:uid="{16F6C650-5A2C-4702-ACE1-B6DD8E0EB11A}" name="D3" dataDxfId="564">
      <calculatedColumnFormula>IF($AK$2="(Todas)",COUNTIF(BASE[CODCIE104],EPV_SARAMPION6466697273788081859296[[#This Row],[CIE-10]]),COUNTIFS(BASE[Cod.Establecimiento],$AK$2,BASE[CODCIE104],EPV_SARAMPION6466697273788081859296[[#This Row],[CIE-10]]))</calculatedColumnFormula>
    </tableColumn>
    <tableColumn id="5" xr3:uid="{F019AA70-6F31-45EE-B38C-B56F012B491F}" name="D4" dataDxfId="563">
      <calculatedColumnFormula>IF($AK$2="(Todas)",COUNTIF(BASE[CODCIE106],EPV_SARAMPION6466697273788081859296[[#This Row],[CIE-10]]),COUNTIFS(BASE[Cod.Establecimiento],$AK$2,BASE[CODCIE106],EPV_SARAMPION6466697273788081859296[[#This Row],[CIE-10]]))</calculatedColumnFormula>
    </tableColumn>
    <tableColumn id="6" xr3:uid="{D8933E45-697A-4046-ABE3-259E3E20A997}" name="D5" dataDxfId="562">
      <calculatedColumnFormula>IF($AK$2="(Todas)",COUNTIF(BASE[CODCIE108],EPV_SARAMPION6466697273788081859296[[#This Row],[CIE-10]]),COUNTIFS(BASE[Cod.Establecimiento],$AK$2,BASE[CODCIE108],EPV_SARAMPION6466697273788081859296[[#This Row],[CIE-10]]))</calculatedColumnFormula>
    </tableColumn>
    <tableColumn id="7" xr3:uid="{6CCF512D-C69F-4703-A512-A406D3B37EFB}" name="D6" dataDxfId="561">
      <calculatedColumnFormula>IF($AK$2="(Todas)",COUNTIF(BASE[CODCIE1010],EPV_SARAMPION6466697273788081859296[[#This Row],[CIE-10]]),COUNTIFS(BASE[Cod.Establecimiento],$AK$2,BASE[CODCIE1010],EPV_SARAMPION6466697273788081859296[[#This Row],[CIE-10]]))</calculatedColumnFormula>
    </tableColumn>
    <tableColumn id="8" xr3:uid="{194224B7-B3D5-4E9A-ABC4-5A31A4E80FC9}" name="TOT" dataDxfId="560" dataCellStyle="40% - Énfasis6">
      <calculatedColumnFormula>SUM(EPV_SARAMPION6466697273788081859296[[#This Row],[D1]:[D6]])</calculatedColumnFormula>
    </tableColumn>
  </tableColumns>
  <tableStyleInfo name="TableStyleLight1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F9971295-2306-4C2B-8E32-8A9D2789CFC7}" name="EPV_SARAMPION646669727378808185929697" displayName="EPV_SARAMPION646669727378808185929697" ref="S50:Z51" totalsRowShown="0" headerRowDxfId="559">
  <autoFilter ref="S50:Z51" xr:uid="{F9971295-2306-4C2B-8E32-8A9D2789CFC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0063A0E-36C5-4577-B936-DBEEF6ACDB97}" name="CIE-10" dataCellStyle="20% - Énfasis4"/>
    <tableColumn id="2" xr3:uid="{24929F87-0A46-41E1-A6C4-1F2BDCFC161E}" name="D1" dataDxfId="558">
      <calculatedColumnFormula>IF($AK$2="(Todas)",COUNTIF(BASE[CODCIE10],EPV_SARAMPION646669727378808185929697[[#This Row],[CIE-10]]),COUNTIFS(BASE[Cod.Establecimiento],$AK$2,BASE[CODCIE10],EPV_SARAMPION646669727378808185929697[[#This Row],[CIE-10]]))</calculatedColumnFormula>
    </tableColumn>
    <tableColumn id="3" xr3:uid="{E51A96B6-CEEA-44EB-AAE7-516F3A528D26}" name="D2" dataDxfId="557">
      <calculatedColumnFormula>IF($AK$2="(Todas)",COUNTIF(BASE[CODCIE102],EPV_SARAMPION646669727378808185929697[[#This Row],[CIE-10]]),COUNTIFS(BASE[Cod.Establecimiento],$AK$2,BASE[CODCIE102],EPV_SARAMPION646669727378808185929697[[#This Row],[CIE-10]]))</calculatedColumnFormula>
    </tableColumn>
    <tableColumn id="4" xr3:uid="{F0504F55-F3BF-43FF-9489-02F9DCF94815}" name="D3" dataDxfId="556">
      <calculatedColumnFormula>IF($AK$2="(Todas)",COUNTIF(BASE[CODCIE104],EPV_SARAMPION646669727378808185929697[[#This Row],[CIE-10]]),COUNTIFS(BASE[Cod.Establecimiento],$AK$2,BASE[CODCIE104],EPV_SARAMPION646669727378808185929697[[#This Row],[CIE-10]]))</calculatedColumnFormula>
    </tableColumn>
    <tableColumn id="5" xr3:uid="{EFDA1F8D-A9CE-44B6-8B06-8340857A3D58}" name="D4" dataDxfId="555">
      <calculatedColumnFormula>IF($AK$2="(Todas)",COUNTIF(BASE[CODCIE106],EPV_SARAMPION646669727378808185929697[[#This Row],[CIE-10]]),COUNTIFS(BASE[Cod.Establecimiento],$AK$2,BASE[CODCIE106],EPV_SARAMPION646669727378808185929697[[#This Row],[CIE-10]]))</calculatedColumnFormula>
    </tableColumn>
    <tableColumn id="6" xr3:uid="{10DE1CB9-A7C9-482C-845C-DFC468A52085}" name="D5" dataDxfId="554">
      <calculatedColumnFormula>IF($AK$2="(Todas)",COUNTIF(BASE[CODCIE108],EPV_SARAMPION646669727378808185929697[[#This Row],[CIE-10]]),COUNTIFS(BASE[Cod.Establecimiento],$AK$2,BASE[CODCIE108],EPV_SARAMPION646669727378808185929697[[#This Row],[CIE-10]]))</calculatedColumnFormula>
    </tableColumn>
    <tableColumn id="7" xr3:uid="{1C390C1D-D4FE-4EF0-B392-1508DACB5FF5}" name="D6" dataDxfId="553">
      <calculatedColumnFormula>IF($AK$2="(Todas)",COUNTIF(BASE[CODCIE1010],EPV_SARAMPION646669727378808185929697[[#This Row],[CIE-10]]),COUNTIFS(BASE[Cod.Establecimiento],$AK$2,BASE[CODCIE1010],EPV_SARAMPION646669727378808185929697[[#This Row],[CIE-10]]))</calculatedColumnFormula>
    </tableColumn>
    <tableColumn id="8" xr3:uid="{F3D08597-9E25-4AB4-B47E-8BB0DCF224D4}" name="TOT" dataDxfId="552" dataCellStyle="40% - Énfasis6">
      <calculatedColumnFormula>SUM(EPV_SARAMPION646669727378808185929697[[#This Row],[D1]:[D6]])</calculatedColumnFormula>
    </tableColumn>
  </tableColumns>
  <tableStyleInfo name="TableStyleLight1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B76880D-F4A4-409F-9FC2-CEAB7F439F9B}" name="EPV_SARAMPION64666972737880818592969798" displayName="EPV_SARAMPION64666972737880818592969798" ref="AB50:AI51" totalsRowShown="0" headerRowDxfId="551">
  <autoFilter ref="AB50:AI51" xr:uid="{0B76880D-F4A4-409F-9FC2-CEAB7F439F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0CEBA50-94AE-4E04-B5B6-D0D1C943A88A}" name="CIE-10" dataCellStyle="20% - Énfasis4"/>
    <tableColumn id="2" xr3:uid="{AEE9D4E5-F1A1-47F5-9A42-134BB72E9EDE}" name="D1" dataDxfId="550">
      <calculatedColumnFormula>IF($AK$2="(Todas)",COUNTIF(BASE[CODCIE10],EPV_SARAMPION64666972737880818592969798[[#This Row],[CIE-10]]),COUNTIFS(BASE[Cod.Establecimiento],$AK$2,BASE[CODCIE10],EPV_SARAMPION64666972737880818592969798[[#This Row],[CIE-10]]))</calculatedColumnFormula>
    </tableColumn>
    <tableColumn id="3" xr3:uid="{669882AE-EC8E-424C-8164-CD9D0CE03F01}" name="D2" dataDxfId="549">
      <calculatedColumnFormula>IF($AK$2="(Todas)",COUNTIF(BASE[CODCIE102],EPV_SARAMPION64666972737880818592969798[[#This Row],[CIE-10]]),COUNTIFS(BASE[Cod.Establecimiento],$AK$2,BASE[CODCIE102],EPV_SARAMPION64666972737880818592969798[[#This Row],[CIE-10]]))</calculatedColumnFormula>
    </tableColumn>
    <tableColumn id="4" xr3:uid="{236E0395-8D44-427B-9A61-3ECE9E4BE61F}" name="D3" dataDxfId="548">
      <calculatedColumnFormula>IF($AK$2="(Todas)",COUNTIF(BASE[CODCIE104],EPV_SARAMPION64666972737880818592969798[[#This Row],[CIE-10]]),COUNTIFS(BASE[Cod.Establecimiento],$AK$2,BASE[CODCIE104],EPV_SARAMPION64666972737880818592969798[[#This Row],[CIE-10]]))</calculatedColumnFormula>
    </tableColumn>
    <tableColumn id="5" xr3:uid="{F67B9E07-F09A-4B3F-97A3-F260AB4BD175}" name="D4" dataDxfId="547">
      <calculatedColumnFormula>IF($AK$2="(Todas)",COUNTIF(BASE[CODCIE106],EPV_SARAMPION64666972737880818592969798[[#This Row],[CIE-10]]),COUNTIFS(BASE[Cod.Establecimiento],$AK$2,BASE[CODCIE106],EPV_SARAMPION64666972737880818592969798[[#This Row],[CIE-10]]))</calculatedColumnFormula>
    </tableColumn>
    <tableColumn id="6" xr3:uid="{DAEADD49-89E2-49A0-8D8E-D9F679E879E0}" name="D5" dataDxfId="546">
      <calculatedColumnFormula>IF($AK$2="(Todas)",COUNTIF(BASE[CODCIE108],EPV_SARAMPION64666972737880818592969798[[#This Row],[CIE-10]]),COUNTIFS(BASE[Cod.Establecimiento],$AK$2,BASE[CODCIE108],EPV_SARAMPION64666972737880818592969798[[#This Row],[CIE-10]]))</calculatedColumnFormula>
    </tableColumn>
    <tableColumn id="7" xr3:uid="{72BFC934-DFFB-4BE3-BD1A-1DFE0F316E7E}" name="D6" dataDxfId="545">
      <calculatedColumnFormula>IF($AK$2="(Todas)",COUNTIF(BASE[CODCIE1010],EPV_SARAMPION64666972737880818592969798[[#This Row],[CIE-10]]),COUNTIFS(BASE[Cod.Establecimiento],$AK$2,BASE[CODCIE1010],EPV_SARAMPION64666972737880818592969798[[#This Row],[CIE-10]]))</calculatedColumnFormula>
    </tableColumn>
    <tableColumn id="8" xr3:uid="{65C517C0-FE5B-488A-B2F3-1C474D735609}" name="TOT" dataDxfId="544" dataCellStyle="40% - Énfasis6">
      <calculatedColumnFormula>SUM(EPV_SARAMPION64666972737880818592969798[[#This Row],[D1]:[D6]])</calculatedColumnFormula>
    </tableColumn>
  </tableColumns>
  <tableStyleInfo name="TableStyleLight1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B8C7D233-E4A5-43E5-8771-EA8A2E3C3A0A}" name="EPV_SARAMPION64666972737880818592969798100" displayName="EPV_SARAMPION64666972737880818592969798100" ref="A55:H56" totalsRowShown="0" headerRowDxfId="543">
  <autoFilter ref="A55:H56" xr:uid="{B8C7D233-E4A5-43E5-8771-EA8A2E3C3A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051965D-58BD-45A0-BD99-99FDBC956DEE}" name="CIE-10" dataCellStyle="20% - Énfasis4"/>
    <tableColumn id="2" xr3:uid="{1349AB3A-8106-4005-B2AC-8D24126AC24D}" name="D1" dataDxfId="542">
      <calculatedColumnFormula>IF($AK$2="(Todas)",COUNTIF(BASE[CODCIE10],EPV_SARAMPION64666972737880818592969798100[[#This Row],[CIE-10]]),COUNTIFS(BASE[Cod.Establecimiento],$AK$2,BASE[CODCIE10],EPV_SARAMPION64666972737880818592969798100[[#This Row],[CIE-10]]))</calculatedColumnFormula>
    </tableColumn>
    <tableColumn id="3" xr3:uid="{1E02A14F-C904-4BD0-8041-9E24225F659E}" name="D2" dataDxfId="541">
      <calculatedColumnFormula>IF($AK$2="(Todas)",COUNTIF(BASE[CODCIE102],EPV_SARAMPION64666972737880818592969798100[[#This Row],[CIE-10]]),COUNTIFS(BASE[Cod.Establecimiento],$AK$2,BASE[CODCIE102],EPV_SARAMPION64666972737880818592969798100[[#This Row],[CIE-10]]))</calculatedColumnFormula>
    </tableColumn>
    <tableColumn id="4" xr3:uid="{17CCD88A-9AD7-457D-AF23-3CCA40BF64AB}" name="D3" dataDxfId="540">
      <calculatedColumnFormula>IF($AK$2="(Todas)",COUNTIF(BASE[CODCIE104],EPV_SARAMPION64666972737880818592969798100[[#This Row],[CIE-10]]),COUNTIFS(BASE[Cod.Establecimiento],$AK$2,BASE[CODCIE104],EPV_SARAMPION64666972737880818592969798100[[#This Row],[CIE-10]]))</calculatedColumnFormula>
    </tableColumn>
    <tableColumn id="5" xr3:uid="{D006C0CB-18B0-4A6E-BB1E-AE9091B2FC9B}" name="D4" dataDxfId="539">
      <calculatedColumnFormula>IF($AK$2="(Todas)",COUNTIF(BASE[CODCIE106],EPV_SARAMPION64666972737880818592969798100[[#This Row],[CIE-10]]),COUNTIFS(BASE[Cod.Establecimiento],$AK$2,BASE[CODCIE106],EPV_SARAMPION64666972737880818592969798100[[#This Row],[CIE-10]]))</calculatedColumnFormula>
    </tableColumn>
    <tableColumn id="6" xr3:uid="{457ABB58-6ED8-441A-A376-A8C903FC7C7E}" name="D5" dataDxfId="538">
      <calculatedColumnFormula>IF($AK$2="(Todas)",COUNTIF(BASE[CODCIE108],EPV_SARAMPION64666972737880818592969798100[[#This Row],[CIE-10]]),COUNTIFS(BASE[Cod.Establecimiento],$AK$2,BASE[CODCIE108],EPV_SARAMPION64666972737880818592969798100[[#This Row],[CIE-10]]))</calculatedColumnFormula>
    </tableColumn>
    <tableColumn id="7" xr3:uid="{F6E61348-ACD6-4ADC-BAEC-43FBFD75DF64}" name="D6" dataDxfId="537">
      <calculatedColumnFormula>IF($AK$2="(Todas)",COUNTIF(BASE[CODCIE1010],EPV_SARAMPION64666972737880818592969798100[[#This Row],[CIE-10]]),COUNTIFS(BASE[Cod.Establecimiento],$AK$2,BASE[CODCIE1010],EPV_SARAMPION64666972737880818592969798100[[#This Row],[CIE-10]]))</calculatedColumnFormula>
    </tableColumn>
    <tableColumn id="8" xr3:uid="{D3730F58-FBC0-4585-BBE9-CC0ECE501D6B}" name="TOT" dataDxfId="536" dataCellStyle="40% - Énfasis6">
      <calculatedColumnFormula>SUM(EPV_SARAMPION64666972737880818592969798100[[#This Row],[D1]:[D6]])</calculatedColumnFormula>
    </tableColumn>
  </tableColumns>
  <tableStyleInfo name="TableStyleLight1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295CE918-C255-4ACA-81A0-33ADEACDB2E2}" name="EPV_SARAMPION6466697273788081859296979810068" displayName="EPV_SARAMPION6466697273788081859296979810068" ref="J55:Q56" totalsRowShown="0" headerRowDxfId="535">
  <autoFilter ref="J55:Q56" xr:uid="{295CE918-C255-4ACA-81A0-33ADEACDB2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1F52E2B-A291-488D-8B13-7FC4C0D38FC5}" name="CIE-10" dataCellStyle="20% - Énfasis4"/>
    <tableColumn id="2" xr3:uid="{7AB0ACF7-CD53-4CF2-9AA3-BDCDE26025FE}" name="D1" dataDxfId="534">
      <calculatedColumnFormula>IF($AK$2="(Todas)",COUNTIF(BASE[CODCIE10],EPV_SARAMPION6466697273788081859296979810068[[#This Row],[CIE-10]]),COUNTIFS(BASE[Cod.Establecimiento],$AK$2,BASE[CODCIE10],EPV_SARAMPION6466697273788081859296979810068[[#This Row],[CIE-10]]))</calculatedColumnFormula>
    </tableColumn>
    <tableColumn id="3" xr3:uid="{E77D908F-0BFB-4489-9D66-EDEC29A66EB2}" name="D2" dataDxfId="533">
      <calculatedColumnFormula>IF($AK$2="(Todas)",COUNTIF(BASE[CODCIE102],EPV_SARAMPION6466697273788081859296979810068[[#This Row],[CIE-10]]),COUNTIFS(BASE[Cod.Establecimiento],$AK$2,BASE[CODCIE102],EPV_SARAMPION6466697273788081859296979810068[[#This Row],[CIE-10]]))</calculatedColumnFormula>
    </tableColumn>
    <tableColumn id="4" xr3:uid="{A4AA87F4-A1D7-40EE-9FEB-3784CF8136A5}" name="D3" dataDxfId="532">
      <calculatedColumnFormula>IF($AK$2="(Todas)",COUNTIF(BASE[CODCIE104],EPV_SARAMPION6466697273788081859296979810068[[#This Row],[CIE-10]]),COUNTIFS(BASE[Cod.Establecimiento],$AK$2,BASE[CODCIE104],EPV_SARAMPION6466697273788081859296979810068[[#This Row],[CIE-10]]))</calculatedColumnFormula>
    </tableColumn>
    <tableColumn id="5" xr3:uid="{D8C32128-AE63-4096-A95F-7255582B1C16}" name="D4" dataDxfId="531">
      <calculatedColumnFormula>IF($AK$2="(Todas)",COUNTIF(BASE[CODCIE106],EPV_SARAMPION6466697273788081859296979810068[[#This Row],[CIE-10]]),COUNTIFS(BASE[Cod.Establecimiento],$AK$2,BASE[CODCIE106],EPV_SARAMPION6466697273788081859296979810068[[#This Row],[CIE-10]]))</calculatedColumnFormula>
    </tableColumn>
    <tableColumn id="6" xr3:uid="{5487BE99-957B-4298-B634-130588B17F0E}" name="D5" dataDxfId="530">
      <calculatedColumnFormula>IF($AK$2="(Todas)",COUNTIF(BASE[CODCIE108],EPV_SARAMPION6466697273788081859296979810068[[#This Row],[CIE-10]]),COUNTIFS(BASE[Cod.Establecimiento],$AK$2,BASE[CODCIE108],EPV_SARAMPION6466697273788081859296979810068[[#This Row],[CIE-10]]))</calculatedColumnFormula>
    </tableColumn>
    <tableColumn id="7" xr3:uid="{9655F28A-E26E-4A7E-93D8-20FD0641C00D}" name="D6" dataDxfId="529">
      <calculatedColumnFormula>IF($AK$2="(Todas)",COUNTIF(BASE[CODCIE1010],EPV_SARAMPION6466697273788081859296979810068[[#This Row],[CIE-10]]),COUNTIFS(BASE[Cod.Establecimiento],$AK$2,BASE[CODCIE1010],EPV_SARAMPION6466697273788081859296979810068[[#This Row],[CIE-10]]))</calculatedColumnFormula>
    </tableColumn>
    <tableColumn id="8" xr3:uid="{AA21050B-FE91-49E7-972A-E846C2C72E39}" name="TOT" dataDxfId="528" dataCellStyle="40% - Énfasis6">
      <calculatedColumnFormula>SUM(EPV_SARAMPION6466697273788081859296979810068[[#This Row],[D1]:[D6]])</calculatedColumnFormula>
    </tableColumn>
  </tableColumns>
  <tableStyleInfo name="TableStyleLight1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68BDBDF-D572-4549-8427-37A4218A1152}" name="EPV_SARAMPION646669727378808185929697981006879" displayName="EPV_SARAMPION646669727378808185929697981006879" ref="S55:Z56" totalsRowShown="0" headerRowDxfId="527">
  <autoFilter ref="S55:Z56" xr:uid="{068BDBDF-D572-4549-8427-37A4218A11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8F53AEB-E403-4685-BE95-3367064108C7}" name="CIE-10" dataCellStyle="20% - Énfasis4"/>
    <tableColumn id="2" xr3:uid="{57B749B8-6C69-4920-8F9A-8536482F7E7E}" name="D1" dataDxfId="526">
      <calculatedColumnFormula>IF($AK$2="(Todas)",COUNTIF(BASE[CODCIE10],EPV_SARAMPION646669727378808185929697981006879[[#This Row],[CIE-10]]),COUNTIFS(BASE[Cod.Establecimiento],$AK$2,BASE[CODCIE10],EPV_SARAMPION646669727378808185929697981006879[[#This Row],[CIE-10]]))</calculatedColumnFormula>
    </tableColumn>
    <tableColumn id="3" xr3:uid="{D325EAB3-0D69-4B66-BFC5-C5C30A99A181}" name="D2" dataDxfId="525">
      <calculatedColumnFormula>IF($AK$2="(Todas)",COUNTIF(BASE[CODCIE102],EPV_SARAMPION646669727378808185929697981006879[[#This Row],[CIE-10]]),COUNTIFS(BASE[Cod.Establecimiento],$AK$2,BASE[CODCIE102],EPV_SARAMPION646669727378808185929697981006879[[#This Row],[CIE-10]]))</calculatedColumnFormula>
    </tableColumn>
    <tableColumn id="4" xr3:uid="{4EEF2292-2C69-47E0-B98D-3513DF124BB4}" name="D3" dataDxfId="524">
      <calculatedColumnFormula>IF($AK$2="(Todas)",COUNTIF(BASE[CODCIE104],EPV_SARAMPION646669727378808185929697981006879[[#This Row],[CIE-10]]),COUNTIFS(BASE[Cod.Establecimiento],$AK$2,BASE[CODCIE104],EPV_SARAMPION646669727378808185929697981006879[[#This Row],[CIE-10]]))</calculatedColumnFormula>
    </tableColumn>
    <tableColumn id="5" xr3:uid="{13F14828-8915-4BD8-9893-E2E82E2F8DA0}" name="D4" dataDxfId="523">
      <calculatedColumnFormula>IF($AK$2="(Todas)",COUNTIF(BASE[CODCIE106],EPV_SARAMPION646669727378808185929697981006879[[#This Row],[CIE-10]]),COUNTIFS(BASE[Cod.Establecimiento],$AK$2,BASE[CODCIE106],EPV_SARAMPION646669727378808185929697981006879[[#This Row],[CIE-10]]))</calculatedColumnFormula>
    </tableColumn>
    <tableColumn id="6" xr3:uid="{53E8E14B-3E0C-43E5-84C9-7E613E7BC872}" name="D5" dataDxfId="522">
      <calculatedColumnFormula>IF($AK$2="(Todas)",COUNTIF(BASE[CODCIE108],EPV_SARAMPION646669727378808185929697981006879[[#This Row],[CIE-10]]),COUNTIFS(BASE[Cod.Establecimiento],$AK$2,BASE[CODCIE108],EPV_SARAMPION646669727378808185929697981006879[[#This Row],[CIE-10]]))</calculatedColumnFormula>
    </tableColumn>
    <tableColumn id="7" xr3:uid="{86B7CE63-5D40-43FD-A669-D4C040F0135E}" name="D6" dataDxfId="521">
      <calculatedColumnFormula>IF($AK$2="(Todas)",COUNTIF(BASE[CODCIE1010],EPV_SARAMPION646669727378808185929697981006879[[#This Row],[CIE-10]]),COUNTIFS(BASE[Cod.Establecimiento],$AK$2,BASE[CODCIE1010],EPV_SARAMPION646669727378808185929697981006879[[#This Row],[CIE-10]]))</calculatedColumnFormula>
    </tableColumn>
    <tableColumn id="8" xr3:uid="{EA67C55C-B68A-4DA3-9FC1-F688A795470F}" name="TOT" dataDxfId="520" dataCellStyle="40% - Énfasis6">
      <calculatedColumnFormula>SUM(EPV_SARAMPION646669727378808185929697981006879[[#This Row],[D1]:[D6]])</calculatedColumnFormula>
    </tableColumn>
  </tableColumns>
  <tableStyleInfo name="TableStyleLight1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6F6E8278-C56E-4707-A064-C74ABF262CEC}" name="EPV_SARAMPION64666972737880818592969798100687989" displayName="EPV_SARAMPION64666972737880818592969798100687989" ref="A60:H63" totalsRowShown="0" headerRowDxfId="519">
  <autoFilter ref="A60:H63" xr:uid="{6F6E8278-C56E-4707-A064-C74ABF262C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6A887AA-6223-4F4C-A5D7-2119B5DF8D17}" name="CIE-10" dataCellStyle="20% - Énfasis4"/>
    <tableColumn id="2" xr3:uid="{B875CF0A-DE84-4B0E-B83A-E21A9D40E850}" name="D1" dataDxfId="518">
      <calculatedColumnFormula>IF($AK$2="(Todas)",COUNTIF(BASE[CODCIE10],EPV_SARAMPION64666972737880818592969798100687989[[#This Row],[CIE-10]]),COUNTIFS(BASE[Cod.Establecimiento],$AK$2,BASE[CODCIE10],EPV_SARAMPION64666972737880818592969798100687989[[#This Row],[CIE-10]]))</calculatedColumnFormula>
    </tableColumn>
    <tableColumn id="3" xr3:uid="{42860E92-B5DE-43E2-8EEA-32912E7A6276}" name="D2" dataDxfId="517">
      <calculatedColumnFormula>IF($AK$2="(Todas)",COUNTIF(BASE[CODCIE102],EPV_SARAMPION64666972737880818592969798100687989[[#This Row],[CIE-10]]),COUNTIFS(BASE[Cod.Establecimiento],$AK$2,BASE[CODCIE102],EPV_SARAMPION64666972737880818592969798100687989[[#This Row],[CIE-10]]))</calculatedColumnFormula>
    </tableColumn>
    <tableColumn id="4" xr3:uid="{40C248E3-DA90-4F56-93CD-2E656D207A0E}" name="D3" dataDxfId="516">
      <calculatedColumnFormula>IF($AK$2="(Todas)",COUNTIF(BASE[CODCIE104],EPV_SARAMPION64666972737880818592969798100687989[[#This Row],[CIE-10]]),COUNTIFS(BASE[Cod.Establecimiento],$AK$2,BASE[CODCIE104],EPV_SARAMPION64666972737880818592969798100687989[[#This Row],[CIE-10]]))</calculatedColumnFormula>
    </tableColumn>
    <tableColumn id="5" xr3:uid="{08D8B2B3-DABD-43EC-927C-9309AA280432}" name="D4" dataDxfId="515">
      <calculatedColumnFormula>IF($AK$2="(Todas)",COUNTIF(BASE[CODCIE106],EPV_SARAMPION64666972737880818592969798100687989[[#This Row],[CIE-10]]),COUNTIFS(BASE[Cod.Establecimiento],$AK$2,BASE[CODCIE106],EPV_SARAMPION64666972737880818592969798100687989[[#This Row],[CIE-10]]))</calculatedColumnFormula>
    </tableColumn>
    <tableColumn id="6" xr3:uid="{ACE02ED0-CBB8-4F19-B82B-43B2D907EF9F}" name="D5" dataDxfId="514">
      <calculatedColumnFormula>IF($AK$2="(Todas)",COUNTIF(BASE[CODCIE108],EPV_SARAMPION64666972737880818592969798100687989[[#This Row],[CIE-10]]),COUNTIFS(BASE[Cod.Establecimiento],$AK$2,BASE[CODCIE108],EPV_SARAMPION64666972737880818592969798100687989[[#This Row],[CIE-10]]))</calculatedColumnFormula>
    </tableColumn>
    <tableColumn id="7" xr3:uid="{63629720-898A-4B17-AEEE-D201C8136919}" name="D6" dataDxfId="513">
      <calculatedColumnFormula>IF($AK$2="(Todas)",COUNTIF(BASE[CODCIE1010],EPV_SARAMPION64666972737880818592969798100687989[[#This Row],[CIE-10]]),COUNTIFS(BASE[Cod.Establecimiento],$AK$2,BASE[CODCIE1010],EPV_SARAMPION64666972737880818592969798100687989[[#This Row],[CIE-10]]))</calculatedColumnFormula>
    </tableColumn>
    <tableColumn id="8" xr3:uid="{88B31914-7FB7-4700-B7A8-8AE51B2A18B1}" name="TOT" dataDxfId="512" dataCellStyle="40% - Énfasis6">
      <calculatedColumnFormula>SUM(EPV_SARAMPION64666972737880818592969798100687989[[#This Row],[D1]:[D6]])</calculatedColumnFormula>
    </tableColumn>
  </tableColumns>
  <tableStyleInfo name="TableStyleLight1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10F3F8C-23CA-4B11-8D19-C1E21BEFA7B5}" name="EPV_SARAMPION646669727378808185929697981006890" displayName="EPV_SARAMPION646669727378808185929697981006890" ref="J60:Q63" totalsRowShown="0" headerRowDxfId="511">
  <autoFilter ref="J60:Q63" xr:uid="{D10F3F8C-23CA-4B11-8D19-C1E21BEFA7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EC79574-9F0E-4816-8E24-9F07521BCCC3}" name="CIE-10" dataCellStyle="20% - Énfasis4"/>
    <tableColumn id="2" xr3:uid="{6BBBE1FE-E38D-4B85-97BB-FB840078576C}" name="D1" dataDxfId="510">
      <calculatedColumnFormula>IF($AK$2="(Todas)",COUNTIF(BASE[CODCIE10],EPV_SARAMPION646669727378808185929697981006890[[#This Row],[CIE-10]]),COUNTIFS(BASE[Cod.Establecimiento],$AK$2,BASE[CODCIE10],EPV_SARAMPION646669727378808185929697981006890[[#This Row],[CIE-10]]))</calculatedColumnFormula>
    </tableColumn>
    <tableColumn id="3" xr3:uid="{E30165AB-0543-4CDF-B8E6-0E860474035E}" name="D2" dataDxfId="509">
      <calculatedColumnFormula>IF($AK$2="(Todas)",COUNTIF(BASE[CODCIE102],EPV_SARAMPION646669727378808185929697981006890[[#This Row],[CIE-10]]),COUNTIFS(BASE[Cod.Establecimiento],$AK$2,BASE[CODCIE102],EPV_SARAMPION646669727378808185929697981006890[[#This Row],[CIE-10]]))</calculatedColumnFormula>
    </tableColumn>
    <tableColumn id="4" xr3:uid="{FF39CF53-F369-4825-88ED-8550926C8020}" name="D3" dataDxfId="508">
      <calculatedColumnFormula>IF($AK$2="(Todas)",COUNTIF(BASE[CODCIE104],EPV_SARAMPION646669727378808185929697981006890[[#This Row],[CIE-10]]),COUNTIFS(BASE[Cod.Establecimiento],$AK$2,BASE[CODCIE104],EPV_SARAMPION646669727378808185929697981006890[[#This Row],[CIE-10]]))</calculatedColumnFormula>
    </tableColumn>
    <tableColumn id="5" xr3:uid="{64F8C0D2-90A8-46EC-ABDD-4718AF0B5C88}" name="D4" dataDxfId="507">
      <calculatedColumnFormula>IF($AK$2="(Todas)",COUNTIF(BASE[CODCIE106],EPV_SARAMPION646669727378808185929697981006890[[#This Row],[CIE-10]]),COUNTIFS(BASE[Cod.Establecimiento],$AK$2,BASE[CODCIE106],EPV_SARAMPION646669727378808185929697981006890[[#This Row],[CIE-10]]))</calculatedColumnFormula>
    </tableColumn>
    <tableColumn id="6" xr3:uid="{ABAEE529-27DE-49A5-9C0C-3151F4194BA4}" name="D5" dataDxfId="506">
      <calculatedColumnFormula>IF($AK$2="(Todas)",COUNTIF(BASE[CODCIE108],EPV_SARAMPION646669727378808185929697981006890[[#This Row],[CIE-10]]),COUNTIFS(BASE[Cod.Establecimiento],$AK$2,BASE[CODCIE108],EPV_SARAMPION646669727378808185929697981006890[[#This Row],[CIE-10]]))</calculatedColumnFormula>
    </tableColumn>
    <tableColumn id="7" xr3:uid="{3240DA8D-9032-48A0-9ED0-81546C9D0CC0}" name="D6" dataDxfId="505">
      <calculatedColumnFormula>IF($AK$2="(Todas)",COUNTIF(BASE[CODCIE1010],EPV_SARAMPION646669727378808185929697981006890[[#This Row],[CIE-10]]),COUNTIFS(BASE[Cod.Establecimiento],$AK$2,BASE[CODCIE1010],EPV_SARAMPION646669727378808185929697981006890[[#This Row],[CIE-10]]))</calculatedColumnFormula>
    </tableColumn>
    <tableColumn id="8" xr3:uid="{295090EB-045F-4004-8818-67ACD00EE95B}" name="TOT" dataDxfId="504" dataCellStyle="40% - Énfasis6">
      <calculatedColumnFormula>SUM(EPV_SARAMPION646669727378808185929697981006890[[#This Row],[D1]:[D6]])</calculatedColumnFormula>
    </tableColumn>
  </tableColumns>
  <tableStyleInfo name="TableStyleLight1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F312EFCF-8005-481C-9722-1DF1F2A25295}" name="EPV_SARAMPION64666972737880818592969798100687993" displayName="EPV_SARAMPION64666972737880818592969798100687993" ref="AB55:AI56" totalsRowShown="0" headerRowDxfId="503">
  <autoFilter ref="AB55:AI56" xr:uid="{F312EFCF-8005-481C-9722-1DF1F2A252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3A41008-930A-4C3F-9853-7880800BB913}" name="CIE-10" dataCellStyle="20% - Énfasis4"/>
    <tableColumn id="2" xr3:uid="{127D509E-A4C7-4D08-9D62-8F9454679A9D}" name="D1" dataDxfId="502">
      <calculatedColumnFormula>IF($AK$2="(Todas)",COUNTIF(BASE[CODCIE10],EPV_SARAMPION64666972737880818592969798100687993[[#This Row],[CIE-10]]),COUNTIFS(BASE[Cod.Establecimiento],$AK$2,BASE[CODCIE10],EPV_SARAMPION64666972737880818592969798100687993[[#This Row],[CIE-10]]))</calculatedColumnFormula>
    </tableColumn>
    <tableColumn id="3" xr3:uid="{F623C382-67CD-494C-BBEE-D0B88CD0C95D}" name="D2" dataDxfId="501">
      <calculatedColumnFormula>IF($AK$2="(Todas)",COUNTIF(BASE[CODCIE102],EPV_SARAMPION64666972737880818592969798100687993[[#This Row],[CIE-10]]),COUNTIFS(BASE[Cod.Establecimiento],$AK$2,BASE[CODCIE102],EPV_SARAMPION64666972737880818592969798100687993[[#This Row],[CIE-10]]))</calculatedColumnFormula>
    </tableColumn>
    <tableColumn id="4" xr3:uid="{ACFD90E8-0D94-4EC2-A9FC-75ABB1B40DFF}" name="D3" dataDxfId="500">
      <calculatedColumnFormula>IF($AK$2="(Todas)",COUNTIF(BASE[CODCIE104],EPV_SARAMPION64666972737880818592969798100687993[[#This Row],[CIE-10]]),COUNTIFS(BASE[Cod.Establecimiento],$AK$2,BASE[CODCIE104],EPV_SARAMPION64666972737880818592969798100687993[[#This Row],[CIE-10]]))</calculatedColumnFormula>
    </tableColumn>
    <tableColumn id="5" xr3:uid="{5C87E943-5D44-4A4D-9B97-78928BFFE71E}" name="D4" dataDxfId="499">
      <calculatedColumnFormula>IF($AK$2="(Todas)",COUNTIF(BASE[CODCIE106],EPV_SARAMPION64666972737880818592969798100687993[[#This Row],[CIE-10]]),COUNTIFS(BASE[Cod.Establecimiento],$AK$2,BASE[CODCIE106],EPV_SARAMPION64666972737880818592969798100687993[[#This Row],[CIE-10]]))</calculatedColumnFormula>
    </tableColumn>
    <tableColumn id="6" xr3:uid="{06B5F8F9-E5EB-4D89-AD81-34E9EE0C174D}" name="D5" dataDxfId="498">
      <calculatedColumnFormula>IF($AK$2="(Todas)",COUNTIF(BASE[CODCIE108],EPV_SARAMPION64666972737880818592969798100687993[[#This Row],[CIE-10]]),COUNTIFS(BASE[Cod.Establecimiento],$AK$2,BASE[CODCIE108],EPV_SARAMPION64666972737880818592969798100687993[[#This Row],[CIE-10]]))</calculatedColumnFormula>
    </tableColumn>
    <tableColumn id="7" xr3:uid="{FCF60094-ED10-4538-A9F5-E5D40A703227}" name="D6" dataDxfId="497">
      <calculatedColumnFormula>IF($AK$2="(Todas)",COUNTIF(BASE[CODCIE1010],EPV_SARAMPION64666972737880818592969798100687993[[#This Row],[CIE-10]]),COUNTIFS(BASE[Cod.Establecimiento],$AK$2,BASE[CODCIE1010],EPV_SARAMPION64666972737880818592969798100687993[[#This Row],[CIE-10]]))</calculatedColumnFormula>
    </tableColumn>
    <tableColumn id="8" xr3:uid="{C920B1A5-0750-47BC-B48E-2DD443320B04}" name="TOT" dataDxfId="496" dataCellStyle="40% - Énfasis6">
      <calculatedColumnFormula>SUM(EPV_SARAMPION64666972737880818592969798100687993[[#This Row],[D1]:[D6]])</calculatedColumnFormula>
    </tableColumn>
  </tableColumns>
  <tableStyleInfo name="TableStyleLight1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DC7FB744-87EB-4527-B8AA-4BD9CDDB5AE3}" name="EPV_SARAMPION6466697273788081859296979810068799399" displayName="EPV_SARAMPION6466697273788081859296979810068799399" ref="S60:Z61" totalsRowShown="0" headerRowDxfId="495">
  <autoFilter ref="S60:Z61" xr:uid="{DC7FB744-87EB-4527-B8AA-4BD9CDDB5A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CE87BC7-7C23-4F21-B790-125689E48E25}" name="CIE-10" dataCellStyle="20% - Énfasis4"/>
    <tableColumn id="2" xr3:uid="{8261FB9E-E5D5-46FE-B598-75E696466991}" name="D1" dataDxfId="494">
      <calculatedColumnFormula>IF($AK$2="(Todas)",COUNTIF(BASE[CODCIE10],EPV_SARAMPION6466697273788081859296979810068799399[[#This Row],[CIE-10]]),COUNTIFS(BASE[Cod.Establecimiento],$AK$2,BASE[CODCIE10],EPV_SARAMPION6466697273788081859296979810068799399[[#This Row],[CIE-10]]))</calculatedColumnFormula>
    </tableColumn>
    <tableColumn id="3" xr3:uid="{967FD669-699D-4F88-8C3B-1C5939332303}" name="D2" dataDxfId="493">
      <calculatedColumnFormula>IF($AK$2="(Todas)",COUNTIF(BASE[CODCIE102],EPV_SARAMPION6466697273788081859296979810068799399[[#This Row],[CIE-10]]),COUNTIFS(BASE[Cod.Establecimiento],$AK$2,BASE[CODCIE102],EPV_SARAMPION6466697273788081859296979810068799399[[#This Row],[CIE-10]]))</calculatedColumnFormula>
    </tableColumn>
    <tableColumn id="4" xr3:uid="{40C4F931-C220-4C88-9CF3-A27693666942}" name="D3" dataDxfId="492">
      <calculatedColumnFormula>IF($AK$2="(Todas)",COUNTIF(BASE[CODCIE104],EPV_SARAMPION6466697273788081859296979810068799399[[#This Row],[CIE-10]]),COUNTIFS(BASE[Cod.Establecimiento],$AK$2,BASE[CODCIE104],EPV_SARAMPION6466697273788081859296979810068799399[[#This Row],[CIE-10]]))</calculatedColumnFormula>
    </tableColumn>
    <tableColumn id="5" xr3:uid="{8560A242-D085-46ED-B8DF-EE39240EE880}" name="D4" dataDxfId="491">
      <calculatedColumnFormula>IF($AK$2="(Todas)",COUNTIF(BASE[CODCIE106],EPV_SARAMPION6466697273788081859296979810068799399[[#This Row],[CIE-10]]),COUNTIFS(BASE[Cod.Establecimiento],$AK$2,BASE[CODCIE106],EPV_SARAMPION6466697273788081859296979810068799399[[#This Row],[CIE-10]]))</calculatedColumnFormula>
    </tableColumn>
    <tableColumn id="6" xr3:uid="{A76999FF-0C48-4F96-A443-4B5B44E0FF63}" name="D5" dataDxfId="490">
      <calculatedColumnFormula>IF($AK$2="(Todas)",COUNTIF(BASE[CODCIE108],EPV_SARAMPION6466697273788081859296979810068799399[[#This Row],[CIE-10]]),COUNTIFS(BASE[Cod.Establecimiento],$AK$2,BASE[CODCIE108],EPV_SARAMPION6466697273788081859296979810068799399[[#This Row],[CIE-10]]))</calculatedColumnFormula>
    </tableColumn>
    <tableColumn id="7" xr3:uid="{FCCB57B5-C246-4968-869E-9ADBC4948836}" name="D6" dataDxfId="489">
      <calculatedColumnFormula>IF($AK$2="(Todas)",COUNTIF(BASE[CODCIE1010],EPV_SARAMPION6466697273788081859296979810068799399[[#This Row],[CIE-10]]),COUNTIFS(BASE[Cod.Establecimiento],$AK$2,BASE[CODCIE1010],EPV_SARAMPION6466697273788081859296979810068799399[[#This Row],[CIE-10]]))</calculatedColumnFormula>
    </tableColumn>
    <tableColumn id="8" xr3:uid="{696A387C-CACA-4FF6-899A-C8AD5DAA96EE}" name="TOT" dataDxfId="488" dataCellStyle="40% - Énfasis6">
      <calculatedColumnFormula>SUM(EPV_SARAMPION6466697273788081859296979810068799399[[#This Row],[D1]:[D6]])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comments" Target="../comments1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.xml"/><Relationship Id="rId18" Type="http://schemas.openxmlformats.org/officeDocument/2006/relationships/table" Target="../tables/table26.xml"/><Relationship Id="rId26" Type="http://schemas.openxmlformats.org/officeDocument/2006/relationships/table" Target="../tables/table34.xml"/><Relationship Id="rId39" Type="http://schemas.openxmlformats.org/officeDocument/2006/relationships/table" Target="../tables/table47.xml"/><Relationship Id="rId21" Type="http://schemas.openxmlformats.org/officeDocument/2006/relationships/table" Target="../tables/table29.xml"/><Relationship Id="rId34" Type="http://schemas.openxmlformats.org/officeDocument/2006/relationships/table" Target="../tables/table42.xml"/><Relationship Id="rId42" Type="http://schemas.openxmlformats.org/officeDocument/2006/relationships/table" Target="../tables/table50.xml"/><Relationship Id="rId47" Type="http://schemas.openxmlformats.org/officeDocument/2006/relationships/table" Target="../tables/table55.xml"/><Relationship Id="rId50" Type="http://schemas.openxmlformats.org/officeDocument/2006/relationships/table" Target="../tables/table58.xml"/><Relationship Id="rId7" Type="http://schemas.openxmlformats.org/officeDocument/2006/relationships/table" Target="../tables/table15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24.xml"/><Relationship Id="rId29" Type="http://schemas.openxmlformats.org/officeDocument/2006/relationships/table" Target="../tables/table37.xml"/><Relationship Id="rId11" Type="http://schemas.openxmlformats.org/officeDocument/2006/relationships/table" Target="../tables/table19.xml"/><Relationship Id="rId24" Type="http://schemas.openxmlformats.org/officeDocument/2006/relationships/table" Target="../tables/table32.xml"/><Relationship Id="rId32" Type="http://schemas.openxmlformats.org/officeDocument/2006/relationships/table" Target="../tables/table40.xml"/><Relationship Id="rId37" Type="http://schemas.openxmlformats.org/officeDocument/2006/relationships/table" Target="../tables/table45.xml"/><Relationship Id="rId40" Type="http://schemas.openxmlformats.org/officeDocument/2006/relationships/table" Target="../tables/table48.xml"/><Relationship Id="rId45" Type="http://schemas.openxmlformats.org/officeDocument/2006/relationships/table" Target="../tables/table53.xml"/><Relationship Id="rId53" Type="http://schemas.openxmlformats.org/officeDocument/2006/relationships/comments" Target="../comments2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19" Type="http://schemas.openxmlformats.org/officeDocument/2006/relationships/table" Target="../tables/table27.xml"/><Relationship Id="rId31" Type="http://schemas.openxmlformats.org/officeDocument/2006/relationships/table" Target="../tables/table39.xml"/><Relationship Id="rId44" Type="http://schemas.openxmlformats.org/officeDocument/2006/relationships/table" Target="../tables/table52.xml"/><Relationship Id="rId52" Type="http://schemas.openxmlformats.org/officeDocument/2006/relationships/table" Target="../tables/table60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Relationship Id="rId22" Type="http://schemas.openxmlformats.org/officeDocument/2006/relationships/table" Target="../tables/table30.xml"/><Relationship Id="rId27" Type="http://schemas.openxmlformats.org/officeDocument/2006/relationships/table" Target="../tables/table35.xml"/><Relationship Id="rId30" Type="http://schemas.openxmlformats.org/officeDocument/2006/relationships/table" Target="../tables/table38.xml"/><Relationship Id="rId35" Type="http://schemas.openxmlformats.org/officeDocument/2006/relationships/table" Target="../tables/table43.xml"/><Relationship Id="rId43" Type="http://schemas.openxmlformats.org/officeDocument/2006/relationships/table" Target="../tables/table51.xml"/><Relationship Id="rId48" Type="http://schemas.openxmlformats.org/officeDocument/2006/relationships/table" Target="../tables/table56.xml"/><Relationship Id="rId8" Type="http://schemas.openxmlformats.org/officeDocument/2006/relationships/table" Target="../tables/table16.xml"/><Relationship Id="rId51" Type="http://schemas.openxmlformats.org/officeDocument/2006/relationships/table" Target="../tables/table59.xml"/><Relationship Id="rId3" Type="http://schemas.openxmlformats.org/officeDocument/2006/relationships/vmlDrawing" Target="../drawings/vmlDrawing2.v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5" Type="http://schemas.openxmlformats.org/officeDocument/2006/relationships/table" Target="../tables/table33.xml"/><Relationship Id="rId33" Type="http://schemas.openxmlformats.org/officeDocument/2006/relationships/table" Target="../tables/table41.xml"/><Relationship Id="rId38" Type="http://schemas.openxmlformats.org/officeDocument/2006/relationships/table" Target="../tables/table46.xml"/><Relationship Id="rId46" Type="http://schemas.openxmlformats.org/officeDocument/2006/relationships/table" Target="../tables/table54.xml"/><Relationship Id="rId20" Type="http://schemas.openxmlformats.org/officeDocument/2006/relationships/table" Target="../tables/table28.xml"/><Relationship Id="rId41" Type="http://schemas.openxmlformats.org/officeDocument/2006/relationships/table" Target="../tables/table49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14.xml"/><Relationship Id="rId15" Type="http://schemas.openxmlformats.org/officeDocument/2006/relationships/table" Target="../tables/table23.xml"/><Relationship Id="rId23" Type="http://schemas.openxmlformats.org/officeDocument/2006/relationships/table" Target="../tables/table31.xml"/><Relationship Id="rId28" Type="http://schemas.openxmlformats.org/officeDocument/2006/relationships/table" Target="../tables/table36.xml"/><Relationship Id="rId36" Type="http://schemas.openxmlformats.org/officeDocument/2006/relationships/table" Target="../tables/table44.xml"/><Relationship Id="rId49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70.xml"/><Relationship Id="rId18" Type="http://schemas.openxmlformats.org/officeDocument/2006/relationships/table" Target="../tables/table75.xml"/><Relationship Id="rId26" Type="http://schemas.openxmlformats.org/officeDocument/2006/relationships/table" Target="../tables/table83.xml"/><Relationship Id="rId39" Type="http://schemas.openxmlformats.org/officeDocument/2006/relationships/table" Target="../tables/table96.xml"/><Relationship Id="rId21" Type="http://schemas.openxmlformats.org/officeDocument/2006/relationships/table" Target="../tables/table78.xml"/><Relationship Id="rId34" Type="http://schemas.openxmlformats.org/officeDocument/2006/relationships/table" Target="../tables/table91.xml"/><Relationship Id="rId42" Type="http://schemas.openxmlformats.org/officeDocument/2006/relationships/table" Target="../tables/table99.xml"/><Relationship Id="rId7" Type="http://schemas.openxmlformats.org/officeDocument/2006/relationships/table" Target="../tables/table64.xml"/><Relationship Id="rId2" Type="http://schemas.openxmlformats.org/officeDocument/2006/relationships/printerSettings" Target="../printerSettings/printerSettings2.bin"/><Relationship Id="rId16" Type="http://schemas.openxmlformats.org/officeDocument/2006/relationships/table" Target="../tables/table73.xml"/><Relationship Id="rId29" Type="http://schemas.openxmlformats.org/officeDocument/2006/relationships/table" Target="../tables/table86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63.xml"/><Relationship Id="rId11" Type="http://schemas.openxmlformats.org/officeDocument/2006/relationships/table" Target="../tables/table68.xml"/><Relationship Id="rId24" Type="http://schemas.openxmlformats.org/officeDocument/2006/relationships/table" Target="../tables/table81.xml"/><Relationship Id="rId32" Type="http://schemas.openxmlformats.org/officeDocument/2006/relationships/table" Target="../tables/table89.xml"/><Relationship Id="rId37" Type="http://schemas.openxmlformats.org/officeDocument/2006/relationships/table" Target="../tables/table94.xml"/><Relationship Id="rId40" Type="http://schemas.openxmlformats.org/officeDocument/2006/relationships/table" Target="../tables/table97.xml"/><Relationship Id="rId45" Type="http://schemas.openxmlformats.org/officeDocument/2006/relationships/table" Target="../tables/table102.xml"/><Relationship Id="rId5" Type="http://schemas.openxmlformats.org/officeDocument/2006/relationships/table" Target="../tables/table62.xml"/><Relationship Id="rId15" Type="http://schemas.openxmlformats.org/officeDocument/2006/relationships/table" Target="../tables/table72.xml"/><Relationship Id="rId23" Type="http://schemas.openxmlformats.org/officeDocument/2006/relationships/table" Target="../tables/table80.xml"/><Relationship Id="rId28" Type="http://schemas.openxmlformats.org/officeDocument/2006/relationships/table" Target="../tables/table85.xml"/><Relationship Id="rId36" Type="http://schemas.openxmlformats.org/officeDocument/2006/relationships/table" Target="../tables/table93.xml"/><Relationship Id="rId10" Type="http://schemas.openxmlformats.org/officeDocument/2006/relationships/table" Target="../tables/table67.xml"/><Relationship Id="rId19" Type="http://schemas.openxmlformats.org/officeDocument/2006/relationships/table" Target="../tables/table76.xml"/><Relationship Id="rId31" Type="http://schemas.openxmlformats.org/officeDocument/2006/relationships/table" Target="../tables/table88.xml"/><Relationship Id="rId44" Type="http://schemas.openxmlformats.org/officeDocument/2006/relationships/table" Target="../tables/table101.xml"/><Relationship Id="rId4" Type="http://schemas.openxmlformats.org/officeDocument/2006/relationships/table" Target="../tables/table61.xml"/><Relationship Id="rId9" Type="http://schemas.openxmlformats.org/officeDocument/2006/relationships/table" Target="../tables/table66.xml"/><Relationship Id="rId14" Type="http://schemas.openxmlformats.org/officeDocument/2006/relationships/table" Target="../tables/table71.xml"/><Relationship Id="rId22" Type="http://schemas.openxmlformats.org/officeDocument/2006/relationships/table" Target="../tables/table79.xml"/><Relationship Id="rId27" Type="http://schemas.openxmlformats.org/officeDocument/2006/relationships/table" Target="../tables/table84.xml"/><Relationship Id="rId30" Type="http://schemas.openxmlformats.org/officeDocument/2006/relationships/table" Target="../tables/table87.xml"/><Relationship Id="rId35" Type="http://schemas.openxmlformats.org/officeDocument/2006/relationships/table" Target="../tables/table92.xml"/><Relationship Id="rId43" Type="http://schemas.openxmlformats.org/officeDocument/2006/relationships/table" Target="../tables/table100.xml"/><Relationship Id="rId8" Type="http://schemas.openxmlformats.org/officeDocument/2006/relationships/table" Target="../tables/table65.xml"/><Relationship Id="rId3" Type="http://schemas.openxmlformats.org/officeDocument/2006/relationships/vmlDrawing" Target="../drawings/vmlDrawing3.vml"/><Relationship Id="rId12" Type="http://schemas.openxmlformats.org/officeDocument/2006/relationships/table" Target="../tables/table69.xml"/><Relationship Id="rId17" Type="http://schemas.openxmlformats.org/officeDocument/2006/relationships/table" Target="../tables/table74.xml"/><Relationship Id="rId25" Type="http://schemas.openxmlformats.org/officeDocument/2006/relationships/table" Target="../tables/table82.xml"/><Relationship Id="rId33" Type="http://schemas.openxmlformats.org/officeDocument/2006/relationships/table" Target="../tables/table90.xml"/><Relationship Id="rId38" Type="http://schemas.openxmlformats.org/officeDocument/2006/relationships/table" Target="../tables/table95.xml"/><Relationship Id="rId46" Type="http://schemas.openxmlformats.org/officeDocument/2006/relationships/comments" Target="../comments3.xml"/><Relationship Id="rId20" Type="http://schemas.openxmlformats.org/officeDocument/2006/relationships/table" Target="../tables/table77.xml"/><Relationship Id="rId41" Type="http://schemas.openxmlformats.org/officeDocument/2006/relationships/table" Target="../tables/table98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2.xml"/><Relationship Id="rId18" Type="http://schemas.openxmlformats.org/officeDocument/2006/relationships/table" Target="../tables/table117.xml"/><Relationship Id="rId26" Type="http://schemas.openxmlformats.org/officeDocument/2006/relationships/table" Target="../tables/table125.xml"/><Relationship Id="rId39" Type="http://schemas.openxmlformats.org/officeDocument/2006/relationships/table" Target="../tables/table138.xml"/><Relationship Id="rId21" Type="http://schemas.openxmlformats.org/officeDocument/2006/relationships/table" Target="../tables/table120.xml"/><Relationship Id="rId34" Type="http://schemas.openxmlformats.org/officeDocument/2006/relationships/table" Target="../tables/table133.xml"/><Relationship Id="rId42" Type="http://schemas.openxmlformats.org/officeDocument/2006/relationships/table" Target="../tables/table141.xml"/><Relationship Id="rId47" Type="http://schemas.openxmlformats.org/officeDocument/2006/relationships/table" Target="../tables/table146.xml"/><Relationship Id="rId50" Type="http://schemas.openxmlformats.org/officeDocument/2006/relationships/table" Target="../tables/table149.xml"/><Relationship Id="rId55" Type="http://schemas.openxmlformats.org/officeDocument/2006/relationships/table" Target="../tables/table154.xml"/><Relationship Id="rId7" Type="http://schemas.openxmlformats.org/officeDocument/2006/relationships/table" Target="../tables/table106.xml"/><Relationship Id="rId2" Type="http://schemas.openxmlformats.org/officeDocument/2006/relationships/printerSettings" Target="../printerSettings/printerSettings3.bin"/><Relationship Id="rId16" Type="http://schemas.openxmlformats.org/officeDocument/2006/relationships/table" Target="../tables/table115.xml"/><Relationship Id="rId29" Type="http://schemas.openxmlformats.org/officeDocument/2006/relationships/table" Target="../tables/table128.xml"/><Relationship Id="rId11" Type="http://schemas.openxmlformats.org/officeDocument/2006/relationships/table" Target="../tables/table110.xml"/><Relationship Id="rId24" Type="http://schemas.openxmlformats.org/officeDocument/2006/relationships/table" Target="../tables/table123.xml"/><Relationship Id="rId32" Type="http://schemas.openxmlformats.org/officeDocument/2006/relationships/table" Target="../tables/table131.xml"/><Relationship Id="rId37" Type="http://schemas.openxmlformats.org/officeDocument/2006/relationships/table" Target="../tables/table136.xml"/><Relationship Id="rId40" Type="http://schemas.openxmlformats.org/officeDocument/2006/relationships/table" Target="../tables/table139.xml"/><Relationship Id="rId45" Type="http://schemas.openxmlformats.org/officeDocument/2006/relationships/table" Target="../tables/table144.xml"/><Relationship Id="rId53" Type="http://schemas.openxmlformats.org/officeDocument/2006/relationships/table" Target="../tables/table152.xml"/><Relationship Id="rId5" Type="http://schemas.openxmlformats.org/officeDocument/2006/relationships/table" Target="../tables/table104.xml"/><Relationship Id="rId10" Type="http://schemas.openxmlformats.org/officeDocument/2006/relationships/table" Target="../tables/table109.xml"/><Relationship Id="rId19" Type="http://schemas.openxmlformats.org/officeDocument/2006/relationships/table" Target="../tables/table118.xml"/><Relationship Id="rId31" Type="http://schemas.openxmlformats.org/officeDocument/2006/relationships/table" Target="../tables/table130.xml"/><Relationship Id="rId44" Type="http://schemas.openxmlformats.org/officeDocument/2006/relationships/table" Target="../tables/table143.xml"/><Relationship Id="rId52" Type="http://schemas.openxmlformats.org/officeDocument/2006/relationships/table" Target="../tables/table151.xml"/><Relationship Id="rId4" Type="http://schemas.openxmlformats.org/officeDocument/2006/relationships/table" Target="../tables/table103.xml"/><Relationship Id="rId9" Type="http://schemas.openxmlformats.org/officeDocument/2006/relationships/table" Target="../tables/table108.xml"/><Relationship Id="rId14" Type="http://schemas.openxmlformats.org/officeDocument/2006/relationships/table" Target="../tables/table113.xml"/><Relationship Id="rId22" Type="http://schemas.openxmlformats.org/officeDocument/2006/relationships/table" Target="../tables/table121.xml"/><Relationship Id="rId27" Type="http://schemas.openxmlformats.org/officeDocument/2006/relationships/table" Target="../tables/table126.xml"/><Relationship Id="rId30" Type="http://schemas.openxmlformats.org/officeDocument/2006/relationships/table" Target="../tables/table129.xml"/><Relationship Id="rId35" Type="http://schemas.openxmlformats.org/officeDocument/2006/relationships/table" Target="../tables/table134.xml"/><Relationship Id="rId43" Type="http://schemas.openxmlformats.org/officeDocument/2006/relationships/table" Target="../tables/table142.xml"/><Relationship Id="rId48" Type="http://schemas.openxmlformats.org/officeDocument/2006/relationships/table" Target="../tables/table147.xml"/><Relationship Id="rId56" Type="http://schemas.openxmlformats.org/officeDocument/2006/relationships/comments" Target="../comments4.xml"/><Relationship Id="rId8" Type="http://schemas.openxmlformats.org/officeDocument/2006/relationships/table" Target="../tables/table107.xml"/><Relationship Id="rId51" Type="http://schemas.openxmlformats.org/officeDocument/2006/relationships/table" Target="../tables/table150.xml"/><Relationship Id="rId3" Type="http://schemas.openxmlformats.org/officeDocument/2006/relationships/vmlDrawing" Target="../drawings/vmlDrawing4.vml"/><Relationship Id="rId12" Type="http://schemas.openxmlformats.org/officeDocument/2006/relationships/table" Target="../tables/table111.xml"/><Relationship Id="rId17" Type="http://schemas.openxmlformats.org/officeDocument/2006/relationships/table" Target="../tables/table116.xml"/><Relationship Id="rId25" Type="http://schemas.openxmlformats.org/officeDocument/2006/relationships/table" Target="../tables/table124.xml"/><Relationship Id="rId33" Type="http://schemas.openxmlformats.org/officeDocument/2006/relationships/table" Target="../tables/table132.xml"/><Relationship Id="rId38" Type="http://schemas.openxmlformats.org/officeDocument/2006/relationships/table" Target="../tables/table137.xml"/><Relationship Id="rId46" Type="http://schemas.openxmlformats.org/officeDocument/2006/relationships/table" Target="../tables/table145.xml"/><Relationship Id="rId20" Type="http://schemas.openxmlformats.org/officeDocument/2006/relationships/table" Target="../tables/table119.xml"/><Relationship Id="rId41" Type="http://schemas.openxmlformats.org/officeDocument/2006/relationships/table" Target="../tables/table140.xml"/><Relationship Id="rId54" Type="http://schemas.openxmlformats.org/officeDocument/2006/relationships/table" Target="../tables/table153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105.xml"/><Relationship Id="rId15" Type="http://schemas.openxmlformats.org/officeDocument/2006/relationships/table" Target="../tables/table114.xml"/><Relationship Id="rId23" Type="http://schemas.openxmlformats.org/officeDocument/2006/relationships/table" Target="../tables/table122.xml"/><Relationship Id="rId28" Type="http://schemas.openxmlformats.org/officeDocument/2006/relationships/table" Target="../tables/table127.xml"/><Relationship Id="rId36" Type="http://schemas.openxmlformats.org/officeDocument/2006/relationships/table" Target="../tables/table135.xml"/><Relationship Id="rId49" Type="http://schemas.openxmlformats.org/officeDocument/2006/relationships/table" Target="../tables/table14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X1055"/>
  <sheetViews>
    <sheetView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/>
  <cols>
    <col min="1" max="1" width="11.7109375" style="2" bestFit="1" customWidth="1"/>
    <col min="2" max="2" width="18.85546875" style="2" customWidth="1"/>
    <col min="3" max="3" width="16.42578125" style="2" customWidth="1"/>
    <col min="4" max="4" width="31.28515625" style="2" bestFit="1" customWidth="1"/>
    <col min="5" max="5" width="17.85546875" style="2" customWidth="1"/>
    <col min="6" max="6" width="35.140625" style="2" bestFit="1" customWidth="1"/>
    <col min="7" max="7" width="19.5703125" style="2" bestFit="1" customWidth="1"/>
    <col min="8" max="8" width="18.28515625" style="2" customWidth="1"/>
    <col min="9" max="9" width="35.140625" style="2" bestFit="1" customWidth="1"/>
    <col min="10" max="10" width="9.7109375" style="2" bestFit="1" customWidth="1"/>
    <col min="11" max="11" width="7.85546875" style="2" bestFit="1" customWidth="1"/>
    <col min="12" max="12" width="16.42578125" style="2" customWidth="1"/>
    <col min="13" max="13" width="11.7109375" style="2" bestFit="1" customWidth="1"/>
    <col min="14" max="14" width="28.28515625" style="2" customWidth="1"/>
    <col min="15" max="15" width="22" style="2" customWidth="1"/>
    <col min="16" max="16" width="20.7109375" style="2" customWidth="1"/>
    <col min="17" max="17" width="19.5703125" style="2" bestFit="1" customWidth="1"/>
    <col min="18" max="18" width="17.85546875" style="2" customWidth="1"/>
    <col min="19" max="19" width="12.5703125" style="2" customWidth="1"/>
    <col min="20" max="20" width="12.5703125" style="2" bestFit="1" customWidth="1"/>
    <col min="21" max="21" width="16.5703125" style="2" customWidth="1"/>
    <col min="22" max="22" width="35.140625" style="2" bestFit="1" customWidth="1"/>
    <col min="23" max="23" width="11.7109375" style="2" customWidth="1"/>
    <col min="24" max="24" width="27.28515625" style="2" bestFit="1" customWidth="1"/>
    <col min="25" max="25" width="17.5703125" style="2" customWidth="1"/>
    <col min="26" max="26" width="12.7109375" style="2" customWidth="1"/>
    <col min="27" max="27" width="27.28515625" style="2" bestFit="1" customWidth="1"/>
    <col min="28" max="28" width="18.5703125" style="2" customWidth="1"/>
    <col min="29" max="29" width="12.7109375" style="2" customWidth="1"/>
    <col min="30" max="30" width="27.28515625" style="2" bestFit="1" customWidth="1"/>
    <col min="31" max="31" width="18.5703125" style="2" customWidth="1"/>
    <col min="32" max="32" width="12.7109375" style="2" customWidth="1"/>
    <col min="33" max="33" width="27.28515625" style="2" bestFit="1" customWidth="1"/>
    <col min="34" max="34" width="18.5703125" style="2" customWidth="1"/>
    <col min="35" max="35" width="12.7109375" style="2" customWidth="1"/>
    <col min="36" max="36" width="27.28515625" style="2" bestFit="1" customWidth="1"/>
    <col min="37" max="37" width="18.5703125" style="2" customWidth="1"/>
    <col min="38" max="38" width="13.7109375" style="2" customWidth="1"/>
    <col min="39" max="39" width="27.28515625" style="2" bestFit="1" customWidth="1"/>
    <col min="40" max="40" width="19.5703125" style="2" customWidth="1"/>
    <col min="41" max="41" width="13.7109375" style="2" customWidth="1"/>
    <col min="42" max="42" width="23" style="2" customWidth="1"/>
    <col min="43" max="43" width="11.85546875" style="2" customWidth="1"/>
    <col min="44" max="44" width="12.140625" style="2" customWidth="1"/>
    <col min="45" max="45" width="54.7109375" style="2" bestFit="1" customWidth="1"/>
    <col min="46" max="48" width="31.28515625" style="2" bestFit="1" customWidth="1"/>
    <col min="49" max="49" width="11.7109375" style="2" bestFit="1" customWidth="1"/>
    <col min="50" max="50" width="10.85546875" style="2" customWidth="1"/>
    <col min="51" max="51" width="11.7109375" style="2" bestFit="1" customWidth="1"/>
    <col min="52" max="52" width="30.5703125" style="2" customWidth="1"/>
    <col min="53" max="53" width="15.5703125" style="2" bestFit="1" customWidth="1"/>
    <col min="54" max="54" width="15" style="2" customWidth="1"/>
    <col min="55" max="55" width="12.140625" style="2" customWidth="1"/>
    <col min="56" max="56" width="23.42578125" style="2" bestFit="1" customWidth="1"/>
    <col min="57" max="57" width="9" style="2" bestFit="1" customWidth="1"/>
    <col min="58" max="59" width="23.42578125" style="2" bestFit="1" customWidth="1"/>
    <col min="60" max="60" width="11" style="2" customWidth="1"/>
    <col min="61" max="62" width="23.42578125" style="2" bestFit="1" customWidth="1"/>
    <col min="63" max="63" width="11" style="2" customWidth="1"/>
    <col min="64" max="65" width="23.42578125" style="2" bestFit="1" customWidth="1"/>
    <col min="66" max="66" width="11" style="2" customWidth="1"/>
    <col min="67" max="68" width="23.42578125" style="2" bestFit="1" customWidth="1"/>
    <col min="69" max="69" width="11" style="2" customWidth="1"/>
    <col min="70" max="71" width="23.42578125" style="2" bestFit="1" customWidth="1"/>
    <col min="72" max="72" width="11" style="2" customWidth="1"/>
    <col min="73" max="73" width="23.7109375" style="2" customWidth="1"/>
    <col min="74" max="74" width="46.85546875" style="2" bestFit="1" customWidth="1"/>
    <col min="75" max="75" width="23.42578125" style="2" bestFit="1" customWidth="1"/>
    <col min="76" max="76" width="46.85546875" style="2" bestFit="1" customWidth="1"/>
    <col min="77" max="78" width="9.140625" style="2" customWidth="1"/>
    <col min="79" max="16384" width="9.140625" style="2"/>
  </cols>
  <sheetData>
    <row r="1" spans="1:76" ht="19.5" customHeight="1">
      <c r="A1" s="71" t="s">
        <v>0</v>
      </c>
      <c r="B1" s="73"/>
      <c r="C1" s="73"/>
      <c r="D1" s="73"/>
      <c r="E1" s="73"/>
      <c r="F1" s="73"/>
      <c r="G1" s="72"/>
      <c r="H1" s="71" t="s">
        <v>1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2"/>
      <c r="U1" s="71" t="s">
        <v>2</v>
      </c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2"/>
      <c r="AO1" s="71" t="s">
        <v>3</v>
      </c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2"/>
      <c r="BC1" s="71" t="s">
        <v>4</v>
      </c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2"/>
      <c r="BU1" s="71" t="s">
        <v>5</v>
      </c>
      <c r="BV1" s="72"/>
      <c r="BW1" s="71" t="s">
        <v>6</v>
      </c>
      <c r="BX1" s="72"/>
    </row>
    <row r="2" spans="1:76" ht="18.75" customHeight="1">
      <c r="A2" s="11" t="s">
        <v>7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1" t="s">
        <v>20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25</v>
      </c>
      <c r="T2" s="11" t="s">
        <v>26</v>
      </c>
      <c r="U2" s="11" t="s">
        <v>27</v>
      </c>
      <c r="V2" s="11" t="s">
        <v>28</v>
      </c>
      <c r="W2" s="11" t="s">
        <v>29</v>
      </c>
      <c r="X2" s="11" t="s">
        <v>30</v>
      </c>
      <c r="Y2" s="11" t="s">
        <v>31</v>
      </c>
      <c r="Z2" s="11" t="s">
        <v>32</v>
      </c>
      <c r="AA2" s="11" t="s">
        <v>33</v>
      </c>
      <c r="AB2" s="11" t="s">
        <v>34</v>
      </c>
      <c r="AC2" s="11" t="s">
        <v>35</v>
      </c>
      <c r="AD2" s="11" t="s">
        <v>36</v>
      </c>
      <c r="AE2" s="11" t="s">
        <v>37</v>
      </c>
      <c r="AF2" s="11" t="s">
        <v>38</v>
      </c>
      <c r="AG2" s="11" t="s">
        <v>39</v>
      </c>
      <c r="AH2" s="11" t="s">
        <v>40</v>
      </c>
      <c r="AI2" s="11" t="s">
        <v>41</v>
      </c>
      <c r="AJ2" s="11" t="s">
        <v>42</v>
      </c>
      <c r="AK2" s="11" t="s">
        <v>43</v>
      </c>
      <c r="AL2" s="11" t="s">
        <v>44</v>
      </c>
      <c r="AM2" s="11" t="s">
        <v>45</v>
      </c>
      <c r="AN2" s="11" t="s">
        <v>46</v>
      </c>
      <c r="AO2" s="11" t="s">
        <v>47</v>
      </c>
      <c r="AP2" s="11" t="s">
        <v>48</v>
      </c>
      <c r="AQ2" s="11" t="s">
        <v>49</v>
      </c>
      <c r="AR2" s="11" t="s">
        <v>50</v>
      </c>
      <c r="AS2" s="11" t="s">
        <v>51</v>
      </c>
      <c r="AT2" s="11" t="s">
        <v>52</v>
      </c>
      <c r="AU2" s="11" t="s">
        <v>53</v>
      </c>
      <c r="AV2" s="11" t="s">
        <v>54</v>
      </c>
      <c r="AW2" s="11" t="s">
        <v>55</v>
      </c>
      <c r="AX2" s="11" t="s">
        <v>56</v>
      </c>
      <c r="AY2" s="11" t="s">
        <v>57</v>
      </c>
      <c r="AZ2" s="11" t="s">
        <v>58</v>
      </c>
      <c r="BA2" s="11" t="s">
        <v>59</v>
      </c>
      <c r="BB2" s="11" t="s">
        <v>60</v>
      </c>
      <c r="BC2" s="11" t="s">
        <v>61</v>
      </c>
      <c r="BD2" s="11" t="s">
        <v>62</v>
      </c>
      <c r="BE2" s="11" t="s">
        <v>63</v>
      </c>
      <c r="BF2" s="11" t="s">
        <v>64</v>
      </c>
      <c r="BG2" s="11" t="s">
        <v>65</v>
      </c>
      <c r="BH2" s="11" t="s">
        <v>66</v>
      </c>
      <c r="BI2" s="11" t="s">
        <v>67</v>
      </c>
      <c r="BJ2" s="11" t="s">
        <v>68</v>
      </c>
      <c r="BK2" s="11" t="s">
        <v>69</v>
      </c>
      <c r="BL2" s="11" t="s">
        <v>70</v>
      </c>
      <c r="BM2" s="11" t="s">
        <v>71</v>
      </c>
      <c r="BN2" s="11" t="s">
        <v>72</v>
      </c>
      <c r="BO2" s="11" t="s">
        <v>73</v>
      </c>
      <c r="BP2" s="11" t="s">
        <v>74</v>
      </c>
      <c r="BQ2" s="11" t="s">
        <v>75</v>
      </c>
      <c r="BR2" s="11" t="s">
        <v>76</v>
      </c>
      <c r="BS2" s="11" t="s">
        <v>77</v>
      </c>
      <c r="BT2" s="11" t="s">
        <v>78</v>
      </c>
      <c r="BU2" s="11" t="s">
        <v>79</v>
      </c>
      <c r="BV2" s="11" t="s">
        <v>80</v>
      </c>
      <c r="BW2" s="11" t="s">
        <v>81</v>
      </c>
      <c r="BX2" s="11" t="s">
        <v>82</v>
      </c>
    </row>
    <row r="3" spans="1:76" ht="19.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</row>
    <row r="4" spans="1:7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</row>
    <row r="5" spans="1:76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</row>
    <row r="6" spans="1:7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</row>
    <row r="7" spans="1:76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1:76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</row>
    <row r="9" spans="1:76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</row>
    <row r="10" spans="1:76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</row>
    <row r="11" spans="1:7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</row>
    <row r="12" spans="1:76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</row>
    <row r="13" spans="1:76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</row>
    <row r="14" spans="1:76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</row>
    <row r="15" spans="1:76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</row>
    <row r="16" spans="1:76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</row>
    <row r="33" spans="1:7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</row>
    <row r="34" spans="1:7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</row>
    <row r="35" spans="1:7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</row>
    <row r="36" spans="1:7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</row>
    <row r="37" spans="1:7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</row>
    <row r="38" spans="1:7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</row>
    <row r="39" spans="1:76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</row>
    <row r="40" spans="1:7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</row>
    <row r="41" spans="1:76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</row>
    <row r="42" spans="1:7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</row>
    <row r="43" spans="1:76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</row>
    <row r="44" spans="1:7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</row>
    <row r="45" spans="1:7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</row>
    <row r="46" spans="1:7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</row>
    <row r="47" spans="1:7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1:76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1:76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</row>
    <row r="50" spans="1:7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</row>
    <row r="51" spans="1:7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</row>
    <row r="52" spans="1:7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</row>
    <row r="53" spans="1:76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</row>
    <row r="55" spans="1:7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</row>
    <row r="56" spans="1:7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</row>
    <row r="57" spans="1:7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</row>
    <row r="58" spans="1:7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</row>
    <row r="59" spans="1:7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</row>
    <row r="63" spans="1:7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</row>
    <row r="65" spans="1:7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</row>
    <row r="67" spans="1:7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</row>
    <row r="68" spans="1:7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</row>
    <row r="69" spans="1:7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</row>
    <row r="70" spans="1:7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</row>
    <row r="71" spans="1:7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</row>
    <row r="72" spans="1:7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</row>
    <row r="73" spans="1:7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</row>
    <row r="74" spans="1:7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</row>
    <row r="75" spans="1:7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</row>
    <row r="76" spans="1:7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</row>
    <row r="77" spans="1:7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</row>
    <row r="78" spans="1:7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</row>
    <row r="79" spans="1:7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</row>
    <row r="80" spans="1:7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</row>
    <row r="81" spans="1:7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</row>
    <row r="82" spans="1:7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</row>
    <row r="83" spans="1:7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</row>
    <row r="84" spans="1:7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</row>
    <row r="85" spans="1:7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</row>
    <row r="86" spans="1:7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</row>
    <row r="87" spans="1:7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</row>
    <row r="88" spans="1:7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</row>
    <row r="89" spans="1:7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</row>
    <row r="90" spans="1:7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</row>
    <row r="91" spans="1:7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</row>
    <row r="92" spans="1:7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</row>
    <row r="93" spans="1:7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</row>
    <row r="94" spans="1:7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</row>
    <row r="95" spans="1:7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</row>
    <row r="96" spans="1:7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</row>
    <row r="97" spans="1:7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</row>
    <row r="98" spans="1:7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</row>
    <row r="99" spans="1:7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</row>
    <row r="100" spans="1:7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</row>
    <row r="101" spans="1:7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</row>
    <row r="102" spans="1:7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</row>
    <row r="103" spans="1:7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</row>
    <row r="104" spans="1:7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</row>
    <row r="105" spans="1:7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</row>
    <row r="106" spans="1:7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</row>
    <row r="107" spans="1:7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</row>
    <row r="108" spans="1:7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</row>
    <row r="109" spans="1:7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</row>
    <row r="110" spans="1:7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</row>
    <row r="111" spans="1:7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</row>
    <row r="112" spans="1:7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</row>
    <row r="113" spans="1:7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</row>
    <row r="114" spans="1:7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</row>
    <row r="115" spans="1:7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</row>
    <row r="116" spans="1:7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</row>
    <row r="117" spans="1:7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</row>
    <row r="118" spans="1:7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</row>
    <row r="119" spans="1:7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</row>
    <row r="120" spans="1:7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</row>
    <row r="121" spans="1:7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</row>
    <row r="122" spans="1:7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</row>
    <row r="123" spans="1:7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</row>
    <row r="124" spans="1:7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</row>
    <row r="125" spans="1:7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</row>
    <row r="126" spans="1:7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</row>
    <row r="127" spans="1:7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</row>
    <row r="128" spans="1:7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</row>
    <row r="129" spans="1:7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</row>
    <row r="130" spans="1:7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</row>
    <row r="131" spans="1:7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</row>
    <row r="132" spans="1:7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</row>
    <row r="133" spans="1:7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</row>
    <row r="134" spans="1:7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</row>
    <row r="135" spans="1:7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</row>
    <row r="136" spans="1:7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</row>
    <row r="137" spans="1:7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</row>
    <row r="138" spans="1:7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</row>
    <row r="139" spans="1:7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</row>
    <row r="140" spans="1:7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</row>
    <row r="141" spans="1:7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</row>
    <row r="142" spans="1:7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</row>
    <row r="143" spans="1:7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</row>
    <row r="144" spans="1:7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</row>
    <row r="145" spans="1:7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</row>
    <row r="146" spans="1:7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</row>
    <row r="147" spans="1:7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</row>
    <row r="148" spans="1:7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</row>
    <row r="149" spans="1:7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</row>
    <row r="150" spans="1:7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</row>
    <row r="151" spans="1:7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</row>
    <row r="152" spans="1:7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</row>
    <row r="153" spans="1:7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</row>
    <row r="154" spans="1:7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</row>
    <row r="155" spans="1:7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</row>
    <row r="156" spans="1:7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</row>
    <row r="157" spans="1:7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</row>
    <row r="158" spans="1:7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</row>
    <row r="159" spans="1:7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</row>
    <row r="160" spans="1:7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</row>
    <row r="161" spans="1:7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</row>
    <row r="162" spans="1:7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</row>
    <row r="163" spans="1:7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</row>
    <row r="164" spans="1:7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</row>
    <row r="165" spans="1:7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</row>
    <row r="166" spans="1:7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</row>
    <row r="167" spans="1:7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</row>
    <row r="168" spans="1:7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</row>
    <row r="169" spans="1:7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</row>
    <row r="170" spans="1:7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</row>
    <row r="171" spans="1:7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</row>
    <row r="172" spans="1:7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</row>
    <row r="173" spans="1:7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</row>
    <row r="174" spans="1:7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</row>
    <row r="175" spans="1:7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</row>
    <row r="176" spans="1:7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</row>
    <row r="177" spans="1:7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</row>
    <row r="178" spans="1:7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</row>
    <row r="179" spans="1:7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</row>
    <row r="180" spans="1:7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</row>
    <row r="181" spans="1:7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</row>
    <row r="182" spans="1:7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</row>
    <row r="183" spans="1:7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</row>
    <row r="184" spans="1:7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</row>
    <row r="185" spans="1:7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</row>
    <row r="186" spans="1:7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</row>
    <row r="187" spans="1:7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</row>
    <row r="188" spans="1:7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</row>
    <row r="189" spans="1:7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</row>
    <row r="190" spans="1:7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</row>
    <row r="191" spans="1:7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</row>
    <row r="192" spans="1:7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</row>
    <row r="193" spans="1:7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</row>
    <row r="194" spans="1:7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</row>
    <row r="195" spans="1:7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</row>
    <row r="196" spans="1:7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</row>
    <row r="197" spans="1:7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</row>
    <row r="198" spans="1:7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</row>
    <row r="199" spans="1:7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</row>
    <row r="200" spans="1:7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</row>
    <row r="201" spans="1:7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</row>
    <row r="202" spans="1:7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</row>
    <row r="203" spans="1:7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</row>
    <row r="204" spans="1:7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</row>
    <row r="205" spans="1:7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</row>
    <row r="206" spans="1:7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</row>
    <row r="207" spans="1:7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</row>
    <row r="208" spans="1:7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</row>
    <row r="209" spans="1:7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</row>
    <row r="210" spans="1:7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</row>
    <row r="211" spans="1:7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</row>
    <row r="212" spans="1:7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</row>
    <row r="213" spans="1:7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</row>
    <row r="214" spans="1:7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</row>
    <row r="215" spans="1:7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</row>
    <row r="216" spans="1:7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</row>
    <row r="217" spans="1:7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</row>
    <row r="218" spans="1:7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</row>
    <row r="219" spans="1:7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</row>
    <row r="220" spans="1:7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</row>
    <row r="221" spans="1:7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</row>
    <row r="222" spans="1:7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</row>
    <row r="223" spans="1:7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</row>
    <row r="224" spans="1:7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</row>
    <row r="225" spans="1:7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</row>
    <row r="226" spans="1:7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</row>
    <row r="227" spans="1:7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</row>
    <row r="228" spans="1:7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</row>
    <row r="229" spans="1:7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</row>
    <row r="230" spans="1:7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</row>
    <row r="231" spans="1:7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</row>
    <row r="232" spans="1:7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</row>
    <row r="233" spans="1:7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</row>
    <row r="234" spans="1:7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</row>
    <row r="235" spans="1:7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</row>
    <row r="236" spans="1:7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</row>
    <row r="237" spans="1:7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</row>
    <row r="238" spans="1:7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</row>
    <row r="239" spans="1:7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</row>
    <row r="240" spans="1:7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</row>
    <row r="241" spans="1:7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</row>
    <row r="242" spans="1:7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</row>
    <row r="243" spans="1:7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</row>
    <row r="244" spans="1:7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</row>
    <row r="245" spans="1:7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</row>
    <row r="246" spans="1:7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</row>
    <row r="247" spans="1:7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</row>
    <row r="248" spans="1:7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</row>
    <row r="249" spans="1:7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</row>
    <row r="250" spans="1:7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</row>
    <row r="251" spans="1:7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</row>
    <row r="252" spans="1:7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</row>
    <row r="253" spans="1:7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</row>
    <row r="254" spans="1:7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</row>
    <row r="255" spans="1:7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</row>
    <row r="256" spans="1:7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</row>
    <row r="257" spans="1:7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</row>
    <row r="258" spans="1:7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</row>
    <row r="259" spans="1:7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</row>
    <row r="260" spans="1:7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</row>
    <row r="261" spans="1:7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</row>
    <row r="262" spans="1:7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</row>
    <row r="263" spans="1:7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</row>
    <row r="264" spans="1:7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</row>
    <row r="265" spans="1:7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</row>
    <row r="266" spans="1:7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</row>
    <row r="267" spans="1:7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</row>
    <row r="268" spans="1:7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</row>
    <row r="269" spans="1:7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</row>
    <row r="270" spans="1:7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</row>
    <row r="271" spans="1:7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</row>
    <row r="272" spans="1:76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</row>
    <row r="273" spans="1:7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</row>
    <row r="274" spans="1:7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</row>
    <row r="275" spans="1:7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</row>
    <row r="276" spans="1:7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</row>
    <row r="277" spans="1:7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</row>
    <row r="278" spans="1:7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</row>
    <row r="279" spans="1:7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</row>
    <row r="280" spans="1:7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</row>
    <row r="281" spans="1:7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</row>
    <row r="282" spans="1:7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</row>
    <row r="283" spans="1:7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</row>
    <row r="284" spans="1:7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</row>
    <row r="285" spans="1:7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</row>
    <row r="286" spans="1:7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</row>
    <row r="287" spans="1:7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</row>
    <row r="288" spans="1:7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</row>
    <row r="289" spans="1:7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</row>
    <row r="290" spans="1:7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</row>
    <row r="291" spans="1:7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</row>
    <row r="292" spans="1:7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</row>
    <row r="293" spans="1:7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</row>
    <row r="294" spans="1:7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</row>
    <row r="295" spans="1:7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</row>
    <row r="296" spans="1:7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</row>
    <row r="297" spans="1:7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</row>
    <row r="298" spans="1:7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</row>
    <row r="299" spans="1:7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</row>
    <row r="300" spans="1:7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</row>
    <row r="301" spans="1:7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</row>
    <row r="302" spans="1:7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</row>
    <row r="303" spans="1:7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</row>
    <row r="304" spans="1:7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</row>
    <row r="305" spans="1:76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</row>
    <row r="306" spans="1:76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</row>
    <row r="307" spans="1:76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</row>
    <row r="308" spans="1:76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</row>
    <row r="309" spans="1:76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</row>
    <row r="310" spans="1:76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</row>
    <row r="311" spans="1:76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</row>
    <row r="312" spans="1:76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</row>
    <row r="313" spans="1:76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</row>
    <row r="314" spans="1:76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</row>
    <row r="315" spans="1:76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</row>
    <row r="316" spans="1:76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</row>
    <row r="317" spans="1:76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</row>
    <row r="318" spans="1:76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</row>
    <row r="319" spans="1:76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</row>
    <row r="320" spans="1:76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</row>
    <row r="321" spans="1:76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</row>
    <row r="322" spans="1:76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</row>
    <row r="323" spans="1:76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</row>
    <row r="324" spans="1:76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</row>
    <row r="325" spans="1:76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</row>
    <row r="326" spans="1:76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</row>
    <row r="327" spans="1:76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</row>
    <row r="328" spans="1:76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</row>
    <row r="329" spans="1:76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</row>
    <row r="330" spans="1:76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</row>
    <row r="331" spans="1:76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</row>
    <row r="332" spans="1:76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</row>
    <row r="333" spans="1:76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</row>
    <row r="334" spans="1:76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</row>
    <row r="335" spans="1:76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</row>
    <row r="336" spans="1:76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</row>
    <row r="337" spans="1:76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</row>
    <row r="338" spans="1:76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</row>
    <row r="339" spans="1:76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</row>
    <row r="340" spans="1:76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</row>
    <row r="341" spans="1:76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</row>
    <row r="342" spans="1:76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</row>
    <row r="343" spans="1:76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</row>
    <row r="344" spans="1:76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</row>
    <row r="345" spans="1:76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</row>
    <row r="346" spans="1:76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</row>
    <row r="347" spans="1:76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</row>
    <row r="348" spans="1:76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</row>
    <row r="349" spans="1:76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</row>
    <row r="350" spans="1:76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</row>
    <row r="351" spans="1:76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</row>
    <row r="352" spans="1:76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</row>
    <row r="353" spans="1:76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</row>
    <row r="354" spans="1:76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</row>
    <row r="355" spans="1:76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</row>
    <row r="356" spans="1:76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</row>
    <row r="357" spans="1:76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</row>
    <row r="358" spans="1:76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</row>
    <row r="359" spans="1:76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</row>
    <row r="360" spans="1:76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</row>
    <row r="361" spans="1:76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</row>
    <row r="362" spans="1:76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</row>
    <row r="363" spans="1:76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</row>
    <row r="364" spans="1:76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</row>
    <row r="365" spans="1:76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</row>
    <row r="366" spans="1:76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</row>
    <row r="367" spans="1:76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</row>
    <row r="368" spans="1:76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</row>
    <row r="369" spans="1:76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</row>
    <row r="370" spans="1:76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</row>
    <row r="371" spans="1:76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</row>
    <row r="372" spans="1:76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</row>
    <row r="373" spans="1:76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</row>
    <row r="374" spans="1:76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</row>
    <row r="375" spans="1:76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</row>
    <row r="376" spans="1:76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</row>
    <row r="377" spans="1:76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</row>
    <row r="378" spans="1:76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</row>
    <row r="379" spans="1:76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</row>
    <row r="380" spans="1:76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</row>
    <row r="381" spans="1:76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</row>
    <row r="382" spans="1:76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</row>
    <row r="383" spans="1:76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</row>
    <row r="384" spans="1:76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</row>
    <row r="385" spans="1:7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</row>
    <row r="386" spans="1:7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</row>
    <row r="387" spans="1:7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</row>
    <row r="388" spans="1:7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</row>
    <row r="389" spans="1:7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</row>
    <row r="390" spans="1:7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</row>
    <row r="391" spans="1:7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</row>
    <row r="392" spans="1:7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</row>
    <row r="393" spans="1:7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</row>
    <row r="394" spans="1:7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</row>
    <row r="395" spans="1:7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</row>
    <row r="396" spans="1:7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</row>
    <row r="397" spans="1:7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</row>
    <row r="398" spans="1:7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</row>
    <row r="399" spans="1:7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</row>
    <row r="400" spans="1:7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</row>
    <row r="401" spans="1:7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</row>
    <row r="402" spans="1:7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</row>
    <row r="403" spans="1:7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</row>
    <row r="404" spans="1:7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</row>
    <row r="405" spans="1:7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</row>
    <row r="406" spans="1:7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</row>
    <row r="407" spans="1:7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</row>
    <row r="408" spans="1:7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</row>
    <row r="409" spans="1:7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</row>
    <row r="410" spans="1:7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</row>
    <row r="411" spans="1:7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</row>
    <row r="412" spans="1:7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</row>
    <row r="413" spans="1:7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</row>
    <row r="414" spans="1:7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</row>
    <row r="415" spans="1:7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</row>
    <row r="416" spans="1:7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</row>
    <row r="417" spans="1:7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</row>
    <row r="418" spans="1:7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</row>
    <row r="419" spans="1:7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</row>
    <row r="420" spans="1:7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</row>
    <row r="421" spans="1:7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</row>
    <row r="422" spans="1:7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</row>
    <row r="423" spans="1:7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</row>
    <row r="424" spans="1:7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</row>
    <row r="425" spans="1:7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</row>
    <row r="426" spans="1:7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</row>
    <row r="427" spans="1:7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</row>
    <row r="428" spans="1:7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</row>
    <row r="429" spans="1:7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</row>
    <row r="430" spans="1:7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</row>
    <row r="431" spans="1:7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</row>
    <row r="432" spans="1:7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</row>
    <row r="433" spans="1:7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</row>
    <row r="434" spans="1:7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</row>
    <row r="435" spans="1:7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</row>
    <row r="436" spans="1:7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</row>
    <row r="437" spans="1:7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</row>
    <row r="438" spans="1:7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</row>
    <row r="439" spans="1:7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</row>
    <row r="440" spans="1:7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</row>
    <row r="441" spans="1:7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</row>
    <row r="442" spans="1:7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</row>
    <row r="443" spans="1:7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</row>
    <row r="444" spans="1:7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</row>
    <row r="445" spans="1:7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</row>
    <row r="446" spans="1:7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</row>
    <row r="447" spans="1:7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</row>
    <row r="448" spans="1:7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</row>
    <row r="449" spans="1:7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</row>
    <row r="450" spans="1:7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</row>
    <row r="451" spans="1:7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</row>
    <row r="452" spans="1:7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</row>
    <row r="453" spans="1:7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</row>
    <row r="454" spans="1:7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</row>
    <row r="455" spans="1:7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</row>
    <row r="456" spans="1:7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</row>
    <row r="457" spans="1:7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</row>
    <row r="458" spans="1:7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</row>
    <row r="459" spans="1:7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</row>
    <row r="460" spans="1:7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</row>
    <row r="461" spans="1:7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</row>
    <row r="462" spans="1:7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</row>
    <row r="463" spans="1:7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</row>
    <row r="464" spans="1:7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</row>
    <row r="465" spans="1:7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</row>
    <row r="466" spans="1:7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</row>
    <row r="467" spans="1:7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</row>
    <row r="468" spans="1:7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</row>
    <row r="469" spans="1:7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</row>
    <row r="470" spans="1:7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</row>
    <row r="471" spans="1:7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</row>
    <row r="472" spans="1:7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</row>
    <row r="473" spans="1:7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</row>
    <row r="474" spans="1:7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</row>
    <row r="475" spans="1:7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</row>
    <row r="476" spans="1:7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</row>
    <row r="477" spans="1:76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</row>
    <row r="478" spans="1:76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</row>
    <row r="479" spans="1:76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</row>
    <row r="480" spans="1:76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</row>
    <row r="481" spans="1:76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</row>
    <row r="482" spans="1:76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</row>
    <row r="483" spans="1:76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</row>
    <row r="484" spans="1:76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</row>
    <row r="485" spans="1:76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</row>
    <row r="486" spans="1:76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</row>
    <row r="487" spans="1:76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</row>
    <row r="488" spans="1:76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</row>
    <row r="489" spans="1:76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</row>
    <row r="490" spans="1:76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</row>
    <row r="491" spans="1:76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</row>
    <row r="492" spans="1:76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</row>
    <row r="493" spans="1:76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</row>
    <row r="494" spans="1:76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</row>
    <row r="495" spans="1:76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</row>
    <row r="496" spans="1:76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</row>
    <row r="497" spans="1:76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</row>
    <row r="498" spans="1:76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</row>
    <row r="499" spans="1:76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</row>
    <row r="500" spans="1:76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</row>
    <row r="501" spans="1:76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</row>
    <row r="502" spans="1:76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</row>
    <row r="503" spans="1:76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</row>
    <row r="504" spans="1:76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</row>
    <row r="505" spans="1:76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</row>
    <row r="506" spans="1:76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</row>
    <row r="507" spans="1:76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</row>
    <row r="508" spans="1:76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</row>
    <row r="509" spans="1:76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</row>
    <row r="510" spans="1:76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</row>
    <row r="511" spans="1:76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</row>
    <row r="512" spans="1:76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</row>
    <row r="513" spans="1:76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</row>
    <row r="514" spans="1:76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</row>
    <row r="515" spans="1:76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</row>
    <row r="516" spans="1:76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</row>
    <row r="517" spans="1:76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</row>
    <row r="518" spans="1:76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</row>
    <row r="519" spans="1:76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</row>
    <row r="520" spans="1:76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</row>
    <row r="521" spans="1:76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</row>
    <row r="522" spans="1:76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</row>
    <row r="523" spans="1:76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</row>
    <row r="524" spans="1:76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</row>
    <row r="525" spans="1:76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</row>
    <row r="526" spans="1:76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</row>
    <row r="527" spans="1:76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</row>
    <row r="528" spans="1:76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</row>
    <row r="529" spans="1:76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</row>
    <row r="530" spans="1:76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</row>
    <row r="531" spans="1:76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</row>
    <row r="532" spans="1:76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</row>
    <row r="533" spans="1:76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</row>
    <row r="534" spans="1:76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</row>
    <row r="535" spans="1:76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</row>
    <row r="536" spans="1:76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</row>
    <row r="537" spans="1:76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</row>
    <row r="538" spans="1:76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</row>
    <row r="539" spans="1:76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</row>
    <row r="540" spans="1:76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</row>
    <row r="541" spans="1:76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</row>
    <row r="542" spans="1:76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</row>
    <row r="543" spans="1:76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</row>
    <row r="544" spans="1:76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</row>
    <row r="545" spans="1:76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</row>
    <row r="546" spans="1:76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</row>
    <row r="547" spans="1:76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</row>
    <row r="548" spans="1:76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</row>
    <row r="549" spans="1:76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</row>
    <row r="550" spans="1:76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</row>
    <row r="551" spans="1:76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</row>
    <row r="552" spans="1:76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</row>
    <row r="553" spans="1:76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</row>
    <row r="554" spans="1:76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</row>
    <row r="555" spans="1:76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</row>
    <row r="556" spans="1:76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</row>
    <row r="557" spans="1:76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</row>
    <row r="558" spans="1:76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</row>
    <row r="559" spans="1:76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</row>
    <row r="560" spans="1:76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</row>
    <row r="561" spans="1:76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</row>
    <row r="562" spans="1:76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</row>
    <row r="563" spans="1:76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</row>
    <row r="564" spans="1:76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</row>
    <row r="565" spans="1:76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</row>
    <row r="566" spans="1:76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</row>
    <row r="567" spans="1:76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</row>
    <row r="568" spans="1:76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</row>
    <row r="569" spans="1:76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</row>
    <row r="570" spans="1:76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</row>
    <row r="571" spans="1:76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</row>
    <row r="572" spans="1:76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</row>
    <row r="573" spans="1:76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</row>
    <row r="574" spans="1:76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</row>
    <row r="575" spans="1:76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</row>
    <row r="576" spans="1:76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</row>
    <row r="577" spans="1:76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</row>
    <row r="578" spans="1:76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</row>
    <row r="579" spans="1:76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</row>
    <row r="580" spans="1:76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</row>
    <row r="581" spans="1:76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</row>
    <row r="582" spans="1:76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</row>
    <row r="583" spans="1:76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</row>
    <row r="584" spans="1:76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</row>
    <row r="585" spans="1:76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</row>
    <row r="586" spans="1:76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</row>
    <row r="587" spans="1:76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</row>
    <row r="588" spans="1:76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</row>
    <row r="589" spans="1:76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</row>
    <row r="590" spans="1:76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</row>
    <row r="591" spans="1:76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</row>
    <row r="592" spans="1:76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</row>
    <row r="593" spans="1:76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</row>
    <row r="594" spans="1:76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</row>
    <row r="595" spans="1:76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</row>
    <row r="596" spans="1:76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</row>
    <row r="597" spans="1:76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</row>
    <row r="598" spans="1:76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</row>
    <row r="599" spans="1:76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</row>
    <row r="600" spans="1:76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</row>
    <row r="601" spans="1:76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</row>
    <row r="602" spans="1:76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</row>
    <row r="603" spans="1:76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</row>
    <row r="604" spans="1:76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</row>
    <row r="605" spans="1:76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</row>
    <row r="606" spans="1:76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</row>
    <row r="607" spans="1:76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</row>
    <row r="608" spans="1:76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</row>
    <row r="609" spans="1:76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</row>
    <row r="610" spans="1:76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</row>
    <row r="611" spans="1:76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</row>
    <row r="612" spans="1:76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</row>
    <row r="613" spans="1:76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</row>
    <row r="614" spans="1:76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</row>
    <row r="615" spans="1:76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</row>
    <row r="616" spans="1:76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</row>
    <row r="617" spans="1:76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</row>
    <row r="618" spans="1:76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</row>
    <row r="619" spans="1:76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</row>
    <row r="620" spans="1:76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</row>
    <row r="621" spans="1:76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</row>
    <row r="622" spans="1:76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</row>
    <row r="623" spans="1:76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</row>
    <row r="624" spans="1:76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</row>
    <row r="625" spans="1:76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</row>
    <row r="626" spans="1:76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</row>
    <row r="627" spans="1:76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</row>
    <row r="628" spans="1:76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</row>
    <row r="629" spans="1:76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</row>
    <row r="630" spans="1:76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</row>
    <row r="631" spans="1:76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</row>
    <row r="632" spans="1:76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</row>
    <row r="633" spans="1:76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</row>
    <row r="634" spans="1:76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</row>
    <row r="635" spans="1:76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</row>
    <row r="636" spans="1:76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</row>
    <row r="637" spans="1:76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</row>
    <row r="638" spans="1:76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</row>
    <row r="639" spans="1:76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</row>
    <row r="640" spans="1:76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</row>
    <row r="641" spans="1:76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</row>
    <row r="642" spans="1:76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</row>
    <row r="643" spans="1:76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</row>
    <row r="644" spans="1:76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</row>
    <row r="645" spans="1:76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</row>
    <row r="646" spans="1:76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</row>
    <row r="647" spans="1:76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</row>
    <row r="648" spans="1:76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</row>
    <row r="649" spans="1:76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</row>
    <row r="650" spans="1:76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</row>
    <row r="651" spans="1:76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</row>
    <row r="652" spans="1:76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</row>
    <row r="653" spans="1:76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</row>
    <row r="654" spans="1:76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</row>
    <row r="655" spans="1:76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</row>
    <row r="656" spans="1:76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</row>
    <row r="657" spans="1:76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</row>
    <row r="658" spans="1:76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</row>
    <row r="659" spans="1:76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</row>
    <row r="660" spans="1:76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</row>
    <row r="661" spans="1:76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</row>
    <row r="662" spans="1:76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</row>
    <row r="663" spans="1:76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</row>
    <row r="664" spans="1:76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</row>
    <row r="665" spans="1:76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</row>
    <row r="666" spans="1:76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</row>
    <row r="667" spans="1:76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</row>
    <row r="668" spans="1:76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</row>
    <row r="669" spans="1:76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</row>
    <row r="670" spans="1:76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</row>
    <row r="671" spans="1:76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</row>
    <row r="672" spans="1:76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</row>
    <row r="673" spans="1:76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</row>
    <row r="674" spans="1:76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</row>
    <row r="675" spans="1:76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</row>
    <row r="676" spans="1:76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</row>
    <row r="677" spans="1:76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</row>
    <row r="678" spans="1:76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</row>
    <row r="679" spans="1:76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</row>
    <row r="680" spans="1:76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</row>
    <row r="681" spans="1:76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</row>
    <row r="682" spans="1:76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</row>
    <row r="683" spans="1:76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</row>
    <row r="684" spans="1:76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</row>
    <row r="685" spans="1:76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</row>
    <row r="686" spans="1:76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</row>
    <row r="687" spans="1:76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</row>
    <row r="688" spans="1:76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</row>
    <row r="689" spans="1:76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</row>
    <row r="690" spans="1:76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</row>
    <row r="691" spans="1:76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</row>
    <row r="692" spans="1:76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</row>
    <row r="693" spans="1:76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</row>
    <row r="694" spans="1:76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</row>
    <row r="695" spans="1:76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</row>
    <row r="696" spans="1:76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</row>
    <row r="697" spans="1:76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</row>
    <row r="698" spans="1:76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</row>
    <row r="699" spans="1:76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</row>
    <row r="700" spans="1:76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</row>
    <row r="701" spans="1:76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</row>
    <row r="702" spans="1:76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</row>
    <row r="703" spans="1:76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</row>
    <row r="704" spans="1:76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</row>
    <row r="705" spans="1:76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</row>
    <row r="706" spans="1:76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</row>
    <row r="707" spans="1:76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</row>
    <row r="708" spans="1:76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</row>
    <row r="709" spans="1:76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</row>
    <row r="710" spans="1:76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</row>
    <row r="711" spans="1:76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</row>
    <row r="712" spans="1:76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</row>
    <row r="713" spans="1:76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</row>
    <row r="714" spans="1:76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</row>
    <row r="715" spans="1:76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</row>
    <row r="716" spans="1:76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</row>
    <row r="717" spans="1:76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</row>
    <row r="718" spans="1:76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</row>
    <row r="719" spans="1:76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</row>
    <row r="720" spans="1:76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</row>
    <row r="721" spans="1:76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</row>
    <row r="722" spans="1:76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</row>
    <row r="723" spans="1:76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</row>
    <row r="724" spans="1:76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</row>
    <row r="725" spans="1:76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</row>
    <row r="726" spans="1:76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</row>
    <row r="727" spans="1:76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</row>
    <row r="728" spans="1:76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</row>
    <row r="729" spans="1:76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</row>
    <row r="730" spans="1:76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</row>
    <row r="731" spans="1:76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</row>
    <row r="732" spans="1:76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</row>
    <row r="733" spans="1:76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</row>
    <row r="734" spans="1:76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</row>
    <row r="735" spans="1:76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</row>
    <row r="736" spans="1:76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</row>
    <row r="737" spans="1:76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</row>
    <row r="738" spans="1:76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</row>
    <row r="739" spans="1:76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</row>
    <row r="740" spans="1:76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</row>
    <row r="741" spans="1:76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</row>
    <row r="742" spans="1:76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</row>
    <row r="743" spans="1:76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</row>
    <row r="744" spans="1:76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</row>
    <row r="745" spans="1:76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</row>
    <row r="746" spans="1:76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</row>
    <row r="747" spans="1:76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</row>
    <row r="748" spans="1:76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</row>
    <row r="749" spans="1:76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</row>
    <row r="750" spans="1:76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</row>
    <row r="751" spans="1:76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</row>
    <row r="752" spans="1:76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</row>
    <row r="753" spans="1:76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</row>
    <row r="754" spans="1:76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</row>
    <row r="755" spans="1:76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</row>
    <row r="756" spans="1:76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</row>
    <row r="757" spans="1:76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</row>
    <row r="758" spans="1:76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</row>
    <row r="759" spans="1:76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</row>
    <row r="760" spans="1:76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</row>
    <row r="761" spans="1:76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</row>
    <row r="762" spans="1:76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</row>
    <row r="763" spans="1:76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</row>
    <row r="764" spans="1:76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</row>
    <row r="765" spans="1:76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</row>
    <row r="766" spans="1:76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</row>
    <row r="767" spans="1:76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</row>
    <row r="768" spans="1:76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</row>
    <row r="769" spans="1:76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</row>
    <row r="770" spans="1:76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</row>
    <row r="771" spans="1:76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</row>
    <row r="772" spans="1:76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</row>
    <row r="773" spans="1:76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</row>
    <row r="774" spans="1:76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</row>
    <row r="775" spans="1:76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</row>
    <row r="776" spans="1:76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</row>
    <row r="777" spans="1:76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</row>
    <row r="778" spans="1:76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</row>
    <row r="779" spans="1:76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</row>
    <row r="780" spans="1:76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</row>
    <row r="781" spans="1:76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</row>
    <row r="782" spans="1:76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</row>
    <row r="783" spans="1:76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</row>
    <row r="784" spans="1:76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</row>
    <row r="785" spans="1:76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</row>
    <row r="786" spans="1:76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</row>
    <row r="787" spans="1:76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</row>
    <row r="788" spans="1:76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</row>
    <row r="789" spans="1:76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</row>
    <row r="790" spans="1:76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</row>
    <row r="791" spans="1:76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</row>
    <row r="792" spans="1:76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</row>
    <row r="793" spans="1:76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</row>
    <row r="794" spans="1:76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</row>
    <row r="795" spans="1:76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</row>
    <row r="796" spans="1:76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</row>
    <row r="797" spans="1:76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</row>
    <row r="798" spans="1:76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</row>
    <row r="799" spans="1:76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</row>
    <row r="800" spans="1:76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</row>
    <row r="801" spans="1:76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</row>
    <row r="802" spans="1:76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</row>
    <row r="803" spans="1:76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</row>
    <row r="804" spans="1:76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</row>
    <row r="805" spans="1:76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</row>
    <row r="806" spans="1:76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</row>
    <row r="807" spans="1:76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</row>
    <row r="808" spans="1:76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</row>
    <row r="809" spans="1:76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</row>
    <row r="810" spans="1:76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</row>
    <row r="811" spans="1:76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</row>
    <row r="812" spans="1:76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</row>
    <row r="813" spans="1:76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</row>
    <row r="814" spans="1:76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</row>
    <row r="815" spans="1:76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</row>
    <row r="816" spans="1:76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</row>
    <row r="817" spans="1:76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</row>
    <row r="818" spans="1:76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</row>
    <row r="819" spans="1:76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</row>
    <row r="820" spans="1:76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</row>
    <row r="821" spans="1:76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</row>
    <row r="822" spans="1:76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</row>
    <row r="823" spans="1:76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</row>
    <row r="824" spans="1:76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</row>
    <row r="825" spans="1:76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</row>
    <row r="826" spans="1:76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</row>
    <row r="827" spans="1:76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</row>
    <row r="828" spans="1:76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</row>
    <row r="829" spans="1:76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</row>
    <row r="830" spans="1:76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</row>
    <row r="831" spans="1:76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</row>
    <row r="832" spans="1:76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</row>
    <row r="833" spans="1:76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</row>
    <row r="834" spans="1:76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</row>
    <row r="835" spans="1:76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</row>
    <row r="836" spans="1:76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</row>
    <row r="837" spans="1:76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</row>
    <row r="838" spans="1:76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</row>
    <row r="839" spans="1:76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</row>
    <row r="840" spans="1:76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</row>
    <row r="841" spans="1:76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</row>
    <row r="842" spans="1:76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</row>
    <row r="843" spans="1:76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</row>
    <row r="844" spans="1:76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</row>
    <row r="845" spans="1:76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</row>
    <row r="846" spans="1:76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</row>
    <row r="847" spans="1:76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</row>
    <row r="848" spans="1:76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</row>
    <row r="849" spans="1:76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</row>
    <row r="850" spans="1:76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</row>
    <row r="851" spans="1:76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</row>
    <row r="852" spans="1:76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</row>
    <row r="853" spans="1:76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</row>
    <row r="854" spans="1:76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</row>
    <row r="855" spans="1:76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</row>
    <row r="856" spans="1:76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</row>
    <row r="857" spans="1:76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</row>
    <row r="858" spans="1:76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</row>
    <row r="859" spans="1:76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</row>
    <row r="860" spans="1:76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</row>
    <row r="861" spans="1:76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</row>
    <row r="862" spans="1:76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</row>
    <row r="863" spans="1:76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</row>
    <row r="864" spans="1:76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</row>
    <row r="865" spans="1:76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</row>
    <row r="866" spans="1:76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</row>
    <row r="867" spans="1:76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</row>
    <row r="868" spans="1:76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</row>
    <row r="869" spans="1:76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</row>
    <row r="870" spans="1:76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</row>
    <row r="871" spans="1:76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</row>
    <row r="872" spans="1:76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</row>
    <row r="873" spans="1:76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</row>
    <row r="874" spans="1:76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</row>
    <row r="875" spans="1:76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</row>
    <row r="876" spans="1:76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</row>
    <row r="877" spans="1:76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</row>
    <row r="878" spans="1:76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</row>
    <row r="879" spans="1:76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</row>
    <row r="880" spans="1:76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</row>
    <row r="881" spans="1:76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</row>
    <row r="882" spans="1:76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</row>
    <row r="883" spans="1:76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</row>
    <row r="884" spans="1:76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</row>
    <row r="885" spans="1:76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</row>
    <row r="886" spans="1:76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</row>
    <row r="887" spans="1:76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</row>
    <row r="888" spans="1:76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</row>
    <row r="889" spans="1:76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</row>
    <row r="890" spans="1:76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</row>
    <row r="891" spans="1:76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</row>
    <row r="892" spans="1:76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</row>
    <row r="893" spans="1:76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</row>
    <row r="894" spans="1:76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</row>
    <row r="895" spans="1:76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</row>
    <row r="896" spans="1:76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</row>
    <row r="897" spans="1:76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</row>
    <row r="898" spans="1:76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</row>
    <row r="899" spans="1:76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</row>
    <row r="900" spans="1:76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</row>
    <row r="901" spans="1:76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</row>
    <row r="902" spans="1:76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</row>
    <row r="903" spans="1:76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</row>
    <row r="904" spans="1:76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</row>
    <row r="905" spans="1:76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</row>
    <row r="906" spans="1:76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</row>
    <row r="907" spans="1:76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</row>
    <row r="908" spans="1:76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</row>
    <row r="909" spans="1:76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</row>
    <row r="910" spans="1:76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</row>
    <row r="911" spans="1:76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</row>
    <row r="912" spans="1:76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</row>
    <row r="913" spans="1:76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</row>
    <row r="914" spans="1:76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</row>
    <row r="915" spans="1:76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</row>
    <row r="916" spans="1:76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</row>
    <row r="917" spans="1:76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</row>
    <row r="918" spans="1:76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</row>
    <row r="919" spans="1:76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</row>
    <row r="920" spans="1:76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</row>
    <row r="921" spans="1:76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</row>
    <row r="922" spans="1:76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</row>
    <row r="923" spans="1:76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</row>
    <row r="924" spans="1:76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</row>
    <row r="925" spans="1:76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</row>
    <row r="926" spans="1:76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</row>
    <row r="927" spans="1:76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</row>
    <row r="928" spans="1:76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</row>
    <row r="929" spans="1:76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</row>
    <row r="930" spans="1:76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</row>
    <row r="931" spans="1:76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</row>
    <row r="932" spans="1:76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</row>
    <row r="933" spans="1:76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</row>
    <row r="934" spans="1:76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</row>
    <row r="935" spans="1:76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</row>
    <row r="936" spans="1:76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</row>
    <row r="937" spans="1:76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</row>
    <row r="938" spans="1:76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</row>
    <row r="939" spans="1:76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</row>
    <row r="940" spans="1:76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</row>
    <row r="941" spans="1:76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</row>
    <row r="942" spans="1:76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</row>
    <row r="943" spans="1:76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</row>
    <row r="944" spans="1:76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</row>
    <row r="945" spans="1:76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</row>
    <row r="946" spans="1:76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</row>
    <row r="947" spans="1:76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</row>
    <row r="948" spans="1:76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</row>
    <row r="949" spans="1:76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</row>
    <row r="950" spans="1:76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</row>
    <row r="951" spans="1:76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</row>
    <row r="952" spans="1:76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</row>
    <row r="953" spans="1:76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</row>
    <row r="954" spans="1:76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</row>
    <row r="955" spans="1:76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</row>
    <row r="956" spans="1:76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</row>
    <row r="957" spans="1:76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</row>
    <row r="958" spans="1:76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</row>
    <row r="959" spans="1:76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</row>
    <row r="960" spans="1:76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</row>
    <row r="961" spans="1:76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</row>
    <row r="962" spans="1:76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</row>
    <row r="963" spans="1:76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</row>
    <row r="964" spans="1:76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</row>
    <row r="965" spans="1:76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</row>
    <row r="966" spans="1:76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</row>
    <row r="967" spans="1:76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</row>
    <row r="968" spans="1:76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</row>
    <row r="969" spans="1:76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</row>
    <row r="970" spans="1:76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</row>
    <row r="971" spans="1:76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</row>
    <row r="972" spans="1:76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</row>
    <row r="973" spans="1:76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</row>
    <row r="974" spans="1:76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</row>
    <row r="975" spans="1:76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</row>
    <row r="976" spans="1:76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</row>
    <row r="977" spans="1:76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</row>
    <row r="978" spans="1:76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</row>
    <row r="979" spans="1:76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</row>
    <row r="980" spans="1:76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</row>
    <row r="981" spans="1:76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</row>
    <row r="982" spans="1:76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</row>
    <row r="983" spans="1:76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</row>
    <row r="984" spans="1:76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</row>
    <row r="985" spans="1:76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</row>
    <row r="986" spans="1:76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</row>
    <row r="987" spans="1:76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</row>
    <row r="988" spans="1:76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</row>
    <row r="989" spans="1:76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</row>
    <row r="990" spans="1:76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</row>
    <row r="991" spans="1:76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</row>
    <row r="992" spans="1:76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</row>
    <row r="993" spans="1:76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</row>
    <row r="994" spans="1:76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</row>
    <row r="995" spans="1:76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</row>
    <row r="996" spans="1:76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</row>
    <row r="997" spans="1:76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</row>
    <row r="998" spans="1:76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</row>
    <row r="999" spans="1:76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</row>
    <row r="1000" spans="1:76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</row>
    <row r="1001" spans="1:76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</row>
    <row r="1002" spans="1:76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</row>
    <row r="1003" spans="1:76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</row>
    <row r="1004" spans="1:76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</row>
    <row r="1005" spans="1:76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</row>
    <row r="1006" spans="1:76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</row>
    <row r="1007" spans="1:76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</row>
    <row r="1008" spans="1:76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</row>
    <row r="1009" spans="1:76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</row>
    <row r="1010" spans="1:76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</row>
    <row r="1011" spans="1:76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</row>
    <row r="1012" spans="1:76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</row>
    <row r="1013" spans="1:76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</row>
    <row r="1014" spans="1:76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</row>
    <row r="1015" spans="1:76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</row>
    <row r="1016" spans="1:76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</row>
    <row r="1017" spans="1:76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</row>
    <row r="1018" spans="1:76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</row>
    <row r="1019" spans="1:76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</row>
    <row r="1020" spans="1:76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</row>
    <row r="1021" spans="1:76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</row>
    <row r="1022" spans="1:76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</row>
    <row r="1023" spans="1:76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</row>
    <row r="1024" spans="1:76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</row>
    <row r="1025" spans="1:76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</row>
    <row r="1026" spans="1:76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</row>
    <row r="1027" spans="1:76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</row>
    <row r="1028" spans="1:76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</row>
    <row r="1029" spans="1:76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</row>
    <row r="1030" spans="1:76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</row>
    <row r="1031" spans="1:76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</row>
    <row r="1032" spans="1:76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</row>
    <row r="1033" spans="1:76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</row>
    <row r="1034" spans="1:76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</row>
    <row r="1035" spans="1:76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</row>
    <row r="1036" spans="1:76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</row>
    <row r="1037" spans="1:76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</row>
    <row r="1038" spans="1:76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</row>
    <row r="1039" spans="1:76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</row>
    <row r="1040" spans="1:76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</row>
    <row r="1041" spans="1:76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</row>
    <row r="1042" spans="1:76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</row>
    <row r="1043" spans="1:76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</row>
    <row r="1044" spans="1:76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</row>
    <row r="1045" spans="1:76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</row>
    <row r="1046" spans="1:76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</row>
    <row r="1047" spans="1:76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</row>
    <row r="1048" spans="1:76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</row>
    <row r="1049" spans="1:76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</row>
    <row r="1050" spans="1:76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</row>
    <row r="1051" spans="1:76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</row>
    <row r="1052" spans="1:76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</row>
    <row r="1053" spans="1:76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</row>
    <row r="1054" spans="1:76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</row>
    <row r="1055" spans="1:76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</row>
  </sheetData>
  <mergeCells count="7">
    <mergeCell ref="BW1:BX1"/>
    <mergeCell ref="H1:T1"/>
    <mergeCell ref="U1:AN1"/>
    <mergeCell ref="A1:G1"/>
    <mergeCell ref="BU1:BV1"/>
    <mergeCell ref="BC1:BT1"/>
    <mergeCell ref="AO1:BB1"/>
  </mergeCell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7"/>
  <sheetViews>
    <sheetView showGridLines="0" tabSelected="1" zoomScale="70" zoomScaleNormal="70" workbookViewId="0">
      <selection activeCell="AJ3" sqref="AJ3"/>
    </sheetView>
  </sheetViews>
  <sheetFormatPr baseColWidth="10" defaultRowHeight="15"/>
  <cols>
    <col min="2" max="7" width="5.7109375" customWidth="1"/>
    <col min="8" max="8" width="5.7109375" style="2" customWidth="1"/>
    <col min="9" max="9" width="3.7109375" customWidth="1"/>
    <col min="11" max="16" width="5.7109375" customWidth="1"/>
    <col min="17" max="17" width="5.7109375" style="2" customWidth="1"/>
    <col min="18" max="18" width="3.7109375" customWidth="1"/>
    <col min="20" max="25" width="5.7109375" customWidth="1"/>
    <col min="26" max="26" width="5.7109375" style="2" customWidth="1"/>
    <col min="27" max="27" width="3.7109375" customWidth="1"/>
    <col min="29" max="34" width="5.7109375" customWidth="1"/>
    <col min="35" max="35" width="5.7109375" style="2" customWidth="1"/>
    <col min="36" max="36" width="21" bestFit="1" customWidth="1"/>
    <col min="37" max="37" width="11.7109375" bestFit="1" customWidth="1"/>
    <col min="38" max="43" width="5.7109375" customWidth="1"/>
    <col min="44" max="44" width="3.7109375" customWidth="1"/>
    <col min="46" max="51" width="5.7109375" customWidth="1"/>
    <col min="54" max="59" width="5.7109375" customWidth="1"/>
  </cols>
  <sheetData>
    <row r="1" spans="1:37" s="2" customFormat="1" ht="32.25" customHeight="1">
      <c r="J1" s="79" t="s">
        <v>85</v>
      </c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J1" s="74" t="s">
        <v>86</v>
      </c>
      <c r="AK1" s="75"/>
    </row>
    <row r="2" spans="1:37" ht="18" customHeight="1" thickBot="1">
      <c r="A2" s="76" t="s">
        <v>87</v>
      </c>
      <c r="B2" s="77"/>
      <c r="C2" s="77"/>
      <c r="D2" s="77"/>
      <c r="E2" s="77"/>
      <c r="F2" s="77"/>
      <c r="G2" s="77"/>
      <c r="H2" s="77"/>
      <c r="J2" s="78" t="s">
        <v>88</v>
      </c>
      <c r="K2" s="77"/>
      <c r="L2" s="77"/>
      <c r="M2" s="77"/>
      <c r="N2" s="77"/>
      <c r="O2" s="82" t="s">
        <v>89</v>
      </c>
      <c r="P2" s="81"/>
      <c r="Q2" s="75"/>
      <c r="R2" s="81"/>
      <c r="S2" s="81"/>
      <c r="T2" s="81"/>
      <c r="U2" s="83" t="s">
        <v>90</v>
      </c>
      <c r="V2" s="77"/>
      <c r="W2" s="77"/>
      <c r="X2" s="77"/>
      <c r="Y2" s="77"/>
      <c r="Z2" s="77"/>
      <c r="AB2" s="76" t="s">
        <v>91</v>
      </c>
      <c r="AC2" s="77"/>
      <c r="AD2" s="77"/>
      <c r="AE2" s="77"/>
      <c r="AF2" s="77"/>
      <c r="AG2" s="77"/>
      <c r="AH2" s="77"/>
      <c r="AI2" s="77"/>
      <c r="AJ2" s="1" t="s">
        <v>10</v>
      </c>
      <c r="AK2" t="s">
        <v>92</v>
      </c>
    </row>
    <row r="3" spans="1:37" ht="15.75" customHeight="1" thickTop="1">
      <c r="A3" s="6" t="str">
        <f>_xlfn.CONCAT("TOTAL: ",SUM(B3:G3))</f>
        <v>TOTAL: 0</v>
      </c>
      <c r="B3" s="5">
        <f>SUM(EPV_PARALISIS_FLACIDA_AGUDA[D1])</f>
        <v>0</v>
      </c>
      <c r="C3" s="5">
        <f>SUM(EPV_PARALISIS_FLACIDA_AGUDA[D2])</f>
        <v>0</v>
      </c>
      <c r="D3" s="5">
        <f>SUM(EPV_PARALISIS_FLACIDA_AGUDA[D3])</f>
        <v>0</v>
      </c>
      <c r="E3" s="5">
        <f>SUM(EPV_PARALISIS_FLACIDA_AGUDA[D4])</f>
        <v>0</v>
      </c>
      <c r="F3" s="5">
        <f>SUM(EPV_PARALISIS_FLACIDA_AGUDA[D5])</f>
        <v>0</v>
      </c>
      <c r="G3" s="5">
        <f>SUM(EPV_PARALISIS_FLACIDA_AGUDA[D6])</f>
        <v>0</v>
      </c>
      <c r="H3" s="7"/>
      <c r="J3" s="6" t="str">
        <f>_xlfn.CONCAT("TOTAL: ",SUM(K3:P3))</f>
        <v>TOTAL: 0</v>
      </c>
      <c r="K3" s="5">
        <f>SUM(EPV_RUBEOLA[D1])</f>
        <v>0</v>
      </c>
      <c r="L3" s="5">
        <f>SUM(EPV_RUBEOLA[D2])</f>
        <v>0</v>
      </c>
      <c r="M3" s="5">
        <f>SUM(EPV_RUBEOLA[D3])</f>
        <v>0</v>
      </c>
      <c r="N3" s="5">
        <f>SUM(EPV_RUBEOLA[D4])</f>
        <v>0</v>
      </c>
      <c r="O3" s="5">
        <f>SUM(EPV_RUBEOLA[D5])</f>
        <v>0</v>
      </c>
      <c r="P3" s="5">
        <f>SUM(EPV_RUBEOLA[D6])</f>
        <v>0</v>
      </c>
      <c r="Q3" s="7"/>
      <c r="S3" s="6" t="str">
        <f>_xlfn.CONCAT("TOTAL: ",SUM(T3:Y3))</f>
        <v>TOTAL: 0</v>
      </c>
      <c r="T3" s="5">
        <f>SUM(EPV_SARAMPION[D1])</f>
        <v>0</v>
      </c>
      <c r="U3" s="5">
        <f>SUM(EPV_SARAMPION[D2])</f>
        <v>0</v>
      </c>
      <c r="V3" s="5">
        <f>SUM(EPV_SARAMPION[D3])</f>
        <v>0</v>
      </c>
      <c r="W3" s="5">
        <f>SUM(EPV_SARAMPION[D4])</f>
        <v>0</v>
      </c>
      <c r="X3" s="5">
        <f>SUM(EPV_SARAMPION[D5])</f>
        <v>0</v>
      </c>
      <c r="Y3" s="5">
        <f>SUM(EPV_SARAMPION[D6])</f>
        <v>0</v>
      </c>
      <c r="Z3" s="7"/>
      <c r="AB3" s="6" t="str">
        <f>_xlfn.CONCAT("TOTAL: ",SUM(AC3:AH3))</f>
        <v>TOTAL: 0</v>
      </c>
      <c r="AC3" s="5">
        <f>SUM(EPV_DIFTERIA[D1])</f>
        <v>0</v>
      </c>
      <c r="AD3" s="5">
        <f>SUM(EPV_DIFTERIA[D2])</f>
        <v>0</v>
      </c>
      <c r="AE3" s="5">
        <f>SUM(EPV_DIFTERIA[D3])</f>
        <v>0</v>
      </c>
      <c r="AF3" s="5">
        <f>SUM(EPV_DIFTERIA[D4])</f>
        <v>0</v>
      </c>
      <c r="AG3" s="5">
        <f>SUM(EPV_DIFTERIA[D5])</f>
        <v>0</v>
      </c>
      <c r="AH3" s="5">
        <f>SUM(EPV_DIFTERIA[D6])</f>
        <v>0</v>
      </c>
      <c r="AI3" s="7"/>
    </row>
    <row r="4" spans="1:37">
      <c r="A4" t="s">
        <v>93</v>
      </c>
      <c r="B4" s="3" t="s">
        <v>94</v>
      </c>
      <c r="C4" s="3" t="s">
        <v>95</v>
      </c>
      <c r="D4" s="3" t="s">
        <v>96</v>
      </c>
      <c r="E4" s="3" t="s">
        <v>97</v>
      </c>
      <c r="F4" s="3" t="s">
        <v>98</v>
      </c>
      <c r="G4" s="3" t="s">
        <v>99</v>
      </c>
      <c r="H4" s="10" t="s">
        <v>100</v>
      </c>
      <c r="J4" t="s">
        <v>93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8" t="s">
        <v>100</v>
      </c>
      <c r="S4" t="s">
        <v>93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8" t="s">
        <v>100</v>
      </c>
      <c r="AB4" t="s">
        <v>93</v>
      </c>
      <c r="AC4" s="3" t="s">
        <v>94</v>
      </c>
      <c r="AD4" s="3" t="s">
        <v>95</v>
      </c>
      <c r="AE4" s="3" t="s">
        <v>96</v>
      </c>
      <c r="AF4" s="3" t="s">
        <v>97</v>
      </c>
      <c r="AG4" s="3" t="s">
        <v>98</v>
      </c>
      <c r="AH4" s="3" t="s">
        <v>99</v>
      </c>
      <c r="AI4" s="8" t="s">
        <v>100</v>
      </c>
    </row>
    <row r="5" spans="1:37">
      <c r="A5" s="4" t="s">
        <v>101</v>
      </c>
      <c r="B5" s="3">
        <f>IF($AK$2="(Todas)",COUNTIF(BASE[CODCIE10],EPV_PARALISIS_FLACIDA_AGUDA[[#This Row],[CIE-10]]),COUNTIFS(BASE[Cod.Establecimiento],$AK$2,BASE[CODCIE10],EPV_PARALISIS_FLACIDA_AGUDA[[#This Row],[CIE-10]]))</f>
        <v>0</v>
      </c>
      <c r="C5" s="3">
        <f>IF($AK$2="(Todas)",COUNTIF(BASE[CODCIE102],EPV_PARALISIS_FLACIDA_AGUDA[[#This Row],[CIE-10]]),COUNTIFS(BASE[Cod.Establecimiento],$AK$2,BASE[CODCIE102],EPV_PARALISIS_FLACIDA_AGUDA[[#This Row],[CIE-10]]))</f>
        <v>0</v>
      </c>
      <c r="D5" s="3">
        <f>IF($AK$2="(Todas)",COUNTIF(BASE[CODCIE104],EPV_PARALISIS_FLACIDA_AGUDA[[#This Row],[CIE-10]]),COUNTIFS(BASE[Cod.Establecimiento],$AK$2,BASE[CODCIE104],EPV_PARALISIS_FLACIDA_AGUDA[[#This Row],[CIE-10]]))</f>
        <v>0</v>
      </c>
      <c r="E5" s="3">
        <f>IF($AK$2="(Todas)",COUNTIF(BASE[CODCIE106],EPV_PARALISIS_FLACIDA_AGUDA[[#This Row],[CIE-10]]),COUNTIFS(BASE[Cod.Establecimiento],$AK$2,BASE[CODCIE106],EPV_PARALISIS_FLACIDA_AGUDA[[#This Row],[CIE-10]]))</f>
        <v>0</v>
      </c>
      <c r="F5" s="3">
        <f>IF($AK$2="(Todas)",COUNTIF(BASE[CODCIE108],EPV_PARALISIS_FLACIDA_AGUDA[[#This Row],[CIE-10]]),COUNTIFS(BASE[Cod.Establecimiento],$AK$2,BASE[CODCIE108],EPV_PARALISIS_FLACIDA_AGUDA[[#This Row],[CIE-10]]))</f>
        <v>0</v>
      </c>
      <c r="G5" s="3">
        <f>IF($AK$2="(Todas)",COUNTIF(BASE[CODCIE1010],EPV_PARALISIS_FLACIDA_AGUDA[[#This Row],[CIE-10]]),COUNTIFS(BASE[Cod.Establecimiento],$AK$2,BASE[CODCIE1010],EPV_PARALISIS_FLACIDA_AGUDA[[#This Row],[CIE-10]]))</f>
        <v>0</v>
      </c>
      <c r="H5" s="9">
        <f>SUM(EPV_PARALISIS_FLACIDA_AGUDA[[#This Row],[D1]:[D6]])</f>
        <v>0</v>
      </c>
      <c r="J5" s="4" t="s">
        <v>102</v>
      </c>
      <c r="K5" s="3">
        <f>IF($AK$2="(Todas)",COUNTIF(BASE[CODCIE10],EPV_RUBEOLA[[#This Row],[CIE-10]]),COUNTIFS(BASE[Cod.Establecimiento],$AK$2,BASE[CODCIE10],EPV_RUBEOLA[[#This Row],[CIE-10]]))</f>
        <v>0</v>
      </c>
      <c r="L5" s="3">
        <f>IF($AK$2="(Todas)",COUNTIF(BASE[CODCIE102],EPV_RUBEOLA[[#This Row],[CIE-10]]),COUNTIFS(BASE[Cod.Establecimiento],$AK$2,BASE[CODCIE102],EPV_RUBEOLA[[#This Row],[CIE-10]]))</f>
        <v>0</v>
      </c>
      <c r="M5" s="3">
        <f>IF($AK$2="(Todas)",COUNTIF(BASE[CODCIE104],EPV_RUBEOLA[[#This Row],[CIE-10]]),COUNTIFS(BASE[Cod.Establecimiento],$AK$2,BASE[CODCIE104],EPV_RUBEOLA[[#This Row],[CIE-10]]))</f>
        <v>0</v>
      </c>
      <c r="N5" s="3">
        <f>IF($AK$2="(Todas)",COUNTIF(BASE[CODCIE106],EPV_RUBEOLA[[#This Row],[CIE-10]]),COUNTIFS(BASE[Cod.Establecimiento],$AK$2,BASE[CODCIE106],EPV_RUBEOLA[[#This Row],[CIE-10]]))</f>
        <v>0</v>
      </c>
      <c r="O5" s="3">
        <f>IF($AK$2="(Todas)",COUNTIF(BASE[CODCIE108],EPV_RUBEOLA[[#This Row],[CIE-10]]),COUNTIFS(BASE[Cod.Establecimiento],$AK$2,BASE[CODCIE108],EPV_RUBEOLA[[#This Row],[CIE-10]]))</f>
        <v>0</v>
      </c>
      <c r="P5" s="3">
        <f>IF($AK$2="(Todas)",COUNTIF(BASE[CODCIE1010],EPV_RUBEOLA[[#This Row],[CIE-10]]),COUNTIFS(BASE[Cod.Establecimiento],$AK$2,BASE[CODCIE1010],EPV_RUBEOLA[[#This Row],[CIE-10]]))</f>
        <v>0</v>
      </c>
      <c r="Q5" s="9">
        <f>SUM(EPV_RUBEOLA[[#This Row],[D1]:[D6]])</f>
        <v>0</v>
      </c>
      <c r="S5" s="4" t="s">
        <v>102</v>
      </c>
      <c r="T5" s="3">
        <f>IF($AK$2="(Todas)",COUNTIF(BASE[CODCIE10],EPV_SARAMPION[[#This Row],[CIE-10]]),COUNTIFS(BASE[Cod.Establecimiento],$AK$2,BASE[CODCIE10],EPV_SARAMPION[[#This Row],[CIE-10]]))</f>
        <v>0</v>
      </c>
      <c r="U5" s="3">
        <f>IF($AK$2="(Todas)",COUNTIF(BASE[CODCIE102],EPV_SARAMPION[[#This Row],[CIE-10]]),COUNTIFS(BASE[Cod.Establecimiento],$AK$2,BASE[CODCIE102],EPV_SARAMPION[[#This Row],[CIE-10]]))</f>
        <v>0</v>
      </c>
      <c r="V5" s="3">
        <f>IF($AK$2="(Todas)",COUNTIF(BASE[CODCIE104],EPV_SARAMPION[[#This Row],[CIE-10]]),COUNTIFS(BASE[Cod.Establecimiento],$AK$2,BASE[CODCIE104],EPV_SARAMPION[[#This Row],[CIE-10]]))</f>
        <v>0</v>
      </c>
      <c r="W5" s="3">
        <f>IF($AK$2="(Todas)",COUNTIF(BASE[CODCIE106],EPV_SARAMPION[[#This Row],[CIE-10]]),COUNTIFS(BASE[Cod.Establecimiento],$AK$2,BASE[CODCIE106],EPV_SARAMPION[[#This Row],[CIE-10]]))</f>
        <v>0</v>
      </c>
      <c r="X5" s="3">
        <f>IF($AK$2="(Todas)",COUNTIF(BASE[CODCIE108],EPV_SARAMPION[[#This Row],[CIE-10]]),COUNTIFS(BASE[Cod.Establecimiento],$AK$2,BASE[CODCIE108],EPV_SARAMPION[[#This Row],[CIE-10]]))</f>
        <v>0</v>
      </c>
      <c r="Y5" s="3">
        <f>IF($AK$2="(Todas)",COUNTIF(BASE[CODCIE1010],EPV_SARAMPION[[#This Row],[CIE-10]]),COUNTIFS(BASE[Cod.Establecimiento],$AK$2,BASE[CODCIE1010],EPV_SARAMPION[[#This Row],[CIE-10]]))</f>
        <v>0</v>
      </c>
      <c r="Z5" s="9">
        <f>SUM(EPV_SARAMPION[[#This Row],[D1]:[D6]])</f>
        <v>0</v>
      </c>
      <c r="AB5" s="4" t="s">
        <v>306</v>
      </c>
      <c r="AC5" s="3">
        <f>IF($AK$2="(Todas)",COUNTIF(BASE[CODCIE10],EPV_DIFTERIA[[#This Row],[CIE-10]]),COUNTIFS(BASE[Cod.Establecimiento],$AK$2,BASE[CODCIE10],EPV_DIFTERIA[[#This Row],[CIE-10]]))</f>
        <v>0</v>
      </c>
      <c r="AD5" s="3">
        <f>IF($AK$2="(Todas)",COUNTIF(BASE[CODCIE102],EPV_DIFTERIA[[#This Row],[CIE-10]]),COUNTIFS(BASE[Cod.Establecimiento],$AK$2,BASE[CODCIE102],EPV_DIFTERIA[[#This Row],[CIE-10]]))</f>
        <v>0</v>
      </c>
      <c r="AE5" s="3">
        <f>IF($AK$2="(Todas)",COUNTIF(BASE[CODCIE104],EPV_DIFTERIA[[#This Row],[CIE-10]]),COUNTIFS(BASE[Cod.Establecimiento],$AK$2,BASE[CODCIE104],EPV_DIFTERIA[[#This Row],[CIE-10]]))</f>
        <v>0</v>
      </c>
      <c r="AF5" s="3">
        <f>IF($AK$2="(Todas)",COUNTIF(BASE[CODCIE106],EPV_DIFTERIA[[#This Row],[CIE-10]]),COUNTIFS(BASE[Cod.Establecimiento],$AK$2,BASE[CODCIE106],EPV_DIFTERIA[[#This Row],[CIE-10]]))</f>
        <v>0</v>
      </c>
      <c r="AG5" s="3">
        <f>IF($AK$2="(Todas)",COUNTIF(BASE[CODCIE108],EPV_DIFTERIA[[#This Row],[CIE-10]]),COUNTIFS(BASE[Cod.Establecimiento],$AK$2,BASE[CODCIE108],EPV_DIFTERIA[[#This Row],[CIE-10]]))</f>
        <v>0</v>
      </c>
      <c r="AH5" s="3">
        <f>IF($AK$2="(Todas)",COUNTIF(BASE[CODCIE1010],EPV_DIFTERIA[[#This Row],[CIE-10]]),COUNTIFS(BASE[Cod.Establecimiento],$AK$2,BASE[CODCIE1010],EPV_DIFTERIA[[#This Row],[CIE-10]]))</f>
        <v>0</v>
      </c>
      <c r="AI5" s="9">
        <f>SUM(EPV_DIFTERIA[[#This Row],[D1]:[D6]])</f>
        <v>0</v>
      </c>
    </row>
    <row r="6" spans="1:37">
      <c r="A6" s="4" t="s">
        <v>103</v>
      </c>
      <c r="B6" s="3">
        <f>IF($AK$2="(Todas)",COUNTIF(BASE[CODCIE10],EPV_PARALISIS_FLACIDA_AGUDA[[#This Row],[CIE-10]]),COUNTIFS(BASE[Cod.Establecimiento],$AK$2,BASE[CODCIE10],EPV_PARALISIS_FLACIDA_AGUDA[[#This Row],[CIE-10]]))</f>
        <v>0</v>
      </c>
      <c r="C6" s="3">
        <f>IF($AK$2="(Todas)",COUNTIF(BASE[CODCIE102],EPV_PARALISIS_FLACIDA_AGUDA[[#This Row],[CIE-10]]),COUNTIFS(BASE[Cod.Establecimiento],$AK$2,BASE[CODCIE102],EPV_PARALISIS_FLACIDA_AGUDA[[#This Row],[CIE-10]]))</f>
        <v>0</v>
      </c>
      <c r="D6" s="3">
        <f>IF($AK$2="(Todas)",COUNTIF(BASE[CODCIE104],EPV_PARALISIS_FLACIDA_AGUDA[[#This Row],[CIE-10]]),COUNTIFS(BASE[Cod.Establecimiento],$AK$2,BASE[CODCIE104],EPV_PARALISIS_FLACIDA_AGUDA[[#This Row],[CIE-10]]))</f>
        <v>0</v>
      </c>
      <c r="E6" s="3">
        <f>IF($AK$2="(Todas)",COUNTIF(BASE[CODCIE106],EPV_PARALISIS_FLACIDA_AGUDA[[#This Row],[CIE-10]]),COUNTIFS(BASE[Cod.Establecimiento],$AK$2,BASE[CODCIE106],EPV_PARALISIS_FLACIDA_AGUDA[[#This Row],[CIE-10]]))</f>
        <v>0</v>
      </c>
      <c r="F6" s="3">
        <f>IF($AK$2="(Todas)",COUNTIF(BASE[CODCIE108],EPV_PARALISIS_FLACIDA_AGUDA[[#This Row],[CIE-10]]),COUNTIFS(BASE[Cod.Establecimiento],$AK$2,BASE[CODCIE108],EPV_PARALISIS_FLACIDA_AGUDA[[#This Row],[CIE-10]]))</f>
        <v>0</v>
      </c>
      <c r="G6" s="3">
        <f>IF($AK$2="(Todas)",COUNTIF(BASE[CODCIE1010],EPV_PARALISIS_FLACIDA_AGUDA[[#This Row],[CIE-10]]),COUNTIFS(BASE[Cod.Establecimiento],$AK$2,BASE[CODCIE1010],EPV_PARALISIS_FLACIDA_AGUDA[[#This Row],[CIE-10]]))</f>
        <v>0</v>
      </c>
      <c r="H6" s="9">
        <f>SUM(EPV_PARALISIS_FLACIDA_AGUDA[[#This Row],[D1]:[D6]])</f>
        <v>0</v>
      </c>
      <c r="J6" s="4" t="s">
        <v>104</v>
      </c>
      <c r="K6" s="3">
        <f>IF($AK$2="(Todas)",COUNTIF(BASE[CODCIE10],EPV_RUBEOLA[[#This Row],[CIE-10]]),COUNTIFS(BASE[Cod.Establecimiento],$AK$2,BASE[CODCIE10],EPV_RUBEOLA[[#This Row],[CIE-10]]))</f>
        <v>0</v>
      </c>
      <c r="L6" s="3">
        <f>IF($AK$2="(Todas)",COUNTIF(BASE[CODCIE102],EPV_RUBEOLA[[#This Row],[CIE-10]]),COUNTIFS(BASE[Cod.Establecimiento],$AK$2,BASE[CODCIE102],EPV_RUBEOLA[[#This Row],[CIE-10]]))</f>
        <v>0</v>
      </c>
      <c r="M6" s="3">
        <f>IF($AK$2="(Todas)",COUNTIF(BASE[CODCIE104],EPV_RUBEOLA[[#This Row],[CIE-10]]),COUNTIFS(BASE[Cod.Establecimiento],$AK$2,BASE[CODCIE104],EPV_RUBEOLA[[#This Row],[CIE-10]]))</f>
        <v>0</v>
      </c>
      <c r="N6" s="3">
        <f>IF($AK$2="(Todas)",COUNTIF(BASE[CODCIE106],EPV_RUBEOLA[[#This Row],[CIE-10]]),COUNTIFS(BASE[Cod.Establecimiento],$AK$2,BASE[CODCIE106],EPV_RUBEOLA[[#This Row],[CIE-10]]))</f>
        <v>0</v>
      </c>
      <c r="O6" s="3">
        <f>IF($AK$2="(Todas)",COUNTIF(BASE[CODCIE108],EPV_RUBEOLA[[#This Row],[CIE-10]]),COUNTIFS(BASE[Cod.Establecimiento],$AK$2,BASE[CODCIE108],EPV_RUBEOLA[[#This Row],[CIE-10]]))</f>
        <v>0</v>
      </c>
      <c r="P6" s="3">
        <f>IF($AK$2="(Todas)",COUNTIF(BASE[CODCIE1010],EPV_RUBEOLA[[#This Row],[CIE-10]]),COUNTIFS(BASE[Cod.Establecimiento],$AK$2,BASE[CODCIE1010],EPV_RUBEOLA[[#This Row],[CIE-10]]))</f>
        <v>0</v>
      </c>
      <c r="Q6" s="9">
        <f>SUM(EPV_RUBEOLA[[#This Row],[D1]:[D6]])</f>
        <v>0</v>
      </c>
      <c r="S6" s="4" t="s">
        <v>104</v>
      </c>
      <c r="T6" s="3">
        <f>IF($AK$2="(Todas)",COUNTIF(BASE[CODCIE10],EPV_SARAMPION[[#This Row],[CIE-10]]),COUNTIFS(BASE[Cod.Establecimiento],$AK$2,BASE[CODCIE10],EPV_SARAMPION[[#This Row],[CIE-10]]))</f>
        <v>0</v>
      </c>
      <c r="U6" s="3">
        <f>IF($AK$2="(Todas)",COUNTIF(BASE[CODCIE102],EPV_SARAMPION[[#This Row],[CIE-10]]),COUNTIFS(BASE[Cod.Establecimiento],$AK$2,BASE[CODCIE102],EPV_SARAMPION[[#This Row],[CIE-10]]))</f>
        <v>0</v>
      </c>
      <c r="V6" s="3">
        <f>IF($AK$2="(Todas)",COUNTIF(BASE[CODCIE104],EPV_SARAMPION[[#This Row],[CIE-10]]),COUNTIFS(BASE[Cod.Establecimiento],$AK$2,BASE[CODCIE104],EPV_SARAMPION[[#This Row],[CIE-10]]))</f>
        <v>0</v>
      </c>
      <c r="W6" s="3">
        <f>IF($AK$2="(Todas)",COUNTIF(BASE[CODCIE106],EPV_SARAMPION[[#This Row],[CIE-10]]),COUNTIFS(BASE[Cod.Establecimiento],$AK$2,BASE[CODCIE106],EPV_SARAMPION[[#This Row],[CIE-10]]))</f>
        <v>0</v>
      </c>
      <c r="X6" s="3">
        <f>IF($AK$2="(Todas)",COUNTIF(BASE[CODCIE108],EPV_SARAMPION[[#This Row],[CIE-10]]),COUNTIFS(BASE[Cod.Establecimiento],$AK$2,BASE[CODCIE108],EPV_SARAMPION[[#This Row],[CIE-10]]))</f>
        <v>0</v>
      </c>
      <c r="Y6" s="3">
        <f>IF($AK$2="(Todas)",COUNTIF(BASE[CODCIE1010],EPV_SARAMPION[[#This Row],[CIE-10]]),COUNTIFS(BASE[Cod.Establecimiento],$AK$2,BASE[CODCIE1010],EPV_SARAMPION[[#This Row],[CIE-10]]))</f>
        <v>0</v>
      </c>
      <c r="Z6" s="9">
        <f>SUM(EPV_SARAMPION[[#This Row],[D1]:[D6]])</f>
        <v>0</v>
      </c>
      <c r="AB6" s="4" t="s">
        <v>307</v>
      </c>
      <c r="AC6" s="3">
        <f>IF($AK$2="(Todas)",COUNTIF(BASE[CODCIE10],EPV_DIFTERIA[[#This Row],[CIE-10]]),COUNTIFS(BASE[Cod.Establecimiento],$AK$2,BASE[CODCIE10],EPV_DIFTERIA[[#This Row],[CIE-10]]))</f>
        <v>0</v>
      </c>
      <c r="AD6" s="3">
        <f>IF($AK$2="(Todas)",COUNTIF(BASE[CODCIE102],EPV_DIFTERIA[[#This Row],[CIE-10]]),COUNTIFS(BASE[Cod.Establecimiento],$AK$2,BASE[CODCIE102],EPV_DIFTERIA[[#This Row],[CIE-10]]))</f>
        <v>0</v>
      </c>
      <c r="AE6" s="3">
        <f>IF($AK$2="(Todas)",COUNTIF(BASE[CODCIE104],EPV_DIFTERIA[[#This Row],[CIE-10]]),COUNTIFS(BASE[Cod.Establecimiento],$AK$2,BASE[CODCIE104],EPV_DIFTERIA[[#This Row],[CIE-10]]))</f>
        <v>0</v>
      </c>
      <c r="AF6" s="3">
        <f>IF($AK$2="(Todas)",COUNTIF(BASE[CODCIE106],EPV_DIFTERIA[[#This Row],[CIE-10]]),COUNTIFS(BASE[Cod.Establecimiento],$AK$2,BASE[CODCIE106],EPV_DIFTERIA[[#This Row],[CIE-10]]))</f>
        <v>0</v>
      </c>
      <c r="AG6" s="3">
        <f>IF($AK$2="(Todas)",COUNTIF(BASE[CODCIE108],EPV_DIFTERIA[[#This Row],[CIE-10]]),COUNTIFS(BASE[Cod.Establecimiento],$AK$2,BASE[CODCIE108],EPV_DIFTERIA[[#This Row],[CIE-10]]))</f>
        <v>0</v>
      </c>
      <c r="AH6" s="3">
        <f>IF($AK$2="(Todas)",COUNTIF(BASE[CODCIE1010],EPV_DIFTERIA[[#This Row],[CIE-10]]),COUNTIFS(BASE[Cod.Establecimiento],$AK$2,BASE[CODCIE1010],EPV_DIFTERIA[[#This Row],[CIE-10]]))</f>
        <v>0</v>
      </c>
      <c r="AI6" s="9">
        <f>SUM(EPV_DIFTERIA[[#This Row],[D1]:[D6]])</f>
        <v>0</v>
      </c>
    </row>
    <row r="7" spans="1:37">
      <c r="A7" s="4" t="s">
        <v>105</v>
      </c>
      <c r="B7" s="3">
        <f>IF($AK$2="(Todas)",COUNTIF(BASE[CODCIE10],EPV_PARALISIS_FLACIDA_AGUDA[[#This Row],[CIE-10]]),COUNTIFS(BASE[Cod.Establecimiento],$AK$2,BASE[CODCIE10],EPV_PARALISIS_FLACIDA_AGUDA[[#This Row],[CIE-10]]))</f>
        <v>0</v>
      </c>
      <c r="C7" s="3">
        <f>IF($AK$2="(Todas)",COUNTIF(BASE[CODCIE102],EPV_PARALISIS_FLACIDA_AGUDA[[#This Row],[CIE-10]]),COUNTIFS(BASE[Cod.Establecimiento],$AK$2,BASE[CODCIE102],EPV_PARALISIS_FLACIDA_AGUDA[[#This Row],[CIE-10]]))</f>
        <v>0</v>
      </c>
      <c r="D7" s="3">
        <f>IF($AK$2="(Todas)",COUNTIF(BASE[CODCIE104],EPV_PARALISIS_FLACIDA_AGUDA[[#This Row],[CIE-10]]),COUNTIFS(BASE[Cod.Establecimiento],$AK$2,BASE[CODCIE104],EPV_PARALISIS_FLACIDA_AGUDA[[#This Row],[CIE-10]]))</f>
        <v>0</v>
      </c>
      <c r="E7" s="3">
        <f>IF($AK$2="(Todas)",COUNTIF(BASE[CODCIE106],EPV_PARALISIS_FLACIDA_AGUDA[[#This Row],[CIE-10]]),COUNTIFS(BASE[Cod.Establecimiento],$AK$2,BASE[CODCIE106],EPV_PARALISIS_FLACIDA_AGUDA[[#This Row],[CIE-10]]))</f>
        <v>0</v>
      </c>
      <c r="F7" s="3">
        <f>IF($AK$2="(Todas)",COUNTIF(BASE[CODCIE108],EPV_PARALISIS_FLACIDA_AGUDA[[#This Row],[CIE-10]]),COUNTIFS(BASE[Cod.Establecimiento],$AK$2,BASE[CODCIE108],EPV_PARALISIS_FLACIDA_AGUDA[[#This Row],[CIE-10]]))</f>
        <v>0</v>
      </c>
      <c r="G7" s="3">
        <f>IF($AK$2="(Todas)",COUNTIF(BASE[CODCIE1010],EPV_PARALISIS_FLACIDA_AGUDA[[#This Row],[CIE-10]]),COUNTIFS(BASE[Cod.Establecimiento],$AK$2,BASE[CODCIE1010],EPV_PARALISIS_FLACIDA_AGUDA[[#This Row],[CIE-10]]))</f>
        <v>0</v>
      </c>
      <c r="H7" s="9">
        <f>SUM(EPV_PARALISIS_FLACIDA_AGUDA[[#This Row],[D1]:[D6]])</f>
        <v>0</v>
      </c>
      <c r="J7" s="4" t="s">
        <v>106</v>
      </c>
      <c r="K7" s="3">
        <f>IF($AK$2="(Todas)",COUNTIF(BASE[CODCIE10],EPV_RUBEOLA[[#This Row],[CIE-10]]),COUNTIFS(BASE[Cod.Establecimiento],$AK$2,BASE[CODCIE10],EPV_RUBEOLA[[#This Row],[CIE-10]]))</f>
        <v>0</v>
      </c>
      <c r="L7" s="3">
        <f>IF($AK$2="(Todas)",COUNTIF(BASE[CODCIE102],EPV_RUBEOLA[[#This Row],[CIE-10]]),COUNTIFS(BASE[Cod.Establecimiento],$AK$2,BASE[CODCIE102],EPV_RUBEOLA[[#This Row],[CIE-10]]))</f>
        <v>0</v>
      </c>
      <c r="M7" s="3">
        <f>IF($AK$2="(Todas)",COUNTIF(BASE[CODCIE104],EPV_RUBEOLA[[#This Row],[CIE-10]]),COUNTIFS(BASE[Cod.Establecimiento],$AK$2,BASE[CODCIE104],EPV_RUBEOLA[[#This Row],[CIE-10]]))</f>
        <v>0</v>
      </c>
      <c r="N7" s="3">
        <f>IF($AK$2="(Todas)",COUNTIF(BASE[CODCIE106],EPV_RUBEOLA[[#This Row],[CIE-10]]),COUNTIFS(BASE[Cod.Establecimiento],$AK$2,BASE[CODCIE106],EPV_RUBEOLA[[#This Row],[CIE-10]]))</f>
        <v>0</v>
      </c>
      <c r="O7" s="3">
        <f>IF($AK$2="(Todas)",COUNTIF(BASE[CODCIE108],EPV_RUBEOLA[[#This Row],[CIE-10]]),COUNTIFS(BASE[Cod.Establecimiento],$AK$2,BASE[CODCIE108],EPV_RUBEOLA[[#This Row],[CIE-10]]))</f>
        <v>0</v>
      </c>
      <c r="P7" s="3">
        <f>IF($AK$2="(Todas)",COUNTIF(BASE[CODCIE1010],EPV_RUBEOLA[[#This Row],[CIE-10]]),COUNTIFS(BASE[Cod.Establecimiento],$AK$2,BASE[CODCIE1010],EPV_RUBEOLA[[#This Row],[CIE-10]]))</f>
        <v>0</v>
      </c>
      <c r="Q7" s="9">
        <f>SUM(EPV_RUBEOLA[[#This Row],[D1]:[D6]])</f>
        <v>0</v>
      </c>
      <c r="S7" s="4" t="s">
        <v>106</v>
      </c>
      <c r="T7" s="3">
        <f>IF($AK$2="(Todas)",COUNTIF(BASE[CODCIE10],EPV_SARAMPION[[#This Row],[CIE-10]]),COUNTIFS(BASE[Cod.Establecimiento],$AK$2,BASE[CODCIE10],EPV_SARAMPION[[#This Row],[CIE-10]]))</f>
        <v>0</v>
      </c>
      <c r="U7" s="3">
        <f>IF($AK$2="(Todas)",COUNTIF(BASE[CODCIE102],EPV_SARAMPION[[#This Row],[CIE-10]]),COUNTIFS(BASE[Cod.Establecimiento],$AK$2,BASE[CODCIE102],EPV_SARAMPION[[#This Row],[CIE-10]]))</f>
        <v>0</v>
      </c>
      <c r="V7" s="3">
        <f>IF($AK$2="(Todas)",COUNTIF(BASE[CODCIE104],EPV_SARAMPION[[#This Row],[CIE-10]]),COUNTIFS(BASE[Cod.Establecimiento],$AK$2,BASE[CODCIE104],EPV_SARAMPION[[#This Row],[CIE-10]]))</f>
        <v>0</v>
      </c>
      <c r="W7" s="3">
        <f>IF($AK$2="(Todas)",COUNTIF(BASE[CODCIE106],EPV_SARAMPION[[#This Row],[CIE-10]]),COUNTIFS(BASE[Cod.Establecimiento],$AK$2,BASE[CODCIE106],EPV_SARAMPION[[#This Row],[CIE-10]]))</f>
        <v>0</v>
      </c>
      <c r="X7" s="3">
        <f>IF($AK$2="(Todas)",COUNTIF(BASE[CODCIE108],EPV_SARAMPION[[#This Row],[CIE-10]]),COUNTIFS(BASE[Cod.Establecimiento],$AK$2,BASE[CODCIE108],EPV_SARAMPION[[#This Row],[CIE-10]]))</f>
        <v>0</v>
      </c>
      <c r="Y7" s="3">
        <f>IF($AK$2="(Todas)",COUNTIF(BASE[CODCIE1010],EPV_SARAMPION[[#This Row],[CIE-10]]),COUNTIFS(BASE[Cod.Establecimiento],$AK$2,BASE[CODCIE1010],EPV_SARAMPION[[#This Row],[CIE-10]]))</f>
        <v>0</v>
      </c>
      <c r="Z7" s="9">
        <f>SUM(EPV_SARAMPION[[#This Row],[D1]:[D6]])</f>
        <v>0</v>
      </c>
      <c r="AB7" s="4" t="s">
        <v>308</v>
      </c>
      <c r="AC7" s="3">
        <f>IF($AK$2="(Todas)",COUNTIF(BASE[CODCIE10],EPV_DIFTERIA[[#This Row],[CIE-10]]),COUNTIFS(BASE[Cod.Establecimiento],$AK$2,BASE[CODCIE10],EPV_DIFTERIA[[#This Row],[CIE-10]]))</f>
        <v>0</v>
      </c>
      <c r="AD7" s="3">
        <f>IF($AK$2="(Todas)",COUNTIF(BASE[CODCIE102],EPV_DIFTERIA[[#This Row],[CIE-10]]),COUNTIFS(BASE[Cod.Establecimiento],$AK$2,BASE[CODCIE102],EPV_DIFTERIA[[#This Row],[CIE-10]]))</f>
        <v>0</v>
      </c>
      <c r="AE7" s="3">
        <f>IF($AK$2="(Todas)",COUNTIF(BASE[CODCIE104],EPV_DIFTERIA[[#This Row],[CIE-10]]),COUNTIFS(BASE[Cod.Establecimiento],$AK$2,BASE[CODCIE104],EPV_DIFTERIA[[#This Row],[CIE-10]]))</f>
        <v>0</v>
      </c>
      <c r="AF7" s="3">
        <f>IF($AK$2="(Todas)",COUNTIF(BASE[CODCIE106],EPV_DIFTERIA[[#This Row],[CIE-10]]),COUNTIFS(BASE[Cod.Establecimiento],$AK$2,BASE[CODCIE106],EPV_DIFTERIA[[#This Row],[CIE-10]]))</f>
        <v>0</v>
      </c>
      <c r="AG7" s="3">
        <f>IF($AK$2="(Todas)",COUNTIF(BASE[CODCIE108],EPV_DIFTERIA[[#This Row],[CIE-10]]),COUNTIFS(BASE[Cod.Establecimiento],$AK$2,BASE[CODCIE108],EPV_DIFTERIA[[#This Row],[CIE-10]]))</f>
        <v>0</v>
      </c>
      <c r="AH7" s="3">
        <f>IF($AK$2="(Todas)",COUNTIF(BASE[CODCIE1010],EPV_DIFTERIA[[#This Row],[CIE-10]]),COUNTIFS(BASE[Cod.Establecimiento],$AK$2,BASE[CODCIE1010],EPV_DIFTERIA[[#This Row],[CIE-10]]))</f>
        <v>0</v>
      </c>
      <c r="AI7" s="9">
        <f>SUM(EPV_DIFTERIA[[#This Row],[D1]:[D6]])</f>
        <v>0</v>
      </c>
    </row>
    <row r="8" spans="1:37">
      <c r="A8" s="4" t="s">
        <v>107</v>
      </c>
      <c r="B8" s="3">
        <f>IF($AK$2="(Todas)",COUNTIF(BASE[CODCIE10],EPV_PARALISIS_FLACIDA_AGUDA[[#This Row],[CIE-10]]),COUNTIFS(BASE[Cod.Establecimiento],$AK$2,BASE[CODCIE10],EPV_PARALISIS_FLACIDA_AGUDA[[#This Row],[CIE-10]]))</f>
        <v>0</v>
      </c>
      <c r="C8" s="3">
        <f>IF($AK$2="(Todas)",COUNTIF(BASE[CODCIE102],EPV_PARALISIS_FLACIDA_AGUDA[[#This Row],[CIE-10]]),COUNTIFS(BASE[Cod.Establecimiento],$AK$2,BASE[CODCIE102],EPV_PARALISIS_FLACIDA_AGUDA[[#This Row],[CIE-10]]))</f>
        <v>0</v>
      </c>
      <c r="D8" s="3">
        <f>IF($AK$2="(Todas)",COUNTIF(BASE[CODCIE104],EPV_PARALISIS_FLACIDA_AGUDA[[#This Row],[CIE-10]]),COUNTIFS(BASE[Cod.Establecimiento],$AK$2,BASE[CODCIE104],EPV_PARALISIS_FLACIDA_AGUDA[[#This Row],[CIE-10]]))</f>
        <v>0</v>
      </c>
      <c r="E8" s="3">
        <f>IF($AK$2="(Todas)",COUNTIF(BASE[CODCIE106],EPV_PARALISIS_FLACIDA_AGUDA[[#This Row],[CIE-10]]),COUNTIFS(BASE[Cod.Establecimiento],$AK$2,BASE[CODCIE106],EPV_PARALISIS_FLACIDA_AGUDA[[#This Row],[CIE-10]]))</f>
        <v>0</v>
      </c>
      <c r="F8" s="3">
        <f>IF($AK$2="(Todas)",COUNTIF(BASE[CODCIE108],EPV_PARALISIS_FLACIDA_AGUDA[[#This Row],[CIE-10]]),COUNTIFS(BASE[Cod.Establecimiento],$AK$2,BASE[CODCIE108],EPV_PARALISIS_FLACIDA_AGUDA[[#This Row],[CIE-10]]))</f>
        <v>0</v>
      </c>
      <c r="G8" s="3">
        <f>IF($AK$2="(Todas)",COUNTIF(BASE[CODCIE1010],EPV_PARALISIS_FLACIDA_AGUDA[[#This Row],[CIE-10]]),COUNTIFS(BASE[Cod.Establecimiento],$AK$2,BASE[CODCIE1010],EPV_PARALISIS_FLACIDA_AGUDA[[#This Row],[CIE-10]]))</f>
        <v>0</v>
      </c>
      <c r="H8" s="9">
        <f>SUM(EPV_PARALISIS_FLACIDA_AGUDA[[#This Row],[D1]:[D6]])</f>
        <v>0</v>
      </c>
      <c r="J8" s="4" t="s">
        <v>84</v>
      </c>
      <c r="K8" s="3">
        <f>IF($AK$2="(Todas)",COUNTIF(BASE[CODCIE10],EPV_RUBEOLA[[#This Row],[CIE-10]]),COUNTIFS(BASE[Cod.Establecimiento],$AK$2,BASE[CODCIE10],EPV_RUBEOLA[[#This Row],[CIE-10]]))</f>
        <v>0</v>
      </c>
      <c r="L8" s="3">
        <f>IF($AK$2="(Todas)",COUNTIF(BASE[CODCIE102],EPV_RUBEOLA[[#This Row],[CIE-10]]),COUNTIFS(BASE[Cod.Establecimiento],$AK$2,BASE[CODCIE102],EPV_RUBEOLA[[#This Row],[CIE-10]]))</f>
        <v>0</v>
      </c>
      <c r="M8" s="3">
        <f>IF($AK$2="(Todas)",COUNTIF(BASE[CODCIE104],EPV_RUBEOLA[[#This Row],[CIE-10]]),COUNTIFS(BASE[Cod.Establecimiento],$AK$2,BASE[CODCIE104],EPV_RUBEOLA[[#This Row],[CIE-10]]))</f>
        <v>0</v>
      </c>
      <c r="N8" s="3">
        <f>IF($AK$2="(Todas)",COUNTIF(BASE[CODCIE106],EPV_RUBEOLA[[#This Row],[CIE-10]]),COUNTIFS(BASE[Cod.Establecimiento],$AK$2,BASE[CODCIE106],EPV_RUBEOLA[[#This Row],[CIE-10]]))</f>
        <v>0</v>
      </c>
      <c r="O8" s="3">
        <f>IF($AK$2="(Todas)",COUNTIF(BASE[CODCIE108],EPV_RUBEOLA[[#This Row],[CIE-10]]),COUNTIFS(BASE[Cod.Establecimiento],$AK$2,BASE[CODCIE108],EPV_RUBEOLA[[#This Row],[CIE-10]]))</f>
        <v>0</v>
      </c>
      <c r="P8" s="3">
        <f>IF($AK$2="(Todas)",COUNTIF(BASE[CODCIE1010],EPV_RUBEOLA[[#This Row],[CIE-10]]),COUNTIFS(BASE[Cod.Establecimiento],$AK$2,BASE[CODCIE1010],EPV_RUBEOLA[[#This Row],[CIE-10]]))</f>
        <v>0</v>
      </c>
      <c r="Q8" s="9">
        <f>SUM(EPV_RUBEOLA[[#This Row],[D1]:[D6]])</f>
        <v>0</v>
      </c>
      <c r="S8" s="4" t="s">
        <v>84</v>
      </c>
      <c r="T8" s="3">
        <f>IF($AK$2="(Todas)",COUNTIF(BASE[CODCIE10],EPV_SARAMPION[[#This Row],[CIE-10]]),COUNTIFS(BASE[Cod.Establecimiento],$AK$2,BASE[CODCIE10],EPV_SARAMPION[[#This Row],[CIE-10]]))</f>
        <v>0</v>
      </c>
      <c r="U8" s="3">
        <f>IF($AK$2="(Todas)",COUNTIF(BASE[CODCIE102],EPV_SARAMPION[[#This Row],[CIE-10]]),COUNTIFS(BASE[Cod.Establecimiento],$AK$2,BASE[CODCIE102],EPV_SARAMPION[[#This Row],[CIE-10]]))</f>
        <v>0</v>
      </c>
      <c r="V8" s="3">
        <f>IF($AK$2="(Todas)",COUNTIF(BASE[CODCIE104],EPV_SARAMPION[[#This Row],[CIE-10]]),COUNTIFS(BASE[Cod.Establecimiento],$AK$2,BASE[CODCIE104],EPV_SARAMPION[[#This Row],[CIE-10]]))</f>
        <v>0</v>
      </c>
      <c r="W8" s="3">
        <f>IF($AK$2="(Todas)",COUNTIF(BASE[CODCIE106],EPV_SARAMPION[[#This Row],[CIE-10]]),COUNTIFS(BASE[Cod.Establecimiento],$AK$2,BASE[CODCIE106],EPV_SARAMPION[[#This Row],[CIE-10]]))</f>
        <v>0</v>
      </c>
      <c r="X8" s="3">
        <f>IF($AK$2="(Todas)",COUNTIF(BASE[CODCIE108],EPV_SARAMPION[[#This Row],[CIE-10]]),COUNTIFS(BASE[Cod.Establecimiento],$AK$2,BASE[CODCIE108],EPV_SARAMPION[[#This Row],[CIE-10]]))</f>
        <v>0</v>
      </c>
      <c r="Y8" s="3">
        <f>IF($AK$2="(Todas)",COUNTIF(BASE[CODCIE1010],EPV_SARAMPION[[#This Row],[CIE-10]]),COUNTIFS(BASE[Cod.Establecimiento],$AK$2,BASE[CODCIE1010],EPV_SARAMPION[[#This Row],[CIE-10]]))</f>
        <v>0</v>
      </c>
      <c r="Z8" s="9">
        <f>SUM(EPV_SARAMPION[[#This Row],[D1]:[D6]])</f>
        <v>0</v>
      </c>
      <c r="AB8" s="4" t="s">
        <v>108</v>
      </c>
      <c r="AC8" s="3">
        <f>IF($AK$2="(Todas)",COUNTIF(BASE[CODCIE10],EPV_DIFTERIA[[#This Row],[CIE-10]]),COUNTIFS(BASE[Cod.Establecimiento],$AK$2,BASE[CODCIE10],EPV_DIFTERIA[[#This Row],[CIE-10]]))</f>
        <v>0</v>
      </c>
      <c r="AD8" s="3">
        <f>IF($AK$2="(Todas)",COUNTIF(BASE[CODCIE102],EPV_DIFTERIA[[#This Row],[CIE-10]]),COUNTIFS(BASE[Cod.Establecimiento],$AK$2,BASE[CODCIE102],EPV_DIFTERIA[[#This Row],[CIE-10]]))</f>
        <v>0</v>
      </c>
      <c r="AE8" s="3">
        <f>IF($AK$2="(Todas)",COUNTIF(BASE[CODCIE104],EPV_DIFTERIA[[#This Row],[CIE-10]]),COUNTIFS(BASE[Cod.Establecimiento],$AK$2,BASE[CODCIE104],EPV_DIFTERIA[[#This Row],[CIE-10]]))</f>
        <v>0</v>
      </c>
      <c r="AF8" s="3">
        <f>IF($AK$2="(Todas)",COUNTIF(BASE[CODCIE106],EPV_DIFTERIA[[#This Row],[CIE-10]]),COUNTIFS(BASE[Cod.Establecimiento],$AK$2,BASE[CODCIE106],EPV_DIFTERIA[[#This Row],[CIE-10]]))</f>
        <v>0</v>
      </c>
      <c r="AG8" s="3">
        <f>IF($AK$2="(Todas)",COUNTIF(BASE[CODCIE108],EPV_DIFTERIA[[#This Row],[CIE-10]]),COUNTIFS(BASE[Cod.Establecimiento],$AK$2,BASE[CODCIE108],EPV_DIFTERIA[[#This Row],[CIE-10]]))</f>
        <v>0</v>
      </c>
      <c r="AH8" s="3">
        <f>IF($AK$2="(Todas)",COUNTIF(BASE[CODCIE1010],EPV_DIFTERIA[[#This Row],[CIE-10]]),COUNTIFS(BASE[Cod.Establecimiento],$AK$2,BASE[CODCIE1010],EPV_DIFTERIA[[#This Row],[CIE-10]]))</f>
        <v>0</v>
      </c>
      <c r="AI8" s="9">
        <f>SUM(EPV_DIFTERIA[[#This Row],[D1]:[D6]])</f>
        <v>0</v>
      </c>
    </row>
    <row r="9" spans="1:37">
      <c r="A9" s="4" t="s">
        <v>109</v>
      </c>
      <c r="B9" s="3">
        <f>IF($AK$2="(Todas)",COUNTIF(BASE[CODCIE10],EPV_PARALISIS_FLACIDA_AGUDA[[#This Row],[CIE-10]]),COUNTIFS(BASE[Cod.Establecimiento],$AK$2,BASE[CODCIE10],EPV_PARALISIS_FLACIDA_AGUDA[[#This Row],[CIE-10]]))</f>
        <v>0</v>
      </c>
      <c r="C9" s="3">
        <f>IF($AK$2="(Todas)",COUNTIF(BASE[CODCIE102],EPV_PARALISIS_FLACIDA_AGUDA[[#This Row],[CIE-10]]),COUNTIFS(BASE[Cod.Establecimiento],$AK$2,BASE[CODCIE102],EPV_PARALISIS_FLACIDA_AGUDA[[#This Row],[CIE-10]]))</f>
        <v>0</v>
      </c>
      <c r="D9" s="3">
        <f>IF($AK$2="(Todas)",COUNTIF(BASE[CODCIE104],EPV_PARALISIS_FLACIDA_AGUDA[[#This Row],[CIE-10]]),COUNTIFS(BASE[Cod.Establecimiento],$AK$2,BASE[CODCIE104],EPV_PARALISIS_FLACIDA_AGUDA[[#This Row],[CIE-10]]))</f>
        <v>0</v>
      </c>
      <c r="E9" s="3">
        <f>IF($AK$2="(Todas)",COUNTIF(BASE[CODCIE106],EPV_PARALISIS_FLACIDA_AGUDA[[#This Row],[CIE-10]]),COUNTIFS(BASE[Cod.Establecimiento],$AK$2,BASE[CODCIE106],EPV_PARALISIS_FLACIDA_AGUDA[[#This Row],[CIE-10]]))</f>
        <v>0</v>
      </c>
      <c r="F9" s="3">
        <f>IF($AK$2="(Todas)",COUNTIF(BASE[CODCIE108],EPV_PARALISIS_FLACIDA_AGUDA[[#This Row],[CIE-10]]),COUNTIFS(BASE[Cod.Establecimiento],$AK$2,BASE[CODCIE108],EPV_PARALISIS_FLACIDA_AGUDA[[#This Row],[CIE-10]]))</f>
        <v>0</v>
      </c>
      <c r="G9" s="3">
        <f>IF($AK$2="(Todas)",COUNTIF(BASE[CODCIE1010],EPV_PARALISIS_FLACIDA_AGUDA[[#This Row],[CIE-10]]),COUNTIFS(BASE[Cod.Establecimiento],$AK$2,BASE[CODCIE1010],EPV_PARALISIS_FLACIDA_AGUDA[[#This Row],[CIE-10]]))</f>
        <v>0</v>
      </c>
      <c r="H9" s="9">
        <f>SUM(EPV_PARALISIS_FLACIDA_AGUDA[[#This Row],[D1]:[D6]])</f>
        <v>0</v>
      </c>
      <c r="J9" s="4" t="s">
        <v>110</v>
      </c>
      <c r="K9" s="3">
        <f>IF($AK$2="(Todas)",COUNTIF(BASE[CODCIE10],EPV_RUBEOLA[[#This Row],[CIE-10]]),COUNTIFS(BASE[Cod.Establecimiento],$AK$2,BASE[CODCIE10],EPV_RUBEOLA[[#This Row],[CIE-10]]))</f>
        <v>0</v>
      </c>
      <c r="L9" s="3">
        <f>IF($AK$2="(Todas)",COUNTIF(BASE[CODCIE102],EPV_RUBEOLA[[#This Row],[CIE-10]]),COUNTIFS(BASE[Cod.Establecimiento],$AK$2,BASE[CODCIE102],EPV_RUBEOLA[[#This Row],[CIE-10]]))</f>
        <v>0</v>
      </c>
      <c r="M9" s="3">
        <f>IF($AK$2="(Todas)",COUNTIF(BASE[CODCIE104],EPV_RUBEOLA[[#This Row],[CIE-10]]),COUNTIFS(BASE[Cod.Establecimiento],$AK$2,BASE[CODCIE104],EPV_RUBEOLA[[#This Row],[CIE-10]]))</f>
        <v>0</v>
      </c>
      <c r="N9" s="3">
        <f>IF($AK$2="(Todas)",COUNTIF(BASE[CODCIE106],EPV_RUBEOLA[[#This Row],[CIE-10]]),COUNTIFS(BASE[Cod.Establecimiento],$AK$2,BASE[CODCIE106],EPV_RUBEOLA[[#This Row],[CIE-10]]))</f>
        <v>0</v>
      </c>
      <c r="O9" s="3">
        <f>IF($AK$2="(Todas)",COUNTIF(BASE[CODCIE108],EPV_RUBEOLA[[#This Row],[CIE-10]]),COUNTIFS(BASE[Cod.Establecimiento],$AK$2,BASE[CODCIE108],EPV_RUBEOLA[[#This Row],[CIE-10]]))</f>
        <v>0</v>
      </c>
      <c r="P9" s="3">
        <f>IF($AK$2="(Todas)",COUNTIF(BASE[CODCIE1010],EPV_RUBEOLA[[#This Row],[CIE-10]]),COUNTIFS(BASE[Cod.Establecimiento],$AK$2,BASE[CODCIE1010],EPV_RUBEOLA[[#This Row],[CIE-10]]))</f>
        <v>0</v>
      </c>
      <c r="Q9" s="9">
        <f>SUM(EPV_RUBEOLA[[#This Row],[D1]:[D6]])</f>
        <v>0</v>
      </c>
      <c r="S9" s="4" t="s">
        <v>110</v>
      </c>
      <c r="T9" s="3">
        <f>IF($AK$2="(Todas)",COUNTIF(BASE[CODCIE10],EPV_SARAMPION[[#This Row],[CIE-10]]),COUNTIFS(BASE[Cod.Establecimiento],$AK$2,BASE[CODCIE10],EPV_SARAMPION[[#This Row],[CIE-10]]))</f>
        <v>0</v>
      </c>
      <c r="U9" s="3">
        <f>IF($AK$2="(Todas)",COUNTIF(BASE[CODCIE102],EPV_SARAMPION[[#This Row],[CIE-10]]),COUNTIFS(BASE[Cod.Establecimiento],$AK$2,BASE[CODCIE102],EPV_SARAMPION[[#This Row],[CIE-10]]))</f>
        <v>0</v>
      </c>
      <c r="V9" s="3">
        <f>IF($AK$2="(Todas)",COUNTIF(BASE[CODCIE104],EPV_SARAMPION[[#This Row],[CIE-10]]),COUNTIFS(BASE[Cod.Establecimiento],$AK$2,BASE[CODCIE104],EPV_SARAMPION[[#This Row],[CIE-10]]))</f>
        <v>0</v>
      </c>
      <c r="W9" s="3">
        <f>IF($AK$2="(Todas)",COUNTIF(BASE[CODCIE106],EPV_SARAMPION[[#This Row],[CIE-10]]),COUNTIFS(BASE[Cod.Establecimiento],$AK$2,BASE[CODCIE106],EPV_SARAMPION[[#This Row],[CIE-10]]))</f>
        <v>0</v>
      </c>
      <c r="X9" s="3">
        <f>IF($AK$2="(Todas)",COUNTIF(BASE[CODCIE108],EPV_SARAMPION[[#This Row],[CIE-10]]),COUNTIFS(BASE[Cod.Establecimiento],$AK$2,BASE[CODCIE108],EPV_SARAMPION[[#This Row],[CIE-10]]))</f>
        <v>0</v>
      </c>
      <c r="Y9" s="3">
        <f>IF($AK$2="(Todas)",COUNTIF(BASE[CODCIE1010],EPV_SARAMPION[[#This Row],[CIE-10]]),COUNTIFS(BASE[Cod.Establecimiento],$AK$2,BASE[CODCIE1010],EPV_SARAMPION[[#This Row],[CIE-10]]))</f>
        <v>0</v>
      </c>
      <c r="Z9" s="9">
        <f>SUM(EPV_SARAMPION[[#This Row],[D1]:[D6]])</f>
        <v>0</v>
      </c>
      <c r="AB9" s="4" t="s">
        <v>111</v>
      </c>
      <c r="AC9" s="3">
        <f>IF($AK$2="(Todas)",COUNTIF(BASE[CODCIE10],EPV_DIFTERIA[[#This Row],[CIE-10]]),COUNTIFS(BASE[Cod.Establecimiento],$AK$2,BASE[CODCIE10],EPV_DIFTERIA[[#This Row],[CIE-10]]))</f>
        <v>0</v>
      </c>
      <c r="AD9" s="3">
        <f>IF($AK$2="(Todas)",COUNTIF(BASE[CODCIE102],EPV_DIFTERIA[[#This Row],[CIE-10]]),COUNTIFS(BASE[Cod.Establecimiento],$AK$2,BASE[CODCIE102],EPV_DIFTERIA[[#This Row],[CIE-10]]))</f>
        <v>0</v>
      </c>
      <c r="AE9" s="3">
        <f>IF($AK$2="(Todas)",COUNTIF(BASE[CODCIE104],EPV_DIFTERIA[[#This Row],[CIE-10]]),COUNTIFS(BASE[Cod.Establecimiento],$AK$2,BASE[CODCIE104],EPV_DIFTERIA[[#This Row],[CIE-10]]))</f>
        <v>0</v>
      </c>
      <c r="AF9" s="3">
        <f>IF($AK$2="(Todas)",COUNTIF(BASE[CODCIE106],EPV_DIFTERIA[[#This Row],[CIE-10]]),COUNTIFS(BASE[Cod.Establecimiento],$AK$2,BASE[CODCIE106],EPV_DIFTERIA[[#This Row],[CIE-10]]))</f>
        <v>0</v>
      </c>
      <c r="AG9" s="3">
        <f>IF($AK$2="(Todas)",COUNTIF(BASE[CODCIE108],EPV_DIFTERIA[[#This Row],[CIE-10]]),COUNTIFS(BASE[Cod.Establecimiento],$AK$2,BASE[CODCIE108],EPV_DIFTERIA[[#This Row],[CIE-10]]))</f>
        <v>0</v>
      </c>
      <c r="AH9" s="3">
        <f>IF($AK$2="(Todas)",COUNTIF(BASE[CODCIE1010],EPV_DIFTERIA[[#This Row],[CIE-10]]),COUNTIFS(BASE[Cod.Establecimiento],$AK$2,BASE[CODCIE1010],EPV_DIFTERIA[[#This Row],[CIE-10]]))</f>
        <v>0</v>
      </c>
      <c r="AI9" s="9">
        <f>SUM(EPV_DIFTERIA[[#This Row],[D1]:[D6]])</f>
        <v>0</v>
      </c>
    </row>
    <row r="10" spans="1:37">
      <c r="A10" s="4" t="s">
        <v>112</v>
      </c>
      <c r="B10" s="3">
        <f>IF($AK$2="(Todas)",COUNTIF(BASE[CODCIE10],EPV_PARALISIS_FLACIDA_AGUDA[[#This Row],[CIE-10]]),COUNTIFS(BASE[Cod.Establecimiento],$AK$2,BASE[CODCIE10],EPV_PARALISIS_FLACIDA_AGUDA[[#This Row],[CIE-10]]))</f>
        <v>0</v>
      </c>
      <c r="C10" s="3">
        <f>IF($AK$2="(Todas)",COUNTIF(BASE[CODCIE102],EPV_PARALISIS_FLACIDA_AGUDA[[#This Row],[CIE-10]]),COUNTIFS(BASE[Cod.Establecimiento],$AK$2,BASE[CODCIE102],EPV_PARALISIS_FLACIDA_AGUDA[[#This Row],[CIE-10]]))</f>
        <v>0</v>
      </c>
      <c r="D10" s="3">
        <f>IF($AK$2="(Todas)",COUNTIF(BASE[CODCIE104],EPV_PARALISIS_FLACIDA_AGUDA[[#This Row],[CIE-10]]),COUNTIFS(BASE[Cod.Establecimiento],$AK$2,BASE[CODCIE104],EPV_PARALISIS_FLACIDA_AGUDA[[#This Row],[CIE-10]]))</f>
        <v>0</v>
      </c>
      <c r="E10" s="3">
        <f>IF($AK$2="(Todas)",COUNTIF(BASE[CODCIE106],EPV_PARALISIS_FLACIDA_AGUDA[[#This Row],[CIE-10]]),COUNTIFS(BASE[Cod.Establecimiento],$AK$2,BASE[CODCIE106],EPV_PARALISIS_FLACIDA_AGUDA[[#This Row],[CIE-10]]))</f>
        <v>0</v>
      </c>
      <c r="F10" s="3">
        <f>IF($AK$2="(Todas)",COUNTIF(BASE[CODCIE108],EPV_PARALISIS_FLACIDA_AGUDA[[#This Row],[CIE-10]]),COUNTIFS(BASE[Cod.Establecimiento],$AK$2,BASE[CODCIE108],EPV_PARALISIS_FLACIDA_AGUDA[[#This Row],[CIE-10]]))</f>
        <v>0</v>
      </c>
      <c r="G10" s="3">
        <f>IF($AK$2="(Todas)",COUNTIF(BASE[CODCIE1010],EPV_PARALISIS_FLACIDA_AGUDA[[#This Row],[CIE-10]]),COUNTIFS(BASE[Cod.Establecimiento],$AK$2,BASE[CODCIE1010],EPV_PARALISIS_FLACIDA_AGUDA[[#This Row],[CIE-10]]))</f>
        <v>0</v>
      </c>
      <c r="H10" s="9">
        <f>SUM(EPV_PARALISIS_FLACIDA_AGUDA[[#This Row],[D1]:[D6]])</f>
        <v>0</v>
      </c>
      <c r="J10" s="4" t="s">
        <v>113</v>
      </c>
      <c r="K10" s="3">
        <f>IF($AK$2="(Todas)",COUNTIF(BASE[CODCIE10],EPV_RUBEOLA[[#This Row],[CIE-10]]),COUNTIFS(BASE[Cod.Establecimiento],$AK$2,BASE[CODCIE10],EPV_RUBEOLA[[#This Row],[CIE-10]]))</f>
        <v>0</v>
      </c>
      <c r="L10" s="3">
        <f>IF($AK$2="(Todas)",COUNTIF(BASE[CODCIE102],EPV_RUBEOLA[[#This Row],[CIE-10]]),COUNTIFS(BASE[Cod.Establecimiento],$AK$2,BASE[CODCIE102],EPV_RUBEOLA[[#This Row],[CIE-10]]))</f>
        <v>0</v>
      </c>
      <c r="M10" s="3">
        <f>IF($AK$2="(Todas)",COUNTIF(BASE[CODCIE104],EPV_RUBEOLA[[#This Row],[CIE-10]]),COUNTIFS(BASE[Cod.Establecimiento],$AK$2,BASE[CODCIE104],EPV_RUBEOLA[[#This Row],[CIE-10]]))</f>
        <v>0</v>
      </c>
      <c r="N10" s="3">
        <f>IF($AK$2="(Todas)",COUNTIF(BASE[CODCIE106],EPV_RUBEOLA[[#This Row],[CIE-10]]),COUNTIFS(BASE[Cod.Establecimiento],$AK$2,BASE[CODCIE106],EPV_RUBEOLA[[#This Row],[CIE-10]]))</f>
        <v>0</v>
      </c>
      <c r="O10" s="3">
        <f>IF($AK$2="(Todas)",COUNTIF(BASE[CODCIE108],EPV_RUBEOLA[[#This Row],[CIE-10]]),COUNTIFS(BASE[Cod.Establecimiento],$AK$2,BASE[CODCIE108],EPV_RUBEOLA[[#This Row],[CIE-10]]))</f>
        <v>0</v>
      </c>
      <c r="P10" s="3">
        <f>IF($AK$2="(Todas)",COUNTIF(BASE[CODCIE1010],EPV_RUBEOLA[[#This Row],[CIE-10]]),COUNTIFS(BASE[Cod.Establecimiento],$AK$2,BASE[CODCIE1010],EPV_RUBEOLA[[#This Row],[CIE-10]]))</f>
        <v>0</v>
      </c>
      <c r="Q10" s="9">
        <f>SUM(EPV_RUBEOLA[[#This Row],[D1]:[D6]])</f>
        <v>0</v>
      </c>
      <c r="S10" s="4" t="s">
        <v>113</v>
      </c>
      <c r="T10" s="3">
        <f>IF($AK$2="(Todas)",COUNTIF(BASE[CODCIE10],EPV_SARAMPION[[#This Row],[CIE-10]]),COUNTIFS(BASE[Cod.Establecimiento],$AK$2,BASE[CODCIE10],EPV_SARAMPION[[#This Row],[CIE-10]]))</f>
        <v>0</v>
      </c>
      <c r="U10" s="3">
        <f>IF($AK$2="(Todas)",COUNTIF(BASE[CODCIE102],EPV_SARAMPION[[#This Row],[CIE-10]]),COUNTIFS(BASE[Cod.Establecimiento],$AK$2,BASE[CODCIE102],EPV_SARAMPION[[#This Row],[CIE-10]]))</f>
        <v>0</v>
      </c>
      <c r="V10" s="3">
        <f>IF($AK$2="(Todas)",COUNTIF(BASE[CODCIE104],EPV_SARAMPION[[#This Row],[CIE-10]]),COUNTIFS(BASE[Cod.Establecimiento],$AK$2,BASE[CODCIE104],EPV_SARAMPION[[#This Row],[CIE-10]]))</f>
        <v>0</v>
      </c>
      <c r="W10" s="3">
        <f>IF($AK$2="(Todas)",COUNTIF(BASE[CODCIE106],EPV_SARAMPION[[#This Row],[CIE-10]]),COUNTIFS(BASE[Cod.Establecimiento],$AK$2,BASE[CODCIE106],EPV_SARAMPION[[#This Row],[CIE-10]]))</f>
        <v>0</v>
      </c>
      <c r="X10" s="3">
        <f>IF($AK$2="(Todas)",COUNTIF(BASE[CODCIE108],EPV_SARAMPION[[#This Row],[CIE-10]]),COUNTIFS(BASE[Cod.Establecimiento],$AK$2,BASE[CODCIE108],EPV_SARAMPION[[#This Row],[CIE-10]]))</f>
        <v>0</v>
      </c>
      <c r="Y10" s="3">
        <f>IF($AK$2="(Todas)",COUNTIF(BASE[CODCIE1010],EPV_SARAMPION[[#This Row],[CIE-10]]),COUNTIFS(BASE[Cod.Establecimiento],$AK$2,BASE[CODCIE1010],EPV_SARAMPION[[#This Row],[CIE-10]]))</f>
        <v>0</v>
      </c>
      <c r="Z10" s="9">
        <f>SUM(EPV_SARAMPION[[#This Row],[D1]:[D6]])</f>
        <v>0</v>
      </c>
      <c r="AB10" s="4" t="s">
        <v>114</v>
      </c>
      <c r="AC10" s="3">
        <f>IF($AK$2="(Todas)",COUNTIF(BASE[CODCIE10],EPV_DIFTERIA[[#This Row],[CIE-10]]),COUNTIFS(BASE[Cod.Establecimiento],$AK$2,BASE[CODCIE10],EPV_DIFTERIA[[#This Row],[CIE-10]]))</f>
        <v>0</v>
      </c>
      <c r="AD10" s="3">
        <f>IF($AK$2="(Todas)",COUNTIF(BASE[CODCIE102],EPV_DIFTERIA[[#This Row],[CIE-10]]),COUNTIFS(BASE[Cod.Establecimiento],$AK$2,BASE[CODCIE102],EPV_DIFTERIA[[#This Row],[CIE-10]]))</f>
        <v>0</v>
      </c>
      <c r="AE10" s="3">
        <f>IF($AK$2="(Todas)",COUNTIF(BASE[CODCIE104],EPV_DIFTERIA[[#This Row],[CIE-10]]),COUNTIFS(BASE[Cod.Establecimiento],$AK$2,BASE[CODCIE104],EPV_DIFTERIA[[#This Row],[CIE-10]]))</f>
        <v>0</v>
      </c>
      <c r="AF10" s="3">
        <f>IF($AK$2="(Todas)",COUNTIF(BASE[CODCIE106],EPV_DIFTERIA[[#This Row],[CIE-10]]),COUNTIFS(BASE[Cod.Establecimiento],$AK$2,BASE[CODCIE106],EPV_DIFTERIA[[#This Row],[CIE-10]]))</f>
        <v>0</v>
      </c>
      <c r="AG10" s="3">
        <f>IF($AK$2="(Todas)",COUNTIF(BASE[CODCIE108],EPV_DIFTERIA[[#This Row],[CIE-10]]),COUNTIFS(BASE[Cod.Establecimiento],$AK$2,BASE[CODCIE108],EPV_DIFTERIA[[#This Row],[CIE-10]]))</f>
        <v>0</v>
      </c>
      <c r="AH10" s="3">
        <f>IF($AK$2="(Todas)",COUNTIF(BASE[CODCIE1010],EPV_DIFTERIA[[#This Row],[CIE-10]]),COUNTIFS(BASE[Cod.Establecimiento],$AK$2,BASE[CODCIE1010],EPV_DIFTERIA[[#This Row],[CIE-10]]))</f>
        <v>0</v>
      </c>
      <c r="AI10" s="9">
        <f>SUM(EPV_DIFTERIA[[#This Row],[D1]:[D6]])</f>
        <v>0</v>
      </c>
    </row>
    <row r="11" spans="1:37">
      <c r="A11" s="4" t="s">
        <v>115</v>
      </c>
      <c r="B11" s="3">
        <f>IF($AK$2="(Todas)",COUNTIF(BASE[CODCIE10],EPV_PARALISIS_FLACIDA_AGUDA[[#This Row],[CIE-10]]),COUNTIFS(BASE[Cod.Establecimiento],$AK$2,BASE[CODCIE10],EPV_PARALISIS_FLACIDA_AGUDA[[#This Row],[CIE-10]]))</f>
        <v>0</v>
      </c>
      <c r="C11" s="3">
        <f>IF($AK$2="(Todas)",COUNTIF(BASE[CODCIE102],EPV_PARALISIS_FLACIDA_AGUDA[[#This Row],[CIE-10]]),COUNTIFS(BASE[Cod.Establecimiento],$AK$2,BASE[CODCIE102],EPV_PARALISIS_FLACIDA_AGUDA[[#This Row],[CIE-10]]))</f>
        <v>0</v>
      </c>
      <c r="D11" s="3">
        <f>IF($AK$2="(Todas)",COUNTIF(BASE[CODCIE104],EPV_PARALISIS_FLACIDA_AGUDA[[#This Row],[CIE-10]]),COUNTIFS(BASE[Cod.Establecimiento],$AK$2,BASE[CODCIE104],EPV_PARALISIS_FLACIDA_AGUDA[[#This Row],[CIE-10]]))</f>
        <v>0</v>
      </c>
      <c r="E11" s="3">
        <f>IF($AK$2="(Todas)",COUNTIF(BASE[CODCIE106],EPV_PARALISIS_FLACIDA_AGUDA[[#This Row],[CIE-10]]),COUNTIFS(BASE[Cod.Establecimiento],$AK$2,BASE[CODCIE106],EPV_PARALISIS_FLACIDA_AGUDA[[#This Row],[CIE-10]]))</f>
        <v>0</v>
      </c>
      <c r="F11" s="3">
        <f>IF($AK$2="(Todas)",COUNTIF(BASE[CODCIE108],EPV_PARALISIS_FLACIDA_AGUDA[[#This Row],[CIE-10]]),COUNTIFS(BASE[Cod.Establecimiento],$AK$2,BASE[CODCIE108],EPV_PARALISIS_FLACIDA_AGUDA[[#This Row],[CIE-10]]))</f>
        <v>0</v>
      </c>
      <c r="G11" s="3">
        <f>IF($AK$2="(Todas)",COUNTIF(BASE[CODCIE1010],EPV_PARALISIS_FLACIDA_AGUDA[[#This Row],[CIE-10]]),COUNTIFS(BASE[Cod.Establecimiento],$AK$2,BASE[CODCIE1010],EPV_PARALISIS_FLACIDA_AGUDA[[#This Row],[CIE-10]]))</f>
        <v>0</v>
      </c>
      <c r="H11" s="9">
        <f>SUM(EPV_PARALISIS_FLACIDA_AGUDA[[#This Row],[D1]:[D6]])</f>
        <v>0</v>
      </c>
      <c r="J11" s="4" t="s">
        <v>116</v>
      </c>
      <c r="K11" s="3">
        <f>IF($AK$2="(Todas)",COUNTIF(BASE[CODCIE10],EPV_RUBEOLA[[#This Row],[CIE-10]]),COUNTIFS(BASE[Cod.Establecimiento],$AK$2,BASE[CODCIE10],EPV_RUBEOLA[[#This Row],[CIE-10]]))</f>
        <v>0</v>
      </c>
      <c r="L11" s="3">
        <f>IF($AK$2="(Todas)",COUNTIF(BASE[CODCIE102],EPV_RUBEOLA[[#This Row],[CIE-10]]),COUNTIFS(BASE[Cod.Establecimiento],$AK$2,BASE[CODCIE102],EPV_RUBEOLA[[#This Row],[CIE-10]]))</f>
        <v>0</v>
      </c>
      <c r="M11" s="3">
        <f>IF($AK$2="(Todas)",COUNTIF(BASE[CODCIE104],EPV_RUBEOLA[[#This Row],[CIE-10]]),COUNTIFS(BASE[Cod.Establecimiento],$AK$2,BASE[CODCIE104],EPV_RUBEOLA[[#This Row],[CIE-10]]))</f>
        <v>0</v>
      </c>
      <c r="N11" s="3">
        <f>IF($AK$2="(Todas)",COUNTIF(BASE[CODCIE106],EPV_RUBEOLA[[#This Row],[CIE-10]]),COUNTIFS(BASE[Cod.Establecimiento],$AK$2,BASE[CODCIE106],EPV_RUBEOLA[[#This Row],[CIE-10]]))</f>
        <v>0</v>
      </c>
      <c r="O11" s="3">
        <f>IF($AK$2="(Todas)",COUNTIF(BASE[CODCIE108],EPV_RUBEOLA[[#This Row],[CIE-10]]),COUNTIFS(BASE[Cod.Establecimiento],$AK$2,BASE[CODCIE108],EPV_RUBEOLA[[#This Row],[CIE-10]]))</f>
        <v>0</v>
      </c>
      <c r="P11" s="3">
        <f>IF($AK$2="(Todas)",COUNTIF(BASE[CODCIE1010],EPV_RUBEOLA[[#This Row],[CIE-10]]),COUNTIFS(BASE[Cod.Establecimiento],$AK$2,BASE[CODCIE1010],EPV_RUBEOLA[[#This Row],[CIE-10]]))</f>
        <v>0</v>
      </c>
      <c r="Q11" s="9">
        <f>SUM(EPV_RUBEOLA[[#This Row],[D1]:[D6]])</f>
        <v>0</v>
      </c>
      <c r="S11" s="4" t="s">
        <v>116</v>
      </c>
      <c r="T11" s="3">
        <f>IF($AK$2="(Todas)",COUNTIF(BASE[CODCIE10],EPV_SARAMPION[[#This Row],[CIE-10]]),COUNTIFS(BASE[Cod.Establecimiento],$AK$2,BASE[CODCIE10],EPV_SARAMPION[[#This Row],[CIE-10]]))</f>
        <v>0</v>
      </c>
      <c r="U11" s="3">
        <f>IF($AK$2="(Todas)",COUNTIF(BASE[CODCIE102],EPV_SARAMPION[[#This Row],[CIE-10]]),COUNTIFS(BASE[Cod.Establecimiento],$AK$2,BASE[CODCIE102],EPV_SARAMPION[[#This Row],[CIE-10]]))</f>
        <v>0</v>
      </c>
      <c r="V11" s="3">
        <f>IF($AK$2="(Todas)",COUNTIF(BASE[CODCIE104],EPV_SARAMPION[[#This Row],[CIE-10]]),COUNTIFS(BASE[Cod.Establecimiento],$AK$2,BASE[CODCIE104],EPV_SARAMPION[[#This Row],[CIE-10]]))</f>
        <v>0</v>
      </c>
      <c r="W11" s="3">
        <f>IF($AK$2="(Todas)",COUNTIF(BASE[CODCIE106],EPV_SARAMPION[[#This Row],[CIE-10]]),COUNTIFS(BASE[Cod.Establecimiento],$AK$2,BASE[CODCIE106],EPV_SARAMPION[[#This Row],[CIE-10]]))</f>
        <v>0</v>
      </c>
      <c r="X11" s="3">
        <f>IF($AK$2="(Todas)",COUNTIF(BASE[CODCIE108],EPV_SARAMPION[[#This Row],[CIE-10]]),COUNTIFS(BASE[Cod.Establecimiento],$AK$2,BASE[CODCIE108],EPV_SARAMPION[[#This Row],[CIE-10]]))</f>
        <v>0</v>
      </c>
      <c r="Y11" s="3">
        <f>IF($AK$2="(Todas)",COUNTIF(BASE[CODCIE1010],EPV_SARAMPION[[#This Row],[CIE-10]]),COUNTIFS(BASE[Cod.Establecimiento],$AK$2,BASE[CODCIE1010],EPV_SARAMPION[[#This Row],[CIE-10]]))</f>
        <v>0</v>
      </c>
      <c r="Z11" s="9">
        <f>SUM(EPV_SARAMPION[[#This Row],[D1]:[D6]])</f>
        <v>0</v>
      </c>
      <c r="AB11" s="4" t="s">
        <v>117</v>
      </c>
      <c r="AC11" s="3">
        <f>IF($AK$2="(Todas)",COUNTIF(BASE[CODCIE10],EPV_DIFTERIA[[#This Row],[CIE-10]]),COUNTIFS(BASE[Cod.Establecimiento],$AK$2,BASE[CODCIE10],EPV_DIFTERIA[[#This Row],[CIE-10]]))</f>
        <v>0</v>
      </c>
      <c r="AD11" s="3">
        <f>IF($AK$2="(Todas)",COUNTIF(BASE[CODCIE102],EPV_DIFTERIA[[#This Row],[CIE-10]]),COUNTIFS(BASE[Cod.Establecimiento],$AK$2,BASE[CODCIE102],EPV_DIFTERIA[[#This Row],[CIE-10]]))</f>
        <v>0</v>
      </c>
      <c r="AE11" s="3">
        <f>IF($AK$2="(Todas)",COUNTIF(BASE[CODCIE104],EPV_DIFTERIA[[#This Row],[CIE-10]]),COUNTIFS(BASE[Cod.Establecimiento],$AK$2,BASE[CODCIE104],EPV_DIFTERIA[[#This Row],[CIE-10]]))</f>
        <v>0</v>
      </c>
      <c r="AF11" s="3">
        <f>IF($AK$2="(Todas)",COUNTIF(BASE[CODCIE106],EPV_DIFTERIA[[#This Row],[CIE-10]]),COUNTIFS(BASE[Cod.Establecimiento],$AK$2,BASE[CODCIE106],EPV_DIFTERIA[[#This Row],[CIE-10]]))</f>
        <v>0</v>
      </c>
      <c r="AG11" s="3">
        <f>IF($AK$2="(Todas)",COUNTIF(BASE[CODCIE108],EPV_DIFTERIA[[#This Row],[CIE-10]]),COUNTIFS(BASE[Cod.Establecimiento],$AK$2,BASE[CODCIE108],EPV_DIFTERIA[[#This Row],[CIE-10]]))</f>
        <v>0</v>
      </c>
      <c r="AH11" s="3">
        <f>IF($AK$2="(Todas)",COUNTIF(BASE[CODCIE1010],EPV_DIFTERIA[[#This Row],[CIE-10]]),COUNTIFS(BASE[Cod.Establecimiento],$AK$2,BASE[CODCIE1010],EPV_DIFTERIA[[#This Row],[CIE-10]]))</f>
        <v>0</v>
      </c>
      <c r="AI11" s="9">
        <f>SUM(EPV_DIFTERIA[[#This Row],[D1]:[D6]])</f>
        <v>0</v>
      </c>
    </row>
    <row r="12" spans="1:37">
      <c r="J12" s="4" t="s">
        <v>118</v>
      </c>
      <c r="K12" s="3">
        <f>IF($AK$2="(Todas)",COUNTIF(BASE[CODCIE10],EPV_RUBEOLA[[#This Row],[CIE-10]]),COUNTIFS(BASE[Cod.Establecimiento],$AK$2,BASE[CODCIE10],EPV_RUBEOLA[[#This Row],[CIE-10]]))</f>
        <v>0</v>
      </c>
      <c r="L12" s="3">
        <f>IF($AK$2="(Todas)",COUNTIF(BASE[CODCIE102],EPV_RUBEOLA[[#This Row],[CIE-10]]),COUNTIFS(BASE[Cod.Establecimiento],$AK$2,BASE[CODCIE102],EPV_RUBEOLA[[#This Row],[CIE-10]]))</f>
        <v>0</v>
      </c>
      <c r="M12" s="3">
        <f>IF($AK$2="(Todas)",COUNTIF(BASE[CODCIE104],EPV_RUBEOLA[[#This Row],[CIE-10]]),COUNTIFS(BASE[Cod.Establecimiento],$AK$2,BASE[CODCIE104],EPV_RUBEOLA[[#This Row],[CIE-10]]))</f>
        <v>0</v>
      </c>
      <c r="N12" s="3">
        <f>IF($AK$2="(Todas)",COUNTIF(BASE[CODCIE106],EPV_RUBEOLA[[#This Row],[CIE-10]]),COUNTIFS(BASE[Cod.Establecimiento],$AK$2,BASE[CODCIE106],EPV_RUBEOLA[[#This Row],[CIE-10]]))</f>
        <v>0</v>
      </c>
      <c r="O12" s="3">
        <f>IF($AK$2="(Todas)",COUNTIF(BASE[CODCIE108],EPV_RUBEOLA[[#This Row],[CIE-10]]),COUNTIFS(BASE[Cod.Establecimiento],$AK$2,BASE[CODCIE108],EPV_RUBEOLA[[#This Row],[CIE-10]]))</f>
        <v>0</v>
      </c>
      <c r="P12" s="3">
        <f>IF($AK$2="(Todas)",COUNTIF(BASE[CODCIE1010],EPV_RUBEOLA[[#This Row],[CIE-10]]),COUNTIFS(BASE[Cod.Establecimiento],$AK$2,BASE[CODCIE1010],EPV_RUBEOLA[[#This Row],[CIE-10]]))</f>
        <v>0</v>
      </c>
      <c r="Q12" s="9">
        <f>SUM(EPV_RUBEOLA[[#This Row],[D1]:[D6]])</f>
        <v>0</v>
      </c>
      <c r="S12" s="4" t="s">
        <v>118</v>
      </c>
      <c r="T12" s="3">
        <f>IF($AK$2="(Todas)",COUNTIF(BASE[CODCIE10],EPV_SARAMPION[[#This Row],[CIE-10]]),COUNTIFS(BASE[Cod.Establecimiento],$AK$2,BASE[CODCIE10],EPV_SARAMPION[[#This Row],[CIE-10]]))</f>
        <v>0</v>
      </c>
      <c r="U12" s="3">
        <f>IF($AK$2="(Todas)",COUNTIF(BASE[CODCIE102],EPV_SARAMPION[[#This Row],[CIE-10]]),COUNTIFS(BASE[Cod.Establecimiento],$AK$2,BASE[CODCIE102],EPV_SARAMPION[[#This Row],[CIE-10]]))</f>
        <v>0</v>
      </c>
      <c r="V12" s="3">
        <f>IF($AK$2="(Todas)",COUNTIF(BASE[CODCIE104],EPV_SARAMPION[[#This Row],[CIE-10]]),COUNTIFS(BASE[Cod.Establecimiento],$AK$2,BASE[CODCIE104],EPV_SARAMPION[[#This Row],[CIE-10]]))</f>
        <v>0</v>
      </c>
      <c r="W12" s="3">
        <f>IF($AK$2="(Todas)",COUNTIF(BASE[CODCIE106],EPV_SARAMPION[[#This Row],[CIE-10]]),COUNTIFS(BASE[Cod.Establecimiento],$AK$2,BASE[CODCIE106],EPV_SARAMPION[[#This Row],[CIE-10]]))</f>
        <v>0</v>
      </c>
      <c r="X12" s="3">
        <f>IF($AK$2="(Todas)",COUNTIF(BASE[CODCIE108],EPV_SARAMPION[[#This Row],[CIE-10]]),COUNTIFS(BASE[Cod.Establecimiento],$AK$2,BASE[CODCIE108],EPV_SARAMPION[[#This Row],[CIE-10]]))</f>
        <v>0</v>
      </c>
      <c r="Y12" s="3">
        <f>IF($AK$2="(Todas)",COUNTIF(BASE[CODCIE1010],EPV_SARAMPION[[#This Row],[CIE-10]]),COUNTIFS(BASE[Cod.Establecimiento],$AK$2,BASE[CODCIE1010],EPV_SARAMPION[[#This Row],[CIE-10]]))</f>
        <v>0</v>
      </c>
      <c r="Z12" s="9">
        <f>SUM(EPV_SARAMPION[[#This Row],[D1]:[D6]])</f>
        <v>0</v>
      </c>
      <c r="AB12" s="4" t="s">
        <v>119</v>
      </c>
      <c r="AC12" s="3">
        <f>IF($AK$2="(Todas)",COUNTIF(BASE[CODCIE10],EPV_DIFTERIA[[#This Row],[CIE-10]]),COUNTIFS(BASE[Cod.Establecimiento],$AK$2,BASE[CODCIE10],EPV_DIFTERIA[[#This Row],[CIE-10]]))</f>
        <v>0</v>
      </c>
      <c r="AD12" s="3">
        <f>IF($AK$2="(Todas)",COUNTIF(BASE[CODCIE102],EPV_DIFTERIA[[#This Row],[CIE-10]]),COUNTIFS(BASE[Cod.Establecimiento],$AK$2,BASE[CODCIE102],EPV_DIFTERIA[[#This Row],[CIE-10]]))</f>
        <v>0</v>
      </c>
      <c r="AE12" s="3">
        <f>IF($AK$2="(Todas)",COUNTIF(BASE[CODCIE104],EPV_DIFTERIA[[#This Row],[CIE-10]]),COUNTIFS(BASE[Cod.Establecimiento],$AK$2,BASE[CODCIE104],EPV_DIFTERIA[[#This Row],[CIE-10]]))</f>
        <v>0</v>
      </c>
      <c r="AF12" s="3">
        <f>IF($AK$2="(Todas)",COUNTIF(BASE[CODCIE106],EPV_DIFTERIA[[#This Row],[CIE-10]]),COUNTIFS(BASE[Cod.Establecimiento],$AK$2,BASE[CODCIE106],EPV_DIFTERIA[[#This Row],[CIE-10]]))</f>
        <v>0</v>
      </c>
      <c r="AG12" s="3">
        <f>IF($AK$2="(Todas)",COUNTIF(BASE[CODCIE108],EPV_DIFTERIA[[#This Row],[CIE-10]]),COUNTIFS(BASE[Cod.Establecimiento],$AK$2,BASE[CODCIE108],EPV_DIFTERIA[[#This Row],[CIE-10]]))</f>
        <v>0</v>
      </c>
      <c r="AH12" s="3">
        <f>IF($AK$2="(Todas)",COUNTIF(BASE[CODCIE1010],EPV_DIFTERIA[[#This Row],[CIE-10]]),COUNTIFS(BASE[Cod.Establecimiento],$AK$2,BASE[CODCIE1010],EPV_DIFTERIA[[#This Row],[CIE-10]]))</f>
        <v>0</v>
      </c>
      <c r="AI12" s="9">
        <f>SUM(EPV_DIFTERIA[[#This Row],[D1]:[D6]])</f>
        <v>0</v>
      </c>
    </row>
    <row r="13" spans="1:37">
      <c r="J13" s="4" t="s">
        <v>120</v>
      </c>
      <c r="K13" s="3">
        <f>IF($AK$2="(Todas)",COUNTIF(BASE[CODCIE10],EPV_RUBEOLA[[#This Row],[CIE-10]]),COUNTIFS(BASE[Cod.Establecimiento],$AK$2,BASE[CODCIE10],EPV_RUBEOLA[[#This Row],[CIE-10]]))</f>
        <v>0</v>
      </c>
      <c r="L13" s="3">
        <f>IF($AK$2="(Todas)",COUNTIF(BASE[CODCIE102],EPV_RUBEOLA[[#This Row],[CIE-10]]),COUNTIFS(BASE[Cod.Establecimiento],$AK$2,BASE[CODCIE102],EPV_RUBEOLA[[#This Row],[CIE-10]]))</f>
        <v>0</v>
      </c>
      <c r="M13" s="3">
        <f>IF($AK$2="(Todas)",COUNTIF(BASE[CODCIE104],EPV_RUBEOLA[[#This Row],[CIE-10]]),COUNTIFS(BASE[Cod.Establecimiento],$AK$2,BASE[CODCIE104],EPV_RUBEOLA[[#This Row],[CIE-10]]))</f>
        <v>0</v>
      </c>
      <c r="N13" s="3">
        <f>IF($AK$2="(Todas)",COUNTIF(BASE[CODCIE106],EPV_RUBEOLA[[#This Row],[CIE-10]]),COUNTIFS(BASE[Cod.Establecimiento],$AK$2,BASE[CODCIE106],EPV_RUBEOLA[[#This Row],[CIE-10]]))</f>
        <v>0</v>
      </c>
      <c r="O13" s="3">
        <f>IF($AK$2="(Todas)",COUNTIF(BASE[CODCIE108],EPV_RUBEOLA[[#This Row],[CIE-10]]),COUNTIFS(BASE[Cod.Establecimiento],$AK$2,BASE[CODCIE108],EPV_RUBEOLA[[#This Row],[CIE-10]]))</f>
        <v>0</v>
      </c>
      <c r="P13" s="3">
        <f>IF($AK$2="(Todas)",COUNTIF(BASE[CODCIE1010],EPV_RUBEOLA[[#This Row],[CIE-10]]),COUNTIFS(BASE[Cod.Establecimiento],$AK$2,BASE[CODCIE1010],EPV_RUBEOLA[[#This Row],[CIE-10]]))</f>
        <v>0</v>
      </c>
      <c r="Q13" s="9">
        <f>SUM(EPV_RUBEOLA[[#This Row],[D1]:[D6]])</f>
        <v>0</v>
      </c>
      <c r="S13" s="4" t="s">
        <v>121</v>
      </c>
      <c r="T13" s="3">
        <f>IF($AK$2="(Todas)",COUNTIF(BASE[CODCIE10],EPV_SARAMPION[[#This Row],[CIE-10]]),COUNTIFS(BASE[Cod.Establecimiento],$AK$2,BASE[CODCIE10],EPV_SARAMPION[[#This Row],[CIE-10]]))</f>
        <v>0</v>
      </c>
      <c r="U13" s="3">
        <f>IF($AK$2="(Todas)",COUNTIF(BASE[CODCIE102],EPV_SARAMPION[[#This Row],[CIE-10]]),COUNTIFS(BASE[Cod.Establecimiento],$AK$2,BASE[CODCIE102],EPV_SARAMPION[[#This Row],[CIE-10]]))</f>
        <v>0</v>
      </c>
      <c r="V13" s="3">
        <f>IF($AK$2="(Todas)",COUNTIF(BASE[CODCIE104],EPV_SARAMPION[[#This Row],[CIE-10]]),COUNTIFS(BASE[Cod.Establecimiento],$AK$2,BASE[CODCIE104],EPV_SARAMPION[[#This Row],[CIE-10]]))</f>
        <v>0</v>
      </c>
      <c r="W13" s="3">
        <f>IF($AK$2="(Todas)",COUNTIF(BASE[CODCIE106],EPV_SARAMPION[[#This Row],[CIE-10]]),COUNTIFS(BASE[Cod.Establecimiento],$AK$2,BASE[CODCIE106],EPV_SARAMPION[[#This Row],[CIE-10]]))</f>
        <v>0</v>
      </c>
      <c r="X13" s="3">
        <f>IF($AK$2="(Todas)",COUNTIF(BASE[CODCIE108],EPV_SARAMPION[[#This Row],[CIE-10]]),COUNTIFS(BASE[Cod.Establecimiento],$AK$2,BASE[CODCIE108],EPV_SARAMPION[[#This Row],[CIE-10]]))</f>
        <v>0</v>
      </c>
      <c r="Y13" s="3">
        <f>IF($AK$2="(Todas)",COUNTIF(BASE[CODCIE1010],EPV_SARAMPION[[#This Row],[CIE-10]]),COUNTIFS(BASE[Cod.Establecimiento],$AK$2,BASE[CODCIE1010],EPV_SARAMPION[[#This Row],[CIE-10]]))</f>
        <v>0</v>
      </c>
      <c r="Z13" s="9">
        <f>SUM(EPV_SARAMPION[[#This Row],[D1]:[D6]])</f>
        <v>0</v>
      </c>
      <c r="AB13" s="4" t="s">
        <v>122</v>
      </c>
      <c r="AC13" s="3">
        <f>IF($AK$2="(Todas)",COUNTIF(BASE[CODCIE10],EPV_DIFTERIA[[#This Row],[CIE-10]]),COUNTIFS(BASE[Cod.Establecimiento],$AK$2,BASE[CODCIE10],EPV_DIFTERIA[[#This Row],[CIE-10]]))</f>
        <v>0</v>
      </c>
      <c r="AD13" s="3">
        <f>IF($AK$2="(Todas)",COUNTIF(BASE[CODCIE102],EPV_DIFTERIA[[#This Row],[CIE-10]]),COUNTIFS(BASE[Cod.Establecimiento],$AK$2,BASE[CODCIE102],EPV_DIFTERIA[[#This Row],[CIE-10]]))</f>
        <v>0</v>
      </c>
      <c r="AE13" s="3">
        <f>IF($AK$2="(Todas)",COUNTIF(BASE[CODCIE104],EPV_DIFTERIA[[#This Row],[CIE-10]]),COUNTIFS(BASE[Cod.Establecimiento],$AK$2,BASE[CODCIE104],EPV_DIFTERIA[[#This Row],[CIE-10]]))</f>
        <v>0</v>
      </c>
      <c r="AF13" s="3">
        <f>IF($AK$2="(Todas)",COUNTIF(BASE[CODCIE106],EPV_DIFTERIA[[#This Row],[CIE-10]]),COUNTIFS(BASE[Cod.Establecimiento],$AK$2,BASE[CODCIE106],EPV_DIFTERIA[[#This Row],[CIE-10]]))</f>
        <v>0</v>
      </c>
      <c r="AG13" s="3">
        <f>IF($AK$2="(Todas)",COUNTIF(BASE[CODCIE108],EPV_DIFTERIA[[#This Row],[CIE-10]]),COUNTIFS(BASE[Cod.Establecimiento],$AK$2,BASE[CODCIE108],EPV_DIFTERIA[[#This Row],[CIE-10]]))</f>
        <v>0</v>
      </c>
      <c r="AH13" s="3">
        <f>IF($AK$2="(Todas)",COUNTIF(BASE[CODCIE1010],EPV_DIFTERIA[[#This Row],[CIE-10]]),COUNTIFS(BASE[Cod.Establecimiento],$AK$2,BASE[CODCIE1010],EPV_DIFTERIA[[#This Row],[CIE-10]]))</f>
        <v>0</v>
      </c>
      <c r="AI13" s="9">
        <f>SUM(EPV_DIFTERIA[[#This Row],[D1]:[D6]])</f>
        <v>0</v>
      </c>
    </row>
    <row r="14" spans="1:37">
      <c r="J14" s="4" t="s">
        <v>123</v>
      </c>
      <c r="K14" s="3">
        <f>IF($AK$2="(Todas)",COUNTIF(BASE[CODCIE10],EPV_RUBEOLA[[#This Row],[CIE-10]]),COUNTIFS(BASE[Cod.Establecimiento],$AK$2,BASE[CODCIE10],EPV_RUBEOLA[[#This Row],[CIE-10]]))</f>
        <v>0</v>
      </c>
      <c r="L14" s="3">
        <f>IF($AK$2="(Todas)",COUNTIF(BASE[CODCIE102],EPV_RUBEOLA[[#This Row],[CIE-10]]),COUNTIFS(BASE[Cod.Establecimiento],$AK$2,BASE[CODCIE102],EPV_RUBEOLA[[#This Row],[CIE-10]]))</f>
        <v>0</v>
      </c>
      <c r="M14" s="3">
        <f>IF($AK$2="(Todas)",COUNTIF(BASE[CODCIE104],EPV_RUBEOLA[[#This Row],[CIE-10]]),COUNTIFS(BASE[Cod.Establecimiento],$AK$2,BASE[CODCIE104],EPV_RUBEOLA[[#This Row],[CIE-10]]))</f>
        <v>0</v>
      </c>
      <c r="N14" s="3">
        <f>IF($AK$2="(Todas)",COUNTIF(BASE[CODCIE106],EPV_RUBEOLA[[#This Row],[CIE-10]]),COUNTIFS(BASE[Cod.Establecimiento],$AK$2,BASE[CODCIE106],EPV_RUBEOLA[[#This Row],[CIE-10]]))</f>
        <v>0</v>
      </c>
      <c r="O14" s="3">
        <f>IF($AK$2="(Todas)",COUNTIF(BASE[CODCIE108],EPV_RUBEOLA[[#This Row],[CIE-10]]),COUNTIFS(BASE[Cod.Establecimiento],$AK$2,BASE[CODCIE108],EPV_RUBEOLA[[#This Row],[CIE-10]]))</f>
        <v>0</v>
      </c>
      <c r="P14" s="3">
        <f>IF($AK$2="(Todas)",COUNTIF(BASE[CODCIE1010],EPV_RUBEOLA[[#This Row],[CIE-10]]),COUNTIFS(BASE[Cod.Establecimiento],$AK$2,BASE[CODCIE1010],EPV_RUBEOLA[[#This Row],[CIE-10]]))</f>
        <v>0</v>
      </c>
      <c r="Q14" s="9">
        <f>SUM(EPV_RUBEOLA[[#This Row],[D1]:[D6]])</f>
        <v>0</v>
      </c>
    </row>
    <row r="15" spans="1:37">
      <c r="J15" s="4" t="s">
        <v>124</v>
      </c>
      <c r="K15" s="3">
        <f>IF($AK$2="(Todas)",COUNTIF(BASE[CODCIE10],EPV_RUBEOLA[[#This Row],[CIE-10]]),COUNTIFS(BASE[Cod.Establecimiento],$AK$2,BASE[CODCIE10],EPV_RUBEOLA[[#This Row],[CIE-10]]))</f>
        <v>0</v>
      </c>
      <c r="L15" s="3">
        <f>IF($AK$2="(Todas)",COUNTIF(BASE[CODCIE102],EPV_RUBEOLA[[#This Row],[CIE-10]]),COUNTIFS(BASE[Cod.Establecimiento],$AK$2,BASE[CODCIE102],EPV_RUBEOLA[[#This Row],[CIE-10]]))</f>
        <v>0</v>
      </c>
      <c r="M15" s="3">
        <f>IF($AK$2="(Todas)",COUNTIF(BASE[CODCIE104],EPV_RUBEOLA[[#This Row],[CIE-10]]),COUNTIFS(BASE[Cod.Establecimiento],$AK$2,BASE[CODCIE104],EPV_RUBEOLA[[#This Row],[CIE-10]]))</f>
        <v>0</v>
      </c>
      <c r="N15" s="3">
        <f>IF($AK$2="(Todas)",COUNTIF(BASE[CODCIE106],EPV_RUBEOLA[[#This Row],[CIE-10]]),COUNTIFS(BASE[Cod.Establecimiento],$AK$2,BASE[CODCIE106],EPV_RUBEOLA[[#This Row],[CIE-10]]))</f>
        <v>0</v>
      </c>
      <c r="O15" s="3">
        <f>IF($AK$2="(Todas)",COUNTIF(BASE[CODCIE108],EPV_RUBEOLA[[#This Row],[CIE-10]]),COUNTIFS(BASE[Cod.Establecimiento],$AK$2,BASE[CODCIE108],EPV_RUBEOLA[[#This Row],[CIE-10]]))</f>
        <v>0</v>
      </c>
      <c r="P15" s="3">
        <f>IF($AK$2="(Todas)",COUNTIF(BASE[CODCIE1010],EPV_RUBEOLA[[#This Row],[CIE-10]]),COUNTIFS(BASE[Cod.Establecimiento],$AK$2,BASE[CODCIE1010],EPV_RUBEOLA[[#This Row],[CIE-10]]))</f>
        <v>0</v>
      </c>
      <c r="Q15" s="9">
        <f>SUM(EPV_RUBEOLA[[#This Row],[D1]:[D6]])</f>
        <v>0</v>
      </c>
    </row>
    <row r="17" spans="1:35" ht="18" customHeight="1" thickBot="1">
      <c r="A17" s="76" t="s">
        <v>125</v>
      </c>
      <c r="B17" s="77"/>
      <c r="C17" s="77"/>
      <c r="D17" s="77"/>
      <c r="E17" s="77"/>
      <c r="F17" s="77"/>
      <c r="G17" s="77"/>
      <c r="H17" s="77"/>
      <c r="J17" s="76" t="s">
        <v>126</v>
      </c>
      <c r="K17" s="77"/>
      <c r="L17" s="77"/>
      <c r="M17" s="77"/>
      <c r="N17" s="77"/>
      <c r="O17" s="77"/>
      <c r="P17" s="77"/>
      <c r="Q17" s="77"/>
      <c r="S17" s="76" t="s">
        <v>127</v>
      </c>
      <c r="T17" s="77"/>
      <c r="U17" s="77"/>
      <c r="V17" s="77"/>
      <c r="W17" s="77"/>
      <c r="X17" s="77"/>
      <c r="Y17" s="77"/>
      <c r="Z17" s="77"/>
      <c r="AB17" s="76" t="s">
        <v>128</v>
      </c>
      <c r="AC17" s="77"/>
      <c r="AD17" s="77"/>
      <c r="AE17" s="77"/>
      <c r="AF17" s="77"/>
      <c r="AG17" s="77"/>
      <c r="AH17" s="77"/>
      <c r="AI17" s="77"/>
    </row>
    <row r="18" spans="1:35" ht="15.75" customHeight="1" thickTop="1">
      <c r="A18" s="6" t="str">
        <f>_xlfn.CONCAT("TOTAL: ",SUM(B18:G18))</f>
        <v>TOTAL: 0</v>
      </c>
      <c r="B18" s="5">
        <f>SUM(EPV_COQUELUCHE[D1])</f>
        <v>0</v>
      </c>
      <c r="C18" s="5">
        <f>SUM(EPV_COQUELUCHE[D2])</f>
        <v>0</v>
      </c>
      <c r="D18" s="5">
        <f>SUM(EPV_COQUELUCHE[D3])</f>
        <v>0</v>
      </c>
      <c r="E18" s="5">
        <f>SUM(EPV_COQUELUCHE[D4])</f>
        <v>0</v>
      </c>
      <c r="F18" s="5">
        <f>SUM(EPV_COQUELUCHE[D5])</f>
        <v>0</v>
      </c>
      <c r="G18" s="5">
        <f>SUM(EPV_COQUELUCHE[D6])</f>
        <v>0</v>
      </c>
      <c r="H18" s="7"/>
      <c r="J18" s="6" t="str">
        <f>_xlfn.CONCAT("TOTAL: ",SUM(K18:P18))</f>
        <v>TOTAL: 0</v>
      </c>
      <c r="K18" s="5">
        <f>SUM(EPV_PAROTIDITIS[D1])</f>
        <v>0</v>
      </c>
      <c r="L18" s="5">
        <f>SUM(EPV_PAROTIDITIS[D2])</f>
        <v>0</v>
      </c>
      <c r="M18" s="5">
        <f>SUM(EPV_PAROTIDITIS[D3])</f>
        <v>0</v>
      </c>
      <c r="N18" s="5">
        <f>SUM(EPV_PAROTIDITIS[D4])</f>
        <v>0</v>
      </c>
      <c r="O18" s="5">
        <f>SUM(EPV_PAROTIDITIS[D5])</f>
        <v>0</v>
      </c>
      <c r="P18" s="5">
        <f>SUM(EPV_PAROTIDITIS[D6])</f>
        <v>0</v>
      </c>
      <c r="Q18" s="7"/>
      <c r="S18" s="6" t="str">
        <f>_xlfn.CONCAT("TOTAL: ",SUM(T18:Y18))</f>
        <v>TOTAL: 0</v>
      </c>
      <c r="T18" s="5">
        <f>SUM(EPV_TETANOS_NEONATAL[D1])</f>
        <v>0</v>
      </c>
      <c r="U18" s="5">
        <f>SUM(EPV_TETANOS_NEONATAL[D2])</f>
        <v>0</v>
      </c>
      <c r="V18" s="5">
        <f>SUM(EPV_TETANOS_NEONATAL[D3])</f>
        <v>0</v>
      </c>
      <c r="W18" s="5">
        <f>SUM(EPV_TETANOS_NEONATAL[D4])</f>
        <v>0</v>
      </c>
      <c r="X18" s="5">
        <f>SUM(EPV_TETANOS_NEONATAL[D5])</f>
        <v>0</v>
      </c>
      <c r="Y18" s="5">
        <f>SUM(EPV_TETANOS_NEONATAL[D6])</f>
        <v>0</v>
      </c>
      <c r="Z18" s="7"/>
      <c r="AB18" s="6" t="str">
        <f>_xlfn.CONCAT("TOTAL: ",SUM(AC18:AH18))</f>
        <v>TOTAL: 0</v>
      </c>
      <c r="AC18" s="5">
        <f>SUM(EPV_TETANOS_OTRAS_EDADES[D1])</f>
        <v>0</v>
      </c>
      <c r="AD18" s="5">
        <f>SUM(EPV_TETANOS_OTRAS_EDADES[D2])</f>
        <v>0</v>
      </c>
      <c r="AE18" s="5">
        <f>SUM(EPV_TETANOS_OTRAS_EDADES[D3])</f>
        <v>0</v>
      </c>
      <c r="AF18" s="5">
        <f>SUM(EPV_TETANOS_OTRAS_EDADES[D4])</f>
        <v>0</v>
      </c>
      <c r="AG18" s="5">
        <f>SUM(EPV_TETANOS_OTRAS_EDADES[D5])</f>
        <v>0</v>
      </c>
      <c r="AH18" s="5">
        <f>SUM(EPV_TETANOS_OTRAS_EDADES[D6])</f>
        <v>0</v>
      </c>
      <c r="AI18" s="7"/>
    </row>
    <row r="19" spans="1:35">
      <c r="A19" t="s">
        <v>93</v>
      </c>
      <c r="B19" s="3" t="s">
        <v>94</v>
      </c>
      <c r="C19" s="3" t="s">
        <v>95</v>
      </c>
      <c r="D19" s="3" t="s">
        <v>96</v>
      </c>
      <c r="E19" s="3" t="s">
        <v>97</v>
      </c>
      <c r="F19" s="3" t="s">
        <v>98</v>
      </c>
      <c r="G19" s="3" t="s">
        <v>99</v>
      </c>
      <c r="H19" s="8" t="s">
        <v>100</v>
      </c>
      <c r="J19" t="s">
        <v>93</v>
      </c>
      <c r="K19" s="3" t="s">
        <v>94</v>
      </c>
      <c r="L19" s="3" t="s">
        <v>95</v>
      </c>
      <c r="M19" s="3" t="s">
        <v>96</v>
      </c>
      <c r="N19" s="3" t="s">
        <v>97</v>
      </c>
      <c r="O19" s="3" t="s">
        <v>98</v>
      </c>
      <c r="P19" s="3" t="s">
        <v>99</v>
      </c>
      <c r="Q19" s="8" t="s">
        <v>100</v>
      </c>
      <c r="S19" t="s">
        <v>93</v>
      </c>
      <c r="T19" s="3" t="s">
        <v>94</v>
      </c>
      <c r="U19" s="3" t="s">
        <v>95</v>
      </c>
      <c r="V19" s="3" t="s">
        <v>96</v>
      </c>
      <c r="W19" s="3" t="s">
        <v>97</v>
      </c>
      <c r="X19" s="3" t="s">
        <v>98</v>
      </c>
      <c r="Y19" s="3" t="s">
        <v>99</v>
      </c>
      <c r="Z19" s="8" t="s">
        <v>100</v>
      </c>
      <c r="AB19" t="s">
        <v>93</v>
      </c>
      <c r="AC19" s="3" t="s">
        <v>94</v>
      </c>
      <c r="AD19" s="3" t="s">
        <v>95</v>
      </c>
      <c r="AE19" s="3" t="s">
        <v>96</v>
      </c>
      <c r="AF19" s="3" t="s">
        <v>97</v>
      </c>
      <c r="AG19" s="3" t="s">
        <v>98</v>
      </c>
      <c r="AH19" s="3" t="s">
        <v>99</v>
      </c>
      <c r="AI19" s="8" t="s">
        <v>100</v>
      </c>
    </row>
    <row r="20" spans="1:35">
      <c r="A20" s="4" t="s">
        <v>129</v>
      </c>
      <c r="B20" s="3">
        <f>IF($AK$2="(Todas)",COUNTIF(BASE[CODCIE10],EPV_COQUELUCHE[[#This Row],[CIE-10]]),COUNTIFS(BASE[Cod.Establecimiento],$AK$2,BASE[CODCIE10],EPV_COQUELUCHE[[#This Row],[CIE-10]]))</f>
        <v>0</v>
      </c>
      <c r="C20" s="3">
        <f>IF($AK$2="(Todas)",COUNTIF(BASE[CODCIE102],EPV_COQUELUCHE[[#This Row],[CIE-10]]),COUNTIFS(BASE[Cod.Establecimiento],$AK$2,BASE[CODCIE102],EPV_COQUELUCHE[[#This Row],[CIE-10]]))</f>
        <v>0</v>
      </c>
      <c r="D20" s="3">
        <f>IF($AK$2="(Todas)",COUNTIF(BASE[CODCIE104],EPV_COQUELUCHE[[#This Row],[CIE-10]]),COUNTIFS(BASE[Cod.Establecimiento],$AK$2,BASE[CODCIE104],EPV_COQUELUCHE[[#This Row],[CIE-10]]))</f>
        <v>0</v>
      </c>
      <c r="E20" s="3">
        <f>IF($AK$2="(Todas)",COUNTIF(BASE[CODCIE106],EPV_COQUELUCHE[[#This Row],[CIE-10]]),COUNTIFS(BASE[Cod.Establecimiento],$AK$2,BASE[CODCIE106],EPV_COQUELUCHE[[#This Row],[CIE-10]]))</f>
        <v>0</v>
      </c>
      <c r="F20" s="3">
        <f>IF($AK$2="(Todas)",COUNTIF(BASE[CODCIE108],EPV_COQUELUCHE[[#This Row],[CIE-10]]),COUNTIFS(BASE[Cod.Establecimiento],$AK$2,BASE[CODCIE108],EPV_COQUELUCHE[[#This Row],[CIE-10]]))</f>
        <v>0</v>
      </c>
      <c r="G20" s="3">
        <f>IF($AK$2="(Todas)",COUNTIF(BASE[CODCIE1010],EPV_COQUELUCHE[[#This Row],[CIE-10]]),COUNTIFS(BASE[Cod.Establecimiento],$AK$2,BASE[CODCIE1010],EPV_COQUELUCHE[[#This Row],[CIE-10]]))</f>
        <v>0</v>
      </c>
      <c r="H20" s="9">
        <f>SUM(EPV_COQUELUCHE[[#This Row],[D1]:[D6]])</f>
        <v>0</v>
      </c>
      <c r="J20" s="32" t="s">
        <v>130</v>
      </c>
      <c r="K20" s="3">
        <f>IF($AK$2="(Todas)",COUNTIF(BASE[CODCIE10],EPV_PAROTIDITIS[[#This Row],[CIE-10]]),COUNTIFS(BASE[Cod.Establecimiento],$AK$2,BASE[CODCIE10],EPV_PAROTIDITIS[[#This Row],[CIE-10]]))</f>
        <v>0</v>
      </c>
      <c r="L20" s="3">
        <f>IF($AK$2="(Todas)",COUNTIF(BASE[CODCIE102],EPV_PAROTIDITIS[[#This Row],[CIE-10]]),COUNTIFS(BASE[Cod.Establecimiento],$AK$2,BASE[CODCIE102],EPV_PAROTIDITIS[[#This Row],[CIE-10]]))</f>
        <v>0</v>
      </c>
      <c r="M20" s="3">
        <f>IF($AK$2="(Todas)",COUNTIF(BASE[CODCIE104],EPV_PAROTIDITIS[[#This Row],[CIE-10]]),COUNTIFS(BASE[Cod.Establecimiento],$AK$2,BASE[CODCIE104],EPV_PAROTIDITIS[[#This Row],[CIE-10]]))</f>
        <v>0</v>
      </c>
      <c r="N20" s="3">
        <f>IF($AK$2="(Todas)",COUNTIF(BASE[CODCIE106],EPV_PAROTIDITIS[[#This Row],[CIE-10]]),COUNTIFS(BASE[Cod.Establecimiento],$AK$2,BASE[CODCIE106],EPV_PAROTIDITIS[[#This Row],[CIE-10]]))</f>
        <v>0</v>
      </c>
      <c r="O20" s="3">
        <f>IF($AK$2="(Todas)",COUNTIF(BASE[CODCIE108],EPV_PAROTIDITIS[[#This Row],[CIE-10]]),COUNTIFS(BASE[Cod.Establecimiento],$AK$2,BASE[CODCIE108],EPV_PAROTIDITIS[[#This Row],[CIE-10]]))</f>
        <v>0</v>
      </c>
      <c r="P20" s="3">
        <f>IF($AK$2="(Todas)",COUNTIF(BASE[CODCIE1010],EPV_PAROTIDITIS[[#This Row],[CIE-10]]),COUNTIFS(BASE[Cod.Establecimiento],$AK$2,BASE[CODCIE1010],EPV_PAROTIDITIS[[#This Row],[CIE-10]]))</f>
        <v>0</v>
      </c>
      <c r="Q20" s="9">
        <f>SUM(EPV_PAROTIDITIS[[#This Row],[D1]:[D6]])</f>
        <v>0</v>
      </c>
      <c r="S20" s="4" t="s">
        <v>131</v>
      </c>
      <c r="T20" s="3">
        <f>IF($AK$2="(Todas)",COUNTIF(BASE[CODCIE10],EPV_TETANOS_NEONATAL[[#This Row],[CIE-10]]),COUNTIFS(BASE[Cod.Establecimiento],$AK$2,BASE[CODCIE10],EPV_TETANOS_NEONATAL[[#This Row],[CIE-10]]))</f>
        <v>0</v>
      </c>
      <c r="U20" s="3">
        <f>IF($AK$2="(Todas)",COUNTIF(BASE[CODCIE102],EPV_TETANOS_NEONATAL[[#This Row],[CIE-10]]),COUNTIFS(BASE[Cod.Establecimiento],$AK$2,BASE[CODCIE102],EPV_TETANOS_NEONATAL[[#This Row],[CIE-10]]))</f>
        <v>0</v>
      </c>
      <c r="V20" s="3">
        <f>IF($AK$2="(Todas)",COUNTIF(BASE[CODCIE104],EPV_TETANOS_NEONATAL[[#This Row],[CIE-10]]),COUNTIFS(BASE[Cod.Establecimiento],$AK$2,BASE[CODCIE104],EPV_TETANOS_NEONATAL[[#This Row],[CIE-10]]))</f>
        <v>0</v>
      </c>
      <c r="W20" s="3">
        <f>IF($AK$2="(Todas)",COUNTIF(BASE[CODCIE106],EPV_TETANOS_NEONATAL[[#This Row],[CIE-10]]),COUNTIFS(BASE[Cod.Establecimiento],$AK$2,BASE[CODCIE106],EPV_TETANOS_NEONATAL[[#This Row],[CIE-10]]))</f>
        <v>0</v>
      </c>
      <c r="X20" s="3">
        <f>IF($AK$2="(Todas)",COUNTIF(BASE[CODCIE108],EPV_TETANOS_NEONATAL[[#This Row],[CIE-10]]),COUNTIFS(BASE[Cod.Establecimiento],$AK$2,BASE[CODCIE108],EPV_TETANOS_NEONATAL[[#This Row],[CIE-10]]))</f>
        <v>0</v>
      </c>
      <c r="Y20" s="3">
        <f>IF($AK$2="(Todas)",COUNTIF(BASE[CODCIE1010],EPV_TETANOS_NEONATAL[[#This Row],[CIE-10]]),COUNTIFS(BASE[Cod.Establecimiento],$AK$2,BASE[CODCIE1010],EPV_TETANOS_NEONATAL[[#This Row],[CIE-10]]))</f>
        <v>0</v>
      </c>
      <c r="Z20" s="9">
        <f>SUM(EPV_TETANOS_NEONATAL[[#This Row],[D1]:[D6]])</f>
        <v>0</v>
      </c>
      <c r="AB20" s="4" t="s">
        <v>132</v>
      </c>
      <c r="AC20" s="3">
        <f>IF($AK$2="(Todas)",COUNTIF(BASE[CODCIE10],EPV_TETANOS_OTRAS_EDADES[[#This Row],[CIE-10]]),COUNTIFS(BASE[Cod.Establecimiento],$AK$2,BASE[CODCIE10],EPV_TETANOS_OTRAS_EDADES[[#This Row],[CIE-10]]))</f>
        <v>0</v>
      </c>
      <c r="AD20" s="3">
        <f>IF($AK$2="(Todas)",COUNTIF(BASE[CODCIE102],EPV_TETANOS_OTRAS_EDADES[[#This Row],[CIE-10]]),COUNTIFS(BASE[Cod.Establecimiento],$AK$2,BASE[CODCIE102],EPV_TETANOS_OTRAS_EDADES[[#This Row],[CIE-10]]))</f>
        <v>0</v>
      </c>
      <c r="AE20" s="3">
        <f>IF($AK$2="(Todas)",COUNTIF(BASE[CODCIE104],EPV_TETANOS_OTRAS_EDADES[[#This Row],[CIE-10]]),COUNTIFS(BASE[Cod.Establecimiento],$AK$2,BASE[CODCIE104],EPV_TETANOS_OTRAS_EDADES[[#This Row],[CIE-10]]))</f>
        <v>0</v>
      </c>
      <c r="AF20" s="3">
        <f>IF($AK$2="(Todas)",COUNTIF(BASE[CODCIE106],EPV_TETANOS_OTRAS_EDADES[[#This Row],[CIE-10]]),COUNTIFS(BASE[Cod.Establecimiento],$AK$2,BASE[CODCIE106],EPV_TETANOS_OTRAS_EDADES[[#This Row],[CIE-10]]))</f>
        <v>0</v>
      </c>
      <c r="AG20" s="3">
        <f>IF($AK$2="(Todas)",COUNTIF(BASE[CODCIE108],EPV_TETANOS_OTRAS_EDADES[[#This Row],[CIE-10]]),COUNTIFS(BASE[Cod.Establecimiento],$AK$2,BASE[CODCIE108],EPV_TETANOS_OTRAS_EDADES[[#This Row],[CIE-10]]))</f>
        <v>0</v>
      </c>
      <c r="AH20" s="3">
        <f>IF($AK$2="(Todas)",COUNTIF(BASE[CODCIE1010],EPV_TETANOS_OTRAS_EDADES[[#This Row],[CIE-10]]),COUNTIFS(BASE[Cod.Establecimiento],$AK$2,BASE[CODCIE1010],EPV_TETANOS_OTRAS_EDADES[[#This Row],[CIE-10]]))</f>
        <v>0</v>
      </c>
      <c r="AI20" s="9">
        <f>SUM(EPV_TETANOS_OTRAS_EDADES[[#This Row],[D1]:[D6]])</f>
        <v>0</v>
      </c>
    </row>
    <row r="21" spans="1:35">
      <c r="A21" s="4" t="s">
        <v>133</v>
      </c>
      <c r="B21" s="3">
        <f>IF($AK$2="(Todas)",COUNTIF(BASE[CODCIE10],EPV_COQUELUCHE[[#This Row],[CIE-10]]),COUNTIFS(BASE[Cod.Establecimiento],$AK$2,BASE[CODCIE10],EPV_COQUELUCHE[[#This Row],[CIE-10]]))</f>
        <v>0</v>
      </c>
      <c r="C21" s="3">
        <f>IF($AK$2="(Todas)",COUNTIF(BASE[CODCIE102],EPV_COQUELUCHE[[#This Row],[CIE-10]]),COUNTIFS(BASE[Cod.Establecimiento],$AK$2,BASE[CODCIE102],EPV_COQUELUCHE[[#This Row],[CIE-10]]))</f>
        <v>0</v>
      </c>
      <c r="D21" s="3">
        <f>IF($AK$2="(Todas)",COUNTIF(BASE[CODCIE104],EPV_COQUELUCHE[[#This Row],[CIE-10]]),COUNTIFS(BASE[Cod.Establecimiento],$AK$2,BASE[CODCIE104],EPV_COQUELUCHE[[#This Row],[CIE-10]]))</f>
        <v>0</v>
      </c>
      <c r="E21" s="3">
        <f>IF($AK$2="(Todas)",COUNTIF(BASE[CODCIE106],EPV_COQUELUCHE[[#This Row],[CIE-10]]),COUNTIFS(BASE[Cod.Establecimiento],$AK$2,BASE[CODCIE106],EPV_COQUELUCHE[[#This Row],[CIE-10]]))</f>
        <v>0</v>
      </c>
      <c r="F21" s="3">
        <f>IF($AK$2="(Todas)",COUNTIF(BASE[CODCIE108],EPV_COQUELUCHE[[#This Row],[CIE-10]]),COUNTIFS(BASE[Cod.Establecimiento],$AK$2,BASE[CODCIE108],EPV_COQUELUCHE[[#This Row],[CIE-10]]))</f>
        <v>0</v>
      </c>
      <c r="G21" s="3">
        <f>IF($AK$2="(Todas)",COUNTIF(BASE[CODCIE1010],EPV_COQUELUCHE[[#This Row],[CIE-10]]),COUNTIFS(BASE[Cod.Establecimiento],$AK$2,BASE[CODCIE1010],EPV_COQUELUCHE[[#This Row],[CIE-10]]))</f>
        <v>0</v>
      </c>
      <c r="H21" s="9">
        <f>SUM(EPV_COQUELUCHE[[#This Row],[D1]:[D6]])</f>
        <v>0</v>
      </c>
      <c r="J21" s="32" t="s">
        <v>134</v>
      </c>
      <c r="K21" s="3">
        <f>IF($AK$2="(Todas)",COUNTIF(BASE[CODCIE10],EPV_PAROTIDITIS[[#This Row],[CIE-10]]),COUNTIFS(BASE[Cod.Establecimiento],$AK$2,BASE[CODCIE10],EPV_PAROTIDITIS[[#This Row],[CIE-10]]))</f>
        <v>0</v>
      </c>
      <c r="L21" s="3">
        <f>IF($AK$2="(Todas)",COUNTIF(BASE[CODCIE102],EPV_PAROTIDITIS[[#This Row],[CIE-10]]),COUNTIFS(BASE[Cod.Establecimiento],$AK$2,BASE[CODCIE102],EPV_PAROTIDITIS[[#This Row],[CIE-10]]))</f>
        <v>0</v>
      </c>
      <c r="M21" s="3">
        <f>IF($AK$2="(Todas)",COUNTIF(BASE[CODCIE104],EPV_PAROTIDITIS[[#This Row],[CIE-10]]),COUNTIFS(BASE[Cod.Establecimiento],$AK$2,BASE[CODCIE104],EPV_PAROTIDITIS[[#This Row],[CIE-10]]))</f>
        <v>0</v>
      </c>
      <c r="N21" s="3">
        <f>IF($AK$2="(Todas)",COUNTIF(BASE[CODCIE106],EPV_PAROTIDITIS[[#This Row],[CIE-10]]),COUNTIFS(BASE[Cod.Establecimiento],$AK$2,BASE[CODCIE106],EPV_PAROTIDITIS[[#This Row],[CIE-10]]))</f>
        <v>0</v>
      </c>
      <c r="O21" s="3">
        <f>IF($AK$2="(Todas)",COUNTIF(BASE[CODCIE108],EPV_PAROTIDITIS[[#This Row],[CIE-10]]),COUNTIFS(BASE[Cod.Establecimiento],$AK$2,BASE[CODCIE108],EPV_PAROTIDITIS[[#This Row],[CIE-10]]))</f>
        <v>0</v>
      </c>
      <c r="P21" s="3">
        <f>IF($AK$2="(Todas)",COUNTIF(BASE[CODCIE1010],EPV_PAROTIDITIS[[#This Row],[CIE-10]]),COUNTIFS(BASE[Cod.Establecimiento],$AK$2,BASE[CODCIE1010],EPV_PAROTIDITIS[[#This Row],[CIE-10]]))</f>
        <v>0</v>
      </c>
      <c r="Q21" s="9">
        <f>SUM(EPV_PAROTIDITIS[[#This Row],[D1]:[D6]])</f>
        <v>0</v>
      </c>
      <c r="S21" s="4" t="s">
        <v>135</v>
      </c>
      <c r="T21" s="3">
        <f>IF($AK$2="(Todas)",COUNTIF(BASE[CODCIE10],EPV_TETANOS_NEONATAL[[#This Row],[CIE-10]]),COUNTIFS(BASE[Cod.Establecimiento],$AK$2,BASE[CODCIE10],EPV_TETANOS_NEONATAL[[#This Row],[CIE-10]]))</f>
        <v>0</v>
      </c>
      <c r="U21" s="3">
        <f>IF($AK$2="(Todas)",COUNTIF(BASE[CODCIE102],EPV_TETANOS_NEONATAL[[#This Row],[CIE-10]]),COUNTIFS(BASE[Cod.Establecimiento],$AK$2,BASE[CODCIE102],EPV_TETANOS_NEONATAL[[#This Row],[CIE-10]]))</f>
        <v>0</v>
      </c>
      <c r="V21" s="3">
        <f>IF($AK$2="(Todas)",COUNTIF(BASE[CODCIE104],EPV_TETANOS_NEONATAL[[#This Row],[CIE-10]]),COUNTIFS(BASE[Cod.Establecimiento],$AK$2,BASE[CODCIE104],EPV_TETANOS_NEONATAL[[#This Row],[CIE-10]]))</f>
        <v>0</v>
      </c>
      <c r="W21" s="3">
        <f>IF($AK$2="(Todas)",COUNTIF(BASE[CODCIE106],EPV_TETANOS_NEONATAL[[#This Row],[CIE-10]]),COUNTIFS(BASE[Cod.Establecimiento],$AK$2,BASE[CODCIE106],EPV_TETANOS_NEONATAL[[#This Row],[CIE-10]]))</f>
        <v>0</v>
      </c>
      <c r="X21" s="3">
        <f>IF($AK$2="(Todas)",COUNTIF(BASE[CODCIE108],EPV_TETANOS_NEONATAL[[#This Row],[CIE-10]]),COUNTIFS(BASE[Cod.Establecimiento],$AK$2,BASE[CODCIE108],EPV_TETANOS_NEONATAL[[#This Row],[CIE-10]]))</f>
        <v>0</v>
      </c>
      <c r="Y21" s="3">
        <f>IF($AK$2="(Todas)",COUNTIF(BASE[CODCIE1010],EPV_TETANOS_NEONATAL[[#This Row],[CIE-10]]),COUNTIFS(BASE[Cod.Establecimiento],$AK$2,BASE[CODCIE1010],EPV_TETANOS_NEONATAL[[#This Row],[CIE-10]]))</f>
        <v>0</v>
      </c>
      <c r="Z21" s="9">
        <f>SUM(EPV_TETANOS_NEONATAL[[#This Row],[D1]:[D6]])</f>
        <v>0</v>
      </c>
    </row>
    <row r="22" spans="1:35">
      <c r="A22" s="4" t="s">
        <v>136</v>
      </c>
      <c r="B22" s="3">
        <f>IF($AK$2="(Todas)",COUNTIF(BASE[CODCIE10],EPV_COQUELUCHE[[#This Row],[CIE-10]]),COUNTIFS(BASE[Cod.Establecimiento],$AK$2,BASE[CODCIE10],EPV_COQUELUCHE[[#This Row],[CIE-10]]))</f>
        <v>0</v>
      </c>
      <c r="C22" s="3">
        <f>IF($AK$2="(Todas)",COUNTIF(BASE[CODCIE102],EPV_COQUELUCHE[[#This Row],[CIE-10]]),COUNTIFS(BASE[Cod.Establecimiento],$AK$2,BASE[CODCIE102],EPV_COQUELUCHE[[#This Row],[CIE-10]]))</f>
        <v>0</v>
      </c>
      <c r="D22" s="3">
        <f>IF($AK$2="(Todas)",COUNTIF(BASE[CODCIE104],EPV_COQUELUCHE[[#This Row],[CIE-10]]),COUNTIFS(BASE[Cod.Establecimiento],$AK$2,BASE[CODCIE104],EPV_COQUELUCHE[[#This Row],[CIE-10]]))</f>
        <v>0</v>
      </c>
      <c r="E22" s="3">
        <f>IF($AK$2="(Todas)",COUNTIF(BASE[CODCIE106],EPV_COQUELUCHE[[#This Row],[CIE-10]]),COUNTIFS(BASE[Cod.Establecimiento],$AK$2,BASE[CODCIE106],EPV_COQUELUCHE[[#This Row],[CIE-10]]))</f>
        <v>0</v>
      </c>
      <c r="F22" s="3">
        <f>IF($AK$2="(Todas)",COUNTIF(BASE[CODCIE108],EPV_COQUELUCHE[[#This Row],[CIE-10]]),COUNTIFS(BASE[Cod.Establecimiento],$AK$2,BASE[CODCIE108],EPV_COQUELUCHE[[#This Row],[CIE-10]]))</f>
        <v>0</v>
      </c>
      <c r="G22" s="3">
        <f>IF($AK$2="(Todas)",COUNTIF(BASE[CODCIE1010],EPV_COQUELUCHE[[#This Row],[CIE-10]]),COUNTIFS(BASE[Cod.Establecimiento],$AK$2,BASE[CODCIE1010],EPV_COQUELUCHE[[#This Row],[CIE-10]]))</f>
        <v>0</v>
      </c>
      <c r="H22" s="9">
        <f>SUM(EPV_COQUELUCHE[[#This Row],[D1]:[D6]])</f>
        <v>0</v>
      </c>
      <c r="J22" s="32" t="s">
        <v>137</v>
      </c>
      <c r="K22" s="3">
        <f>IF($AK$2="(Todas)",COUNTIF(BASE[CODCIE10],EPV_PAROTIDITIS[[#This Row],[CIE-10]]),COUNTIFS(BASE[Cod.Establecimiento],$AK$2,BASE[CODCIE10],EPV_PAROTIDITIS[[#This Row],[CIE-10]]))</f>
        <v>0</v>
      </c>
      <c r="L22" s="3">
        <f>IF($AK$2="(Todas)",COUNTIF(BASE[CODCIE102],EPV_PAROTIDITIS[[#This Row],[CIE-10]]),COUNTIFS(BASE[Cod.Establecimiento],$AK$2,BASE[CODCIE102],EPV_PAROTIDITIS[[#This Row],[CIE-10]]))</f>
        <v>0</v>
      </c>
      <c r="M22" s="3">
        <f>IF($AK$2="(Todas)",COUNTIF(BASE[CODCIE104],EPV_PAROTIDITIS[[#This Row],[CIE-10]]),COUNTIFS(BASE[Cod.Establecimiento],$AK$2,BASE[CODCIE104],EPV_PAROTIDITIS[[#This Row],[CIE-10]]))</f>
        <v>0</v>
      </c>
      <c r="N22" s="3">
        <f>IF($AK$2="(Todas)",COUNTIF(BASE[CODCIE106],EPV_PAROTIDITIS[[#This Row],[CIE-10]]),COUNTIFS(BASE[Cod.Establecimiento],$AK$2,BASE[CODCIE106],EPV_PAROTIDITIS[[#This Row],[CIE-10]]))</f>
        <v>0</v>
      </c>
      <c r="O22" s="3">
        <f>IF($AK$2="(Todas)",COUNTIF(BASE[CODCIE108],EPV_PAROTIDITIS[[#This Row],[CIE-10]]),COUNTIFS(BASE[Cod.Establecimiento],$AK$2,BASE[CODCIE108],EPV_PAROTIDITIS[[#This Row],[CIE-10]]))</f>
        <v>0</v>
      </c>
      <c r="P22" s="3">
        <f>IF($AK$2="(Todas)",COUNTIF(BASE[CODCIE1010],EPV_PAROTIDITIS[[#This Row],[CIE-10]]),COUNTIFS(BASE[Cod.Establecimiento],$AK$2,BASE[CODCIE1010],EPV_PAROTIDITIS[[#This Row],[CIE-10]]))</f>
        <v>0</v>
      </c>
      <c r="Q22" s="9">
        <f>SUM(EPV_PAROTIDITIS[[#This Row],[D1]:[D6]])</f>
        <v>0</v>
      </c>
    </row>
    <row r="23" spans="1:35">
      <c r="A23" s="4" t="s">
        <v>138</v>
      </c>
      <c r="B23" s="3">
        <f>IF($AK$2="(Todas)",COUNTIF(BASE[CODCIE10],EPV_COQUELUCHE[[#This Row],[CIE-10]]),COUNTIFS(BASE[Cod.Establecimiento],$AK$2,BASE[CODCIE10],EPV_COQUELUCHE[[#This Row],[CIE-10]]))</f>
        <v>0</v>
      </c>
      <c r="C23" s="3">
        <f>IF($AK$2="(Todas)",COUNTIF(BASE[CODCIE102],EPV_COQUELUCHE[[#This Row],[CIE-10]]),COUNTIFS(BASE[Cod.Establecimiento],$AK$2,BASE[CODCIE102],EPV_COQUELUCHE[[#This Row],[CIE-10]]))</f>
        <v>0</v>
      </c>
      <c r="D23" s="3">
        <f>IF($AK$2="(Todas)",COUNTIF(BASE[CODCIE104],EPV_COQUELUCHE[[#This Row],[CIE-10]]),COUNTIFS(BASE[Cod.Establecimiento],$AK$2,BASE[CODCIE104],EPV_COQUELUCHE[[#This Row],[CIE-10]]))</f>
        <v>0</v>
      </c>
      <c r="E23" s="3">
        <f>IF($AK$2="(Todas)",COUNTIF(BASE[CODCIE106],EPV_COQUELUCHE[[#This Row],[CIE-10]]),COUNTIFS(BASE[Cod.Establecimiento],$AK$2,BASE[CODCIE106],EPV_COQUELUCHE[[#This Row],[CIE-10]]))</f>
        <v>0</v>
      </c>
      <c r="F23" s="3">
        <f>IF($AK$2="(Todas)",COUNTIF(BASE[CODCIE108],EPV_COQUELUCHE[[#This Row],[CIE-10]]),COUNTIFS(BASE[Cod.Establecimiento],$AK$2,BASE[CODCIE108],EPV_COQUELUCHE[[#This Row],[CIE-10]]))</f>
        <v>0</v>
      </c>
      <c r="G23" s="3">
        <f>IF($AK$2="(Todas)",COUNTIF(BASE[CODCIE1010],EPV_COQUELUCHE[[#This Row],[CIE-10]]),COUNTIFS(BASE[Cod.Establecimiento],$AK$2,BASE[CODCIE1010],EPV_COQUELUCHE[[#This Row],[CIE-10]]))</f>
        <v>0</v>
      </c>
      <c r="H23" s="9">
        <f>SUM(EPV_COQUELUCHE[[#This Row],[D1]:[D6]])</f>
        <v>0</v>
      </c>
      <c r="J23" s="32" t="s">
        <v>139</v>
      </c>
      <c r="K23" s="3">
        <f>IF($AK$2="(Todas)",COUNTIF(BASE[CODCIE10],EPV_PAROTIDITIS[[#This Row],[CIE-10]]),COUNTIFS(BASE[Cod.Establecimiento],$AK$2,BASE[CODCIE10],EPV_PAROTIDITIS[[#This Row],[CIE-10]]))</f>
        <v>0</v>
      </c>
      <c r="L23" s="3">
        <f>IF($AK$2="(Todas)",COUNTIF(BASE[CODCIE102],EPV_PAROTIDITIS[[#This Row],[CIE-10]]),COUNTIFS(BASE[Cod.Establecimiento],$AK$2,BASE[CODCIE102],EPV_PAROTIDITIS[[#This Row],[CIE-10]]))</f>
        <v>0</v>
      </c>
      <c r="M23" s="3">
        <f>IF($AK$2="(Todas)",COUNTIF(BASE[CODCIE104],EPV_PAROTIDITIS[[#This Row],[CIE-10]]),COUNTIFS(BASE[Cod.Establecimiento],$AK$2,BASE[CODCIE104],EPV_PAROTIDITIS[[#This Row],[CIE-10]]))</f>
        <v>0</v>
      </c>
      <c r="N23" s="3">
        <f>IF($AK$2="(Todas)",COUNTIF(BASE[CODCIE106],EPV_PAROTIDITIS[[#This Row],[CIE-10]]),COUNTIFS(BASE[Cod.Establecimiento],$AK$2,BASE[CODCIE106],EPV_PAROTIDITIS[[#This Row],[CIE-10]]))</f>
        <v>0</v>
      </c>
      <c r="O23" s="3">
        <f>IF($AK$2="(Todas)",COUNTIF(BASE[CODCIE108],EPV_PAROTIDITIS[[#This Row],[CIE-10]]),COUNTIFS(BASE[Cod.Establecimiento],$AK$2,BASE[CODCIE108],EPV_PAROTIDITIS[[#This Row],[CIE-10]]))</f>
        <v>0</v>
      </c>
      <c r="P23" s="3">
        <f>IF($AK$2="(Todas)",COUNTIF(BASE[CODCIE1010],EPV_PAROTIDITIS[[#This Row],[CIE-10]]),COUNTIFS(BASE[Cod.Establecimiento],$AK$2,BASE[CODCIE1010],EPV_PAROTIDITIS[[#This Row],[CIE-10]]))</f>
        <v>0</v>
      </c>
      <c r="Q23" s="9">
        <f>SUM(EPV_PAROTIDITIS[[#This Row],[D1]:[D6]])</f>
        <v>0</v>
      </c>
    </row>
    <row r="24" spans="1:35">
      <c r="J24" s="32" t="s">
        <v>140</v>
      </c>
      <c r="K24" s="3">
        <f>IF($AK$2="(Todas)",COUNTIF(BASE[CODCIE10],EPV_PAROTIDITIS[[#This Row],[CIE-10]]),COUNTIFS(BASE[Cod.Establecimiento],$AK$2,BASE[CODCIE10],EPV_PAROTIDITIS[[#This Row],[CIE-10]]))</f>
        <v>0</v>
      </c>
      <c r="L24" s="3">
        <f>IF($AK$2="(Todas)",COUNTIF(BASE[CODCIE102],EPV_PAROTIDITIS[[#This Row],[CIE-10]]),COUNTIFS(BASE[Cod.Establecimiento],$AK$2,BASE[CODCIE102],EPV_PAROTIDITIS[[#This Row],[CIE-10]]))</f>
        <v>0</v>
      </c>
      <c r="M24" s="3">
        <f>IF($AK$2="(Todas)",COUNTIF(BASE[CODCIE104],EPV_PAROTIDITIS[[#This Row],[CIE-10]]),COUNTIFS(BASE[Cod.Establecimiento],$AK$2,BASE[CODCIE104],EPV_PAROTIDITIS[[#This Row],[CIE-10]]))</f>
        <v>0</v>
      </c>
      <c r="N24" s="3">
        <f>IF($AK$2="(Todas)",COUNTIF(BASE[CODCIE106],EPV_PAROTIDITIS[[#This Row],[CIE-10]]),COUNTIFS(BASE[Cod.Establecimiento],$AK$2,BASE[CODCIE106],EPV_PAROTIDITIS[[#This Row],[CIE-10]]))</f>
        <v>0</v>
      </c>
      <c r="O24" s="3">
        <f>IF($AK$2="(Todas)",COUNTIF(BASE[CODCIE108],EPV_PAROTIDITIS[[#This Row],[CIE-10]]),COUNTIFS(BASE[Cod.Establecimiento],$AK$2,BASE[CODCIE108],EPV_PAROTIDITIS[[#This Row],[CIE-10]]))</f>
        <v>0</v>
      </c>
      <c r="P24" s="3">
        <f>IF($AK$2="(Todas)",COUNTIF(BASE[CODCIE1010],EPV_PAROTIDITIS[[#This Row],[CIE-10]]),COUNTIFS(BASE[Cod.Establecimiento],$AK$2,BASE[CODCIE1010],EPV_PAROTIDITIS[[#This Row],[CIE-10]]))</f>
        <v>0</v>
      </c>
      <c r="Q24" s="9">
        <f>SUM(EPV_PAROTIDITIS[[#This Row],[D1]:[D6]])</f>
        <v>0</v>
      </c>
    </row>
    <row r="25" spans="1:35">
      <c r="J25" s="32" t="s">
        <v>141</v>
      </c>
      <c r="K25" s="3">
        <f>IF($AK$2="(Todas)",COUNTIF(BASE[CODCIE10],EPV_PAROTIDITIS[[#This Row],[CIE-10]]),COUNTIFS(BASE[Cod.Establecimiento],$AK$2,BASE[CODCIE10],EPV_PAROTIDITIS[[#This Row],[CIE-10]]))</f>
        <v>0</v>
      </c>
      <c r="L25" s="3">
        <f>IF($AK$2="(Todas)",COUNTIF(BASE[CODCIE102],EPV_PAROTIDITIS[[#This Row],[CIE-10]]),COUNTIFS(BASE[Cod.Establecimiento],$AK$2,BASE[CODCIE102],EPV_PAROTIDITIS[[#This Row],[CIE-10]]))</f>
        <v>0</v>
      </c>
      <c r="M25" s="3">
        <f>IF($AK$2="(Todas)",COUNTIF(BASE[CODCIE104],EPV_PAROTIDITIS[[#This Row],[CIE-10]]),COUNTIFS(BASE[Cod.Establecimiento],$AK$2,BASE[CODCIE104],EPV_PAROTIDITIS[[#This Row],[CIE-10]]))</f>
        <v>0</v>
      </c>
      <c r="N25" s="3">
        <f>IF($AK$2="(Todas)",COUNTIF(BASE[CODCIE106],EPV_PAROTIDITIS[[#This Row],[CIE-10]]),COUNTIFS(BASE[Cod.Establecimiento],$AK$2,BASE[CODCIE106],EPV_PAROTIDITIS[[#This Row],[CIE-10]]))</f>
        <v>0</v>
      </c>
      <c r="O25" s="3">
        <f>IF($AK$2="(Todas)",COUNTIF(BASE[CODCIE108],EPV_PAROTIDITIS[[#This Row],[CIE-10]]),COUNTIFS(BASE[Cod.Establecimiento],$AK$2,BASE[CODCIE108],EPV_PAROTIDITIS[[#This Row],[CIE-10]]))</f>
        <v>0</v>
      </c>
      <c r="P25" s="3">
        <f>IF($AK$2="(Todas)",COUNTIF(BASE[CODCIE1010],EPV_PAROTIDITIS[[#This Row],[CIE-10]]),COUNTIFS(BASE[Cod.Establecimiento],$AK$2,BASE[CODCIE1010],EPV_PAROTIDITIS[[#This Row],[CIE-10]]))</f>
        <v>0</v>
      </c>
      <c r="Q25" s="9">
        <f>SUM(EPV_PAROTIDITIS[[#This Row],[D1]:[D6]])</f>
        <v>0</v>
      </c>
      <c r="S25" s="80" t="s">
        <v>142</v>
      </c>
      <c r="T25" s="81"/>
      <c r="U25" s="81"/>
      <c r="V25" s="81"/>
      <c r="W25" s="81"/>
      <c r="X25" s="81"/>
      <c r="Y25" s="81"/>
      <c r="Z25" s="75"/>
      <c r="AA25" s="81"/>
      <c r="AB25" s="81"/>
      <c r="AC25" s="81"/>
      <c r="AD25" s="81"/>
      <c r="AE25" s="81"/>
      <c r="AF25" s="81"/>
      <c r="AG25" s="81"/>
      <c r="AH25" s="81"/>
      <c r="AI25" s="75"/>
    </row>
    <row r="26" spans="1:35" s="2" customFormat="1">
      <c r="J26" s="4" t="s">
        <v>143</v>
      </c>
      <c r="K26" s="8">
        <f>IF($AK$2="(Todas)",COUNTIF(BASE[CODCIE10],EPV_PAROTIDITIS[[#This Row],[CIE-10]]),COUNTIFS(BASE[Cod.Establecimiento],$AK$2,BASE[CODCIE10],EPV_PAROTIDITIS[[#This Row],[CIE-10]]))</f>
        <v>0</v>
      </c>
      <c r="L26" s="8">
        <f>IF($AK$2="(Todas)",COUNTIF(BASE[CODCIE102],EPV_PAROTIDITIS[[#This Row],[CIE-10]]),COUNTIFS(BASE[Cod.Establecimiento],$AK$2,BASE[CODCIE102],EPV_PAROTIDITIS[[#This Row],[CIE-10]]))</f>
        <v>0</v>
      </c>
      <c r="M26" s="8">
        <f>IF($AK$2="(Todas)",COUNTIF(BASE[CODCIE104],EPV_PAROTIDITIS[[#This Row],[CIE-10]]),COUNTIFS(BASE[Cod.Establecimiento],$AK$2,BASE[CODCIE104],EPV_PAROTIDITIS[[#This Row],[CIE-10]]))</f>
        <v>0</v>
      </c>
      <c r="N26" s="8">
        <f>IF($AK$2="(Todas)",COUNTIF(BASE[CODCIE106],EPV_PAROTIDITIS[[#This Row],[CIE-10]]),COUNTIFS(BASE[Cod.Establecimiento],$AK$2,BASE[CODCIE106],EPV_PAROTIDITIS[[#This Row],[CIE-10]]))</f>
        <v>0</v>
      </c>
      <c r="O26" s="8">
        <f>IF($AK$2="(Todas)",COUNTIF(BASE[CODCIE108],EPV_PAROTIDITIS[[#This Row],[CIE-10]]),COUNTIFS(BASE[Cod.Establecimiento],$AK$2,BASE[CODCIE108],EPV_PAROTIDITIS[[#This Row],[CIE-10]]))</f>
        <v>0</v>
      </c>
      <c r="P26" s="8">
        <f>IF($AK$2="(Todas)",COUNTIF(BASE[CODCIE1010],EPV_PAROTIDITIS[[#This Row],[CIE-10]]),COUNTIFS(BASE[Cod.Establecimiento],$AK$2,BASE[CODCIE1010],EPV_PAROTIDITIS[[#This Row],[CIE-10]]))</f>
        <v>0</v>
      </c>
      <c r="Q26" s="9">
        <f>SUM(EPV_PAROTIDITIS[[#This Row],[D1]:[D6]])</f>
        <v>0</v>
      </c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</row>
    <row r="27" spans="1:35">
      <c r="S27" s="81"/>
      <c r="T27" s="81"/>
      <c r="U27" s="81"/>
      <c r="V27" s="81"/>
      <c r="W27" s="81"/>
      <c r="X27" s="81"/>
      <c r="Y27" s="81"/>
      <c r="Z27" s="75"/>
      <c r="AA27" s="81"/>
      <c r="AB27" s="81"/>
      <c r="AC27" s="81"/>
      <c r="AD27" s="81"/>
      <c r="AE27" s="81"/>
      <c r="AF27" s="81"/>
      <c r="AG27" s="81"/>
      <c r="AH27" s="81"/>
      <c r="AI27" s="75"/>
    </row>
    <row r="28" spans="1:35" ht="18" customHeight="1" thickBot="1">
      <c r="A28" s="76" t="s">
        <v>144</v>
      </c>
      <c r="B28" s="77"/>
      <c r="C28" s="77"/>
      <c r="D28" s="77"/>
      <c r="E28" s="77"/>
      <c r="F28" s="77"/>
      <c r="G28" s="77"/>
      <c r="H28" s="77"/>
      <c r="J28" s="76" t="s">
        <v>145</v>
      </c>
      <c r="K28" s="77"/>
      <c r="L28" s="77"/>
      <c r="M28" s="77"/>
      <c r="N28" s="77"/>
      <c r="O28" s="77"/>
      <c r="P28" s="77"/>
      <c r="Q28" s="77"/>
      <c r="S28" s="81"/>
      <c r="T28" s="81"/>
      <c r="U28" s="81"/>
      <c r="V28" s="81"/>
      <c r="W28" s="81"/>
      <c r="X28" s="81"/>
      <c r="Y28" s="81"/>
      <c r="Z28" s="75"/>
      <c r="AA28" s="81"/>
      <c r="AB28" s="81"/>
      <c r="AC28" s="81"/>
      <c r="AD28" s="81"/>
      <c r="AE28" s="81"/>
      <c r="AF28" s="81"/>
      <c r="AG28" s="81"/>
      <c r="AH28" s="81"/>
      <c r="AI28" s="75"/>
    </row>
    <row r="29" spans="1:35" ht="15.75" customHeight="1" thickTop="1">
      <c r="A29" s="6" t="str">
        <f>_xlfn.CONCAT("TOTAL: ",SUM(B29:G29))</f>
        <v>TOTAL: 0</v>
      </c>
      <c r="B29" s="5">
        <f>SUM(EPV_VARICELA[D1])</f>
        <v>0</v>
      </c>
      <c r="C29" s="5">
        <f>SUM(EPV_VARICELA[D2])</f>
        <v>0</v>
      </c>
      <c r="D29" s="5">
        <f>SUM(EPV_VARICELA[D3])</f>
        <v>0</v>
      </c>
      <c r="E29" s="5">
        <f>SUM(EPV_VARICELA[D4])</f>
        <v>0</v>
      </c>
      <c r="F29" s="5">
        <f>SUM(EPV_VARICELA[D5])</f>
        <v>0</v>
      </c>
      <c r="G29" s="5">
        <f>SUM(EPV_VARICELA[D6])</f>
        <v>0</v>
      </c>
      <c r="H29" s="7"/>
      <c r="J29" s="6" t="str">
        <f>_xlfn.CONCAT("TOTAL: ",SUM(K29:P29))</f>
        <v>TOTAL: 0</v>
      </c>
      <c r="K29" s="5">
        <f>SUM(EPV_ESAVI[D1])</f>
        <v>0</v>
      </c>
      <c r="L29" s="5">
        <f>SUM(EPV_ESAVI[D2])</f>
        <v>0</v>
      </c>
      <c r="M29" s="5">
        <f>SUM(EPV_ESAVI[D3])</f>
        <v>0</v>
      </c>
      <c r="N29" s="5">
        <f>SUM(EPV_ESAVI[D4])</f>
        <v>0</v>
      </c>
      <c r="O29" s="5">
        <f>SUM(EPV_ESAVI[D5])</f>
        <v>0</v>
      </c>
      <c r="P29" s="5">
        <f>SUM(EPV_ESAVI[D6])</f>
        <v>0</v>
      </c>
      <c r="Q29" s="7"/>
      <c r="S29" s="81"/>
      <c r="T29" s="81"/>
      <c r="U29" s="81"/>
      <c r="V29" s="81"/>
      <c r="W29" s="81"/>
      <c r="X29" s="81"/>
      <c r="Y29" s="81"/>
      <c r="Z29" s="75"/>
      <c r="AA29" s="81"/>
      <c r="AB29" s="81"/>
      <c r="AC29" s="81"/>
      <c r="AD29" s="81"/>
      <c r="AE29" s="81"/>
      <c r="AF29" s="81"/>
      <c r="AG29" s="81"/>
      <c r="AH29" s="81"/>
      <c r="AI29" s="75"/>
    </row>
    <row r="30" spans="1:35">
      <c r="A30" t="s">
        <v>93</v>
      </c>
      <c r="B30" s="3" t="s">
        <v>94</v>
      </c>
      <c r="C30" s="3" t="s">
        <v>95</v>
      </c>
      <c r="D30" s="3" t="s">
        <v>96</v>
      </c>
      <c r="E30" s="3" t="s">
        <v>97</v>
      </c>
      <c r="F30" s="3" t="s">
        <v>98</v>
      </c>
      <c r="G30" s="3" t="s">
        <v>99</v>
      </c>
      <c r="H30" s="8" t="s">
        <v>100</v>
      </c>
      <c r="J30" t="s">
        <v>93</v>
      </c>
      <c r="K30" s="3" t="s">
        <v>94</v>
      </c>
      <c r="L30" s="3" t="s">
        <v>95</v>
      </c>
      <c r="M30" s="3" t="s">
        <v>96</v>
      </c>
      <c r="N30" s="3" t="s">
        <v>97</v>
      </c>
      <c r="O30" s="3" t="s">
        <v>98</v>
      </c>
      <c r="P30" s="3" t="s">
        <v>99</v>
      </c>
      <c r="Q30" s="8" t="s">
        <v>100</v>
      </c>
      <c r="S30" s="81"/>
      <c r="T30" s="81"/>
      <c r="U30" s="81"/>
      <c r="V30" s="81"/>
      <c r="W30" s="81"/>
      <c r="X30" s="81"/>
      <c r="Y30" s="81"/>
      <c r="Z30" s="75"/>
      <c r="AA30" s="81"/>
      <c r="AB30" s="81"/>
      <c r="AC30" s="81"/>
      <c r="AD30" s="81"/>
      <c r="AE30" s="81"/>
      <c r="AF30" s="81"/>
      <c r="AG30" s="81"/>
      <c r="AH30" s="81"/>
      <c r="AI30" s="75"/>
    </row>
    <row r="31" spans="1:35">
      <c r="A31" s="4" t="s">
        <v>146</v>
      </c>
      <c r="B31" s="3">
        <f>IF($AK$2="(Todas)",COUNTIF(BASE[CODCIE10],EPV_VARICELA[[#This Row],[CIE-10]]),COUNTIFS(BASE[Cod.Establecimiento],$AK$2,BASE[CODCIE10],EPV_VARICELA[[#This Row],[CIE-10]]))</f>
        <v>0</v>
      </c>
      <c r="C31" s="3">
        <f>IF($AK$2="(Todas)",COUNTIF(BASE[CODCIE102],EPV_VARICELA[[#This Row],[CIE-10]]),COUNTIFS(BASE[Cod.Establecimiento],$AK$2,BASE[CODCIE102],EPV_VARICELA[[#This Row],[CIE-10]]))</f>
        <v>0</v>
      </c>
      <c r="D31" s="3">
        <f>IF($AK$2="(Todas)",COUNTIF(BASE[CODCIE104],EPV_VARICELA[[#This Row],[CIE-10]]),COUNTIFS(BASE[Cod.Establecimiento],$AK$2,BASE[CODCIE104],EPV_VARICELA[[#This Row],[CIE-10]]))</f>
        <v>0</v>
      </c>
      <c r="E31" s="3">
        <f>IF($AK$2="(Todas)",COUNTIF(BASE[CODCIE106],EPV_VARICELA[[#This Row],[CIE-10]]),COUNTIFS(BASE[Cod.Establecimiento],$AK$2,BASE[CODCIE106],EPV_VARICELA[[#This Row],[CIE-10]]))</f>
        <v>0</v>
      </c>
      <c r="F31" s="3">
        <f>IF($AK$2="(Todas)",COUNTIF(BASE[CODCIE108],EPV_VARICELA[[#This Row],[CIE-10]]),COUNTIFS(BASE[Cod.Establecimiento],$AK$2,BASE[CODCIE108],EPV_VARICELA[[#This Row],[CIE-10]]))</f>
        <v>0</v>
      </c>
      <c r="G31" s="3">
        <f>IF($AK$2="(Todas)",COUNTIF(BASE[CODCIE1010],EPV_VARICELA[[#This Row],[CIE-10]]),COUNTIFS(BASE[Cod.Establecimiento],$AK$2,BASE[CODCIE1010],EPV_VARICELA[[#This Row],[CIE-10]]))</f>
        <v>0</v>
      </c>
      <c r="H31" s="9">
        <f>SUM(EPV_VARICELA[[#This Row],[D1]:[D6]])</f>
        <v>0</v>
      </c>
      <c r="J31" s="4" t="s">
        <v>329</v>
      </c>
      <c r="K31" s="3">
        <f>IF($AK$2="(Todas)",COUNTIF(BASE[CODCIE10],EPV_ESAVI[[#This Row],[CIE-10]]),COUNTIFS(BASE[Cod.Establecimiento],$AK$2,BASE[CODCIE10],EPV_ESAVI[[#This Row],[CIE-10]]))</f>
        <v>0</v>
      </c>
      <c r="L31" s="3">
        <f>IF($AK$2="(Todas)",COUNTIF(BASE[CODCIE102],EPV_ESAVI[[#This Row],[CIE-10]]),COUNTIFS(BASE[Cod.Establecimiento],$AK$2,BASE[CODCIE102],EPV_ESAVI[[#This Row],[CIE-10]]))</f>
        <v>0</v>
      </c>
      <c r="M31" s="3">
        <f>IF($AK$2="(Todas)",COUNTIF(BASE[CODCIE104],EPV_ESAVI[[#This Row],[CIE-10]]),COUNTIFS(BASE[Cod.Establecimiento],$AK$2,BASE[CODCIE104],EPV_ESAVI[[#This Row],[CIE-10]]))</f>
        <v>0</v>
      </c>
      <c r="N31" s="3">
        <f>IF($AK$2="(Todas)",COUNTIF(BASE[CODCIE106],EPV_ESAVI[[#This Row],[CIE-10]]),COUNTIFS(BASE[Cod.Establecimiento],$AK$2,BASE[CODCIE106],EPV_ESAVI[[#This Row],[CIE-10]]))</f>
        <v>0</v>
      </c>
      <c r="O31" s="3">
        <f>IF($AK$2="(Todas)",COUNTIF(BASE[CODCIE108],EPV_ESAVI[[#This Row],[CIE-10]]),COUNTIFS(BASE[Cod.Establecimiento],$AK$2,BASE[CODCIE108],EPV_ESAVI[[#This Row],[CIE-10]]))</f>
        <v>0</v>
      </c>
      <c r="P31" s="3">
        <f>IF($AK$2="(Todas)",COUNTIF(BASE[CODCIE1010],EPV_ESAVI[[#This Row],[CIE-10]]),COUNTIFS(BASE[Cod.Establecimiento],$AK$2,BASE[CODCIE1010],EPV_ESAVI[[#This Row],[CIE-10]]))</f>
        <v>0</v>
      </c>
      <c r="Q31" s="9">
        <f>SUM(EPV_ESAVI[[#This Row],[D1]:[D6]])</f>
        <v>0</v>
      </c>
    </row>
    <row r="32" spans="1:35">
      <c r="A32" s="4" t="s">
        <v>147</v>
      </c>
      <c r="B32" s="3">
        <f>IF($AK$2="(Todas)",COUNTIF(BASE[CODCIE10],EPV_VARICELA[[#This Row],[CIE-10]]),COUNTIFS(BASE[Cod.Establecimiento],$AK$2,BASE[CODCIE10],EPV_VARICELA[[#This Row],[CIE-10]]))</f>
        <v>0</v>
      </c>
      <c r="C32" s="3">
        <f>IF($AK$2="(Todas)",COUNTIF(BASE[CODCIE102],EPV_VARICELA[[#This Row],[CIE-10]]),COUNTIFS(BASE[Cod.Establecimiento],$AK$2,BASE[CODCIE102],EPV_VARICELA[[#This Row],[CIE-10]]))</f>
        <v>0</v>
      </c>
      <c r="D32" s="3">
        <f>IF($AK$2="(Todas)",COUNTIF(BASE[CODCIE104],EPV_VARICELA[[#This Row],[CIE-10]]),COUNTIFS(BASE[Cod.Establecimiento],$AK$2,BASE[CODCIE104],EPV_VARICELA[[#This Row],[CIE-10]]))</f>
        <v>0</v>
      </c>
      <c r="E32" s="3">
        <f>IF($AK$2="(Todas)",COUNTIF(BASE[CODCIE106],EPV_VARICELA[[#This Row],[CIE-10]]),COUNTIFS(BASE[Cod.Establecimiento],$AK$2,BASE[CODCIE106],EPV_VARICELA[[#This Row],[CIE-10]]))</f>
        <v>0</v>
      </c>
      <c r="F32" s="3">
        <f>IF($AK$2="(Todas)",COUNTIF(BASE[CODCIE108],EPV_VARICELA[[#This Row],[CIE-10]]),COUNTIFS(BASE[Cod.Establecimiento],$AK$2,BASE[CODCIE108],EPV_VARICELA[[#This Row],[CIE-10]]))</f>
        <v>0</v>
      </c>
      <c r="G32" s="3">
        <f>IF($AK$2="(Todas)",COUNTIF(BASE[CODCIE1010],EPV_VARICELA[[#This Row],[CIE-10]]),COUNTIFS(BASE[Cod.Establecimiento],$AK$2,BASE[CODCIE1010],EPV_VARICELA[[#This Row],[CIE-10]]))</f>
        <v>0</v>
      </c>
      <c r="H32" s="9">
        <f>SUM(EPV_VARICELA[[#This Row],[D1]:[D6]])</f>
        <v>0</v>
      </c>
      <c r="J32" s="4" t="s">
        <v>148</v>
      </c>
      <c r="K32" s="3">
        <f>IF($AK$2="(Todas)",COUNTIF(BASE[CODCIE10],EPV_ESAVI[[#This Row],[CIE-10]]),COUNTIFS(BASE[Cod.Establecimiento],$AK$2,BASE[CODCIE10],EPV_ESAVI[[#This Row],[CIE-10]]))</f>
        <v>0</v>
      </c>
      <c r="L32" s="3">
        <f>IF($AK$2="(Todas)",COUNTIF(BASE[CODCIE102],EPV_ESAVI[[#This Row],[CIE-10]]),COUNTIFS(BASE[Cod.Establecimiento],$AK$2,BASE[CODCIE102],EPV_ESAVI[[#This Row],[CIE-10]]))</f>
        <v>0</v>
      </c>
      <c r="M32" s="3">
        <f>IF($AK$2="(Todas)",COUNTIF(BASE[CODCIE104],EPV_ESAVI[[#This Row],[CIE-10]]),COUNTIFS(BASE[Cod.Establecimiento],$AK$2,BASE[CODCIE104],EPV_ESAVI[[#This Row],[CIE-10]]))</f>
        <v>0</v>
      </c>
      <c r="N32" s="3">
        <f>IF($AK$2="(Todas)",COUNTIF(BASE[CODCIE106],EPV_ESAVI[[#This Row],[CIE-10]]),COUNTIFS(BASE[Cod.Establecimiento],$AK$2,BASE[CODCIE106],EPV_ESAVI[[#This Row],[CIE-10]]))</f>
        <v>0</v>
      </c>
      <c r="O32" s="3">
        <f>IF($AK$2="(Todas)",COUNTIF(BASE[CODCIE108],EPV_ESAVI[[#This Row],[CIE-10]]),COUNTIFS(BASE[Cod.Establecimiento],$AK$2,BASE[CODCIE108],EPV_ESAVI[[#This Row],[CIE-10]]))</f>
        <v>0</v>
      </c>
      <c r="P32" s="3">
        <f>IF($AK$2="(Todas)",COUNTIF(BASE[CODCIE1010],EPV_ESAVI[[#This Row],[CIE-10]]),COUNTIFS(BASE[Cod.Establecimiento],$AK$2,BASE[CODCIE1010],EPV_ESAVI[[#This Row],[CIE-10]]))</f>
        <v>0</v>
      </c>
      <c r="Q32" s="9">
        <f>SUM(EPV_ESAVI[[#This Row],[D1]:[D6]])</f>
        <v>0</v>
      </c>
    </row>
    <row r="33" spans="10:17">
      <c r="J33" s="4" t="s">
        <v>149</v>
      </c>
      <c r="K33" s="3">
        <f>IF($AK$2="(Todas)",COUNTIF(BASE[CODCIE10],EPV_ESAVI[[#This Row],[CIE-10]]),COUNTIFS(BASE[Cod.Establecimiento],$AK$2,BASE[CODCIE10],EPV_ESAVI[[#This Row],[CIE-10]]))</f>
        <v>0</v>
      </c>
      <c r="L33" s="3">
        <f>IF($AK$2="(Todas)",COUNTIF(BASE[CODCIE102],EPV_ESAVI[[#This Row],[CIE-10]]),COUNTIFS(BASE[Cod.Establecimiento],$AK$2,BASE[CODCIE102],EPV_ESAVI[[#This Row],[CIE-10]]))</f>
        <v>0</v>
      </c>
      <c r="M33" s="3">
        <f>IF($AK$2="(Todas)",COUNTIF(BASE[CODCIE104],EPV_ESAVI[[#This Row],[CIE-10]]),COUNTIFS(BASE[Cod.Establecimiento],$AK$2,BASE[CODCIE104],EPV_ESAVI[[#This Row],[CIE-10]]))</f>
        <v>0</v>
      </c>
      <c r="N33" s="3">
        <f>IF($AK$2="(Todas)",COUNTIF(BASE[CODCIE106],EPV_ESAVI[[#This Row],[CIE-10]]),COUNTIFS(BASE[Cod.Establecimiento],$AK$2,BASE[CODCIE106],EPV_ESAVI[[#This Row],[CIE-10]]))</f>
        <v>0</v>
      </c>
      <c r="O33" s="3">
        <f>IF($AK$2="(Todas)",COUNTIF(BASE[CODCIE108],EPV_ESAVI[[#This Row],[CIE-10]]),COUNTIFS(BASE[Cod.Establecimiento],$AK$2,BASE[CODCIE108],EPV_ESAVI[[#This Row],[CIE-10]]))</f>
        <v>0</v>
      </c>
      <c r="P33" s="3">
        <f>IF($AK$2="(Todas)",COUNTIF(BASE[CODCIE1010],EPV_ESAVI[[#This Row],[CIE-10]]),COUNTIFS(BASE[Cod.Establecimiento],$AK$2,BASE[CODCIE1010],EPV_ESAVI[[#This Row],[CIE-10]]))</f>
        <v>0</v>
      </c>
      <c r="Q33" s="9">
        <f>SUM(EPV_ESAVI[[#This Row],[D1]:[D6]])</f>
        <v>0</v>
      </c>
    </row>
    <row r="34" spans="10:17">
      <c r="J34" s="4" t="s">
        <v>150</v>
      </c>
      <c r="K34" s="3">
        <f>IF($AK$2="(Todas)",COUNTIF(BASE[CODCIE10],EPV_ESAVI[[#This Row],[CIE-10]]),COUNTIFS(BASE[Cod.Establecimiento],$AK$2,BASE[CODCIE10],EPV_ESAVI[[#This Row],[CIE-10]]))</f>
        <v>0</v>
      </c>
      <c r="L34" s="3">
        <f>IF($AK$2="(Todas)",COUNTIF(BASE[CODCIE102],EPV_ESAVI[[#This Row],[CIE-10]]),COUNTIFS(BASE[Cod.Establecimiento],$AK$2,BASE[CODCIE102],EPV_ESAVI[[#This Row],[CIE-10]]))</f>
        <v>0</v>
      </c>
      <c r="M34" s="3">
        <f>IF($AK$2="(Todas)",COUNTIF(BASE[CODCIE104],EPV_ESAVI[[#This Row],[CIE-10]]),COUNTIFS(BASE[Cod.Establecimiento],$AK$2,BASE[CODCIE104],EPV_ESAVI[[#This Row],[CIE-10]]))</f>
        <v>0</v>
      </c>
      <c r="N34" s="3">
        <f>IF($AK$2="(Todas)",COUNTIF(BASE[CODCIE106],EPV_ESAVI[[#This Row],[CIE-10]]),COUNTIFS(BASE[Cod.Establecimiento],$AK$2,BASE[CODCIE106],EPV_ESAVI[[#This Row],[CIE-10]]))</f>
        <v>0</v>
      </c>
      <c r="O34" s="3">
        <f>IF($AK$2="(Todas)",COUNTIF(BASE[CODCIE108],EPV_ESAVI[[#This Row],[CIE-10]]),COUNTIFS(BASE[Cod.Establecimiento],$AK$2,BASE[CODCIE108],EPV_ESAVI[[#This Row],[CIE-10]]))</f>
        <v>0</v>
      </c>
      <c r="P34" s="3">
        <f>IF($AK$2="(Todas)",COUNTIF(BASE[CODCIE1010],EPV_ESAVI[[#This Row],[CIE-10]]),COUNTIFS(BASE[Cod.Establecimiento],$AK$2,BASE[CODCIE1010],EPV_ESAVI[[#This Row],[CIE-10]]))</f>
        <v>0</v>
      </c>
      <c r="Q34" s="9">
        <f>SUM(EPV_ESAVI[[#This Row],[D1]:[D6]])</f>
        <v>0</v>
      </c>
    </row>
    <row r="35" spans="10:17">
      <c r="J35" s="4" t="s">
        <v>151</v>
      </c>
      <c r="K35" s="3">
        <f>IF($AK$2="(Todas)",COUNTIF(BASE[CODCIE10],EPV_ESAVI[[#This Row],[CIE-10]]),COUNTIFS(BASE[Cod.Establecimiento],$AK$2,BASE[CODCIE10],EPV_ESAVI[[#This Row],[CIE-10]]))</f>
        <v>0</v>
      </c>
      <c r="L35" s="3">
        <f>IF($AK$2="(Todas)",COUNTIF(BASE[CODCIE102],EPV_ESAVI[[#This Row],[CIE-10]]),COUNTIFS(BASE[Cod.Establecimiento],$AK$2,BASE[CODCIE102],EPV_ESAVI[[#This Row],[CIE-10]]))</f>
        <v>0</v>
      </c>
      <c r="M35" s="3">
        <f>IF($AK$2="(Todas)",COUNTIF(BASE[CODCIE104],EPV_ESAVI[[#This Row],[CIE-10]]),COUNTIFS(BASE[Cod.Establecimiento],$AK$2,BASE[CODCIE104],EPV_ESAVI[[#This Row],[CIE-10]]))</f>
        <v>0</v>
      </c>
      <c r="N35" s="3">
        <f>IF($AK$2="(Todas)",COUNTIF(BASE[CODCIE106],EPV_ESAVI[[#This Row],[CIE-10]]),COUNTIFS(BASE[Cod.Establecimiento],$AK$2,BASE[CODCIE106],EPV_ESAVI[[#This Row],[CIE-10]]))</f>
        <v>0</v>
      </c>
      <c r="O35" s="3">
        <f>IF($AK$2="(Todas)",COUNTIF(BASE[CODCIE108],EPV_ESAVI[[#This Row],[CIE-10]]),COUNTIFS(BASE[Cod.Establecimiento],$AK$2,BASE[CODCIE108],EPV_ESAVI[[#This Row],[CIE-10]]))</f>
        <v>0</v>
      </c>
      <c r="P35" s="3">
        <f>IF($AK$2="(Todas)",COUNTIF(BASE[CODCIE1010],EPV_ESAVI[[#This Row],[CIE-10]]),COUNTIFS(BASE[Cod.Establecimiento],$AK$2,BASE[CODCIE1010],EPV_ESAVI[[#This Row],[CIE-10]]))</f>
        <v>0</v>
      </c>
      <c r="Q35" s="9">
        <f>SUM(EPV_ESAVI[[#This Row],[D1]:[D6]])</f>
        <v>0</v>
      </c>
    </row>
    <row r="36" spans="10:17">
      <c r="J36" s="4" t="s">
        <v>152</v>
      </c>
      <c r="K36" s="3">
        <f>IF($AK$2="(Todas)",COUNTIF(BASE[CODCIE10],EPV_ESAVI[[#This Row],[CIE-10]]),COUNTIFS(BASE[Cod.Establecimiento],$AK$2,BASE[CODCIE10],EPV_ESAVI[[#This Row],[CIE-10]]))</f>
        <v>0</v>
      </c>
      <c r="L36" s="3">
        <f>IF($AK$2="(Todas)",COUNTIF(BASE[CODCIE102],EPV_ESAVI[[#This Row],[CIE-10]]),COUNTIFS(BASE[Cod.Establecimiento],$AK$2,BASE[CODCIE102],EPV_ESAVI[[#This Row],[CIE-10]]))</f>
        <v>0</v>
      </c>
      <c r="M36" s="3">
        <f>IF($AK$2="(Todas)",COUNTIF(BASE[CODCIE104],EPV_ESAVI[[#This Row],[CIE-10]]),COUNTIFS(BASE[Cod.Establecimiento],$AK$2,BASE[CODCIE104],EPV_ESAVI[[#This Row],[CIE-10]]))</f>
        <v>0</v>
      </c>
      <c r="N36" s="3">
        <f>IF($AK$2="(Todas)",COUNTIF(BASE[CODCIE106],EPV_ESAVI[[#This Row],[CIE-10]]),COUNTIFS(BASE[Cod.Establecimiento],$AK$2,BASE[CODCIE106],EPV_ESAVI[[#This Row],[CIE-10]]))</f>
        <v>0</v>
      </c>
      <c r="O36" s="3">
        <f>IF($AK$2="(Todas)",COUNTIF(BASE[CODCIE108],EPV_ESAVI[[#This Row],[CIE-10]]),COUNTIFS(BASE[Cod.Establecimiento],$AK$2,BASE[CODCIE108],EPV_ESAVI[[#This Row],[CIE-10]]))</f>
        <v>0</v>
      </c>
      <c r="P36" s="3">
        <f>IF($AK$2="(Todas)",COUNTIF(BASE[CODCIE1010],EPV_ESAVI[[#This Row],[CIE-10]]),COUNTIFS(BASE[Cod.Establecimiento],$AK$2,BASE[CODCIE1010],EPV_ESAVI[[#This Row],[CIE-10]]))</f>
        <v>0</v>
      </c>
      <c r="Q36" s="9">
        <f>SUM(EPV_ESAVI[[#This Row],[D1]:[D6]])</f>
        <v>0</v>
      </c>
    </row>
    <row r="37" spans="10:17">
      <c r="J37" s="4" t="s">
        <v>153</v>
      </c>
      <c r="K37" s="3">
        <f>IF($AK$2="(Todas)",COUNTIF(BASE[CODCIE10],EPV_ESAVI[[#This Row],[CIE-10]]),COUNTIFS(BASE[Cod.Establecimiento],$AK$2,BASE[CODCIE10],EPV_ESAVI[[#This Row],[CIE-10]]))</f>
        <v>0</v>
      </c>
      <c r="L37" s="3">
        <f>IF($AK$2="(Todas)",COUNTIF(BASE[CODCIE102],EPV_ESAVI[[#This Row],[CIE-10]]),COUNTIFS(BASE[Cod.Establecimiento],$AK$2,BASE[CODCIE102],EPV_ESAVI[[#This Row],[CIE-10]]))</f>
        <v>0</v>
      </c>
      <c r="M37" s="3">
        <f>IF($AK$2="(Todas)",COUNTIF(BASE[CODCIE104],EPV_ESAVI[[#This Row],[CIE-10]]),COUNTIFS(BASE[Cod.Establecimiento],$AK$2,BASE[CODCIE104],EPV_ESAVI[[#This Row],[CIE-10]]))</f>
        <v>0</v>
      </c>
      <c r="N37" s="3">
        <f>IF($AK$2="(Todas)",COUNTIF(BASE[CODCIE106],EPV_ESAVI[[#This Row],[CIE-10]]),COUNTIFS(BASE[Cod.Establecimiento],$AK$2,BASE[CODCIE106],EPV_ESAVI[[#This Row],[CIE-10]]))</f>
        <v>0</v>
      </c>
      <c r="O37" s="3">
        <f>IF($AK$2="(Todas)",COUNTIF(BASE[CODCIE108],EPV_ESAVI[[#This Row],[CIE-10]]),COUNTIFS(BASE[Cod.Establecimiento],$AK$2,BASE[CODCIE108],EPV_ESAVI[[#This Row],[CIE-10]]))</f>
        <v>0</v>
      </c>
      <c r="P37" s="3">
        <f>IF($AK$2="(Todas)",COUNTIF(BASE[CODCIE1010],EPV_ESAVI[[#This Row],[CIE-10]]),COUNTIFS(BASE[Cod.Establecimiento],$AK$2,BASE[CODCIE1010],EPV_ESAVI[[#This Row],[CIE-10]]))</f>
        <v>0</v>
      </c>
      <c r="Q37" s="9">
        <f>SUM(EPV_ESAVI[[#This Row],[D1]:[D6]])</f>
        <v>0</v>
      </c>
    </row>
  </sheetData>
  <mergeCells count="14">
    <mergeCell ref="AJ1:AK1"/>
    <mergeCell ref="AB17:AI17"/>
    <mergeCell ref="J2:N2"/>
    <mergeCell ref="J1:Z1"/>
    <mergeCell ref="A28:H28"/>
    <mergeCell ref="AB2:AI2"/>
    <mergeCell ref="J17:Q17"/>
    <mergeCell ref="A17:H17"/>
    <mergeCell ref="J28:Q28"/>
    <mergeCell ref="S25:AI30"/>
    <mergeCell ref="O2:T2"/>
    <mergeCell ref="U2:Z2"/>
    <mergeCell ref="S17:Z17"/>
    <mergeCell ref="A2:H2"/>
  </mergeCells>
  <conditionalFormatting sqref="B5:H11">
    <cfRule type="cellIs" dxfId="47" priority="4" operator="greaterThan">
      <formula>0</formula>
    </cfRule>
  </conditionalFormatting>
  <conditionalFormatting sqref="K5:Q15">
    <cfRule type="cellIs" dxfId="46" priority="3" operator="greaterThan">
      <formula>0</formula>
    </cfRule>
  </conditionalFormatting>
  <conditionalFormatting sqref="T5:Z13">
    <cfRule type="cellIs" dxfId="45" priority="2" operator="greaterThan">
      <formula>0</formula>
    </cfRule>
  </conditionalFormatting>
  <conditionalFormatting sqref="AC5:AI13 AC20:AI20 T20:Z21 B20:H23 K20:Q26 B31:H32 K31:Q37">
    <cfRule type="cellIs" dxfId="44" priority="1" operator="greaterThan">
      <formula>0</formula>
    </cfRule>
  </conditionalFormatting>
  <pageMargins left="0.7" right="0.7" top="0.75" bottom="0.75" header="0.3" footer="0.3"/>
  <pageSetup orientation="portrait"/>
  <legacy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42"/>
  <sheetViews>
    <sheetView showGridLines="0" zoomScale="85" zoomScaleNormal="85" workbookViewId="0">
      <selection activeCell="N4" sqref="N4"/>
    </sheetView>
  </sheetViews>
  <sheetFormatPr baseColWidth="10" defaultRowHeight="15"/>
  <cols>
    <col min="12" max="12" width="21" bestFit="1" customWidth="1"/>
    <col min="13" max="13" width="11.7109375" bestFit="1" customWidth="1"/>
    <col min="14" max="14" width="20.140625" bestFit="1" customWidth="1"/>
    <col min="15" max="15" width="10.7109375" bestFit="1" customWidth="1"/>
    <col min="17" max="23" width="5.7109375" customWidth="1"/>
    <col min="26" max="32" width="5.7109375" customWidth="1"/>
    <col min="35" max="35" width="21" bestFit="1" customWidth="1"/>
    <col min="36" max="36" width="11.7109375" bestFit="1" customWidth="1"/>
  </cols>
  <sheetData>
    <row r="1" spans="1:32" ht="22.5" customHeight="1">
      <c r="A1" s="2"/>
      <c r="B1" s="79" t="s">
        <v>154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Z1" s="2"/>
      <c r="AA1" s="2"/>
      <c r="AB1" s="2"/>
      <c r="AC1" s="2"/>
      <c r="AD1" s="2"/>
      <c r="AE1" s="2"/>
      <c r="AF1" s="2"/>
    </row>
    <row r="2" spans="1:32" ht="15.75" customHeight="1">
      <c r="A2" s="2"/>
      <c r="B2" s="134" t="s">
        <v>155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33" t="s">
        <v>86</v>
      </c>
      <c r="O2" s="8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2"/>
      <c r="B3" s="89" t="s">
        <v>156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" t="s">
        <v>10</v>
      </c>
      <c r="O3" t="s">
        <v>92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6.5" customHeight="1">
      <c r="A4" s="2"/>
      <c r="B4" s="12" t="s">
        <v>157</v>
      </c>
      <c r="C4" s="13"/>
      <c r="D4" s="13" t="s">
        <v>83</v>
      </c>
      <c r="E4" s="13"/>
      <c r="F4" s="14" t="s">
        <v>158</v>
      </c>
      <c r="G4" s="14"/>
      <c r="H4" s="15"/>
      <c r="I4" s="16">
        <v>2024</v>
      </c>
      <c r="J4" s="17"/>
      <c r="K4" s="1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F4" s="2"/>
    </row>
    <row r="5" spans="1:32" ht="16.5" customHeight="1" thickBot="1">
      <c r="A5" s="2"/>
      <c r="B5" s="12" t="str">
        <f>_xlfn.CONCAT("Establecimiento: ",$O$3)</f>
        <v>Establecimiento: (Todas)</v>
      </c>
      <c r="C5" s="13"/>
      <c r="D5" s="13"/>
      <c r="E5" s="13"/>
      <c r="F5" s="17"/>
      <c r="G5" s="17"/>
      <c r="H5" s="19" t="str">
        <f>_xlfn.CONCAT("N° total de consultas NUEVOS: ",IF($O$3="(Todas)",COUNTA(BASE[Fecha]),COUNTIFS(BASE[Cod.Establecimiento],$O$3)))</f>
        <v>N° total de consultas NUEVOS: 0</v>
      </c>
      <c r="I5" s="20"/>
      <c r="J5" s="17"/>
      <c r="K5" s="21"/>
      <c r="L5" s="2"/>
      <c r="M5" s="2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7.75" customHeight="1" thickBot="1">
      <c r="A6" s="2"/>
      <c r="B6" s="94" t="s">
        <v>159</v>
      </c>
      <c r="C6" s="95"/>
      <c r="D6" s="95"/>
      <c r="E6" s="95"/>
      <c r="F6" s="95"/>
      <c r="G6" s="96"/>
      <c r="H6" s="94" t="s">
        <v>160</v>
      </c>
      <c r="I6" s="95"/>
      <c r="J6" s="95"/>
      <c r="K6" s="95"/>
      <c r="L6" s="95"/>
      <c r="M6" s="9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3.25" customHeight="1">
      <c r="A7" s="2"/>
      <c r="B7" s="84" t="s">
        <v>161</v>
      </c>
      <c r="C7" s="85"/>
      <c r="D7" s="23" t="s">
        <v>162</v>
      </c>
      <c r="E7" s="24" t="s">
        <v>163</v>
      </c>
      <c r="F7" s="24" t="s">
        <v>164</v>
      </c>
      <c r="G7" s="25" t="s">
        <v>165</v>
      </c>
      <c r="H7" s="84" t="s">
        <v>166</v>
      </c>
      <c r="I7" s="85"/>
      <c r="J7" s="112" t="s">
        <v>162</v>
      </c>
      <c r="K7" s="88"/>
      <c r="L7" s="26" t="s">
        <v>163</v>
      </c>
      <c r="M7" s="27" t="s">
        <v>167</v>
      </c>
      <c r="N7" s="2"/>
      <c r="O7" s="2"/>
    </row>
    <row r="8" spans="1:32" ht="15.75" customHeight="1">
      <c r="A8" s="2"/>
      <c r="B8" s="86"/>
      <c r="C8" s="85"/>
      <c r="D8" s="28" t="s">
        <v>168</v>
      </c>
      <c r="E8" s="29" t="s">
        <v>169</v>
      </c>
      <c r="F8" s="30">
        <f>SUM(ENOS_G1_COLERA[TOT])</f>
        <v>0</v>
      </c>
      <c r="G8" s="30">
        <v>0</v>
      </c>
      <c r="H8" s="86"/>
      <c r="I8" s="85"/>
      <c r="J8" s="92" t="s">
        <v>170</v>
      </c>
      <c r="K8" s="93"/>
      <c r="L8" s="29" t="s">
        <v>171</v>
      </c>
      <c r="M8" s="31">
        <f>SUM(ENOS_G2_PAROTIDITIS_INFECCIOSA_PAPERAS[TOT])</f>
        <v>0</v>
      </c>
      <c r="N8" s="2"/>
      <c r="O8" s="2"/>
    </row>
    <row r="9" spans="1:32">
      <c r="A9" s="2"/>
      <c r="B9" s="86"/>
      <c r="C9" s="85"/>
      <c r="D9" s="28" t="s">
        <v>172</v>
      </c>
      <c r="E9" s="29" t="s">
        <v>173</v>
      </c>
      <c r="F9" s="30">
        <f>SUM(ENOS_G1_FIEBRE_AMARILLA[TOT])</f>
        <v>0</v>
      </c>
      <c r="G9" s="30">
        <v>0</v>
      </c>
      <c r="H9" s="86"/>
      <c r="I9" s="85"/>
      <c r="J9" s="92" t="s">
        <v>174</v>
      </c>
      <c r="K9" s="93"/>
      <c r="L9" s="29" t="s">
        <v>175</v>
      </c>
      <c r="M9" s="31">
        <f>SUM(ENOS_G2_VARICELA[TOT])</f>
        <v>0</v>
      </c>
      <c r="N9" s="2"/>
      <c r="O9" s="2"/>
    </row>
    <row r="10" spans="1:32">
      <c r="A10" s="2"/>
      <c r="B10" s="86"/>
      <c r="C10" s="85"/>
      <c r="D10" s="33" t="s">
        <v>176</v>
      </c>
      <c r="E10" s="29" t="s">
        <v>177</v>
      </c>
      <c r="F10" s="34">
        <f>SUM(ENOS_G1_PESTE[TOT])</f>
        <v>0</v>
      </c>
      <c r="G10" s="34">
        <v>0</v>
      </c>
      <c r="H10" s="86"/>
      <c r="I10" s="85"/>
      <c r="J10" s="92" t="s">
        <v>178</v>
      </c>
      <c r="K10" s="93"/>
      <c r="L10" s="29" t="s">
        <v>179</v>
      </c>
      <c r="M10" s="31">
        <f>SUM(ENOS_G2_HEPATITIS_A[TOT])</f>
        <v>0</v>
      </c>
      <c r="N10" s="2"/>
      <c r="O10" s="2"/>
    </row>
    <row r="11" spans="1:32" ht="18" customHeight="1">
      <c r="A11" s="2"/>
      <c r="B11" s="86"/>
      <c r="C11" s="85"/>
      <c r="D11" s="92" t="s">
        <v>180</v>
      </c>
      <c r="E11" s="97" t="s">
        <v>181</v>
      </c>
      <c r="F11" s="108">
        <f>SUM(ENOS_G1_POLIOMIELITIS_AGUDA[TOT])</f>
        <v>0</v>
      </c>
      <c r="G11" s="108">
        <v>0</v>
      </c>
      <c r="H11" s="86"/>
      <c r="I11" s="85"/>
      <c r="J11" s="122" t="s">
        <v>182</v>
      </c>
      <c r="K11" s="120"/>
      <c r="L11" s="97" t="s">
        <v>183</v>
      </c>
      <c r="M11" s="90">
        <f>SUM(ENOS_G2_HEPATITIS_VIRAL_SIN_OTRA_ESPECIFIACION[TOT])</f>
        <v>0</v>
      </c>
      <c r="N11" s="2"/>
      <c r="O11" s="2"/>
    </row>
    <row r="12" spans="1:32" ht="15.75" customHeight="1">
      <c r="A12" s="2"/>
      <c r="B12" s="87"/>
      <c r="C12" s="88"/>
      <c r="D12" s="98"/>
      <c r="E12" s="98"/>
      <c r="F12" s="98"/>
      <c r="G12" s="98"/>
      <c r="H12" s="86"/>
      <c r="I12" s="85"/>
      <c r="J12" s="121"/>
      <c r="K12" s="88"/>
      <c r="L12" s="98"/>
      <c r="M12" s="91"/>
      <c r="N12" s="2"/>
      <c r="O12" s="2"/>
    </row>
    <row r="13" spans="1:32" ht="22.5" customHeight="1" thickBot="1">
      <c r="A13" s="2"/>
      <c r="B13" s="127" t="s">
        <v>184</v>
      </c>
      <c r="C13" s="120"/>
      <c r="D13" s="35" t="s">
        <v>185</v>
      </c>
      <c r="E13" s="36" t="s">
        <v>186</v>
      </c>
      <c r="F13" s="37">
        <f>SUM(ENOS_G1_RUBEOLA[TOT])</f>
        <v>0</v>
      </c>
      <c r="G13" s="37">
        <v>0</v>
      </c>
      <c r="H13" s="86"/>
      <c r="I13" s="85"/>
      <c r="J13" s="92" t="s">
        <v>187</v>
      </c>
      <c r="K13" s="93"/>
      <c r="L13" s="38" t="s">
        <v>188</v>
      </c>
      <c r="M13" s="39">
        <f>SUM(ENOS_G2_ETA[TOT])</f>
        <v>0</v>
      </c>
      <c r="N13" s="2"/>
      <c r="O13" s="2"/>
    </row>
    <row r="14" spans="1:32">
      <c r="A14" s="2"/>
      <c r="B14" s="86"/>
      <c r="C14" s="85"/>
      <c r="D14" s="92" t="s">
        <v>189</v>
      </c>
      <c r="E14" s="97" t="s">
        <v>124</v>
      </c>
      <c r="F14" s="108">
        <f>SUM(ENOS_G1_SINDROME_DE_RUBEOLA_CONGENITA[TOT])</f>
        <v>0</v>
      </c>
      <c r="G14" s="108">
        <v>0</v>
      </c>
      <c r="H14" s="86"/>
      <c r="I14" s="85"/>
      <c r="J14" s="92" t="s">
        <v>190</v>
      </c>
      <c r="K14" s="120"/>
      <c r="L14" s="100" t="s">
        <v>191</v>
      </c>
      <c r="M14" s="90">
        <f>SUM(ENOS_G2_CONJUNTIVITIS_VIRAL[TOT])</f>
        <v>0</v>
      </c>
      <c r="N14" s="2"/>
      <c r="O14" s="2"/>
    </row>
    <row r="15" spans="1:32" ht="18" customHeight="1">
      <c r="A15" s="2"/>
      <c r="B15" s="86"/>
      <c r="C15" s="85"/>
      <c r="D15" s="98"/>
      <c r="E15" s="98"/>
      <c r="F15" s="98"/>
      <c r="G15" s="98"/>
      <c r="H15" s="86"/>
      <c r="I15" s="85"/>
      <c r="J15" s="121"/>
      <c r="K15" s="88"/>
      <c r="L15" s="98"/>
      <c r="M15" s="91"/>
      <c r="N15" s="2"/>
      <c r="O15" s="2"/>
    </row>
    <row r="16" spans="1:32" ht="15.75" customHeight="1">
      <c r="A16" s="2"/>
      <c r="B16" s="86"/>
      <c r="C16" s="85"/>
      <c r="D16" s="119" t="s">
        <v>192</v>
      </c>
      <c r="E16" s="97" t="s">
        <v>193</v>
      </c>
      <c r="F16" s="108">
        <f>SUM(ENOS_G1_SARAMPION[TOT])</f>
        <v>0</v>
      </c>
      <c r="G16" s="108">
        <v>0</v>
      </c>
      <c r="H16" s="86"/>
      <c r="I16" s="85"/>
      <c r="J16" s="122" t="s">
        <v>194</v>
      </c>
      <c r="K16" s="120"/>
      <c r="L16" s="100" t="s">
        <v>195</v>
      </c>
      <c r="M16" s="90">
        <f>SUM(ENOS_G2_ENF_VIRICAS_LESIONES_PIEL_Y_MEMB_MUCOSAS[TOT])</f>
        <v>0</v>
      </c>
      <c r="N16" s="2"/>
      <c r="O16" s="2"/>
    </row>
    <row r="17" spans="1:32">
      <c r="A17" s="2"/>
      <c r="B17" s="86"/>
      <c r="C17" s="85"/>
      <c r="D17" s="98"/>
      <c r="E17" s="98"/>
      <c r="F17" s="98"/>
      <c r="G17" s="98"/>
      <c r="H17" s="86"/>
      <c r="I17" s="85"/>
      <c r="J17" s="123"/>
      <c r="K17" s="85"/>
      <c r="L17" s="101"/>
      <c r="M17" s="132"/>
      <c r="N17" s="2"/>
      <c r="O17" s="2"/>
    </row>
    <row r="18" spans="1:32">
      <c r="A18" s="2"/>
      <c r="B18" s="86"/>
      <c r="C18" s="85"/>
      <c r="D18" s="92" t="s">
        <v>196</v>
      </c>
      <c r="E18" s="97" t="s">
        <v>197</v>
      </c>
      <c r="F18" s="108">
        <f>SUM(ENOS_G1_TETANOS_NEONATAL[TOT])</f>
        <v>0</v>
      </c>
      <c r="G18" s="108">
        <v>0</v>
      </c>
      <c r="H18" s="87"/>
      <c r="I18" s="88"/>
      <c r="J18" s="121"/>
      <c r="K18" s="88"/>
      <c r="L18" s="98"/>
      <c r="M18" s="91"/>
      <c r="N18" s="2"/>
      <c r="O18" s="2"/>
    </row>
    <row r="19" spans="1:32" ht="18" customHeight="1" thickBot="1">
      <c r="A19" s="2"/>
      <c r="B19" s="86"/>
      <c r="C19" s="85"/>
      <c r="D19" s="101"/>
      <c r="E19" s="101"/>
      <c r="F19" s="101"/>
      <c r="G19" s="101"/>
      <c r="H19" s="127" t="s">
        <v>198</v>
      </c>
      <c r="I19" s="120"/>
      <c r="J19" s="119" t="s">
        <v>199</v>
      </c>
      <c r="K19" s="120"/>
      <c r="L19" s="97" t="s">
        <v>200</v>
      </c>
      <c r="M19" s="90">
        <f>SUM(ENOS_G2_SIFILIS_CONGENITA[TOT])</f>
        <v>0</v>
      </c>
      <c r="N19" s="2"/>
      <c r="O19" s="2"/>
    </row>
    <row r="20" spans="1:32">
      <c r="A20" s="2"/>
      <c r="B20" s="86"/>
      <c r="C20" s="85"/>
      <c r="D20" s="98"/>
      <c r="E20" s="98"/>
      <c r="F20" s="98"/>
      <c r="G20" s="98"/>
      <c r="H20" s="86"/>
      <c r="I20" s="85"/>
      <c r="J20" s="121"/>
      <c r="K20" s="88"/>
      <c r="L20" s="98"/>
      <c r="M20" s="91"/>
      <c r="N20" s="2"/>
      <c r="O20" s="2"/>
    </row>
    <row r="21" spans="1:32">
      <c r="A21" s="2"/>
      <c r="B21" s="86"/>
      <c r="C21" s="85"/>
      <c r="D21" s="119" t="s">
        <v>201</v>
      </c>
      <c r="E21" s="100" t="s">
        <v>202</v>
      </c>
      <c r="F21" s="107">
        <f>SUM(ENOS_G1_PALUDISMO[TOT])</f>
        <v>0</v>
      </c>
      <c r="G21" s="107">
        <v>0</v>
      </c>
      <c r="H21" s="86"/>
      <c r="I21" s="85"/>
      <c r="J21" s="92" t="s">
        <v>203</v>
      </c>
      <c r="K21" s="93"/>
      <c r="L21" s="29" t="s">
        <v>204</v>
      </c>
      <c r="M21" s="31">
        <f>SUM(ENOS_G2_SIFILIS_EMBARAZADA[TOT])</f>
        <v>0</v>
      </c>
      <c r="N21" s="2"/>
      <c r="O21" s="2"/>
    </row>
    <row r="22" spans="1:32" ht="15.75" customHeight="1" thickBot="1">
      <c r="A22" s="2"/>
      <c r="B22" s="128"/>
      <c r="C22" s="129"/>
      <c r="D22" s="98"/>
      <c r="E22" s="98"/>
      <c r="F22" s="98"/>
      <c r="G22" s="98"/>
      <c r="H22" s="128"/>
      <c r="I22" s="129"/>
      <c r="J22" s="109" t="s">
        <v>205</v>
      </c>
      <c r="K22" s="110"/>
      <c r="L22" s="41" t="s">
        <v>206</v>
      </c>
      <c r="M22" s="42">
        <f>SUM(ENOS_G2_SIFILIS_TODOS_LOS_CASOS[TOT])</f>
        <v>0</v>
      </c>
      <c r="N22" s="2"/>
      <c r="O22" s="2"/>
    </row>
    <row r="23" spans="1:32" ht="18" customHeight="1" thickBot="1">
      <c r="A23" s="2"/>
      <c r="B23" s="113" t="s">
        <v>207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6"/>
      <c r="N23" s="2"/>
      <c r="O23" s="2"/>
    </row>
    <row r="24" spans="1:32">
      <c r="A24" s="2"/>
      <c r="B24" s="114" t="s">
        <v>208</v>
      </c>
      <c r="C24" s="85"/>
      <c r="D24" s="102" t="s">
        <v>163</v>
      </c>
      <c r="E24" s="81"/>
      <c r="F24" s="103"/>
      <c r="G24" s="117" t="s">
        <v>209</v>
      </c>
      <c r="H24" s="118"/>
      <c r="I24" s="118"/>
      <c r="J24" s="118"/>
      <c r="K24" s="118"/>
      <c r="L24" s="88"/>
      <c r="M24" s="130" t="s">
        <v>210</v>
      </c>
      <c r="N24" s="2"/>
      <c r="O24" s="2"/>
    </row>
    <row r="25" spans="1:32" ht="22.5" customHeight="1">
      <c r="A25" s="2"/>
      <c r="B25" s="115"/>
      <c r="C25" s="116"/>
      <c r="D25" s="104"/>
      <c r="E25" s="105"/>
      <c r="F25" s="106"/>
      <c r="G25" s="43" t="s">
        <v>211</v>
      </c>
      <c r="H25" s="44" t="s">
        <v>212</v>
      </c>
      <c r="I25" s="45" t="s">
        <v>213</v>
      </c>
      <c r="J25" s="29" t="s">
        <v>214</v>
      </c>
      <c r="K25" s="40" t="s">
        <v>215</v>
      </c>
      <c r="L25" s="29" t="s">
        <v>216</v>
      </c>
      <c r="M25" s="91"/>
      <c r="N25" s="2"/>
      <c r="O25" s="2"/>
    </row>
    <row r="26" spans="1:32">
      <c r="A26" s="2"/>
      <c r="B26" s="99" t="s">
        <v>217</v>
      </c>
      <c r="C26" s="72"/>
      <c r="D26" s="126" t="s">
        <v>218</v>
      </c>
      <c r="E26" s="73"/>
      <c r="F26" s="72"/>
      <c r="G26" s="46">
        <f>SUM(ENOS_G3_ETI_MENOR_QUE_1_AÑO[TOT])</f>
        <v>0</v>
      </c>
      <c r="H26" s="46">
        <f>SUM(ENOS_G3_ETI_1_4_AÑOS[TOT])</f>
        <v>0</v>
      </c>
      <c r="I26" s="46">
        <f>SUM(ENOS_G3_ETI_5_19_AÑOS[TOT])</f>
        <v>0</v>
      </c>
      <c r="J26" s="46">
        <f>SUM(ENOS_G3_ETI_20_59_AÑOS[TOT])</f>
        <v>0</v>
      </c>
      <c r="K26" s="46">
        <f>SUM(ENOS_G3_ETI_60_MAS_AÑOS[TOT])</f>
        <v>0</v>
      </c>
      <c r="L26" s="46">
        <f>SUM(ENOS_G3_ETI_SD_AÑOS[TOT])</f>
        <v>0</v>
      </c>
      <c r="M26" s="46">
        <f>SUM(G26:L26)</f>
        <v>0</v>
      </c>
      <c r="N26" s="2"/>
      <c r="O26" s="2"/>
    </row>
    <row r="27" spans="1:32">
      <c r="A27" s="2"/>
      <c r="B27" s="99" t="s">
        <v>219</v>
      </c>
      <c r="C27" s="72"/>
      <c r="D27" s="111" t="s">
        <v>220</v>
      </c>
      <c r="E27" s="73"/>
      <c r="F27" s="72"/>
      <c r="G27" s="46">
        <f>SUM(ENOS_G3_IRANN_MENOR_QUE_1_AÑO[TOT])</f>
        <v>0</v>
      </c>
      <c r="H27" s="46">
        <f>SUM(ENOS_G3_IRANN_1_4_AÑOS[TOT])</f>
        <v>0</v>
      </c>
      <c r="I27" s="46">
        <f>SUM(ENOS_G3_IRANN_5_19_AÑOS[TOT])</f>
        <v>0</v>
      </c>
      <c r="J27" s="46">
        <f>SUM(ENOS_G3_IRANN_20_59_AÑOS[TOT])</f>
        <v>0</v>
      </c>
      <c r="K27" s="46">
        <f>SUM(ENOS_G3_IRANN_60_MAS_AÑOS[TOT])</f>
        <v>0</v>
      </c>
      <c r="L27" s="46">
        <f>SUM(ENOS_G3_IRANN_SD_AÑOS[TOT])</f>
        <v>0</v>
      </c>
      <c r="M27" s="46">
        <f>SUM(G27:L27)</f>
        <v>0</v>
      </c>
      <c r="N27" s="2"/>
      <c r="O27" s="2"/>
    </row>
    <row r="28" spans="1:32">
      <c r="A28" s="2"/>
      <c r="B28" s="99" t="s">
        <v>221</v>
      </c>
      <c r="C28" s="72"/>
      <c r="D28" s="111" t="s">
        <v>222</v>
      </c>
      <c r="E28" s="73"/>
      <c r="F28" s="72"/>
      <c r="G28" s="46">
        <f>SUM(ENOS_G3_NEU_MENOR_QUE_1_AÑO[TOT])</f>
        <v>0</v>
      </c>
      <c r="H28" s="46">
        <f>SUM(ENOS_G3_NEU_1_4_AÑOS[TOT])</f>
        <v>0</v>
      </c>
      <c r="I28" s="46">
        <f>SUM(ENOS_G3_NEU_5_19_AÑOS[TOT])</f>
        <v>0</v>
      </c>
      <c r="J28" s="46">
        <f>SUM(ENOS_G3_NEU_20_59_AÑOS[TOT])</f>
        <v>0</v>
      </c>
      <c r="K28" s="46">
        <f>SUM(ENOS_G3_NEU_60_MAS_AÑOS[TOT])</f>
        <v>0</v>
      </c>
      <c r="L28" s="46">
        <f>SUM(ENOS_G3_NEU_SD_AÑOS[TOT])</f>
        <v>0</v>
      </c>
      <c r="M28" s="46">
        <f>SUM(G28:L28)</f>
        <v>0</v>
      </c>
      <c r="N28" s="2"/>
      <c r="O28" s="2"/>
    </row>
    <row r="29" spans="1:32">
      <c r="A29" s="2"/>
      <c r="B29" s="99" t="s">
        <v>223</v>
      </c>
      <c r="C29" s="72"/>
      <c r="D29" s="126" t="s">
        <v>224</v>
      </c>
      <c r="E29" s="73"/>
      <c r="F29" s="72"/>
      <c r="G29" s="46">
        <f>SUM(ENOS_G3_IRAGNG_MENOR_QUE_1_AÑO[TOT])</f>
        <v>0</v>
      </c>
      <c r="H29" s="46">
        <f>SUM(ENOS_G3_IRAGNG_1_4_AÑOS[TOT])</f>
        <v>0</v>
      </c>
      <c r="I29" s="46">
        <f>SUM(ENOS_G3_IRAGNG_5_19_AÑOS[TOT])</f>
        <v>0</v>
      </c>
      <c r="J29" s="46">
        <f>SUM(ENOS_G3_IRAGNG_20_59_AÑOS[TOT])</f>
        <v>0</v>
      </c>
      <c r="K29" s="46">
        <f>SUM(ENOS_G3_IRAGNG_60_MAS_AÑOS[TOT])</f>
        <v>0</v>
      </c>
      <c r="L29" s="46">
        <f>SUM(ENOS_G3_IRAGNG_SD_AÑOS[TOT])</f>
        <v>0</v>
      </c>
      <c r="M29" s="46">
        <f>SUM(G29:L29)</f>
        <v>0</v>
      </c>
      <c r="N29" s="2"/>
      <c r="O29" s="2"/>
      <c r="P29" s="80" t="s">
        <v>142</v>
      </c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</row>
    <row r="30" spans="1:32" ht="15.75" customHeight="1" thickBot="1">
      <c r="A30" s="2"/>
      <c r="B30" s="124" t="s">
        <v>225</v>
      </c>
      <c r="C30" s="125"/>
      <c r="D30" s="135" t="s">
        <v>226</v>
      </c>
      <c r="E30" s="136"/>
      <c r="F30" s="125"/>
      <c r="G30" s="47">
        <f>SUM(ENOS_G3_DA_MENOR_QUE_1_AÑO[TOT])</f>
        <v>0</v>
      </c>
      <c r="H30" s="47">
        <f>SUM(ENOS_G3_DA_1_4_AÑOS[TOT])</f>
        <v>0</v>
      </c>
      <c r="I30" s="47">
        <f>SUM(ENOS_G3_DA_5_19_AÑOS[TOT])</f>
        <v>0</v>
      </c>
      <c r="J30" s="47">
        <f>SUM(ENOS_G3_DA_20_59_AÑOS[TOT])</f>
        <v>0</v>
      </c>
      <c r="K30" s="47">
        <f>SUM(ENOS_G3_DA_60_MAS_AÑOS[TOT])</f>
        <v>0</v>
      </c>
      <c r="L30" s="47">
        <f>SUM(ENOS_G3_DA_SD_AÑOS[TOT])</f>
        <v>0</v>
      </c>
      <c r="M30" s="46">
        <f>SUM(G30:L30)</f>
        <v>0</v>
      </c>
      <c r="N30" s="2"/>
      <c r="O30" s="2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</row>
    <row r="31" spans="1:32" ht="18" customHeight="1">
      <c r="A31" s="2"/>
      <c r="B31" s="48" t="s">
        <v>227</v>
      </c>
      <c r="C31" s="49"/>
      <c r="D31" s="49"/>
      <c r="E31" s="49"/>
      <c r="F31" s="48" t="s">
        <v>228</v>
      </c>
      <c r="G31" s="50"/>
      <c r="H31" s="51"/>
      <c r="I31" s="51"/>
      <c r="J31" s="51"/>
      <c r="K31" s="51"/>
      <c r="L31" s="51"/>
      <c r="M31" s="50"/>
      <c r="N31" s="2"/>
      <c r="O31" s="2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</row>
    <row r="32" spans="1:32" ht="15.75" customHeight="1">
      <c r="A32" s="2"/>
      <c r="B32" s="48" t="s">
        <v>229</v>
      </c>
      <c r="C32" s="52"/>
      <c r="D32" s="52"/>
      <c r="E32" s="52"/>
      <c r="F32" s="52"/>
      <c r="G32" s="52"/>
      <c r="H32" s="50"/>
      <c r="I32" s="50"/>
      <c r="J32" s="53"/>
      <c r="K32" s="50"/>
      <c r="L32" s="50"/>
      <c r="M32" s="50"/>
      <c r="N32" s="2"/>
      <c r="O32" s="2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</row>
    <row r="33" spans="1:32" ht="15.75" customHeight="1">
      <c r="A33" s="2"/>
      <c r="B33" s="50" t="s">
        <v>230</v>
      </c>
      <c r="C33" s="49"/>
      <c r="D33" s="49"/>
      <c r="E33" s="49"/>
      <c r="F33" s="54"/>
      <c r="G33" s="17"/>
      <c r="H33" s="50"/>
      <c r="I33" s="50"/>
      <c r="J33" s="131" t="s">
        <v>231</v>
      </c>
      <c r="K33" s="81"/>
      <c r="L33" s="81"/>
      <c r="M33" s="55"/>
      <c r="N33" s="2"/>
      <c r="O33" s="2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</row>
    <row r="34" spans="1:32">
      <c r="A34" s="2"/>
      <c r="B34" s="17" t="s">
        <v>232</v>
      </c>
      <c r="C34" s="56"/>
      <c r="D34" s="56"/>
      <c r="E34" s="57"/>
      <c r="F34" s="48" t="s">
        <v>233</v>
      </c>
      <c r="G34" s="50"/>
      <c r="H34" s="50"/>
      <c r="I34" s="50"/>
      <c r="J34" s="50"/>
      <c r="K34" s="58"/>
      <c r="L34" s="17"/>
      <c r="M34" s="59"/>
      <c r="N34" s="2"/>
      <c r="O34" s="2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</row>
    <row r="35" spans="1:32" ht="18" customHeight="1" thickBot="1">
      <c r="A35" s="2"/>
      <c r="B35" s="50"/>
      <c r="C35" s="60"/>
      <c r="D35" s="50"/>
      <c r="E35" s="50"/>
      <c r="F35" s="2"/>
      <c r="G35" s="52"/>
      <c r="H35" s="61"/>
      <c r="I35" s="61"/>
      <c r="J35" s="50"/>
      <c r="K35" s="62"/>
      <c r="L35" s="63"/>
      <c r="M35" s="64"/>
      <c r="N35" s="2"/>
      <c r="O35" s="2"/>
      <c r="P35" s="76" t="s">
        <v>234</v>
      </c>
      <c r="Q35" s="77"/>
      <c r="R35" s="77"/>
      <c r="S35" s="77"/>
      <c r="T35" s="77"/>
      <c r="U35" s="77"/>
      <c r="V35" s="77"/>
      <c r="W35" s="77"/>
      <c r="X35" s="2"/>
      <c r="Y35" s="76" t="s">
        <v>235</v>
      </c>
      <c r="Z35" s="77"/>
      <c r="AA35" s="77"/>
      <c r="AB35" s="77"/>
      <c r="AC35" s="77"/>
      <c r="AD35" s="77"/>
      <c r="AE35" s="77"/>
      <c r="AF35" s="77"/>
    </row>
    <row r="36" spans="1:32" ht="15.75" customHeight="1" thickTop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 t="s">
        <v>93</v>
      </c>
      <c r="Q36" s="8" t="s">
        <v>94</v>
      </c>
      <c r="R36" s="8" t="s">
        <v>95</v>
      </c>
      <c r="S36" s="8" t="s">
        <v>96</v>
      </c>
      <c r="T36" s="8" t="s">
        <v>97</v>
      </c>
      <c r="U36" s="8" t="s">
        <v>98</v>
      </c>
      <c r="V36" s="8" t="s">
        <v>99</v>
      </c>
      <c r="W36" s="10" t="s">
        <v>100</v>
      </c>
      <c r="X36" s="2"/>
      <c r="Y36" s="2" t="s">
        <v>93</v>
      </c>
      <c r="Z36" s="8" t="s">
        <v>94</v>
      </c>
      <c r="AA36" s="8" t="s">
        <v>95</v>
      </c>
      <c r="AB36" s="8" t="s">
        <v>96</v>
      </c>
      <c r="AC36" s="8" t="s">
        <v>97</v>
      </c>
      <c r="AD36" s="8" t="s">
        <v>98</v>
      </c>
      <c r="AE36" s="8" t="s">
        <v>99</v>
      </c>
      <c r="AF36" s="10" t="s">
        <v>100</v>
      </c>
    </row>
    <row r="37" spans="1:3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2" t="s">
        <v>236</v>
      </c>
      <c r="Q37" s="8">
        <f>IF($O$3="(Todas)",COUNTIF(BASE[CODCIE10],ENOS_G1_COLERA[[#This Row],[CIE-10]]),COUNTIFS(BASE[Cod.Establecimiento],$O$3,BASE[CODCIE10],ENOS_G1_COLERA[[#This Row],[CIE-10]]))</f>
        <v>0</v>
      </c>
      <c r="R37" s="8">
        <f>IF($O$3="(Todas)",COUNTIF(BASE[CODCIE102],ENOS_G1_COLERA[[#This Row],[CIE-10]]),COUNTIFS(BASE[Cod.Establecimiento],$O$3,BASE[CODCIE102],ENOS_G1_COLERA[[#This Row],[CIE-10]]))</f>
        <v>0</v>
      </c>
      <c r="S37" s="8">
        <f>IF($O$3="(Todas)",COUNTIF(BASE[CODCIE104],ENOS_G1_COLERA[[#This Row],[CIE-10]]),COUNTIFS(BASE[Cod.Establecimiento],$O$3,BASE[CODCIE104],ENOS_G1_COLERA[[#This Row],[CIE-10]]))</f>
        <v>0</v>
      </c>
      <c r="T37" s="8">
        <f>IF($O$3="(Todas)",COUNTIF(BASE[CODCIE106],ENOS_G1_COLERA[[#This Row],[CIE-10]]),COUNTIFS(BASE[Cod.Establecimiento],$O$3,BASE[CODCIE106],ENOS_G1_COLERA[[#This Row],[CIE-10]]))</f>
        <v>0</v>
      </c>
      <c r="U37" s="8">
        <f>IF($O$3="(Todas)",COUNTIF(BASE[CODCIE108],ENOS_G1_COLERA[[#This Row],[CIE-10]]),COUNTIFS(BASE[Cod.Establecimiento],$O$3,BASE[CODCIE108],ENOS_G1_COLERA[[#This Row],[CIE-10]]))</f>
        <v>0</v>
      </c>
      <c r="V37" s="8">
        <f>IF($O$3="(Todas)",COUNTIF(BASE[CODCIE1010],ENOS_G1_COLERA[[#This Row],[CIE-10]]),COUNTIFS(BASE[Cod.Establecimiento],$O$3,BASE[CODCIE1010],ENOS_G1_COLERA[[#This Row],[CIE-10]]))</f>
        <v>0</v>
      </c>
      <c r="W37" s="9">
        <f>SUM(ENOS_G1_COLERA[[#This Row],[D1]:[D6]])</f>
        <v>0</v>
      </c>
      <c r="X37" s="2"/>
      <c r="Y37" s="32" t="s">
        <v>237</v>
      </c>
      <c r="Z37" s="8">
        <f>IF($O$3="(Todas)",COUNTIF(BASE[CODCIE10],ENOS_G1_FIEBRE_AMARILLA[[#This Row],[CIE-10]]),COUNTIFS(BASE[Cod.Establecimiento],$O$3,BASE[CODCIE10],ENOS_G1_FIEBRE_AMARILLA[[#This Row],[CIE-10]]))</f>
        <v>0</v>
      </c>
      <c r="AA37" s="8">
        <f>IF($O$3="(Todas)",COUNTIF(BASE[CODCIE102],ENOS_G1_FIEBRE_AMARILLA[[#This Row],[CIE-10]]),COUNTIFS(BASE[Cod.Establecimiento],$O$3,BASE[CODCIE102],ENOS_G1_FIEBRE_AMARILLA[[#This Row],[CIE-10]]))</f>
        <v>0</v>
      </c>
      <c r="AB37" s="8">
        <f>IF($O$3="(Todas)",COUNTIF(BASE[CODCIE104],ENOS_G1_FIEBRE_AMARILLA[[#This Row],[CIE-10]]),COUNTIFS(BASE[Cod.Establecimiento],$O$3,BASE[CODCIE104],ENOS_G1_FIEBRE_AMARILLA[[#This Row],[CIE-10]]))</f>
        <v>0</v>
      </c>
      <c r="AC37" s="8">
        <f>IF($O$3="(Todas)",COUNTIF(BASE[CODCIE106],ENOS_G1_FIEBRE_AMARILLA[[#This Row],[CIE-10]]),COUNTIFS(BASE[Cod.Establecimiento],$O$3,BASE[CODCIE106],ENOS_G1_FIEBRE_AMARILLA[[#This Row],[CIE-10]]))</f>
        <v>0</v>
      </c>
      <c r="AD37" s="8">
        <f>IF($O$3="(Todas)",COUNTIF(BASE[CODCIE108],ENOS_G1_FIEBRE_AMARILLA[[#This Row],[CIE-10]]),COUNTIFS(BASE[Cod.Establecimiento],$O$3,BASE[CODCIE108],ENOS_G1_FIEBRE_AMARILLA[[#This Row],[CIE-10]]))</f>
        <v>0</v>
      </c>
      <c r="AE37" s="8">
        <f>IF($O$3="(Todas)",COUNTIF(BASE[CODCIE1010],ENOS_G1_FIEBRE_AMARILLA[[#This Row],[CIE-10]]),COUNTIFS(BASE[Cod.Establecimiento],$O$3,BASE[CODCIE1010],ENOS_G1_FIEBRE_AMARILLA[[#This Row],[CIE-10]]))</f>
        <v>0</v>
      </c>
      <c r="AF37" s="9">
        <f>SUM(ENOS_G1_FIEBRE_AMARILLA[[#This Row],[D1]:[D6]])</f>
        <v>0</v>
      </c>
    </row>
    <row r="38" spans="1:32" s="2" customFormat="1"/>
    <row r="39" spans="1:32" s="2" customFormat="1" ht="18" customHeight="1" thickBot="1">
      <c r="P39" s="76" t="s">
        <v>238</v>
      </c>
      <c r="Q39" s="77"/>
      <c r="R39" s="77"/>
      <c r="S39" s="77"/>
      <c r="T39" s="77"/>
      <c r="U39" s="77"/>
      <c r="V39" s="77"/>
      <c r="W39" s="77"/>
      <c r="Y39" s="76" t="s">
        <v>239</v>
      </c>
      <c r="Z39" s="77"/>
      <c r="AA39" s="77"/>
      <c r="AB39" s="77"/>
      <c r="AC39" s="77"/>
      <c r="AD39" s="77"/>
      <c r="AE39" s="77"/>
      <c r="AF39" s="77"/>
    </row>
    <row r="40" spans="1:32" s="2" customFormat="1" ht="15.75" customHeight="1" thickTop="1">
      <c r="P40" s="2" t="s">
        <v>93</v>
      </c>
      <c r="Q40" s="8" t="s">
        <v>94</v>
      </c>
      <c r="R40" s="8" t="s">
        <v>95</v>
      </c>
      <c r="S40" s="8" t="s">
        <v>96</v>
      </c>
      <c r="T40" s="8" t="s">
        <v>97</v>
      </c>
      <c r="U40" s="8" t="s">
        <v>98</v>
      </c>
      <c r="V40" s="8" t="s">
        <v>99</v>
      </c>
      <c r="W40" s="10" t="s">
        <v>100</v>
      </c>
      <c r="Y40" s="2" t="s">
        <v>93</v>
      </c>
      <c r="Z40" s="8" t="s">
        <v>94</v>
      </c>
      <c r="AA40" s="8" t="s">
        <v>95</v>
      </c>
      <c r="AB40" s="8" t="s">
        <v>96</v>
      </c>
      <c r="AC40" s="8" t="s">
        <v>97</v>
      </c>
      <c r="AD40" s="8" t="s">
        <v>98</v>
      </c>
      <c r="AE40" s="8" t="s">
        <v>99</v>
      </c>
      <c r="AF40" s="10" t="s">
        <v>100</v>
      </c>
    </row>
    <row r="41" spans="1:3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2" t="s">
        <v>240</v>
      </c>
      <c r="Q41" s="8">
        <f>IF($O$3="(Todas)",COUNTIF(BASE[CODCIE10],ENOS_G1_PESTE[[#This Row],[CIE-10]]),COUNTIFS(BASE[Cod.Establecimiento],$O$3,BASE[CODCIE10],ENOS_G1_PESTE[[#This Row],[CIE-10]]))</f>
        <v>0</v>
      </c>
      <c r="R41" s="8">
        <f>IF($O$3="(Todas)",COUNTIF(BASE[CODCIE102],ENOS_G1_PESTE[[#This Row],[CIE-10]]),COUNTIFS(BASE[Cod.Establecimiento],$O$3,BASE[CODCIE102],ENOS_G1_PESTE[[#This Row],[CIE-10]]))</f>
        <v>0</v>
      </c>
      <c r="S41" s="8">
        <f>IF($O$3="(Todas)",COUNTIF(BASE[CODCIE104],ENOS_G1_PESTE[[#This Row],[CIE-10]]),COUNTIFS(BASE[Cod.Establecimiento],$O$3,BASE[CODCIE104],ENOS_G1_PESTE[[#This Row],[CIE-10]]))</f>
        <v>0</v>
      </c>
      <c r="T41" s="8">
        <f>IF($O$3="(Todas)",COUNTIF(BASE[CODCIE106],ENOS_G1_PESTE[[#This Row],[CIE-10]]),COUNTIFS(BASE[Cod.Establecimiento],$O$3,BASE[CODCIE106],ENOS_G1_PESTE[[#This Row],[CIE-10]]))</f>
        <v>0</v>
      </c>
      <c r="U41" s="8">
        <f>IF($O$3="(Todas)",COUNTIF(BASE[CODCIE108],ENOS_G1_PESTE[[#This Row],[CIE-10]]),COUNTIFS(BASE[Cod.Establecimiento],$O$3,BASE[CODCIE108],ENOS_G1_PESTE[[#This Row],[CIE-10]]))</f>
        <v>0</v>
      </c>
      <c r="V41" s="8">
        <f>IF($O$3="(Todas)",COUNTIF(BASE[CODCIE1010],ENOS_G1_PESTE[[#This Row],[CIE-10]]),COUNTIFS(BASE[Cod.Establecimiento],$O$3,BASE[CODCIE1010],ENOS_G1_PESTE[[#This Row],[CIE-10]]))</f>
        <v>0</v>
      </c>
      <c r="W41" s="9">
        <f>SUM(ENOS_G1_PESTE[[#This Row],[D1]:[D6]])</f>
        <v>0</v>
      </c>
      <c r="X41" s="2"/>
      <c r="Y41" s="32" t="s">
        <v>115</v>
      </c>
      <c r="Z41" s="8">
        <f>IF($O$3="(Todas)",COUNTIF(BASE[CODCIE10],ENOS_G1_POLIOMIELITIS_AGUDA[[#This Row],[CIE-10]]),COUNTIFS(BASE[Cod.Establecimiento],$O$3,BASE[CODCIE10],ENOS_G1_POLIOMIELITIS_AGUDA[[#This Row],[CIE-10]]))</f>
        <v>0</v>
      </c>
      <c r="AA41" s="8">
        <f>IF($O$3="(Todas)",COUNTIF(BASE[CODCIE102],ENOS_G1_POLIOMIELITIS_AGUDA[[#This Row],[CIE-10]]),COUNTIFS(BASE[Cod.Establecimiento],$O$3,BASE[CODCIE102],ENOS_G1_POLIOMIELITIS_AGUDA[[#This Row],[CIE-10]]))</f>
        <v>0</v>
      </c>
      <c r="AB41" s="8">
        <f>IF($O$3="(Todas)",COUNTIF(BASE[CODCIE104],ENOS_G1_POLIOMIELITIS_AGUDA[[#This Row],[CIE-10]]),COUNTIFS(BASE[Cod.Establecimiento],$O$3,BASE[CODCIE104],ENOS_G1_POLIOMIELITIS_AGUDA[[#This Row],[CIE-10]]))</f>
        <v>0</v>
      </c>
      <c r="AC41" s="8">
        <f>IF($O$3="(Todas)",COUNTIF(BASE[CODCIE106],ENOS_G1_POLIOMIELITIS_AGUDA[[#This Row],[CIE-10]]),COUNTIFS(BASE[Cod.Establecimiento],$O$3,BASE[CODCIE106],ENOS_G1_POLIOMIELITIS_AGUDA[[#This Row],[CIE-10]]))</f>
        <v>0</v>
      </c>
      <c r="AD41" s="8">
        <f>IF($O$3="(Todas)",COUNTIF(BASE[CODCIE108],ENOS_G1_POLIOMIELITIS_AGUDA[[#This Row],[CIE-10]]),COUNTIFS(BASE[Cod.Establecimiento],$O$3,BASE[CODCIE108],ENOS_G1_POLIOMIELITIS_AGUDA[[#This Row],[CIE-10]]))</f>
        <v>0</v>
      </c>
      <c r="AE41" s="8">
        <f>IF($O$3="(Todas)",COUNTIF(BASE[CODCIE1010],ENOS_G1_POLIOMIELITIS_AGUDA[[#This Row],[CIE-10]]),COUNTIFS(BASE[Cod.Establecimiento],$O$3,BASE[CODCIE1010],ENOS_G1_POLIOMIELITIS_AGUDA[[#This Row],[CIE-10]]))</f>
        <v>0</v>
      </c>
      <c r="AF41" s="9">
        <f>SUM(ENOS_G1_POLIOMIELITIS_AGUDA[[#This Row],[D1]:[D6]])</f>
        <v>0</v>
      </c>
    </row>
    <row r="42" spans="1:32" ht="1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65"/>
      <c r="Z42" s="8"/>
      <c r="AA42" s="8"/>
      <c r="AB42" s="8"/>
      <c r="AC42" s="8"/>
      <c r="AD42" s="8"/>
      <c r="AE42" s="8"/>
      <c r="AF42" s="66"/>
    </row>
    <row r="43" spans="1:32" ht="15.75" customHeight="1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76" t="s">
        <v>241</v>
      </c>
      <c r="Q43" s="77"/>
      <c r="R43" s="77"/>
      <c r="S43" s="77"/>
      <c r="T43" s="77"/>
      <c r="U43" s="77"/>
      <c r="V43" s="77"/>
      <c r="W43" s="77"/>
      <c r="X43" s="2"/>
      <c r="Y43" s="76" t="s">
        <v>242</v>
      </c>
      <c r="Z43" s="77"/>
      <c r="AA43" s="77"/>
      <c r="AB43" s="77"/>
      <c r="AC43" s="77"/>
      <c r="AD43" s="77"/>
      <c r="AE43" s="77"/>
      <c r="AF43" s="77"/>
    </row>
    <row r="44" spans="1:32" ht="15.75" customHeight="1" thickTop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 t="s">
        <v>93</v>
      </c>
      <c r="Q44" s="8" t="s">
        <v>94</v>
      </c>
      <c r="R44" s="8" t="s">
        <v>95</v>
      </c>
      <c r="S44" s="8" t="s">
        <v>96</v>
      </c>
      <c r="T44" s="8" t="s">
        <v>97</v>
      </c>
      <c r="U44" s="8" t="s">
        <v>98</v>
      </c>
      <c r="V44" s="8" t="s">
        <v>99</v>
      </c>
      <c r="W44" s="10" t="s">
        <v>100</v>
      </c>
      <c r="X44" s="2"/>
      <c r="Y44" s="2" t="s">
        <v>93</v>
      </c>
      <c r="Z44" s="8" t="s">
        <v>94</v>
      </c>
      <c r="AA44" s="8" t="s">
        <v>95</v>
      </c>
      <c r="AB44" s="8" t="s">
        <v>96</v>
      </c>
      <c r="AC44" s="8" t="s">
        <v>97</v>
      </c>
      <c r="AD44" s="8" t="s">
        <v>98</v>
      </c>
      <c r="AE44" s="8" t="s">
        <v>99</v>
      </c>
      <c r="AF44" s="10" t="s">
        <v>100</v>
      </c>
    </row>
    <row r="45" spans="1:32" s="2" customFormat="1">
      <c r="P45" s="32" t="s">
        <v>120</v>
      </c>
      <c r="Q45" s="8">
        <f>IF($O$3="(Todas)",COUNTIF(BASE[CODCIE10],ENOS_G1_RUBEOLA[[#This Row],[CIE-10]]),COUNTIFS(BASE[Cod.Establecimiento],$O$3,BASE[CODCIE10],ENOS_G1_RUBEOLA[[#This Row],[CIE-10]]))</f>
        <v>0</v>
      </c>
      <c r="R45" s="8">
        <f>IF($O$3="(Todas)",COUNTIF(BASE[CODCIE102],ENOS_G1_RUBEOLA[[#This Row],[CIE-10]]),COUNTIFS(BASE[Cod.Establecimiento],$O$3,BASE[CODCIE102],ENOS_G1_RUBEOLA[[#This Row],[CIE-10]]))</f>
        <v>0</v>
      </c>
      <c r="S45" s="8">
        <f>IF($O$3="(Todas)",COUNTIF(BASE[CODCIE104],ENOS_G1_RUBEOLA[[#This Row],[CIE-10]]),COUNTIFS(BASE[Cod.Establecimiento],$O$3,BASE[CODCIE104],ENOS_G1_RUBEOLA[[#This Row],[CIE-10]]))</f>
        <v>0</v>
      </c>
      <c r="T45" s="8">
        <f>IF($O$3="(Todas)",COUNTIF(BASE[CODCIE106],ENOS_G1_RUBEOLA[[#This Row],[CIE-10]]),COUNTIFS(BASE[Cod.Establecimiento],$O$3,BASE[CODCIE106],ENOS_G1_RUBEOLA[[#This Row],[CIE-10]]))</f>
        <v>0</v>
      </c>
      <c r="U45" s="8">
        <f>IF($O$3="(Todas)",COUNTIF(BASE[CODCIE108],ENOS_G1_RUBEOLA[[#This Row],[CIE-10]]),COUNTIFS(BASE[Cod.Establecimiento],$O$3,BASE[CODCIE108],ENOS_G1_RUBEOLA[[#This Row],[CIE-10]]))</f>
        <v>0</v>
      </c>
      <c r="V45" s="8">
        <f>IF($O$3="(Todas)",COUNTIF(BASE[CODCIE1010],ENOS_G1_RUBEOLA[[#This Row],[CIE-10]]),COUNTIFS(BASE[Cod.Establecimiento],$O$3,BASE[CODCIE1010],ENOS_G1_RUBEOLA[[#This Row],[CIE-10]]))</f>
        <v>0</v>
      </c>
      <c r="W45" s="9">
        <f>SUM(ENOS_G1_RUBEOLA[[#This Row],[D1]:[D6]])</f>
        <v>0</v>
      </c>
      <c r="Y45" s="32" t="s">
        <v>121</v>
      </c>
      <c r="Z45" s="8">
        <f>IF($O$3="(Todas)",COUNTIF(BASE[CODCIE10],ENOS_G1_SARAMPION[[#This Row],[CIE-10]]),COUNTIFS(BASE[Cod.Establecimiento],$O$3,BASE[CODCIE10],ENOS_G1_SARAMPION[[#This Row],[CIE-10]]))</f>
        <v>0</v>
      </c>
      <c r="AA45" s="8">
        <f>IF($O$3="(Todas)",COUNTIF(BASE[CODCIE102],ENOS_G1_SARAMPION[[#This Row],[CIE-10]]),COUNTIFS(BASE[Cod.Establecimiento],$O$3,BASE[CODCIE102],ENOS_G1_SARAMPION[[#This Row],[CIE-10]]))</f>
        <v>0</v>
      </c>
      <c r="AB45" s="8">
        <f>IF($O$3="(Todas)",COUNTIF(BASE[CODCIE104],ENOS_G1_SARAMPION[[#This Row],[CIE-10]]),COUNTIFS(BASE[Cod.Establecimiento],$O$3,BASE[CODCIE104],ENOS_G1_SARAMPION[[#This Row],[CIE-10]]))</f>
        <v>0</v>
      </c>
      <c r="AC45" s="8">
        <f>IF($O$3="(Todas)",COUNTIF(BASE[CODCIE106],ENOS_G1_SARAMPION[[#This Row],[CIE-10]]),COUNTIFS(BASE[Cod.Establecimiento],$O$3,BASE[CODCIE106],ENOS_G1_SARAMPION[[#This Row],[CIE-10]]))</f>
        <v>0</v>
      </c>
      <c r="AD45" s="8">
        <f>IF($O$3="(Todas)",COUNTIF(BASE[CODCIE108],ENOS_G1_SARAMPION[[#This Row],[CIE-10]]),COUNTIFS(BASE[Cod.Establecimiento],$O$3,BASE[CODCIE108],ENOS_G1_SARAMPION[[#This Row],[CIE-10]]))</f>
        <v>0</v>
      </c>
      <c r="AE45" s="8">
        <f>IF($O$3="(Todas)",COUNTIF(BASE[CODCIE1010],ENOS_G1_SARAMPION[[#This Row],[CIE-10]]),COUNTIFS(BASE[Cod.Establecimiento],$O$3,BASE[CODCIE1010],ENOS_G1_SARAMPION[[#This Row],[CIE-10]]))</f>
        <v>0</v>
      </c>
      <c r="AF45" s="9">
        <f>SUM(ENOS_G1_SARAMPION[[#This Row],[D1]:[D6]])</f>
        <v>0</v>
      </c>
    </row>
    <row r="46" spans="1:32" s="2" customFormat="1">
      <c r="P46" s="65"/>
      <c r="Q46" s="8"/>
      <c r="R46" s="8"/>
      <c r="S46" s="8"/>
      <c r="T46" s="8"/>
      <c r="U46" s="8"/>
      <c r="V46" s="8"/>
      <c r="W46" s="66"/>
    </row>
    <row r="47" spans="1:32" s="2" customFormat="1" ht="18" customHeight="1" thickBot="1">
      <c r="P47" s="76" t="s">
        <v>243</v>
      </c>
      <c r="Q47" s="77"/>
      <c r="R47" s="77"/>
      <c r="S47" s="77"/>
      <c r="T47" s="77"/>
      <c r="U47" s="77"/>
      <c r="V47" s="77"/>
      <c r="W47" s="77"/>
      <c r="Y47" s="76" t="s">
        <v>244</v>
      </c>
      <c r="Z47" s="77"/>
      <c r="AA47" s="77"/>
      <c r="AB47" s="77"/>
      <c r="AC47" s="77"/>
      <c r="AD47" s="77"/>
      <c r="AE47" s="77"/>
      <c r="AF47" s="77"/>
    </row>
    <row r="48" spans="1:32" s="2" customFormat="1" ht="15.75" customHeight="1" thickTop="1">
      <c r="P48" s="2" t="s">
        <v>93</v>
      </c>
      <c r="Q48" s="8" t="s">
        <v>94</v>
      </c>
      <c r="R48" s="8" t="s">
        <v>95</v>
      </c>
      <c r="S48" s="8" t="s">
        <v>96</v>
      </c>
      <c r="T48" s="8" t="s">
        <v>97</v>
      </c>
      <c r="U48" s="8" t="s">
        <v>98</v>
      </c>
      <c r="V48" s="8" t="s">
        <v>99</v>
      </c>
      <c r="W48" s="10" t="s">
        <v>100</v>
      </c>
      <c r="Y48" s="2" t="s">
        <v>93</v>
      </c>
      <c r="Z48" s="8" t="s">
        <v>94</v>
      </c>
      <c r="AA48" s="8" t="s">
        <v>95</v>
      </c>
      <c r="AB48" s="8" t="s">
        <v>96</v>
      </c>
      <c r="AC48" s="8" t="s">
        <v>97</v>
      </c>
      <c r="AD48" s="8" t="s">
        <v>98</v>
      </c>
      <c r="AE48" s="8" t="s">
        <v>99</v>
      </c>
      <c r="AF48" s="10" t="s">
        <v>100</v>
      </c>
    </row>
    <row r="49" spans="1:32" s="2" customFormat="1">
      <c r="P49" s="32" t="s">
        <v>124</v>
      </c>
      <c r="Q49" s="8">
        <f>IF($O$3="(Todas)",COUNTIF(BASE[CODCIE10],ENOS_G1_SINDROME_DE_RUBEOLA_CONGENITA[[#This Row],[CIE-10]]),COUNTIFS(BASE[Cod.Establecimiento],$O$3,BASE[CODCIE10],ENOS_G1_SINDROME_DE_RUBEOLA_CONGENITA[[#This Row],[CIE-10]]))</f>
        <v>0</v>
      </c>
      <c r="R49" s="8">
        <f>IF($O$3="(Todas)",COUNTIF(BASE[CODCIE102],ENOS_G1_SINDROME_DE_RUBEOLA_CONGENITA[[#This Row],[CIE-10]]),COUNTIFS(BASE[Cod.Establecimiento],$O$3,BASE[CODCIE102],ENOS_G1_SINDROME_DE_RUBEOLA_CONGENITA[[#This Row],[CIE-10]]))</f>
        <v>0</v>
      </c>
      <c r="S49" s="8">
        <f>IF($O$3="(Todas)",COUNTIF(BASE[CODCIE104],ENOS_G1_SINDROME_DE_RUBEOLA_CONGENITA[[#This Row],[CIE-10]]),COUNTIFS(BASE[Cod.Establecimiento],$O$3,BASE[CODCIE104],ENOS_G1_SINDROME_DE_RUBEOLA_CONGENITA[[#This Row],[CIE-10]]))</f>
        <v>0</v>
      </c>
      <c r="T49" s="8">
        <f>IF($O$3="(Todas)",COUNTIF(BASE[CODCIE106],ENOS_G1_SINDROME_DE_RUBEOLA_CONGENITA[[#This Row],[CIE-10]]),COUNTIFS(BASE[Cod.Establecimiento],$O$3,BASE[CODCIE106],ENOS_G1_SINDROME_DE_RUBEOLA_CONGENITA[[#This Row],[CIE-10]]))</f>
        <v>0</v>
      </c>
      <c r="U49" s="8">
        <f>IF($O$3="(Todas)",COUNTIF(BASE[CODCIE108],ENOS_G1_SINDROME_DE_RUBEOLA_CONGENITA[[#This Row],[CIE-10]]),COUNTIFS(BASE[Cod.Establecimiento],$O$3,BASE[CODCIE108],ENOS_G1_SINDROME_DE_RUBEOLA_CONGENITA[[#This Row],[CIE-10]]))</f>
        <v>0</v>
      </c>
      <c r="V49" s="8">
        <f>IF($O$3="(Todas)",COUNTIF(BASE[CODCIE1010],ENOS_G1_SINDROME_DE_RUBEOLA_CONGENITA[[#This Row],[CIE-10]]),COUNTIFS(BASE[Cod.Establecimiento],$O$3,BASE[CODCIE1010],ENOS_G1_SINDROME_DE_RUBEOLA_CONGENITA[[#This Row],[CIE-10]]))</f>
        <v>0</v>
      </c>
      <c r="W49" s="9">
        <f>SUM(ENOS_G1_SINDROME_DE_RUBEOLA_CONGENITA[[#This Row],[D1]:[D6]])</f>
        <v>0</v>
      </c>
      <c r="Y49" s="32" t="s">
        <v>131</v>
      </c>
      <c r="Z49" s="8">
        <f>IF($O$3="(Todas)",COUNTIF(BASE[CODCIE10],ENOS_G1_TETANOS_NEONATAL[[#This Row],[CIE-10]]),COUNTIFS(BASE[Cod.Establecimiento],$O$3,BASE[CODCIE10],ENOS_G1_TETANOS_NEONATAL[[#This Row],[CIE-10]]))</f>
        <v>0</v>
      </c>
      <c r="AA49" s="8">
        <f>IF($O$3="(Todas)",COUNTIF(BASE[CODCIE102],ENOS_G1_TETANOS_NEONATAL[[#This Row],[CIE-10]]),COUNTIFS(BASE[Cod.Establecimiento],$O$3,BASE[CODCIE102],ENOS_G1_TETANOS_NEONATAL[[#This Row],[CIE-10]]))</f>
        <v>0</v>
      </c>
      <c r="AB49" s="8">
        <f>IF($O$3="(Todas)",COUNTIF(BASE[CODCIE104],ENOS_G1_TETANOS_NEONATAL[[#This Row],[CIE-10]]),COUNTIFS(BASE[Cod.Establecimiento],$O$3,BASE[CODCIE104],ENOS_G1_TETANOS_NEONATAL[[#This Row],[CIE-10]]))</f>
        <v>0</v>
      </c>
      <c r="AC49" s="8">
        <f>IF($O$3="(Todas)",COUNTIF(BASE[CODCIE106],ENOS_G1_TETANOS_NEONATAL[[#This Row],[CIE-10]]),COUNTIFS(BASE[Cod.Establecimiento],$O$3,BASE[CODCIE106],ENOS_G1_TETANOS_NEONATAL[[#This Row],[CIE-10]]))</f>
        <v>0</v>
      </c>
      <c r="AD49" s="8">
        <f>IF($O$3="(Todas)",COUNTIF(BASE[CODCIE108],ENOS_G1_TETANOS_NEONATAL[[#This Row],[CIE-10]]),COUNTIFS(BASE[Cod.Establecimiento],$O$3,BASE[CODCIE108],ENOS_G1_TETANOS_NEONATAL[[#This Row],[CIE-10]]))</f>
        <v>0</v>
      </c>
      <c r="AE49" s="8">
        <f>IF($O$3="(Todas)",COUNTIF(BASE[CODCIE1010],ENOS_G1_TETANOS_NEONATAL[[#This Row],[CIE-10]]),COUNTIFS(BASE[Cod.Establecimiento],$O$3,BASE[CODCIE1010],ENOS_G1_TETANOS_NEONATAL[[#This Row],[CIE-10]]))</f>
        <v>0</v>
      </c>
      <c r="AF49" s="9">
        <f>SUM(ENOS_G1_TETANOS_NEONATAL[[#This Row],[D1]:[D6]])</f>
        <v>0</v>
      </c>
    </row>
    <row r="50" spans="1:32" s="2" customFormat="1"/>
    <row r="51" spans="1:32" ht="18" customHeight="1" thickBo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76" t="s">
        <v>245</v>
      </c>
      <c r="Q51" s="77"/>
      <c r="R51" s="77"/>
      <c r="S51" s="77"/>
      <c r="T51" s="77"/>
      <c r="U51" s="77"/>
      <c r="V51" s="77"/>
      <c r="W51" s="77"/>
      <c r="X51" s="2"/>
      <c r="Y51" s="76" t="s">
        <v>246</v>
      </c>
      <c r="Z51" s="77"/>
      <c r="AA51" s="77"/>
      <c r="AB51" s="77"/>
      <c r="AC51" s="77"/>
      <c r="AD51" s="77"/>
      <c r="AE51" s="77"/>
      <c r="AF51" s="77"/>
    </row>
    <row r="52" spans="1:32" ht="18" customHeight="1" thickTop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 t="s">
        <v>93</v>
      </c>
      <c r="Q52" s="8" t="s">
        <v>94</v>
      </c>
      <c r="R52" s="8" t="s">
        <v>95</v>
      </c>
      <c r="S52" s="8" t="s">
        <v>96</v>
      </c>
      <c r="T52" s="8" t="s">
        <v>97</v>
      </c>
      <c r="U52" s="8" t="s">
        <v>98</v>
      </c>
      <c r="V52" s="8" t="s">
        <v>99</v>
      </c>
      <c r="W52" s="10" t="s">
        <v>100</v>
      </c>
      <c r="X52" s="2"/>
      <c r="Y52" s="2" t="s">
        <v>93</v>
      </c>
      <c r="Z52" s="8" t="s">
        <v>94</v>
      </c>
      <c r="AA52" s="8" t="s">
        <v>95</v>
      </c>
      <c r="AB52" s="8" t="s">
        <v>96</v>
      </c>
      <c r="AC52" s="8" t="s">
        <v>97</v>
      </c>
      <c r="AD52" s="8" t="s">
        <v>98</v>
      </c>
      <c r="AE52" s="8" t="s">
        <v>99</v>
      </c>
      <c r="AF52" s="10" t="s">
        <v>100</v>
      </c>
    </row>
    <row r="53" spans="1:3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2" t="s">
        <v>247</v>
      </c>
      <c r="Q53" s="8">
        <f>IF($O$3="(Todas)",COUNTIF(BASE[CODCIE10],ENOS_G1_PALUDISMO[[#This Row],[CIE-10]]),COUNTIFS(BASE[Cod.Establecimiento],$O$3,BASE[CODCIE10],ENOS_G1_PALUDISMO[[#This Row],[CIE-10]]))</f>
        <v>0</v>
      </c>
      <c r="R53" s="8">
        <f>IF($O$3="(Todas)",COUNTIF(BASE[CODCIE102],ENOS_G1_PALUDISMO[[#This Row],[CIE-10]]),COUNTIFS(BASE[Cod.Establecimiento],$O$3,BASE[CODCIE102],ENOS_G1_PALUDISMO[[#This Row],[CIE-10]]))</f>
        <v>0</v>
      </c>
      <c r="S53" s="8">
        <f>IF($O$3="(Todas)",COUNTIF(BASE[CODCIE104],ENOS_G1_PALUDISMO[[#This Row],[CIE-10]]),COUNTIFS(BASE[Cod.Establecimiento],$O$3,BASE[CODCIE104],ENOS_G1_PALUDISMO[[#This Row],[CIE-10]]))</f>
        <v>0</v>
      </c>
      <c r="T53" s="8">
        <f>IF($O$3="(Todas)",COUNTIF(BASE[CODCIE106],ENOS_G1_PALUDISMO[[#This Row],[CIE-10]]),COUNTIFS(BASE[Cod.Establecimiento],$O$3,BASE[CODCIE106],ENOS_G1_PALUDISMO[[#This Row],[CIE-10]]))</f>
        <v>0</v>
      </c>
      <c r="U53" s="8">
        <f>IF($O$3="(Todas)",COUNTIF(BASE[CODCIE108],ENOS_G1_PALUDISMO[[#This Row],[CIE-10]]),COUNTIFS(BASE[Cod.Establecimiento],$O$3,BASE[CODCIE108],ENOS_G1_PALUDISMO[[#This Row],[CIE-10]]))</f>
        <v>0</v>
      </c>
      <c r="V53" s="8">
        <f>IF($O$3="(Todas)",COUNTIF(BASE[CODCIE1010],ENOS_G1_PALUDISMO[[#This Row],[CIE-10]]),COUNTIFS(BASE[Cod.Establecimiento],$O$3,BASE[CODCIE1010],ENOS_G1_PALUDISMO[[#This Row],[CIE-10]]))</f>
        <v>0</v>
      </c>
      <c r="W53" s="9">
        <f>SUM(ENOS_G1_PALUDISMO[[#This Row],[D1]:[D6]])</f>
        <v>0</v>
      </c>
      <c r="X53" s="2"/>
      <c r="Y53" s="32" t="s">
        <v>248</v>
      </c>
      <c r="Z53" s="8">
        <f>IF($O$3="(Todas)",COUNTIF(BASE[CODCIE10],ENOS_G2_CONJUNTIVITIS_VIRAL[[#This Row],[CIE-10]]),COUNTIFS(BASE[Cod.Establecimiento],$O$3,BASE[CODCIE10],ENOS_G2_CONJUNTIVITIS_VIRAL[[#This Row],[CIE-10]]))</f>
        <v>0</v>
      </c>
      <c r="AA53" s="8">
        <f>IF($O$3="(Todas)",COUNTIF(BASE[CODCIE102],ENOS_G2_CONJUNTIVITIS_VIRAL[[#This Row],[CIE-10]]),COUNTIFS(BASE[Cod.Establecimiento],$O$3,BASE[CODCIE102],ENOS_G2_CONJUNTIVITIS_VIRAL[[#This Row],[CIE-10]]))</f>
        <v>0</v>
      </c>
      <c r="AB53" s="8">
        <f>IF($O$3="(Todas)",COUNTIF(BASE[CODCIE104],ENOS_G2_CONJUNTIVITIS_VIRAL[[#This Row],[CIE-10]]),COUNTIFS(BASE[Cod.Establecimiento],$O$3,BASE[CODCIE104],ENOS_G2_CONJUNTIVITIS_VIRAL[[#This Row],[CIE-10]]))</f>
        <v>0</v>
      </c>
      <c r="AC53" s="8">
        <f>IF($O$3="(Todas)",COUNTIF(BASE[CODCIE106],ENOS_G2_CONJUNTIVITIS_VIRAL[[#This Row],[CIE-10]]),COUNTIFS(BASE[Cod.Establecimiento],$O$3,BASE[CODCIE106],ENOS_G2_CONJUNTIVITIS_VIRAL[[#This Row],[CIE-10]]))</f>
        <v>0</v>
      </c>
      <c r="AD53" s="8">
        <f>IF($O$3="(Todas)",COUNTIF(BASE[CODCIE108],ENOS_G2_CONJUNTIVITIS_VIRAL[[#This Row],[CIE-10]]),COUNTIFS(BASE[Cod.Establecimiento],$O$3,BASE[CODCIE108],ENOS_G2_CONJUNTIVITIS_VIRAL[[#This Row],[CIE-10]]))</f>
        <v>0</v>
      </c>
      <c r="AE53" s="8">
        <f>IF($O$3="(Todas)",COUNTIF(BASE[CODCIE1010],ENOS_G2_CONJUNTIVITIS_VIRAL[[#This Row],[CIE-10]]),COUNTIFS(BASE[Cod.Establecimiento],$O$3,BASE[CODCIE1010],ENOS_G2_CONJUNTIVITIS_VIRAL[[#This Row],[CIE-10]]))</f>
        <v>0</v>
      </c>
      <c r="AF53" s="9">
        <f>SUM(ENOS_G2_CONJUNTIVITIS_VIRAL[[#This Row],[D1]:[D6]])</f>
        <v>0</v>
      </c>
    </row>
    <row r="54" spans="1:3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2" t="s">
        <v>249</v>
      </c>
      <c r="Q54" s="8">
        <f>IF($O$3="(Todas)",COUNTIF(BASE[CODCIE10],ENOS_G1_PALUDISMO[[#This Row],[CIE-10]]),COUNTIFS(BASE[Cod.Establecimiento],$O$3,BASE[CODCIE10],ENOS_G1_PALUDISMO[[#This Row],[CIE-10]]))</f>
        <v>0</v>
      </c>
      <c r="R54" s="8">
        <f>IF($O$3="(Todas)",COUNTIF(BASE[CODCIE102],ENOS_G1_PALUDISMO[[#This Row],[CIE-10]]),COUNTIFS(BASE[Cod.Establecimiento],$O$3,BASE[CODCIE102],ENOS_G1_PALUDISMO[[#This Row],[CIE-10]]))</f>
        <v>0</v>
      </c>
      <c r="S54" s="8">
        <f>IF($O$3="(Todas)",COUNTIF(BASE[CODCIE104],ENOS_G1_PALUDISMO[[#This Row],[CIE-10]]),COUNTIFS(BASE[Cod.Establecimiento],$O$3,BASE[CODCIE104],ENOS_G1_PALUDISMO[[#This Row],[CIE-10]]))</f>
        <v>0</v>
      </c>
      <c r="T54" s="8">
        <f>IF($O$3="(Todas)",COUNTIF(BASE[CODCIE106],ENOS_G1_PALUDISMO[[#This Row],[CIE-10]]),COUNTIFS(BASE[Cod.Establecimiento],$O$3,BASE[CODCIE106],ENOS_G1_PALUDISMO[[#This Row],[CIE-10]]))</f>
        <v>0</v>
      </c>
      <c r="U54" s="8">
        <f>IF($O$3="(Todas)",COUNTIF(BASE[CODCIE108],ENOS_G1_PALUDISMO[[#This Row],[CIE-10]]),COUNTIFS(BASE[Cod.Establecimiento],$O$3,BASE[CODCIE108],ENOS_G1_PALUDISMO[[#This Row],[CIE-10]]))</f>
        <v>0</v>
      </c>
      <c r="V54" s="8">
        <f>IF($O$3="(Todas)",COUNTIF(BASE[CODCIE1010],ENOS_G1_PALUDISMO[[#This Row],[CIE-10]]),COUNTIFS(BASE[Cod.Establecimiento],$O$3,BASE[CODCIE1010],ENOS_G1_PALUDISMO[[#This Row],[CIE-10]]))</f>
        <v>0</v>
      </c>
      <c r="W54" s="9">
        <f>SUM(ENOS_G1_PALUDISMO[[#This Row],[D1]:[D6]])</f>
        <v>0</v>
      </c>
      <c r="X54" s="2"/>
      <c r="Y54" s="2"/>
      <c r="Z54" s="2"/>
      <c r="AA54" s="2"/>
      <c r="AB54" s="2"/>
      <c r="AC54" s="2"/>
      <c r="AD54" s="2"/>
      <c r="AE54" s="2"/>
      <c r="AF54" s="2"/>
    </row>
    <row r="55" spans="1:32" s="2" customFormat="1">
      <c r="P55" s="32" t="s">
        <v>250</v>
      </c>
      <c r="Q55" s="8">
        <f>IF($O$3="(Todas)",COUNTIF(BASE[CODCIE10],ENOS_G1_PALUDISMO[[#This Row],[CIE-10]]),COUNTIFS(BASE[Cod.Establecimiento],$O$3,BASE[CODCIE10],ENOS_G1_PALUDISMO[[#This Row],[CIE-10]]))</f>
        <v>0</v>
      </c>
      <c r="R55" s="8">
        <f>IF($O$3="(Todas)",COUNTIF(BASE[CODCIE102],ENOS_G1_PALUDISMO[[#This Row],[CIE-10]]),COUNTIFS(BASE[Cod.Establecimiento],$O$3,BASE[CODCIE102],ENOS_G1_PALUDISMO[[#This Row],[CIE-10]]))</f>
        <v>0</v>
      </c>
      <c r="S55" s="8">
        <f>IF($O$3="(Todas)",COUNTIF(BASE[CODCIE104],ENOS_G1_PALUDISMO[[#This Row],[CIE-10]]),COUNTIFS(BASE[Cod.Establecimiento],$O$3,BASE[CODCIE104],ENOS_G1_PALUDISMO[[#This Row],[CIE-10]]))</f>
        <v>0</v>
      </c>
      <c r="T55" s="8">
        <f>IF($O$3="(Todas)",COUNTIF(BASE[CODCIE106],ENOS_G1_PALUDISMO[[#This Row],[CIE-10]]),COUNTIFS(BASE[Cod.Establecimiento],$O$3,BASE[CODCIE106],ENOS_G1_PALUDISMO[[#This Row],[CIE-10]]))</f>
        <v>0</v>
      </c>
      <c r="U55" s="8">
        <f>IF($O$3="(Todas)",COUNTIF(BASE[CODCIE108],ENOS_G1_PALUDISMO[[#This Row],[CIE-10]]),COUNTIFS(BASE[Cod.Establecimiento],$O$3,BASE[CODCIE108],ENOS_G1_PALUDISMO[[#This Row],[CIE-10]]))</f>
        <v>0</v>
      </c>
      <c r="V55" s="8">
        <f>IF($O$3="(Todas)",COUNTIF(BASE[CODCIE1010],ENOS_G1_PALUDISMO[[#This Row],[CIE-10]]),COUNTIFS(BASE[Cod.Establecimiento],$O$3,BASE[CODCIE1010],ENOS_G1_PALUDISMO[[#This Row],[CIE-10]]))</f>
        <v>0</v>
      </c>
      <c r="W55" s="9">
        <f>SUM(ENOS_G1_PALUDISMO[[#This Row],[D1]:[D6]])</f>
        <v>0</v>
      </c>
    </row>
    <row r="56" spans="1:32" s="2" customFormat="1">
      <c r="P56" s="32" t="s">
        <v>251</v>
      </c>
      <c r="Q56" s="8">
        <f>IF($O$3="(Todas)",COUNTIF(BASE[CODCIE10],ENOS_G1_PALUDISMO[[#This Row],[CIE-10]]),COUNTIFS(BASE[Cod.Establecimiento],$O$3,BASE[CODCIE10],ENOS_G1_PALUDISMO[[#This Row],[CIE-10]]))</f>
        <v>0</v>
      </c>
      <c r="R56" s="8">
        <f>IF($O$3="(Todas)",COUNTIF(BASE[CODCIE102],ENOS_G1_PALUDISMO[[#This Row],[CIE-10]]),COUNTIFS(BASE[Cod.Establecimiento],$O$3,BASE[CODCIE102],ENOS_G1_PALUDISMO[[#This Row],[CIE-10]]))</f>
        <v>0</v>
      </c>
      <c r="S56" s="8">
        <f>IF($O$3="(Todas)",COUNTIF(BASE[CODCIE104],ENOS_G1_PALUDISMO[[#This Row],[CIE-10]]),COUNTIFS(BASE[Cod.Establecimiento],$O$3,BASE[CODCIE104],ENOS_G1_PALUDISMO[[#This Row],[CIE-10]]))</f>
        <v>0</v>
      </c>
      <c r="T56" s="8">
        <f>IF($O$3="(Todas)",COUNTIF(BASE[CODCIE106],ENOS_G1_PALUDISMO[[#This Row],[CIE-10]]),COUNTIFS(BASE[Cod.Establecimiento],$O$3,BASE[CODCIE106],ENOS_G1_PALUDISMO[[#This Row],[CIE-10]]))</f>
        <v>0</v>
      </c>
      <c r="U56" s="8">
        <f>IF($O$3="(Todas)",COUNTIF(BASE[CODCIE108],ENOS_G1_PALUDISMO[[#This Row],[CIE-10]]),COUNTIFS(BASE[Cod.Establecimiento],$O$3,BASE[CODCIE108],ENOS_G1_PALUDISMO[[#This Row],[CIE-10]]))</f>
        <v>0</v>
      </c>
      <c r="V56" s="8">
        <f>IF($O$3="(Todas)",COUNTIF(BASE[CODCIE1010],ENOS_G1_PALUDISMO[[#This Row],[CIE-10]]),COUNTIFS(BASE[Cod.Establecimiento],$O$3,BASE[CODCIE1010],ENOS_G1_PALUDISMO[[#This Row],[CIE-10]]))</f>
        <v>0</v>
      </c>
      <c r="W56" s="9">
        <f>SUM(ENOS_G1_PALUDISMO[[#This Row],[D1]:[D6]])</f>
        <v>0</v>
      </c>
    </row>
    <row r="57" spans="1:32" s="2" customFormat="1">
      <c r="P57" s="32" t="s">
        <v>252</v>
      </c>
      <c r="Q57" s="8">
        <f>IF($O$3="(Todas)",COUNTIF(BASE[CODCIE10],ENOS_G1_PALUDISMO[[#This Row],[CIE-10]]),COUNTIFS(BASE[Cod.Establecimiento],$O$3,BASE[CODCIE10],ENOS_G1_PALUDISMO[[#This Row],[CIE-10]]))</f>
        <v>0</v>
      </c>
      <c r="R57" s="8">
        <f>IF($O$3="(Todas)",COUNTIF(BASE[CODCIE102],ENOS_G1_PALUDISMO[[#This Row],[CIE-10]]),COUNTIFS(BASE[Cod.Establecimiento],$O$3,BASE[CODCIE102],ENOS_G1_PALUDISMO[[#This Row],[CIE-10]]))</f>
        <v>0</v>
      </c>
      <c r="S57" s="8">
        <f>IF($O$3="(Todas)",COUNTIF(BASE[CODCIE104],ENOS_G1_PALUDISMO[[#This Row],[CIE-10]]),COUNTIFS(BASE[Cod.Establecimiento],$O$3,BASE[CODCIE104],ENOS_G1_PALUDISMO[[#This Row],[CIE-10]]))</f>
        <v>0</v>
      </c>
      <c r="T57" s="8">
        <f>IF($O$3="(Todas)",COUNTIF(BASE[CODCIE106],ENOS_G1_PALUDISMO[[#This Row],[CIE-10]]),COUNTIFS(BASE[Cod.Establecimiento],$O$3,BASE[CODCIE106],ENOS_G1_PALUDISMO[[#This Row],[CIE-10]]))</f>
        <v>0</v>
      </c>
      <c r="U57" s="8">
        <f>IF($O$3="(Todas)",COUNTIF(BASE[CODCIE108],ENOS_G1_PALUDISMO[[#This Row],[CIE-10]]),COUNTIFS(BASE[Cod.Establecimiento],$O$3,BASE[CODCIE108],ENOS_G1_PALUDISMO[[#This Row],[CIE-10]]))</f>
        <v>0</v>
      </c>
      <c r="V57" s="8">
        <f>IF($O$3="(Todas)",COUNTIF(BASE[CODCIE1010],ENOS_G1_PALUDISMO[[#This Row],[CIE-10]]),COUNTIFS(BASE[Cod.Establecimiento],$O$3,BASE[CODCIE1010],ENOS_G1_PALUDISMO[[#This Row],[CIE-10]]))</f>
        <v>0</v>
      </c>
      <c r="W57" s="9">
        <f>SUM(ENOS_G1_PALUDISMO[[#This Row],[D1]:[D6]])</f>
        <v>0</v>
      </c>
    </row>
    <row r="58" spans="1:3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8" customHeight="1" thickBo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76" t="s">
        <v>253</v>
      </c>
      <c r="Q59" s="77"/>
      <c r="R59" s="77"/>
      <c r="S59" s="77"/>
      <c r="T59" s="77"/>
      <c r="U59" s="77"/>
      <c r="V59" s="77"/>
      <c r="W59" s="77"/>
      <c r="X59" s="2"/>
      <c r="Y59" s="76" t="s">
        <v>254</v>
      </c>
      <c r="Z59" s="77"/>
      <c r="AA59" s="77"/>
      <c r="AB59" s="77"/>
      <c r="AC59" s="77"/>
      <c r="AD59" s="77"/>
      <c r="AE59" s="77"/>
      <c r="AF59" s="77"/>
    </row>
    <row r="60" spans="1:32" ht="15.75" customHeight="1" thickTop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 t="s">
        <v>93</v>
      </c>
      <c r="Q60" s="8" t="s">
        <v>94</v>
      </c>
      <c r="R60" s="8" t="s">
        <v>95</v>
      </c>
      <c r="S60" s="8" t="s">
        <v>96</v>
      </c>
      <c r="T60" s="8" t="s">
        <v>97</v>
      </c>
      <c r="U60" s="8" t="s">
        <v>98</v>
      </c>
      <c r="V60" s="8" t="s">
        <v>99</v>
      </c>
      <c r="W60" s="10" t="s">
        <v>100</v>
      </c>
      <c r="X60" s="2"/>
      <c r="Y60" s="2" t="s">
        <v>93</v>
      </c>
      <c r="Z60" s="8" t="s">
        <v>94</v>
      </c>
      <c r="AA60" s="8" t="s">
        <v>95</v>
      </c>
      <c r="AB60" s="8" t="s">
        <v>96</v>
      </c>
      <c r="AC60" s="8" t="s">
        <v>97</v>
      </c>
      <c r="AD60" s="8" t="s">
        <v>98</v>
      </c>
      <c r="AE60" s="8" t="s">
        <v>99</v>
      </c>
      <c r="AF60" s="10" t="s">
        <v>100</v>
      </c>
    </row>
    <row r="61" spans="1:32" ht="1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2" t="s">
        <v>130</v>
      </c>
      <c r="Q61" s="8">
        <f>IF($O$3="(Todas)",COUNTIF(BASE[CODCIE10],ENOS_G2_PAROTIDITIS_INFECCIOSA_PAPERAS[[#This Row],[CIE-10]]),COUNTIFS(BASE[Cod.Establecimiento],$O$3,BASE[CODCIE10],ENOS_G2_PAROTIDITIS_INFECCIOSA_PAPERAS[[#This Row],[CIE-10]]))</f>
        <v>0</v>
      </c>
      <c r="R61" s="8">
        <f>IF($O$3="(Todas)",COUNTIF(BASE[CODCIE102],ENOS_G2_PAROTIDITIS_INFECCIOSA_PAPERAS[[#This Row],[CIE-10]]),COUNTIFS(BASE[Cod.Establecimiento],$O$3,BASE[CODCIE102],ENOS_G2_PAROTIDITIS_INFECCIOSA_PAPERAS[[#This Row],[CIE-10]]))</f>
        <v>0</v>
      </c>
      <c r="S61" s="8">
        <f>IF($O$3="(Todas)",COUNTIF(BASE[CODCIE104],ENOS_G2_PAROTIDITIS_INFECCIOSA_PAPERAS[[#This Row],[CIE-10]]),COUNTIFS(BASE[Cod.Establecimiento],$O$3,BASE[CODCIE104],ENOS_G2_PAROTIDITIS_INFECCIOSA_PAPERAS[[#This Row],[CIE-10]]))</f>
        <v>0</v>
      </c>
      <c r="T61" s="8">
        <f>IF($O$3="(Todas)",COUNTIF(BASE[CODCIE106],ENOS_G2_PAROTIDITIS_INFECCIOSA_PAPERAS[[#This Row],[CIE-10]]),COUNTIFS(BASE[Cod.Establecimiento],$O$3,BASE[CODCIE106],ENOS_G2_PAROTIDITIS_INFECCIOSA_PAPERAS[[#This Row],[CIE-10]]))</f>
        <v>0</v>
      </c>
      <c r="U61" s="8">
        <f>IF($O$3="(Todas)",COUNTIF(BASE[CODCIE108],ENOS_G2_PAROTIDITIS_INFECCIOSA_PAPERAS[[#This Row],[CIE-10]]),COUNTIFS(BASE[Cod.Establecimiento],$O$3,BASE[CODCIE108],ENOS_G2_PAROTIDITIS_INFECCIOSA_PAPERAS[[#This Row],[CIE-10]]))</f>
        <v>0</v>
      </c>
      <c r="V61" s="8">
        <f>IF($O$3="(Todas)",COUNTIF(BASE[CODCIE1010],ENOS_G2_PAROTIDITIS_INFECCIOSA_PAPERAS[[#This Row],[CIE-10]]),COUNTIFS(BASE[Cod.Establecimiento],$O$3,BASE[CODCIE1010],ENOS_G2_PAROTIDITIS_INFECCIOSA_PAPERAS[[#This Row],[CIE-10]]))</f>
        <v>0</v>
      </c>
      <c r="W61" s="9">
        <f>SUM(ENOS_G2_PAROTIDITIS_INFECCIOSA_PAPERAS[[#This Row],[D1]:[D6]])</f>
        <v>0</v>
      </c>
      <c r="X61" s="2"/>
      <c r="Y61" s="32" t="s">
        <v>147</v>
      </c>
      <c r="Z61" s="8">
        <f>IF($O$3="(Todas)",COUNTIF(BASE[CODCIE10],ENOS_G2_VARICELA[[#This Row],[CIE-10]]),COUNTIFS(BASE[Cod.Establecimiento],$O$3,BASE[CODCIE10],ENOS_G2_VARICELA[[#This Row],[CIE-10]]))</f>
        <v>0</v>
      </c>
      <c r="AA61" s="8">
        <f>IF($O$3="(Todas)",COUNTIF(BASE[CODCIE102],ENOS_G2_VARICELA[[#This Row],[CIE-10]]),COUNTIFS(BASE[Cod.Establecimiento],$O$3,BASE[CODCIE102],ENOS_G2_VARICELA[[#This Row],[CIE-10]]))</f>
        <v>0</v>
      </c>
      <c r="AB61" s="8">
        <f>IF($O$3="(Todas)",COUNTIF(BASE[CODCIE104],ENOS_G2_VARICELA[[#This Row],[CIE-10]]),COUNTIFS(BASE[Cod.Establecimiento],$O$3,BASE[CODCIE104],ENOS_G2_VARICELA[[#This Row],[CIE-10]]))</f>
        <v>0</v>
      </c>
      <c r="AC61" s="8">
        <f>IF($O$3="(Todas)",COUNTIF(BASE[CODCIE106],ENOS_G2_VARICELA[[#This Row],[CIE-10]]),COUNTIFS(BASE[Cod.Establecimiento],$O$3,BASE[CODCIE106],ENOS_G2_VARICELA[[#This Row],[CIE-10]]))</f>
        <v>0</v>
      </c>
      <c r="AD61" s="8">
        <f>IF($O$3="(Todas)",COUNTIF(BASE[CODCIE108],ENOS_G2_VARICELA[[#This Row],[CIE-10]]),COUNTIFS(BASE[Cod.Establecimiento],$O$3,BASE[CODCIE108],ENOS_G2_VARICELA[[#This Row],[CIE-10]]))</f>
        <v>0</v>
      </c>
      <c r="AE61" s="8">
        <f>IF($O$3="(Todas)",COUNTIF(BASE[CODCIE1010],ENOS_G2_VARICELA[[#This Row],[CIE-10]]),COUNTIFS(BASE[Cod.Establecimiento],$O$3,BASE[CODCIE1010],ENOS_G2_VARICELA[[#This Row],[CIE-10]]))</f>
        <v>0</v>
      </c>
      <c r="AF61" s="9">
        <f>SUM(ENOS_G2_VARICELA[[#This Row],[D1]:[D6]])</f>
        <v>0</v>
      </c>
    </row>
    <row r="62" spans="1:3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32" ht="18" customHeight="1" thickBo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76" t="s">
        <v>255</v>
      </c>
      <c r="Q63" s="77"/>
      <c r="R63" s="77"/>
      <c r="S63" s="77"/>
      <c r="T63" s="77"/>
      <c r="U63" s="77"/>
      <c r="V63" s="77"/>
      <c r="W63" s="77"/>
      <c r="X63" s="2"/>
      <c r="Y63" s="76" t="s">
        <v>256</v>
      </c>
      <c r="Z63" s="77"/>
      <c r="AA63" s="77"/>
      <c r="AB63" s="77"/>
      <c r="AC63" s="77"/>
      <c r="AD63" s="77"/>
      <c r="AE63" s="77"/>
      <c r="AF63" s="77"/>
    </row>
    <row r="64" spans="1:32" ht="15.75" customHeight="1" thickTop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 t="s">
        <v>93</v>
      </c>
      <c r="Q64" s="8" t="s">
        <v>94</v>
      </c>
      <c r="R64" s="8" t="s">
        <v>95</v>
      </c>
      <c r="S64" s="8" t="s">
        <v>96</v>
      </c>
      <c r="T64" s="8" t="s">
        <v>97</v>
      </c>
      <c r="U64" s="8" t="s">
        <v>98</v>
      </c>
      <c r="V64" s="8" t="s">
        <v>99</v>
      </c>
      <c r="W64" s="10" t="s">
        <v>100</v>
      </c>
      <c r="X64" s="2"/>
      <c r="Y64" s="2" t="s">
        <v>93</v>
      </c>
      <c r="Z64" s="8" t="s">
        <v>94</v>
      </c>
      <c r="AA64" s="8" t="s">
        <v>95</v>
      </c>
      <c r="AB64" s="8" t="s">
        <v>96</v>
      </c>
      <c r="AC64" s="8" t="s">
        <v>97</v>
      </c>
      <c r="AD64" s="8" t="s">
        <v>98</v>
      </c>
      <c r="AE64" s="8" t="s">
        <v>99</v>
      </c>
      <c r="AF64" s="10" t="s">
        <v>100</v>
      </c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2" t="s">
        <v>257</v>
      </c>
      <c r="Q65" s="8">
        <f>IF($O$3="(Todas)",COUNTIF(BASE[CODCIE10],ENOS_G2_HEPATITIS_A[[#This Row],[CIE-10]]),COUNTIFS(BASE[Cod.Establecimiento],$O$3,BASE[CODCIE10],ENOS_G2_HEPATITIS_A[[#This Row],[CIE-10]]))</f>
        <v>0</v>
      </c>
      <c r="R65" s="8">
        <f>IF($O$3="(Todas)",COUNTIF(BASE[CODCIE102],ENOS_G2_HEPATITIS_A[[#This Row],[CIE-10]]),COUNTIFS(BASE[Cod.Establecimiento],$O$3,BASE[CODCIE102],ENOS_G2_HEPATITIS_A[[#This Row],[CIE-10]]))</f>
        <v>0</v>
      </c>
      <c r="S65" s="8">
        <f>IF($O$3="(Todas)",COUNTIF(BASE[CODCIE104],ENOS_G2_HEPATITIS_A[[#This Row],[CIE-10]]),COUNTIFS(BASE[Cod.Establecimiento],$O$3,BASE[CODCIE104],ENOS_G2_HEPATITIS_A[[#This Row],[CIE-10]]))</f>
        <v>0</v>
      </c>
      <c r="T65" s="8">
        <f>IF($O$3="(Todas)",COUNTIF(BASE[CODCIE106],ENOS_G2_HEPATITIS_A[[#This Row],[CIE-10]]),COUNTIFS(BASE[Cod.Establecimiento],$O$3,BASE[CODCIE106],ENOS_G2_HEPATITIS_A[[#This Row],[CIE-10]]))</f>
        <v>0</v>
      </c>
      <c r="U65" s="8">
        <f>IF($O$3="(Todas)",COUNTIF(BASE[CODCIE108],ENOS_G2_HEPATITIS_A[[#This Row],[CIE-10]]),COUNTIFS(BASE[Cod.Establecimiento],$O$3,BASE[CODCIE108],ENOS_G2_HEPATITIS_A[[#This Row],[CIE-10]]))</f>
        <v>0</v>
      </c>
      <c r="V65" s="8">
        <f>IF($O$3="(Todas)",COUNTIF(BASE[CODCIE1010],ENOS_G2_HEPATITIS_A[[#This Row],[CIE-10]]),COUNTIFS(BASE[Cod.Establecimiento],$O$3,BASE[CODCIE1010],ENOS_G2_HEPATITIS_A[[#This Row],[CIE-10]]))</f>
        <v>0</v>
      </c>
      <c r="W65" s="9">
        <f>SUM(ENOS_G2_HEPATITIS_A[[#This Row],[D1]:[D6]])</f>
        <v>0</v>
      </c>
      <c r="X65" s="2"/>
      <c r="Y65" s="32" t="s">
        <v>258</v>
      </c>
      <c r="Z65" s="8">
        <f>IF($O$3="(Todas)",COUNTIF(BASE[CODCIE10],ENOS_G2_HEPATITIS_VIRAL_SIN_OTRA_ESPECIFIACION[[#This Row],[CIE-10]]),COUNTIFS(BASE[Cod.Establecimiento],$O$3,BASE[CODCIE10],ENOS_G2_HEPATITIS_VIRAL_SIN_OTRA_ESPECIFIACION[[#This Row],[CIE-10]]))</f>
        <v>0</v>
      </c>
      <c r="AA65" s="8">
        <f>IF($O$3="(Todas)",COUNTIF(BASE[CODCIE102],ENOS_G2_HEPATITIS_VIRAL_SIN_OTRA_ESPECIFIACION[[#This Row],[CIE-10]]),COUNTIFS(BASE[Cod.Establecimiento],$O$3,BASE[CODCIE102],ENOS_G2_HEPATITIS_VIRAL_SIN_OTRA_ESPECIFIACION[[#This Row],[CIE-10]]))</f>
        <v>0</v>
      </c>
      <c r="AB65" s="8">
        <f>IF($O$3="(Todas)",COUNTIF(BASE[CODCIE104],ENOS_G2_HEPATITIS_VIRAL_SIN_OTRA_ESPECIFIACION[[#This Row],[CIE-10]]),COUNTIFS(BASE[Cod.Establecimiento],$O$3,BASE[CODCIE104],ENOS_G2_HEPATITIS_VIRAL_SIN_OTRA_ESPECIFIACION[[#This Row],[CIE-10]]))</f>
        <v>0</v>
      </c>
      <c r="AC65" s="8">
        <f>IF($O$3="(Todas)",COUNTIF(BASE[CODCIE106],ENOS_G2_HEPATITIS_VIRAL_SIN_OTRA_ESPECIFIACION[[#This Row],[CIE-10]]),COUNTIFS(BASE[Cod.Establecimiento],$O$3,BASE[CODCIE106],ENOS_G2_HEPATITIS_VIRAL_SIN_OTRA_ESPECIFIACION[[#This Row],[CIE-10]]))</f>
        <v>0</v>
      </c>
      <c r="AD65" s="8">
        <f>IF($O$3="(Todas)",COUNTIF(BASE[CODCIE108],ENOS_G2_HEPATITIS_VIRAL_SIN_OTRA_ESPECIFIACION[[#This Row],[CIE-10]]),COUNTIFS(BASE[Cod.Establecimiento],$O$3,BASE[CODCIE108],ENOS_G2_HEPATITIS_VIRAL_SIN_OTRA_ESPECIFIACION[[#This Row],[CIE-10]]))</f>
        <v>0</v>
      </c>
      <c r="AE65" s="8">
        <f>IF($O$3="(Todas)",COUNTIF(BASE[CODCIE1010],ENOS_G2_HEPATITIS_VIRAL_SIN_OTRA_ESPECIFIACION[[#This Row],[CIE-10]]),COUNTIFS(BASE[Cod.Establecimiento],$O$3,BASE[CODCIE1010],ENOS_G2_HEPATITIS_VIRAL_SIN_OTRA_ESPECIFIACION[[#This Row],[CIE-10]]))</f>
        <v>0</v>
      </c>
      <c r="AF65" s="9">
        <f>SUM(ENOS_G2_HEPATITIS_VIRAL_SIN_OTRA_ESPECIFIACION[[#This Row],[D1]:[D6]])</f>
        <v>0</v>
      </c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32" ht="18" customHeight="1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76" t="s">
        <v>259</v>
      </c>
      <c r="Q67" s="77"/>
      <c r="R67" s="77"/>
      <c r="S67" s="77"/>
      <c r="T67" s="77"/>
      <c r="U67" s="77"/>
      <c r="V67" s="77"/>
      <c r="W67" s="77"/>
      <c r="X67" s="2"/>
      <c r="Y67" s="76" t="s">
        <v>260</v>
      </c>
      <c r="Z67" s="77"/>
      <c r="AA67" s="77"/>
      <c r="AB67" s="77"/>
      <c r="AC67" s="77"/>
      <c r="AD67" s="77"/>
      <c r="AE67" s="77"/>
      <c r="AF67" s="77"/>
    </row>
    <row r="68" spans="1:32" ht="15.75" customHeight="1" thickTop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 t="s">
        <v>93</v>
      </c>
      <c r="Q68" s="8" t="s">
        <v>94</v>
      </c>
      <c r="R68" s="8" t="s">
        <v>95</v>
      </c>
      <c r="S68" s="8" t="s">
        <v>96</v>
      </c>
      <c r="T68" s="8" t="s">
        <v>97</v>
      </c>
      <c r="U68" s="8" t="s">
        <v>98</v>
      </c>
      <c r="V68" s="8" t="s">
        <v>99</v>
      </c>
      <c r="W68" s="10" t="s">
        <v>100</v>
      </c>
      <c r="X68" s="2"/>
      <c r="Y68" s="2" t="s">
        <v>93</v>
      </c>
      <c r="Z68" s="8" t="s">
        <v>94</v>
      </c>
      <c r="AA68" s="8" t="s">
        <v>95</v>
      </c>
      <c r="AB68" s="8" t="s">
        <v>96</v>
      </c>
      <c r="AC68" s="8" t="s">
        <v>97</v>
      </c>
      <c r="AD68" s="8" t="s">
        <v>98</v>
      </c>
      <c r="AE68" s="8" t="s">
        <v>99</v>
      </c>
      <c r="AF68" s="10" t="s">
        <v>100</v>
      </c>
    </row>
    <row r="69" spans="1:3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2" t="s">
        <v>261</v>
      </c>
      <c r="Q69" s="8">
        <f>IF($O$3="(Todas)",COUNTIF(BASE[CODCIE10],ENOS_G2_ETA[[#This Row],[CIE-10]]),COUNTIFS(BASE[Cod.Establecimiento],$O$3,BASE[CODCIE10],ENOS_G2_ETA[[#This Row],[CIE-10]]))</f>
        <v>0</v>
      </c>
      <c r="R69" s="8">
        <f>IF($O$3="(Todas)",COUNTIF(BASE[CODCIE102],ENOS_G2_ETA[[#This Row],[CIE-10]]),COUNTIFS(BASE[Cod.Establecimiento],$O$3,BASE[CODCIE102],ENOS_G2_ETA[[#This Row],[CIE-10]]))</f>
        <v>0</v>
      </c>
      <c r="S69" s="8">
        <f>IF($O$3="(Todas)",COUNTIF(BASE[CODCIE104],ENOS_G2_ETA[[#This Row],[CIE-10]]),COUNTIFS(BASE[Cod.Establecimiento],$O$3,BASE[CODCIE104],ENOS_G2_ETA[[#This Row],[CIE-10]]))</f>
        <v>0</v>
      </c>
      <c r="T69" s="8">
        <f>IF($O$3="(Todas)",COUNTIF(BASE[CODCIE106],ENOS_G2_ETA[[#This Row],[CIE-10]]),COUNTIFS(BASE[Cod.Establecimiento],$O$3,BASE[CODCIE106],ENOS_G2_ETA[[#This Row],[CIE-10]]))</f>
        <v>0</v>
      </c>
      <c r="U69" s="8">
        <f>IF($O$3="(Todas)",COUNTIF(BASE[CODCIE108],ENOS_G2_ETA[[#This Row],[CIE-10]]),COUNTIFS(BASE[Cod.Establecimiento],$O$3,BASE[CODCIE108],ENOS_G2_ETA[[#This Row],[CIE-10]]))</f>
        <v>0</v>
      </c>
      <c r="V69" s="8">
        <f>IF($O$3="(Todas)",COUNTIF(BASE[CODCIE1010],ENOS_G2_ETA[[#This Row],[CIE-10]]),COUNTIFS(BASE[Cod.Establecimiento],$O$3,BASE[CODCIE1010],ENOS_G2_ETA[[#This Row],[CIE-10]]))</f>
        <v>0</v>
      </c>
      <c r="W69" s="9">
        <f>SUM(ENOS_G2_ETA[[#This Row],[D1]:[D6]])</f>
        <v>0</v>
      </c>
      <c r="X69" s="2"/>
      <c r="Y69" s="32" t="s">
        <v>262</v>
      </c>
      <c r="Z69" s="8">
        <f>IF($O$3="(Todas)",COUNTIF(BASE[CODCIE10],ENOS_G2_SIFILIS_CONGENITA[[#This Row],[CIE-10]]),COUNTIFS(BASE[Cod.Establecimiento],$O$3,BASE[CODCIE10],ENOS_G2_SIFILIS_CONGENITA[[#This Row],[CIE-10]]))</f>
        <v>0</v>
      </c>
      <c r="AA69" s="8">
        <f>IF($O$3="(Todas)",COUNTIF(BASE[CODCIE102],ENOS_G2_SIFILIS_CONGENITA[[#This Row],[CIE-10]]),COUNTIFS(BASE[Cod.Establecimiento],$O$3,BASE[CODCIE102],ENOS_G2_SIFILIS_CONGENITA[[#This Row],[CIE-10]]))</f>
        <v>0</v>
      </c>
      <c r="AB69" s="8">
        <f>IF($O$3="(Todas)",COUNTIF(BASE[CODCIE104],ENOS_G2_SIFILIS_CONGENITA[[#This Row],[CIE-10]]),COUNTIFS(BASE[Cod.Establecimiento],$O$3,BASE[CODCIE104],ENOS_G2_SIFILIS_CONGENITA[[#This Row],[CIE-10]]))</f>
        <v>0</v>
      </c>
      <c r="AC69" s="8">
        <f>IF($O$3="(Todas)",COUNTIF(BASE[CODCIE106],ENOS_G2_SIFILIS_CONGENITA[[#This Row],[CIE-10]]),COUNTIFS(BASE[Cod.Establecimiento],$O$3,BASE[CODCIE106],ENOS_G2_SIFILIS_CONGENITA[[#This Row],[CIE-10]]))</f>
        <v>0</v>
      </c>
      <c r="AD69" s="8">
        <f>IF($O$3="(Todas)",COUNTIF(BASE[CODCIE108],ENOS_G2_SIFILIS_CONGENITA[[#This Row],[CIE-10]]),COUNTIFS(BASE[Cod.Establecimiento],$O$3,BASE[CODCIE108],ENOS_G2_SIFILIS_CONGENITA[[#This Row],[CIE-10]]))</f>
        <v>0</v>
      </c>
      <c r="AE69" s="8">
        <f>IF($O$3="(Todas)",COUNTIF(BASE[CODCIE1010],ENOS_G2_SIFILIS_CONGENITA[[#This Row],[CIE-10]]),COUNTIFS(BASE[Cod.Establecimiento],$O$3,BASE[CODCIE1010],ENOS_G2_SIFILIS_CONGENITA[[#This Row],[CIE-10]]))</f>
        <v>0</v>
      </c>
      <c r="AF69" s="9">
        <f>SUM(ENOS_G2_SIFILIS_CONGENITA[[#This Row],[D1]:[D6]])</f>
        <v>0</v>
      </c>
    </row>
    <row r="70" spans="1:32" s="2" customFormat="1" ht="15.75" customHeight="1"/>
    <row r="71" spans="1:32" s="2" customFormat="1" ht="15.75" customHeight="1" thickBot="1">
      <c r="P71" s="76" t="s">
        <v>263</v>
      </c>
      <c r="Q71" s="77"/>
      <c r="R71" s="77"/>
      <c r="S71" s="77"/>
      <c r="T71" s="77"/>
      <c r="U71" s="77"/>
      <c r="V71" s="77"/>
      <c r="W71" s="77"/>
      <c r="Y71" s="76" t="s">
        <v>264</v>
      </c>
      <c r="Z71" s="77"/>
      <c r="AA71" s="77"/>
      <c r="AB71" s="77"/>
      <c r="AC71" s="77"/>
      <c r="AD71" s="77"/>
      <c r="AE71" s="77"/>
      <c r="AF71" s="77"/>
    </row>
    <row r="72" spans="1:32" s="2" customFormat="1" ht="15.75" customHeight="1" thickTop="1">
      <c r="P72" s="2" t="s">
        <v>93</v>
      </c>
      <c r="Q72" s="8" t="s">
        <v>94</v>
      </c>
      <c r="R72" s="8" t="s">
        <v>95</v>
      </c>
      <c r="S72" s="8" t="s">
        <v>96</v>
      </c>
      <c r="T72" s="8" t="s">
        <v>97</v>
      </c>
      <c r="U72" s="8" t="s">
        <v>98</v>
      </c>
      <c r="V72" s="8" t="s">
        <v>99</v>
      </c>
      <c r="W72" s="10" t="s">
        <v>100</v>
      </c>
      <c r="Y72" s="2" t="s">
        <v>93</v>
      </c>
      <c r="Z72" s="8" t="s">
        <v>94</v>
      </c>
      <c r="AA72" s="8" t="s">
        <v>95</v>
      </c>
      <c r="AB72" s="8" t="s">
        <v>96</v>
      </c>
      <c r="AC72" s="8" t="s">
        <v>97</v>
      </c>
      <c r="AD72" s="8" t="s">
        <v>98</v>
      </c>
      <c r="AE72" s="8" t="s">
        <v>99</v>
      </c>
      <c r="AF72" s="10" t="s">
        <v>100</v>
      </c>
    </row>
    <row r="73" spans="1:32" s="2" customFormat="1" ht="15.75" customHeight="1">
      <c r="P73" s="32" t="s">
        <v>204</v>
      </c>
      <c r="Q73" s="8">
        <f>IF($O$3="(Todas)",COUNTIF(BASE[CODCIE10],ENOS_G2_SIFILIS_EMBARAZADA[[#This Row],[CIE-10]]),COUNTIFS(BASE[Cod.Establecimiento],$O$3,BASE[CODCIE10],ENOS_G2_SIFILIS_EMBARAZADA[[#This Row],[CIE-10]]))</f>
        <v>0</v>
      </c>
      <c r="R73" s="8">
        <f>IF($O$3="(Todas)",COUNTIF(BASE[CODCIE102],ENOS_G2_SIFILIS_EMBARAZADA[[#This Row],[CIE-10]]),COUNTIFS(BASE[Cod.Establecimiento],$O$3,BASE[CODCIE102],ENOS_G2_SIFILIS_EMBARAZADA[[#This Row],[CIE-10]]))</f>
        <v>0</v>
      </c>
      <c r="S73" s="8">
        <f>IF($O$3="(Todas)",COUNTIF(BASE[CODCIE104],ENOS_G2_SIFILIS_EMBARAZADA[[#This Row],[CIE-10]]),COUNTIFS(BASE[Cod.Establecimiento],$O$3,BASE[CODCIE104],ENOS_G2_SIFILIS_EMBARAZADA[[#This Row],[CIE-10]]))</f>
        <v>0</v>
      </c>
      <c r="T73" s="8">
        <f>IF($O$3="(Todas)",COUNTIF(BASE[CODCIE106],ENOS_G2_SIFILIS_EMBARAZADA[[#This Row],[CIE-10]]),COUNTIFS(BASE[Cod.Establecimiento],$O$3,BASE[CODCIE106],ENOS_G2_SIFILIS_EMBARAZADA[[#This Row],[CIE-10]]))</f>
        <v>0</v>
      </c>
      <c r="U73" s="8">
        <f>IF($O$3="(Todas)",COUNTIF(BASE[CODCIE108],ENOS_G2_SIFILIS_EMBARAZADA[[#This Row],[CIE-10]]),COUNTIFS(BASE[Cod.Establecimiento],$O$3,BASE[CODCIE108],ENOS_G2_SIFILIS_EMBARAZADA[[#This Row],[CIE-10]]))</f>
        <v>0</v>
      </c>
      <c r="V73" s="8">
        <f>IF($O$3="(Todas)",COUNTIF(BASE[CODCIE1010],ENOS_G2_SIFILIS_EMBARAZADA[[#This Row],[CIE-10]]),COUNTIFS(BASE[Cod.Establecimiento],$O$3,BASE[CODCIE1010],ENOS_G2_SIFILIS_EMBARAZADA[[#This Row],[CIE-10]]))</f>
        <v>0</v>
      </c>
      <c r="W73" s="9">
        <f>SUM(ENOS_G2_SIFILIS_EMBARAZADA[[#This Row],[D1]:[D6]])</f>
        <v>0</v>
      </c>
      <c r="Y73" s="32" t="s">
        <v>265</v>
      </c>
      <c r="Z73" s="8">
        <f>IF($O$3="(Todas)",COUNTIF(BASE[CODCIE10],ENOS_G2_SIFILIS_TODOS_LOS_CASOS[[#This Row],[CIE-10]]),COUNTIFS(BASE[Cod.Establecimiento],$O$3,BASE[CODCIE10],ENOS_G2_SIFILIS_TODOS_LOS_CASOS[[#This Row],[CIE-10]]))</f>
        <v>0</v>
      </c>
      <c r="AA73" s="8">
        <f>IF($O$3="(Todas)",COUNTIF(BASE[CODCIE102],ENOS_G2_SIFILIS_TODOS_LOS_CASOS[[#This Row],[CIE-10]]),COUNTIFS(BASE[Cod.Establecimiento],$O$3,BASE[CODCIE102],ENOS_G2_SIFILIS_TODOS_LOS_CASOS[[#This Row],[CIE-10]]))</f>
        <v>0</v>
      </c>
      <c r="AB73" s="8">
        <f>IF($O$3="(Todas)",COUNTIF(BASE[CODCIE104],ENOS_G2_SIFILIS_TODOS_LOS_CASOS[[#This Row],[CIE-10]]),COUNTIFS(BASE[Cod.Establecimiento],$O$3,BASE[CODCIE104],ENOS_G2_SIFILIS_TODOS_LOS_CASOS[[#This Row],[CIE-10]]))</f>
        <v>0</v>
      </c>
      <c r="AC73" s="8">
        <f>IF($O$3="(Todas)",COUNTIF(BASE[CODCIE106],ENOS_G2_SIFILIS_TODOS_LOS_CASOS[[#This Row],[CIE-10]]),COUNTIFS(BASE[Cod.Establecimiento],$O$3,BASE[CODCIE106],ENOS_G2_SIFILIS_TODOS_LOS_CASOS[[#This Row],[CIE-10]]))</f>
        <v>0</v>
      </c>
      <c r="AD73" s="8">
        <f>IF($O$3="(Todas)",COUNTIF(BASE[CODCIE108],ENOS_G2_SIFILIS_TODOS_LOS_CASOS[[#This Row],[CIE-10]]),COUNTIFS(BASE[Cod.Establecimiento],$O$3,BASE[CODCIE108],ENOS_G2_SIFILIS_TODOS_LOS_CASOS[[#This Row],[CIE-10]]))</f>
        <v>0</v>
      </c>
      <c r="AE73" s="8">
        <f>IF($O$3="(Todas)",COUNTIF(BASE[CODCIE1010],ENOS_G2_SIFILIS_TODOS_LOS_CASOS[[#This Row],[CIE-10]]),COUNTIFS(BASE[Cod.Establecimiento],$O$3,BASE[CODCIE1010],ENOS_G2_SIFILIS_TODOS_LOS_CASOS[[#This Row],[CIE-10]]))</f>
        <v>0</v>
      </c>
      <c r="AF73" s="9">
        <f>SUM(ENOS_G2_SIFILIS_TODOS_LOS_CASOS[[#This Row],[D1]:[D6]])</f>
        <v>0</v>
      </c>
    </row>
    <row r="74" spans="1:32" s="2" customFormat="1" ht="15.75" customHeight="1">
      <c r="Y74" s="32" t="s">
        <v>266</v>
      </c>
      <c r="Z74" s="8">
        <f>IF($O$3="(Todas)",COUNTIF(BASE[CODCIE10],ENOS_G2_SIFILIS_TODOS_LOS_CASOS[[#This Row],[CIE-10]]),COUNTIFS(BASE[Cod.Establecimiento],$O$3,BASE[CODCIE10],ENOS_G2_SIFILIS_TODOS_LOS_CASOS[[#This Row],[CIE-10]]))</f>
        <v>0</v>
      </c>
      <c r="AA74" s="8">
        <f>IF($O$3="(Todas)",COUNTIF(BASE[CODCIE102],ENOS_G2_SIFILIS_TODOS_LOS_CASOS[[#This Row],[CIE-10]]),COUNTIFS(BASE[Cod.Establecimiento],$O$3,BASE[CODCIE102],ENOS_G2_SIFILIS_TODOS_LOS_CASOS[[#This Row],[CIE-10]]))</f>
        <v>0</v>
      </c>
      <c r="AB74" s="8">
        <f>IF($O$3="(Todas)",COUNTIF(BASE[CODCIE104],ENOS_G2_SIFILIS_TODOS_LOS_CASOS[[#This Row],[CIE-10]]),COUNTIFS(BASE[Cod.Establecimiento],$O$3,BASE[CODCIE104],ENOS_G2_SIFILIS_TODOS_LOS_CASOS[[#This Row],[CIE-10]]))</f>
        <v>0</v>
      </c>
      <c r="AC74" s="8">
        <f>IF($O$3="(Todas)",COUNTIF(BASE[CODCIE106],ENOS_G2_SIFILIS_TODOS_LOS_CASOS[[#This Row],[CIE-10]]),COUNTIFS(BASE[Cod.Establecimiento],$O$3,BASE[CODCIE106],ENOS_G2_SIFILIS_TODOS_LOS_CASOS[[#This Row],[CIE-10]]))</f>
        <v>0</v>
      </c>
      <c r="AD74" s="8">
        <f>IF($O$3="(Todas)",COUNTIF(BASE[CODCIE108],ENOS_G2_SIFILIS_TODOS_LOS_CASOS[[#This Row],[CIE-10]]),COUNTIFS(BASE[Cod.Establecimiento],$O$3,BASE[CODCIE108],ENOS_G2_SIFILIS_TODOS_LOS_CASOS[[#This Row],[CIE-10]]))</f>
        <v>0</v>
      </c>
      <c r="AE74" s="8">
        <f>IF($O$3="(Todas)",COUNTIF(BASE[CODCIE1010],ENOS_G2_SIFILIS_TODOS_LOS_CASOS[[#This Row],[CIE-10]]),COUNTIFS(BASE[Cod.Establecimiento],$O$3,BASE[CODCIE1010],ENOS_G2_SIFILIS_TODOS_LOS_CASOS[[#This Row],[CIE-10]]))</f>
        <v>0</v>
      </c>
      <c r="AF74" s="9">
        <f>SUM(ENOS_G2_SIFILIS_TODOS_LOS_CASOS[[#This Row],[D1]:[D6]])</f>
        <v>0</v>
      </c>
    </row>
    <row r="75" spans="1:32" s="2" customFormat="1" ht="15.75" customHeight="1">
      <c r="Y75" s="32" t="s">
        <v>267</v>
      </c>
      <c r="Z75" s="8">
        <f>IF($O$3="(Todas)",COUNTIF(BASE[CODCIE10],ENOS_G2_SIFILIS_TODOS_LOS_CASOS[[#This Row],[CIE-10]]),COUNTIFS(BASE[Cod.Establecimiento],$O$3,BASE[CODCIE10],ENOS_G2_SIFILIS_TODOS_LOS_CASOS[[#This Row],[CIE-10]]))</f>
        <v>0</v>
      </c>
      <c r="AA75" s="8">
        <f>IF($O$3="(Todas)",COUNTIF(BASE[CODCIE102],ENOS_G2_SIFILIS_TODOS_LOS_CASOS[[#This Row],[CIE-10]]),COUNTIFS(BASE[Cod.Establecimiento],$O$3,BASE[CODCIE102],ENOS_G2_SIFILIS_TODOS_LOS_CASOS[[#This Row],[CIE-10]]))</f>
        <v>0</v>
      </c>
      <c r="AB75" s="8">
        <f>IF($O$3="(Todas)",COUNTIF(BASE[CODCIE104],ENOS_G2_SIFILIS_TODOS_LOS_CASOS[[#This Row],[CIE-10]]),COUNTIFS(BASE[Cod.Establecimiento],$O$3,BASE[CODCIE104],ENOS_G2_SIFILIS_TODOS_LOS_CASOS[[#This Row],[CIE-10]]))</f>
        <v>0</v>
      </c>
      <c r="AC75" s="8">
        <f>IF($O$3="(Todas)",COUNTIF(BASE[CODCIE106],ENOS_G2_SIFILIS_TODOS_LOS_CASOS[[#This Row],[CIE-10]]),COUNTIFS(BASE[Cod.Establecimiento],$O$3,BASE[CODCIE106],ENOS_G2_SIFILIS_TODOS_LOS_CASOS[[#This Row],[CIE-10]]))</f>
        <v>0</v>
      </c>
      <c r="AD75" s="8">
        <f>IF($O$3="(Todas)",COUNTIF(BASE[CODCIE108],ENOS_G2_SIFILIS_TODOS_LOS_CASOS[[#This Row],[CIE-10]]),COUNTIFS(BASE[Cod.Establecimiento],$O$3,BASE[CODCIE108],ENOS_G2_SIFILIS_TODOS_LOS_CASOS[[#This Row],[CIE-10]]))</f>
        <v>0</v>
      </c>
      <c r="AE75" s="8">
        <f>IF($O$3="(Todas)",COUNTIF(BASE[CODCIE1010],ENOS_G2_SIFILIS_TODOS_LOS_CASOS[[#This Row],[CIE-10]]),COUNTIFS(BASE[Cod.Establecimiento],$O$3,BASE[CODCIE1010],ENOS_G2_SIFILIS_TODOS_LOS_CASOS[[#This Row],[CIE-10]]))</f>
        <v>0</v>
      </c>
      <c r="AF75" s="9">
        <f>SUM(ENOS_G2_SIFILIS_TODOS_LOS_CASOS[[#This Row],[D1]:[D6]])</f>
        <v>0</v>
      </c>
    </row>
    <row r="76" spans="1:32" s="2" customFormat="1" ht="15.75" customHeight="1"/>
    <row r="77" spans="1:32" s="2" customFormat="1" ht="15.75" customHeight="1" thickBot="1">
      <c r="P77" s="76" t="s">
        <v>268</v>
      </c>
      <c r="Q77" s="77"/>
      <c r="R77" s="77"/>
      <c r="S77" s="77"/>
      <c r="T77" s="77"/>
      <c r="U77" s="77"/>
      <c r="V77" s="77"/>
      <c r="W77" s="77"/>
    </row>
    <row r="78" spans="1:32" s="2" customFormat="1" ht="15.75" customHeight="1" thickTop="1">
      <c r="P78" s="2" t="s">
        <v>93</v>
      </c>
      <c r="Q78" s="8" t="s">
        <v>94</v>
      </c>
      <c r="R78" s="8" t="s">
        <v>95</v>
      </c>
      <c r="S78" s="8" t="s">
        <v>96</v>
      </c>
      <c r="T78" s="8" t="s">
        <v>97</v>
      </c>
      <c r="U78" s="8" t="s">
        <v>98</v>
      </c>
      <c r="V78" s="8" t="s">
        <v>99</v>
      </c>
      <c r="W78" s="10" t="s">
        <v>100</v>
      </c>
    </row>
    <row r="79" spans="1:32" s="2" customFormat="1" ht="15.75" customHeight="1">
      <c r="P79" s="32" t="s">
        <v>269</v>
      </c>
      <c r="Q79" s="8">
        <f>IF($O$3="(Todas)",COUNTIF(BASE[CODCIE10],ENOS_G2_ENF_VIRICAS_LESIONES_PIEL_Y_MEMB_MUCOSAS[[#This Row],[CIE-10]]),COUNTIFS(BASE[Cod.Establecimiento],$O$3,BASE[CODCIE10],ENOS_G2_ENF_VIRICAS_LESIONES_PIEL_Y_MEMB_MUCOSAS[[#This Row],[CIE-10]]))</f>
        <v>0</v>
      </c>
      <c r="R79" s="8">
        <f>IF($O$3="(Todas)",COUNTIF(BASE[CODCIE102],ENOS_G2_ENF_VIRICAS_LESIONES_PIEL_Y_MEMB_MUCOSAS[[#This Row],[CIE-10]]),COUNTIFS(BASE[Cod.Establecimiento],$O$3,BASE[CODCIE102],ENOS_G2_ENF_VIRICAS_LESIONES_PIEL_Y_MEMB_MUCOSAS[[#This Row],[CIE-10]]))</f>
        <v>0</v>
      </c>
      <c r="S79" s="8">
        <f>IF($O$3="(Todas)",COUNTIF(BASE[CODCIE104],ENOS_G2_ENF_VIRICAS_LESIONES_PIEL_Y_MEMB_MUCOSAS[[#This Row],[CIE-10]]),COUNTIFS(BASE[Cod.Establecimiento],$O$3,BASE[CODCIE104],ENOS_G2_ENF_VIRICAS_LESIONES_PIEL_Y_MEMB_MUCOSAS[[#This Row],[CIE-10]]))</f>
        <v>0</v>
      </c>
      <c r="T79" s="8">
        <f>IF($O$3="(Todas)",COUNTIF(BASE[CODCIE106],ENOS_G2_ENF_VIRICAS_LESIONES_PIEL_Y_MEMB_MUCOSAS[[#This Row],[CIE-10]]),COUNTIFS(BASE[Cod.Establecimiento],$O$3,BASE[CODCIE106],ENOS_G2_ENF_VIRICAS_LESIONES_PIEL_Y_MEMB_MUCOSAS[[#This Row],[CIE-10]]))</f>
        <v>0</v>
      </c>
      <c r="U79" s="8">
        <f>IF($O$3="(Todas)",COUNTIF(BASE[CODCIE108],ENOS_G2_ENF_VIRICAS_LESIONES_PIEL_Y_MEMB_MUCOSAS[[#This Row],[CIE-10]]),COUNTIFS(BASE[Cod.Establecimiento],$O$3,BASE[CODCIE108],ENOS_G2_ENF_VIRICAS_LESIONES_PIEL_Y_MEMB_MUCOSAS[[#This Row],[CIE-10]]))</f>
        <v>0</v>
      </c>
      <c r="V79" s="8">
        <f>IF($O$3="(Todas)",COUNTIF(BASE[CODCIE1010],ENOS_G2_ENF_VIRICAS_LESIONES_PIEL_Y_MEMB_MUCOSAS[[#This Row],[CIE-10]]),COUNTIFS(BASE[Cod.Establecimiento],$O$3,BASE[CODCIE1010],ENOS_G2_ENF_VIRICAS_LESIONES_PIEL_Y_MEMB_MUCOSAS[[#This Row],[CIE-10]]))</f>
        <v>0</v>
      </c>
      <c r="W79" s="9">
        <f>SUM(ENOS_G2_ENF_VIRICAS_LESIONES_PIEL_Y_MEMB_MUCOSAS[[#This Row],[D1]:[D6]])</f>
        <v>0</v>
      </c>
    </row>
    <row r="80" spans="1:32" ht="1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 customHeight="1" thickBo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76" t="s">
        <v>270</v>
      </c>
      <c r="Q81" s="77"/>
      <c r="R81" s="77"/>
      <c r="S81" s="77"/>
      <c r="T81" s="77"/>
      <c r="U81" s="77"/>
      <c r="V81" s="77"/>
      <c r="W81" s="77"/>
      <c r="X81" s="2"/>
      <c r="Y81" s="76" t="s">
        <v>271</v>
      </c>
      <c r="Z81" s="77"/>
      <c r="AA81" s="77"/>
      <c r="AB81" s="77"/>
      <c r="AC81" s="77"/>
      <c r="AD81" s="77"/>
      <c r="AE81" s="77"/>
      <c r="AF81" s="77"/>
    </row>
    <row r="82" spans="1:32" ht="15.75" customHeight="1" thickTop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 t="s">
        <v>93</v>
      </c>
      <c r="Q82" s="8" t="s">
        <v>94</v>
      </c>
      <c r="R82" s="8" t="s">
        <v>95</v>
      </c>
      <c r="S82" s="8" t="s">
        <v>96</v>
      </c>
      <c r="T82" s="8" t="s">
        <v>97</v>
      </c>
      <c r="U82" s="8" t="s">
        <v>98</v>
      </c>
      <c r="V82" s="8" t="s">
        <v>99</v>
      </c>
      <c r="W82" s="10" t="s">
        <v>100</v>
      </c>
      <c r="X82" s="2"/>
      <c r="Y82" s="2" t="s">
        <v>93</v>
      </c>
      <c r="Z82" s="8" t="s">
        <v>94</v>
      </c>
      <c r="AA82" s="8" t="s">
        <v>95</v>
      </c>
      <c r="AB82" s="8" t="s">
        <v>96</v>
      </c>
      <c r="AC82" s="8" t="s">
        <v>97</v>
      </c>
      <c r="AD82" s="8" t="s">
        <v>98</v>
      </c>
      <c r="AE82" s="8" t="s">
        <v>99</v>
      </c>
      <c r="AF82" s="10" t="s">
        <v>100</v>
      </c>
    </row>
    <row r="83" spans="1:32" ht="1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2" t="s">
        <v>272</v>
      </c>
      <c r="Q83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3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3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3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3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3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3" s="9">
        <f>SUM(ENOS_G3_ETI_MENOR_QUE_1_AÑO[[#This Row],[D1]:[D6]])</f>
        <v>0</v>
      </c>
      <c r="X83" s="2"/>
      <c r="Y83" s="32" t="s">
        <v>272</v>
      </c>
      <c r="Z83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3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3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3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3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3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3" s="9">
        <f>SUM(ENOS_G3_ETI_1_4_AÑOS[[#This Row],[D1]:[D6]])</f>
        <v>0</v>
      </c>
    </row>
    <row r="84" spans="1:32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2" t="s">
        <v>273</v>
      </c>
      <c r="Q84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4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4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4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4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4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4" s="9">
        <f>SUM(ENOS_G3_ETI_MENOR_QUE_1_AÑO[[#This Row],[D1]:[D6]])</f>
        <v>0</v>
      </c>
      <c r="X84" s="2"/>
      <c r="Y84" s="32" t="s">
        <v>273</v>
      </c>
      <c r="Z84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4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4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4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4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4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4" s="9">
        <f>SUM(ENOS_G3_ETI_1_4_AÑOS[[#This Row],[D1]:[D6]])</f>
        <v>0</v>
      </c>
    </row>
    <row r="85" spans="1:32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2" t="s">
        <v>274</v>
      </c>
      <c r="Q85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5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5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5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5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5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5" s="9">
        <f>SUM(ENOS_G3_ETI_MENOR_QUE_1_AÑO[[#This Row],[D1]:[D6]])</f>
        <v>0</v>
      </c>
      <c r="X85" s="2"/>
      <c r="Y85" s="32" t="s">
        <v>274</v>
      </c>
      <c r="Z85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5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5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5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5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5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5" s="9">
        <f>SUM(ENOS_G3_ETI_1_4_AÑOS[[#This Row],[D1]:[D6]])</f>
        <v>0</v>
      </c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32" ht="18" customHeight="1" thickBo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76" t="s">
        <v>275</v>
      </c>
      <c r="Q87" s="77"/>
      <c r="R87" s="77"/>
      <c r="S87" s="77"/>
      <c r="T87" s="77"/>
      <c r="U87" s="77"/>
      <c r="V87" s="77"/>
      <c r="W87" s="77"/>
      <c r="X87" s="2"/>
      <c r="Y87" s="76" t="s">
        <v>276</v>
      </c>
      <c r="Z87" s="77"/>
      <c r="AA87" s="77"/>
      <c r="AB87" s="77"/>
      <c r="AC87" s="77"/>
      <c r="AD87" s="77"/>
      <c r="AE87" s="77"/>
      <c r="AF87" s="77"/>
    </row>
    <row r="88" spans="1:32" ht="18" customHeight="1" thickTop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 t="s">
        <v>93</v>
      </c>
      <c r="Q88" s="8" t="s">
        <v>94</v>
      </c>
      <c r="R88" s="8" t="s">
        <v>95</v>
      </c>
      <c r="S88" s="8" t="s">
        <v>96</v>
      </c>
      <c r="T88" s="8" t="s">
        <v>97</v>
      </c>
      <c r="U88" s="8" t="s">
        <v>98</v>
      </c>
      <c r="V88" s="8" t="s">
        <v>99</v>
      </c>
      <c r="W88" s="10" t="s">
        <v>100</v>
      </c>
      <c r="X88" s="2"/>
      <c r="Y88" s="2" t="s">
        <v>93</v>
      </c>
      <c r="Z88" s="8" t="s">
        <v>94</v>
      </c>
      <c r="AA88" s="8" t="s">
        <v>95</v>
      </c>
      <c r="AB88" s="8" t="s">
        <v>96</v>
      </c>
      <c r="AC88" s="8" t="s">
        <v>97</v>
      </c>
      <c r="AD88" s="8" t="s">
        <v>98</v>
      </c>
      <c r="AE88" s="8" t="s">
        <v>99</v>
      </c>
      <c r="AF88" s="10" t="s">
        <v>100</v>
      </c>
    </row>
    <row r="89" spans="1:32" ht="1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2" t="s">
        <v>272</v>
      </c>
      <c r="Q89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89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89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89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89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89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89" s="9">
        <f>SUM(ENOS_G3_ETI_5_19_AÑOS[[#This Row],[D1]:[D6]])</f>
        <v>0</v>
      </c>
      <c r="X89" s="2"/>
      <c r="Y89" s="32" t="s">
        <v>272</v>
      </c>
      <c r="Z89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89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89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89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89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89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89" s="9">
        <f>SUM(ENOS_G3_ETI_20_59_AÑOS[[#This Row],[D1]:[D6]])</f>
        <v>0</v>
      </c>
    </row>
    <row r="90" spans="1:3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2" t="s">
        <v>273</v>
      </c>
      <c r="Q90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90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90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90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90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90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90" s="9">
        <f>SUM(ENOS_G3_ETI_5_19_AÑOS[[#This Row],[D1]:[D6]])</f>
        <v>0</v>
      </c>
      <c r="X90" s="2"/>
      <c r="Y90" s="32" t="s">
        <v>273</v>
      </c>
      <c r="Z90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90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90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90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90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90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90" s="9">
        <f>SUM(ENOS_G3_ETI_20_59_AÑOS[[#This Row],[D1]:[D6]])</f>
        <v>0</v>
      </c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2" t="s">
        <v>274</v>
      </c>
      <c r="Q91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91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91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91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91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91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91" s="9">
        <f>SUM(ENOS_G3_ETI_5_19_AÑOS[[#This Row],[D1]:[D6]])</f>
        <v>0</v>
      </c>
      <c r="X91" s="2"/>
      <c r="Y91" s="32" t="s">
        <v>274</v>
      </c>
      <c r="Z91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91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91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91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91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91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91" s="9">
        <f>SUM(ENOS_G3_ETI_20_59_AÑOS[[#This Row],[D1]:[D6]])</f>
        <v>0</v>
      </c>
    </row>
    <row r="92" spans="1:32" ht="1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32" ht="15.75" customHeight="1" thickBo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76" t="s">
        <v>277</v>
      </c>
      <c r="Q93" s="77"/>
      <c r="R93" s="77"/>
      <c r="S93" s="77"/>
      <c r="T93" s="77"/>
      <c r="U93" s="77"/>
      <c r="V93" s="77"/>
      <c r="W93" s="77"/>
      <c r="X93" s="2"/>
      <c r="Y93" s="76" t="s">
        <v>278</v>
      </c>
      <c r="Z93" s="77"/>
      <c r="AA93" s="77"/>
      <c r="AB93" s="77"/>
      <c r="AC93" s="77"/>
      <c r="AD93" s="77"/>
      <c r="AE93" s="77"/>
      <c r="AF93" s="77"/>
    </row>
    <row r="94" spans="1:32" ht="15.75" customHeight="1" thickTop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 t="s">
        <v>93</v>
      </c>
      <c r="Q94" s="8" t="s">
        <v>94</v>
      </c>
      <c r="R94" s="8" t="s">
        <v>95</v>
      </c>
      <c r="S94" s="8" t="s">
        <v>96</v>
      </c>
      <c r="T94" s="8" t="s">
        <v>97</v>
      </c>
      <c r="U94" s="8" t="s">
        <v>98</v>
      </c>
      <c r="V94" s="8" t="s">
        <v>99</v>
      </c>
      <c r="W94" s="10" t="s">
        <v>100</v>
      </c>
      <c r="X94" s="2"/>
      <c r="Y94" s="2" t="s">
        <v>93</v>
      </c>
      <c r="Z94" s="8" t="s">
        <v>94</v>
      </c>
      <c r="AA94" s="8" t="s">
        <v>95</v>
      </c>
      <c r="AB94" s="8" t="s">
        <v>96</v>
      </c>
      <c r="AC94" s="8" t="s">
        <v>97</v>
      </c>
      <c r="AD94" s="8" t="s">
        <v>98</v>
      </c>
      <c r="AE94" s="8" t="s">
        <v>99</v>
      </c>
      <c r="AF94" s="10" t="s">
        <v>100</v>
      </c>
    </row>
    <row r="95" spans="1:32" ht="1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2" t="s">
        <v>272</v>
      </c>
      <c r="Q95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5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5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5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5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5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5" s="9">
        <f>SUM(ENOS_G3_ETI_60_MAS_AÑOS[[#This Row],[D1]:[D6]])</f>
        <v>0</v>
      </c>
      <c r="X95" s="2"/>
      <c r="Y95" s="32" t="s">
        <v>272</v>
      </c>
      <c r="Z95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5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5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5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5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5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5" s="9">
        <f>SUM(ENOS_G3_ETI_SD_AÑOS[[#This Row],[D1]:[D6]])</f>
        <v>0</v>
      </c>
    </row>
    <row r="96" spans="1:3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2" t="s">
        <v>273</v>
      </c>
      <c r="Q96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6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6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6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6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6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6" s="9">
        <f>SUM(ENOS_G3_ETI_60_MAS_AÑOS[[#This Row],[D1]:[D6]])</f>
        <v>0</v>
      </c>
      <c r="X96" s="2"/>
      <c r="Y96" s="32" t="s">
        <v>273</v>
      </c>
      <c r="Z96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6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6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6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6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6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6" s="9">
        <f>SUM(ENOS_G3_ETI_SD_AÑOS[[#This Row],[D1]:[D6]])</f>
        <v>0</v>
      </c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2" t="s">
        <v>274</v>
      </c>
      <c r="Q97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7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7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7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7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7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7" s="9">
        <f>SUM(ENOS_G3_ETI_60_MAS_AÑOS[[#This Row],[D1]:[D6]])</f>
        <v>0</v>
      </c>
      <c r="X97" s="2"/>
      <c r="Y97" s="32" t="s">
        <v>274</v>
      </c>
      <c r="Z97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7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7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7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7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7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7" s="9">
        <f>SUM(ENOS_G3_ETI_SD_AÑOS[[#This Row],[D1]:[D6]])</f>
        <v>0</v>
      </c>
    </row>
    <row r="98" spans="1:32" ht="1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 thickBo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76" t="s">
        <v>279</v>
      </c>
      <c r="Q99" s="77"/>
      <c r="R99" s="77"/>
      <c r="S99" s="77"/>
      <c r="T99" s="77"/>
      <c r="U99" s="77"/>
      <c r="V99" s="77"/>
      <c r="W99" s="77"/>
      <c r="X99" s="2"/>
      <c r="Y99" s="76" t="s">
        <v>280</v>
      </c>
      <c r="Z99" s="77"/>
      <c r="AA99" s="77"/>
      <c r="AB99" s="77"/>
      <c r="AC99" s="77"/>
      <c r="AD99" s="77"/>
      <c r="AE99" s="77"/>
      <c r="AF99" s="77"/>
    </row>
    <row r="100" spans="1:32" ht="15.75" customHeight="1" thickTop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 t="s">
        <v>93</v>
      </c>
      <c r="Q100" s="8" t="s">
        <v>94</v>
      </c>
      <c r="R100" s="8" t="s">
        <v>95</v>
      </c>
      <c r="S100" s="8" t="s">
        <v>96</v>
      </c>
      <c r="T100" s="8" t="s">
        <v>97</v>
      </c>
      <c r="U100" s="8" t="s">
        <v>98</v>
      </c>
      <c r="V100" s="8" t="s">
        <v>99</v>
      </c>
      <c r="W100" s="10" t="s">
        <v>100</v>
      </c>
      <c r="X100" s="2"/>
      <c r="Y100" s="2" t="s">
        <v>93</v>
      </c>
      <c r="Z100" s="8" t="s">
        <v>94</v>
      </c>
      <c r="AA100" s="8" t="s">
        <v>95</v>
      </c>
      <c r="AB100" s="8" t="s">
        <v>96</v>
      </c>
      <c r="AC100" s="8" t="s">
        <v>97</v>
      </c>
      <c r="AD100" s="8" t="s">
        <v>98</v>
      </c>
      <c r="AE100" s="8" t="s">
        <v>99</v>
      </c>
      <c r="AF100" s="10" t="s">
        <v>100</v>
      </c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2" t="s">
        <v>305</v>
      </c>
      <c r="Q101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1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1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1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1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1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1" s="9">
        <f>SUM(ENOS_G3_IRANN_MENOR_QUE_1_AÑO[[#This Row],[D1]:[D6]])</f>
        <v>0</v>
      </c>
      <c r="X101" s="2"/>
      <c r="Y101" s="32" t="s">
        <v>305</v>
      </c>
      <c r="Z101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1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1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1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1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1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1" s="9">
        <f>SUM(ENOS_G3_IRANN_1_4_AÑOS[[#This Row],[D1]:[D6]])</f>
        <v>0</v>
      </c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2" t="s">
        <v>306</v>
      </c>
      <c r="Q102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2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2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2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2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2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2" s="9">
        <f>SUM(ENOS_G3_IRANN_MENOR_QUE_1_AÑO[[#This Row],[D1]:[D6]])</f>
        <v>0</v>
      </c>
      <c r="X102" s="2"/>
      <c r="Y102" s="32" t="s">
        <v>306</v>
      </c>
      <c r="Z102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2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2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2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2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2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2" s="9">
        <f>SUM(ENOS_G3_IRANN_1_4_AÑOS[[#This Row],[D1]:[D6]])</f>
        <v>0</v>
      </c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2" t="s">
        <v>307</v>
      </c>
      <c r="Q103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3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3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3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3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3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3" s="9">
        <f>SUM(ENOS_G3_IRANN_MENOR_QUE_1_AÑO[[#This Row],[D1]:[D6]])</f>
        <v>0</v>
      </c>
      <c r="X103" s="2"/>
      <c r="Y103" s="32" t="s">
        <v>307</v>
      </c>
      <c r="Z103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3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3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3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3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3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3" s="9">
        <f>SUM(ENOS_G3_IRANN_1_4_AÑOS[[#This Row],[D1]:[D6]])</f>
        <v>0</v>
      </c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2" t="s">
        <v>308</v>
      </c>
      <c r="Q104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4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4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4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4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4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4" s="9">
        <f>SUM(ENOS_G3_IRANN_MENOR_QUE_1_AÑO[[#This Row],[D1]:[D6]])</f>
        <v>0</v>
      </c>
      <c r="X104" s="2"/>
      <c r="Y104" s="32" t="s">
        <v>308</v>
      </c>
      <c r="Z104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4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4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4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4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4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4" s="9">
        <f>SUM(ENOS_G3_IRANN_1_4_AÑOS[[#This Row],[D1]:[D6]])</f>
        <v>0</v>
      </c>
    </row>
    <row r="105" spans="1:32" ht="1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2" t="s">
        <v>309</v>
      </c>
      <c r="Q105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5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5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5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5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5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5" s="9">
        <f>SUM(ENOS_G3_IRANN_MENOR_QUE_1_AÑO[[#This Row],[D1]:[D6]])</f>
        <v>0</v>
      </c>
      <c r="X105" s="2"/>
      <c r="Y105" s="32" t="s">
        <v>309</v>
      </c>
      <c r="Z105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5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5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5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5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5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5" s="9">
        <f>SUM(ENOS_G3_IRANN_1_4_AÑOS[[#This Row],[D1]:[D6]])</f>
        <v>0</v>
      </c>
    </row>
    <row r="106" spans="1:3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2" t="s">
        <v>310</v>
      </c>
      <c r="Q106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6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6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6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6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6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6" s="9">
        <f>SUM(ENOS_G3_IRANN_MENOR_QUE_1_AÑO[[#This Row],[D1]:[D6]])</f>
        <v>0</v>
      </c>
      <c r="X106" s="2"/>
      <c r="Y106" s="32" t="s">
        <v>310</v>
      </c>
      <c r="Z106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6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6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6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6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6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6" s="9">
        <f>SUM(ENOS_G3_IRANN_1_4_AÑOS[[#This Row],[D1]:[D6]])</f>
        <v>0</v>
      </c>
    </row>
    <row r="107" spans="1:32" ht="1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2" t="s">
        <v>311</v>
      </c>
      <c r="Q107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7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7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7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7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7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7" s="9">
        <f>SUM(ENOS_G3_IRANN_MENOR_QUE_1_AÑO[[#This Row],[D1]:[D6]])</f>
        <v>0</v>
      </c>
      <c r="X107" s="2"/>
      <c r="Y107" s="32" t="s">
        <v>311</v>
      </c>
      <c r="Z107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7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7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7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7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7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7" s="9">
        <f>SUM(ENOS_G3_IRANN_1_4_AÑOS[[#This Row],[D1]:[D6]])</f>
        <v>0</v>
      </c>
    </row>
    <row r="108" spans="1:3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2" t="s">
        <v>312</v>
      </c>
      <c r="Q108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8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8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8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8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8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8" s="9">
        <f>SUM(ENOS_G3_IRANN_MENOR_QUE_1_AÑO[[#This Row],[D1]:[D6]])</f>
        <v>0</v>
      </c>
      <c r="X108" s="2"/>
      <c r="Y108" s="32" t="s">
        <v>312</v>
      </c>
      <c r="Z108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8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8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8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8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8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8" s="9">
        <f>SUM(ENOS_G3_IRANN_1_4_AÑOS[[#This Row],[D1]:[D6]])</f>
        <v>0</v>
      </c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2" t="s">
        <v>313</v>
      </c>
      <c r="Q109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9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9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9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9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9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9" s="9">
        <f>SUM(ENOS_G3_IRANN_MENOR_QUE_1_AÑO[[#This Row],[D1]:[D6]])</f>
        <v>0</v>
      </c>
      <c r="X109" s="2"/>
      <c r="Y109" s="32" t="s">
        <v>313</v>
      </c>
      <c r="Z109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9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9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9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9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9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9" s="9">
        <f>SUM(ENOS_G3_IRANN_1_4_AÑOS[[#This Row],[D1]:[D6]])</f>
        <v>0</v>
      </c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8" customHeight="1" thickBo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76" t="s">
        <v>281</v>
      </c>
      <c r="Q111" s="77"/>
      <c r="R111" s="77"/>
      <c r="S111" s="77"/>
      <c r="T111" s="77"/>
      <c r="U111" s="77"/>
      <c r="V111" s="77"/>
      <c r="W111" s="77"/>
      <c r="X111" s="2"/>
      <c r="Y111" s="76" t="s">
        <v>282</v>
      </c>
      <c r="Z111" s="77"/>
      <c r="AA111" s="77"/>
      <c r="AB111" s="77"/>
      <c r="AC111" s="77"/>
      <c r="AD111" s="77"/>
      <c r="AE111" s="77"/>
      <c r="AF111" s="77"/>
    </row>
    <row r="112" spans="1:32" ht="15.75" customHeight="1" thickTop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 t="s">
        <v>93</v>
      </c>
      <c r="Q112" s="8" t="s">
        <v>94</v>
      </c>
      <c r="R112" s="8" t="s">
        <v>95</v>
      </c>
      <c r="S112" s="8" t="s">
        <v>96</v>
      </c>
      <c r="T112" s="8" t="s">
        <v>97</v>
      </c>
      <c r="U112" s="8" t="s">
        <v>98</v>
      </c>
      <c r="V112" s="8" t="s">
        <v>99</v>
      </c>
      <c r="W112" s="10" t="s">
        <v>100</v>
      </c>
      <c r="X112" s="2"/>
      <c r="Y112" s="2" t="s">
        <v>93</v>
      </c>
      <c r="Z112" s="8" t="s">
        <v>94</v>
      </c>
      <c r="AA112" s="8" t="s">
        <v>95</v>
      </c>
      <c r="AB112" s="8" t="s">
        <v>96</v>
      </c>
      <c r="AC112" s="8" t="s">
        <v>97</v>
      </c>
      <c r="AD112" s="8" t="s">
        <v>98</v>
      </c>
      <c r="AE112" s="8" t="s">
        <v>99</v>
      </c>
      <c r="AF112" s="10" t="s">
        <v>100</v>
      </c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2" t="s">
        <v>305</v>
      </c>
      <c r="Q113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3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3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3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3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3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3" s="9">
        <f>SUM(ENOS_G3_IRANN_5_19_AÑOS[[#This Row],[D1]:[D6]])</f>
        <v>0</v>
      </c>
      <c r="X113" s="2"/>
      <c r="Y113" s="32" t="s">
        <v>305</v>
      </c>
      <c r="Z113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3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3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3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3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3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3" s="9">
        <f>SUM(ENOS_G3_IRANN_20_59_AÑOS[[#This Row],[D1]:[D6]])</f>
        <v>0</v>
      </c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2" t="s">
        <v>306</v>
      </c>
      <c r="Q114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4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4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4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4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4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4" s="9">
        <f>SUM(ENOS_G3_IRANN_5_19_AÑOS[[#This Row],[D1]:[D6]])</f>
        <v>0</v>
      </c>
      <c r="X114" s="2"/>
      <c r="Y114" s="32" t="s">
        <v>306</v>
      </c>
      <c r="Z114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4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4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4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4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4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4" s="9">
        <f>SUM(ENOS_G3_IRANN_20_59_AÑOS[[#This Row],[D1]:[D6]])</f>
        <v>0</v>
      </c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2" t="s">
        <v>307</v>
      </c>
      <c r="Q115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5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5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5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5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5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5" s="9">
        <f>SUM(ENOS_G3_IRANN_5_19_AÑOS[[#This Row],[D1]:[D6]])</f>
        <v>0</v>
      </c>
      <c r="X115" s="2"/>
      <c r="Y115" s="32" t="s">
        <v>307</v>
      </c>
      <c r="Z115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5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5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5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5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5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5" s="9">
        <f>SUM(ENOS_G3_IRANN_20_59_AÑOS[[#This Row],[D1]:[D6]])</f>
        <v>0</v>
      </c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2" t="s">
        <v>308</v>
      </c>
      <c r="Q116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6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6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6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6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6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6" s="9">
        <f>SUM(ENOS_G3_IRANN_5_19_AÑOS[[#This Row],[D1]:[D6]])</f>
        <v>0</v>
      </c>
      <c r="X116" s="2"/>
      <c r="Y116" s="32" t="s">
        <v>308</v>
      </c>
      <c r="Z116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6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6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6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6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6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6" s="9">
        <f>SUM(ENOS_G3_IRANN_20_59_AÑOS[[#This Row],[D1]:[D6]])</f>
        <v>0</v>
      </c>
    </row>
    <row r="117" spans="1:32" ht="1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2" t="s">
        <v>309</v>
      </c>
      <c r="Q117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7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7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7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7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7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7" s="9">
        <f>SUM(ENOS_G3_IRANN_5_19_AÑOS[[#This Row],[D1]:[D6]])</f>
        <v>0</v>
      </c>
      <c r="X117" s="2"/>
      <c r="Y117" s="32" t="s">
        <v>309</v>
      </c>
      <c r="Z117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7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7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7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7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7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7" s="9">
        <f>SUM(ENOS_G3_IRANN_20_59_AÑOS[[#This Row],[D1]:[D6]])</f>
        <v>0</v>
      </c>
    </row>
    <row r="118" spans="1:3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2" t="s">
        <v>310</v>
      </c>
      <c r="Q118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8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8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8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8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8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8" s="9">
        <f>SUM(ENOS_G3_IRANN_5_19_AÑOS[[#This Row],[D1]:[D6]])</f>
        <v>0</v>
      </c>
      <c r="X118" s="2"/>
      <c r="Y118" s="32" t="s">
        <v>310</v>
      </c>
      <c r="Z118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8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8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8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8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8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8" s="9">
        <f>SUM(ENOS_G3_IRANN_20_59_AÑOS[[#This Row],[D1]:[D6]])</f>
        <v>0</v>
      </c>
    </row>
    <row r="119" spans="1:32" ht="1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2" t="s">
        <v>311</v>
      </c>
      <c r="Q119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9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9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9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9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9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9" s="9">
        <f>SUM(ENOS_G3_IRANN_5_19_AÑOS[[#This Row],[D1]:[D6]])</f>
        <v>0</v>
      </c>
      <c r="X119" s="2"/>
      <c r="Y119" s="32" t="s">
        <v>311</v>
      </c>
      <c r="Z119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9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9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9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9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9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9" s="9">
        <f>SUM(ENOS_G3_IRANN_20_59_AÑOS[[#This Row],[D1]:[D6]])</f>
        <v>0</v>
      </c>
    </row>
    <row r="120" spans="1:3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2" t="s">
        <v>312</v>
      </c>
      <c r="Q120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20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20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20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20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20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20" s="9">
        <f>SUM(ENOS_G3_IRANN_5_19_AÑOS[[#This Row],[D1]:[D6]])</f>
        <v>0</v>
      </c>
      <c r="X120" s="2"/>
      <c r="Y120" s="32" t="s">
        <v>312</v>
      </c>
      <c r="Z120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20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20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20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20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20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20" s="9">
        <f>SUM(ENOS_G3_IRANN_20_59_AÑOS[[#This Row],[D1]:[D6]])</f>
        <v>0</v>
      </c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2" t="s">
        <v>313</v>
      </c>
      <c r="Q121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21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21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21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21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21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21" s="9">
        <f>SUM(ENOS_G3_IRANN_5_19_AÑOS[[#This Row],[D1]:[D6]])</f>
        <v>0</v>
      </c>
      <c r="X121" s="2"/>
      <c r="Y121" s="32" t="s">
        <v>313</v>
      </c>
      <c r="Z121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21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21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21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21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21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21" s="9">
        <f>SUM(ENOS_G3_IRANN_20_59_AÑOS[[#This Row],[D1]:[D6]])</f>
        <v>0</v>
      </c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8" customHeight="1" thickBo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76" t="s">
        <v>283</v>
      </c>
      <c r="Q123" s="77"/>
      <c r="R123" s="77"/>
      <c r="S123" s="77"/>
      <c r="T123" s="77"/>
      <c r="U123" s="77"/>
      <c r="V123" s="77"/>
      <c r="W123" s="77"/>
      <c r="X123" s="2"/>
      <c r="Y123" s="76" t="s">
        <v>284</v>
      </c>
      <c r="Z123" s="77"/>
      <c r="AA123" s="77"/>
      <c r="AB123" s="77"/>
      <c r="AC123" s="77"/>
      <c r="AD123" s="77"/>
      <c r="AE123" s="77"/>
      <c r="AF123" s="77"/>
    </row>
    <row r="124" spans="1:32" ht="15.75" customHeight="1" thickTop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 t="s">
        <v>93</v>
      </c>
      <c r="Q124" s="8" t="s">
        <v>94</v>
      </c>
      <c r="R124" s="8" t="s">
        <v>95</v>
      </c>
      <c r="S124" s="8" t="s">
        <v>96</v>
      </c>
      <c r="T124" s="8" t="s">
        <v>97</v>
      </c>
      <c r="U124" s="8" t="s">
        <v>98</v>
      </c>
      <c r="V124" s="8" t="s">
        <v>99</v>
      </c>
      <c r="W124" s="10" t="s">
        <v>100</v>
      </c>
      <c r="X124" s="2"/>
      <c r="Y124" s="2" t="s">
        <v>93</v>
      </c>
      <c r="Z124" s="8" t="s">
        <v>94</v>
      </c>
      <c r="AA124" s="8" t="s">
        <v>95</v>
      </c>
      <c r="AB124" s="8" t="s">
        <v>96</v>
      </c>
      <c r="AC124" s="8" t="s">
        <v>97</v>
      </c>
      <c r="AD124" s="8" t="s">
        <v>98</v>
      </c>
      <c r="AE124" s="8" t="s">
        <v>99</v>
      </c>
      <c r="AF124" s="10" t="s">
        <v>100</v>
      </c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2" t="s">
        <v>305</v>
      </c>
      <c r="Q125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5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5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5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5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5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5" s="9">
        <f>SUM(ENOS_G3_IRANN_60_MAS_AÑOS[[#This Row],[D1]:[D6]])</f>
        <v>0</v>
      </c>
      <c r="X125" s="2"/>
      <c r="Y125" s="32" t="s">
        <v>305</v>
      </c>
      <c r="Z125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5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5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5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5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5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5" s="9">
        <f>SUM(ENOS_G3_IRANN_SD_AÑOS[[#This Row],[D1]:[D6]])</f>
        <v>0</v>
      </c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2" t="s">
        <v>306</v>
      </c>
      <c r="Q126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6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6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6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6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6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6" s="9">
        <f>SUM(ENOS_G3_IRANN_60_MAS_AÑOS[[#This Row],[D1]:[D6]])</f>
        <v>0</v>
      </c>
      <c r="X126" s="2"/>
      <c r="Y126" s="32" t="s">
        <v>306</v>
      </c>
      <c r="Z126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6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6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6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6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6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6" s="9">
        <f>SUM(ENOS_G3_IRANN_SD_AÑOS[[#This Row],[D1]:[D6]])</f>
        <v>0</v>
      </c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2" t="s">
        <v>307</v>
      </c>
      <c r="Q127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7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7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7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7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7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7" s="9">
        <f>SUM(ENOS_G3_IRANN_60_MAS_AÑOS[[#This Row],[D1]:[D6]])</f>
        <v>0</v>
      </c>
      <c r="X127" s="2"/>
      <c r="Y127" s="32" t="s">
        <v>307</v>
      </c>
      <c r="Z127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7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7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7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7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7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7" s="9">
        <f>SUM(ENOS_G3_IRANN_SD_AÑOS[[#This Row],[D1]:[D6]])</f>
        <v>0</v>
      </c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2" t="s">
        <v>308</v>
      </c>
      <c r="Q128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8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8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8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8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8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8" s="9">
        <f>SUM(ENOS_G3_IRANN_60_MAS_AÑOS[[#This Row],[D1]:[D6]])</f>
        <v>0</v>
      </c>
      <c r="X128" s="2"/>
      <c r="Y128" s="32" t="s">
        <v>308</v>
      </c>
      <c r="Z128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8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8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8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8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8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8" s="9">
        <f>SUM(ENOS_G3_IRANN_SD_AÑOS[[#This Row],[D1]:[D6]])</f>
        <v>0</v>
      </c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2" t="s">
        <v>309</v>
      </c>
      <c r="Q129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9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9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9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9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9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9" s="9">
        <f>SUM(ENOS_G3_IRANN_60_MAS_AÑOS[[#This Row],[D1]:[D6]])</f>
        <v>0</v>
      </c>
      <c r="X129" s="2"/>
      <c r="Y129" s="32" t="s">
        <v>309</v>
      </c>
      <c r="Z129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9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9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9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9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9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9" s="9">
        <f>SUM(ENOS_G3_IRANN_SD_AÑOS[[#This Row],[D1]:[D6]])</f>
        <v>0</v>
      </c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2" t="s">
        <v>310</v>
      </c>
      <c r="Q130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0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0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0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0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0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0" s="9">
        <f>SUM(ENOS_G3_IRANN_60_MAS_AÑOS[[#This Row],[D1]:[D6]])</f>
        <v>0</v>
      </c>
      <c r="X130" s="2"/>
      <c r="Y130" s="32" t="s">
        <v>310</v>
      </c>
      <c r="Z130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0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0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0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0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0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0" s="9">
        <f>SUM(ENOS_G3_IRANN_SD_AÑOS[[#This Row],[D1]:[D6]])</f>
        <v>0</v>
      </c>
    </row>
    <row r="131" spans="1:32" ht="1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2" t="s">
        <v>311</v>
      </c>
      <c r="Q131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1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1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1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1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1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1" s="9">
        <f>SUM(ENOS_G3_IRANN_60_MAS_AÑOS[[#This Row],[D1]:[D6]])</f>
        <v>0</v>
      </c>
      <c r="X131" s="2"/>
      <c r="Y131" s="32" t="s">
        <v>311</v>
      </c>
      <c r="Z131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1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1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1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1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1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1" s="9">
        <f>SUM(ENOS_G3_IRANN_SD_AÑOS[[#This Row],[D1]:[D6]])</f>
        <v>0</v>
      </c>
    </row>
    <row r="132" spans="1: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2" t="s">
        <v>312</v>
      </c>
      <c r="Q132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2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2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2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2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2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2" s="9">
        <f>SUM(ENOS_G3_IRANN_60_MAS_AÑOS[[#This Row],[D1]:[D6]])</f>
        <v>0</v>
      </c>
      <c r="X132" s="2"/>
      <c r="Y132" s="32" t="s">
        <v>312</v>
      </c>
      <c r="Z132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2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2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2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2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2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2" s="9">
        <f>SUM(ENOS_G3_IRANN_SD_AÑOS[[#This Row],[D1]:[D6]])</f>
        <v>0</v>
      </c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2" t="s">
        <v>313</v>
      </c>
      <c r="Q133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3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3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3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3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3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3" s="9">
        <f>SUM(ENOS_G3_IRANN_60_MAS_AÑOS[[#This Row],[D1]:[D6]])</f>
        <v>0</v>
      </c>
      <c r="X133" s="2"/>
      <c r="Y133" s="32" t="s">
        <v>313</v>
      </c>
      <c r="Z133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3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3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3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3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3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3" s="9">
        <f>SUM(ENOS_G3_IRANN_SD_AÑOS[[#This Row],[D1]:[D6]])</f>
        <v>0</v>
      </c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8" customHeight="1" thickBo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76" t="s">
        <v>285</v>
      </c>
      <c r="Q135" s="77"/>
      <c r="R135" s="77"/>
      <c r="S135" s="77"/>
      <c r="T135" s="77"/>
      <c r="U135" s="77"/>
      <c r="V135" s="77"/>
      <c r="W135" s="77"/>
      <c r="X135" s="2"/>
      <c r="Y135" s="76" t="s">
        <v>286</v>
      </c>
      <c r="Z135" s="77"/>
      <c r="AA135" s="77"/>
      <c r="AB135" s="77"/>
      <c r="AC135" s="77"/>
      <c r="AD135" s="77"/>
      <c r="AE135" s="77"/>
      <c r="AF135" s="77"/>
    </row>
    <row r="136" spans="1:32" ht="15.75" customHeight="1" thickTop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 t="s">
        <v>93</v>
      </c>
      <c r="Q136" s="8" t="s">
        <v>94</v>
      </c>
      <c r="R136" s="8" t="s">
        <v>95</v>
      </c>
      <c r="S136" s="8" t="s">
        <v>96</v>
      </c>
      <c r="T136" s="8" t="s">
        <v>97</v>
      </c>
      <c r="U136" s="8" t="s">
        <v>98</v>
      </c>
      <c r="V136" s="8" t="s">
        <v>99</v>
      </c>
      <c r="W136" s="10" t="s">
        <v>100</v>
      </c>
      <c r="X136" s="2"/>
      <c r="Y136" s="2" t="s">
        <v>93</v>
      </c>
      <c r="Z136" s="8" t="s">
        <v>94</v>
      </c>
      <c r="AA136" s="8" t="s">
        <v>95</v>
      </c>
      <c r="AB136" s="8" t="s">
        <v>96</v>
      </c>
      <c r="AC136" s="8" t="s">
        <v>97</v>
      </c>
      <c r="AD136" s="8" t="s">
        <v>98</v>
      </c>
      <c r="AE136" s="8" t="s">
        <v>99</v>
      </c>
      <c r="AF136" s="10" t="s">
        <v>100</v>
      </c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2" t="s">
        <v>314</v>
      </c>
      <c r="Q137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7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7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7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7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7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7" s="9">
        <f>SUM(ENOS_G3_NEU_MENOR_QUE_1_AÑO[[#This Row],[D1]:[D6]])</f>
        <v>0</v>
      </c>
      <c r="X137" s="2"/>
      <c r="Y137" s="32" t="s">
        <v>314</v>
      </c>
      <c r="Z137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7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7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7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7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7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7" s="9">
        <f>SUM(ENOS_G3_NEU_1_4_AÑOS[[#This Row],[D1]:[D6]])</f>
        <v>0</v>
      </c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2" t="s">
        <v>315</v>
      </c>
      <c r="Q138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8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8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8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8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8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8" s="9">
        <f>SUM(ENOS_G3_NEU_MENOR_QUE_1_AÑO[[#This Row],[D1]:[D6]])</f>
        <v>0</v>
      </c>
      <c r="X138" s="2"/>
      <c r="Y138" s="32" t="s">
        <v>315</v>
      </c>
      <c r="Z138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8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8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8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8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8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8" s="9">
        <f>SUM(ENOS_G3_NEU_1_4_AÑOS[[#This Row],[D1]:[D6]])</f>
        <v>0</v>
      </c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2" t="s">
        <v>316</v>
      </c>
      <c r="Q139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9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9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9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9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9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9" s="9">
        <f>SUM(ENOS_G3_NEU_MENOR_QUE_1_AÑO[[#This Row],[D1]:[D6]])</f>
        <v>0</v>
      </c>
      <c r="X139" s="2"/>
      <c r="Y139" s="32" t="s">
        <v>316</v>
      </c>
      <c r="Z139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9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9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9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9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9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9" s="9">
        <f>SUM(ENOS_G3_NEU_1_4_AÑOS[[#This Row],[D1]:[D6]])</f>
        <v>0</v>
      </c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2" t="s">
        <v>317</v>
      </c>
      <c r="Q140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0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0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0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0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0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0" s="9">
        <f>SUM(ENOS_G3_NEU_MENOR_QUE_1_AÑO[[#This Row],[D1]:[D6]])</f>
        <v>0</v>
      </c>
      <c r="X140" s="2"/>
      <c r="Y140" s="32" t="s">
        <v>317</v>
      </c>
      <c r="Z140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0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0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0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0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0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0" s="9">
        <f>SUM(ENOS_G3_NEU_1_4_AÑOS[[#This Row],[D1]:[D6]])</f>
        <v>0</v>
      </c>
    </row>
    <row r="141" spans="1:32" ht="1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2" t="s">
        <v>318</v>
      </c>
      <c r="Q141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1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1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1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1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1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1" s="9">
        <f>SUM(ENOS_G3_NEU_MENOR_QUE_1_AÑO[[#This Row],[D1]:[D6]])</f>
        <v>0</v>
      </c>
      <c r="X141" s="2"/>
      <c r="Y141" s="32" t="s">
        <v>318</v>
      </c>
      <c r="Z141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1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1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1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1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1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1" s="9">
        <f>SUM(ENOS_G3_NEU_1_4_AÑOS[[#This Row],[D1]:[D6]])</f>
        <v>0</v>
      </c>
    </row>
    <row r="142" spans="1:3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2" t="s">
        <v>319</v>
      </c>
      <c r="Q142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2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2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2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2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2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2" s="9">
        <f>SUM(ENOS_G3_NEU_MENOR_QUE_1_AÑO[[#This Row],[D1]:[D6]])</f>
        <v>0</v>
      </c>
      <c r="X142" s="2"/>
      <c r="Y142" s="32" t="s">
        <v>319</v>
      </c>
      <c r="Z142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2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2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2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2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2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2" s="9">
        <f>SUM(ENOS_G3_NEU_1_4_AÑOS[[#This Row],[D1]:[D6]])</f>
        <v>0</v>
      </c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2" t="s">
        <v>320</v>
      </c>
      <c r="Q143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3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3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3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3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3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3" s="9">
        <f>SUM(ENOS_G3_NEU_MENOR_QUE_1_AÑO[[#This Row],[D1]:[D6]])</f>
        <v>0</v>
      </c>
      <c r="X143" s="2"/>
      <c r="Y143" s="32" t="s">
        <v>320</v>
      </c>
      <c r="Z143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3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3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3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3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3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3" s="9">
        <f>SUM(ENOS_G3_NEU_1_4_AÑOS[[#This Row],[D1]:[D6]])</f>
        <v>0</v>
      </c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8" customHeight="1" thickBo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76" t="s">
        <v>287</v>
      </c>
      <c r="Q145" s="77"/>
      <c r="R145" s="77"/>
      <c r="S145" s="77"/>
      <c r="T145" s="77"/>
      <c r="U145" s="77"/>
      <c r="V145" s="77"/>
      <c r="W145" s="77"/>
      <c r="X145" s="2"/>
      <c r="Y145" s="76" t="s">
        <v>288</v>
      </c>
      <c r="Z145" s="77"/>
      <c r="AA145" s="77"/>
      <c r="AB145" s="77"/>
      <c r="AC145" s="77"/>
      <c r="AD145" s="77"/>
      <c r="AE145" s="77"/>
      <c r="AF145" s="77"/>
    </row>
    <row r="146" spans="1:32" ht="15.75" customHeight="1" thickTop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 t="s">
        <v>93</v>
      </c>
      <c r="Q146" s="8" t="s">
        <v>94</v>
      </c>
      <c r="R146" s="8" t="s">
        <v>95</v>
      </c>
      <c r="S146" s="8" t="s">
        <v>96</v>
      </c>
      <c r="T146" s="8" t="s">
        <v>97</v>
      </c>
      <c r="U146" s="8" t="s">
        <v>98</v>
      </c>
      <c r="V146" s="8" t="s">
        <v>99</v>
      </c>
      <c r="W146" s="10" t="s">
        <v>100</v>
      </c>
      <c r="X146" s="2"/>
      <c r="Y146" s="2" t="s">
        <v>93</v>
      </c>
      <c r="Z146" s="8" t="s">
        <v>94</v>
      </c>
      <c r="AA146" s="8" t="s">
        <v>95</v>
      </c>
      <c r="AB146" s="8" t="s">
        <v>96</v>
      </c>
      <c r="AC146" s="8" t="s">
        <v>97</v>
      </c>
      <c r="AD146" s="8" t="s">
        <v>98</v>
      </c>
      <c r="AE146" s="8" t="s">
        <v>99</v>
      </c>
      <c r="AF146" s="10" t="s">
        <v>100</v>
      </c>
    </row>
    <row r="147" spans="1:32" ht="1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2" t="s">
        <v>314</v>
      </c>
      <c r="Q147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7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7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7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7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7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7" s="9">
        <f>SUM(ENOS_G3_NEU_5_19_AÑOS[[#This Row],[D1]:[D6]])</f>
        <v>0</v>
      </c>
      <c r="X147" s="2"/>
      <c r="Y147" s="32" t="s">
        <v>314</v>
      </c>
      <c r="Z147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7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7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7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7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7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7" s="9">
        <f>SUM(ENOS_G3_NEU_20_59_AÑOS[[#This Row],[D1]:[D6]])</f>
        <v>0</v>
      </c>
    </row>
    <row r="148" spans="1:32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2" t="s">
        <v>315</v>
      </c>
      <c r="Q148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8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8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8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8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8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8" s="9">
        <f>SUM(ENOS_G3_NEU_5_19_AÑOS[[#This Row],[D1]:[D6]])</f>
        <v>0</v>
      </c>
      <c r="X148" s="2"/>
      <c r="Y148" s="32" t="s">
        <v>315</v>
      </c>
      <c r="Z148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8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8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8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8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8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8" s="9">
        <f>SUM(ENOS_G3_NEU_20_59_AÑOS[[#This Row],[D1]:[D6]])</f>
        <v>0</v>
      </c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2" t="s">
        <v>316</v>
      </c>
      <c r="Q149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9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9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9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9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9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9" s="9">
        <f>SUM(ENOS_G3_NEU_5_19_AÑOS[[#This Row],[D1]:[D6]])</f>
        <v>0</v>
      </c>
      <c r="X149" s="2"/>
      <c r="Y149" s="32" t="s">
        <v>316</v>
      </c>
      <c r="Z149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9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9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9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9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9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9" s="9">
        <f>SUM(ENOS_G3_NEU_20_59_AÑOS[[#This Row],[D1]:[D6]])</f>
        <v>0</v>
      </c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2" t="s">
        <v>317</v>
      </c>
      <c r="Q150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0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0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0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0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0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0" s="9">
        <f>SUM(ENOS_G3_NEU_5_19_AÑOS[[#This Row],[D1]:[D6]])</f>
        <v>0</v>
      </c>
      <c r="X150" s="2"/>
      <c r="Y150" s="32" t="s">
        <v>317</v>
      </c>
      <c r="Z150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0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0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0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0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0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0" s="9">
        <f>SUM(ENOS_G3_NEU_20_59_AÑOS[[#This Row],[D1]:[D6]])</f>
        <v>0</v>
      </c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2" t="s">
        <v>318</v>
      </c>
      <c r="Q151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1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1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1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1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1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1" s="9">
        <f>SUM(ENOS_G3_NEU_5_19_AÑOS[[#This Row],[D1]:[D6]])</f>
        <v>0</v>
      </c>
      <c r="X151" s="2"/>
      <c r="Y151" s="32" t="s">
        <v>318</v>
      </c>
      <c r="Z151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1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1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1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1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1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1" s="9">
        <f>SUM(ENOS_G3_NEU_20_59_AÑOS[[#This Row],[D1]:[D6]])</f>
        <v>0</v>
      </c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2" t="s">
        <v>319</v>
      </c>
      <c r="Q152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2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2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2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2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2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2" s="9">
        <f>SUM(ENOS_G3_NEU_5_19_AÑOS[[#This Row],[D1]:[D6]])</f>
        <v>0</v>
      </c>
      <c r="X152" s="2"/>
      <c r="Y152" s="32" t="s">
        <v>319</v>
      </c>
      <c r="Z152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2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2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2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2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2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2" s="9">
        <f>SUM(ENOS_G3_NEU_20_59_AÑOS[[#This Row],[D1]:[D6]])</f>
        <v>0</v>
      </c>
    </row>
    <row r="153" spans="1:32" ht="1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2" t="s">
        <v>320</v>
      </c>
      <c r="Q153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3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3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3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3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3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3" s="9">
        <f>SUM(ENOS_G3_NEU_5_19_AÑOS[[#This Row],[D1]:[D6]])</f>
        <v>0</v>
      </c>
      <c r="X153" s="2"/>
      <c r="Y153" s="32" t="s">
        <v>320</v>
      </c>
      <c r="Z153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3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3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3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3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3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3" s="9">
        <f>SUM(ENOS_G3_NEU_20_59_AÑOS[[#This Row],[D1]:[D6]])</f>
        <v>0</v>
      </c>
    </row>
    <row r="154" spans="1:32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8" thickBo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76" t="s">
        <v>289</v>
      </c>
      <c r="Q155" s="77"/>
      <c r="R155" s="77"/>
      <c r="S155" s="77"/>
      <c r="T155" s="77"/>
      <c r="U155" s="77"/>
      <c r="V155" s="77"/>
      <c r="W155" s="77"/>
      <c r="X155" s="2"/>
      <c r="Y155" s="76" t="s">
        <v>290</v>
      </c>
      <c r="Z155" s="77"/>
      <c r="AA155" s="77"/>
      <c r="AB155" s="77"/>
      <c r="AC155" s="77"/>
      <c r="AD155" s="77"/>
      <c r="AE155" s="77"/>
      <c r="AF155" s="77"/>
    </row>
    <row r="156" spans="1:32" ht="15.75" thickTop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 t="s">
        <v>93</v>
      </c>
      <c r="Q156" s="8" t="s">
        <v>94</v>
      </c>
      <c r="R156" s="8" t="s">
        <v>95</v>
      </c>
      <c r="S156" s="8" t="s">
        <v>96</v>
      </c>
      <c r="T156" s="8" t="s">
        <v>97</v>
      </c>
      <c r="U156" s="8" t="s">
        <v>98</v>
      </c>
      <c r="V156" s="8" t="s">
        <v>99</v>
      </c>
      <c r="W156" s="10" t="s">
        <v>100</v>
      </c>
      <c r="X156" s="2"/>
      <c r="Y156" s="2" t="s">
        <v>93</v>
      </c>
      <c r="Z156" s="8" t="s">
        <v>94</v>
      </c>
      <c r="AA156" s="8" t="s">
        <v>95</v>
      </c>
      <c r="AB156" s="8" t="s">
        <v>96</v>
      </c>
      <c r="AC156" s="8" t="s">
        <v>97</v>
      </c>
      <c r="AD156" s="8" t="s">
        <v>98</v>
      </c>
      <c r="AE156" s="8" t="s">
        <v>99</v>
      </c>
      <c r="AF156" s="10" t="s">
        <v>100</v>
      </c>
    </row>
    <row r="157" spans="1:32" ht="1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2" t="s">
        <v>314</v>
      </c>
      <c r="Q157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7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7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7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7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7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7" s="9">
        <f>SUM(ENOS_G3_NEU_60_MAS_AÑOS[[#This Row],[D1]:[D6]])</f>
        <v>0</v>
      </c>
      <c r="X157" s="2"/>
      <c r="Y157" s="32" t="s">
        <v>314</v>
      </c>
      <c r="Z157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7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7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7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7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7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7" s="9">
        <f>SUM(ENOS_G3_NEU_SD_AÑOS[[#This Row],[D1]:[D6]])</f>
        <v>0</v>
      </c>
    </row>
    <row r="158" spans="1:32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2" t="s">
        <v>315</v>
      </c>
      <c r="Q158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8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8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8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8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8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8" s="9">
        <f>SUM(ENOS_G3_NEU_60_MAS_AÑOS[[#This Row],[D1]:[D6]])</f>
        <v>0</v>
      </c>
      <c r="X158" s="2"/>
      <c r="Y158" s="32" t="s">
        <v>315</v>
      </c>
      <c r="Z158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8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8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8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8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8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8" s="9">
        <f>SUM(ENOS_G3_NEU_SD_AÑOS[[#This Row],[D1]:[D6]])</f>
        <v>0</v>
      </c>
    </row>
    <row r="159" spans="1:32" ht="1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2" t="s">
        <v>316</v>
      </c>
      <c r="Q159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9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9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9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9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9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9" s="9">
        <f>SUM(ENOS_G3_NEU_60_MAS_AÑOS[[#This Row],[D1]:[D6]])</f>
        <v>0</v>
      </c>
      <c r="X159" s="2"/>
      <c r="Y159" s="32" t="s">
        <v>316</v>
      </c>
      <c r="Z159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9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9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9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9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9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9" s="9">
        <f>SUM(ENOS_G3_NEU_SD_AÑOS[[#This Row],[D1]:[D6]])</f>
        <v>0</v>
      </c>
    </row>
    <row r="160" spans="1:32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2" t="s">
        <v>317</v>
      </c>
      <c r="Q160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0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0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0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0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0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0" s="9">
        <f>SUM(ENOS_G3_NEU_60_MAS_AÑOS[[#This Row],[D1]:[D6]])</f>
        <v>0</v>
      </c>
      <c r="X160" s="2"/>
      <c r="Y160" s="32" t="s">
        <v>317</v>
      </c>
      <c r="Z160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0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0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0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0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0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0" s="9">
        <f>SUM(ENOS_G3_NEU_SD_AÑOS[[#This Row],[D1]:[D6]])</f>
        <v>0</v>
      </c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2" t="s">
        <v>318</v>
      </c>
      <c r="Q161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1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1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1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1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1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1" s="9">
        <f>SUM(ENOS_G3_NEU_60_MAS_AÑOS[[#This Row],[D1]:[D6]])</f>
        <v>0</v>
      </c>
      <c r="X161" s="2"/>
      <c r="Y161" s="32" t="s">
        <v>318</v>
      </c>
      <c r="Z161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1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1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1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1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1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1" s="9">
        <f>SUM(ENOS_G3_NEU_SD_AÑOS[[#This Row],[D1]:[D6]])</f>
        <v>0</v>
      </c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2" t="s">
        <v>319</v>
      </c>
      <c r="Q162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2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2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2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2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2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2" s="9">
        <f>SUM(ENOS_G3_NEU_60_MAS_AÑOS[[#This Row],[D1]:[D6]])</f>
        <v>0</v>
      </c>
      <c r="X162" s="2"/>
      <c r="Y162" s="32" t="s">
        <v>319</v>
      </c>
      <c r="Z162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2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2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2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2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2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2" s="9">
        <f>SUM(ENOS_G3_NEU_SD_AÑOS[[#This Row],[D1]:[D6]])</f>
        <v>0</v>
      </c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2" t="s">
        <v>320</v>
      </c>
      <c r="Q163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3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3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3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3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3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3" s="9">
        <f>SUM(ENOS_G3_NEU_60_MAS_AÑOS[[#This Row],[D1]:[D6]])</f>
        <v>0</v>
      </c>
      <c r="X163" s="2"/>
      <c r="Y163" s="32" t="s">
        <v>320</v>
      </c>
      <c r="Z163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3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3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3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3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3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3" s="9">
        <f>SUM(ENOS_G3_NEU_SD_AÑOS[[#This Row],[D1]:[D6]])</f>
        <v>0</v>
      </c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8" customHeight="1" thickBot="1">
      <c r="A165" s="2"/>
      <c r="B165" s="2"/>
      <c r="C165" s="2"/>
      <c r="D165" s="2"/>
      <c r="E165" s="2"/>
      <c r="F165" s="2"/>
      <c r="G165" s="2"/>
      <c r="H165" s="2"/>
      <c r="I165" s="2"/>
      <c r="J165" s="75"/>
      <c r="K165" s="81"/>
      <c r="L165" s="75"/>
      <c r="M165" s="81"/>
      <c r="N165" s="81"/>
      <c r="O165" s="2"/>
      <c r="P165" s="76" t="s">
        <v>291</v>
      </c>
      <c r="Q165" s="77"/>
      <c r="R165" s="77"/>
      <c r="S165" s="77"/>
      <c r="T165" s="77"/>
      <c r="U165" s="77"/>
      <c r="V165" s="77"/>
      <c r="W165" s="77"/>
      <c r="X165" s="2"/>
      <c r="Y165" s="76" t="s">
        <v>292</v>
      </c>
      <c r="Z165" s="77"/>
      <c r="AA165" s="77"/>
      <c r="AB165" s="77"/>
      <c r="AC165" s="77"/>
      <c r="AD165" s="77"/>
      <c r="AE165" s="77"/>
      <c r="AF165" s="77"/>
    </row>
    <row r="166" spans="1:32" ht="15.75" customHeight="1" thickTop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 t="s">
        <v>93</v>
      </c>
      <c r="Q166" s="8" t="s">
        <v>94</v>
      </c>
      <c r="R166" s="8" t="s">
        <v>95</v>
      </c>
      <c r="S166" s="8" t="s">
        <v>96</v>
      </c>
      <c r="T166" s="8" t="s">
        <v>97</v>
      </c>
      <c r="U166" s="8" t="s">
        <v>98</v>
      </c>
      <c r="V166" s="8" t="s">
        <v>99</v>
      </c>
      <c r="W166" s="10" t="s">
        <v>100</v>
      </c>
      <c r="X166" s="2"/>
      <c r="Y166" s="2" t="s">
        <v>93</v>
      </c>
      <c r="Z166" s="8" t="s">
        <v>94</v>
      </c>
      <c r="AA166" s="8" t="s">
        <v>95</v>
      </c>
      <c r="AB166" s="8" t="s">
        <v>96</v>
      </c>
      <c r="AC166" s="8" t="s">
        <v>97</v>
      </c>
      <c r="AD166" s="8" t="s">
        <v>98</v>
      </c>
      <c r="AE166" s="8" t="s">
        <v>99</v>
      </c>
      <c r="AF166" s="10" t="s">
        <v>100</v>
      </c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2" t="s">
        <v>321</v>
      </c>
      <c r="Q167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7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7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7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7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7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7" s="9">
        <f>SUM(ENOS_G3_IRAGNG_MENOR_QUE_1_AÑO[[#This Row],[D1]:[D6]])</f>
        <v>0</v>
      </c>
      <c r="X167" s="2"/>
      <c r="Y167" s="32" t="s">
        <v>321</v>
      </c>
      <c r="Z167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7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7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7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7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7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7" s="9">
        <f>SUM(ENOS_G3_IRAGNG_1_4_AÑOS[[#This Row],[D1]:[D6]])</f>
        <v>0</v>
      </c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2" t="s">
        <v>322</v>
      </c>
      <c r="Q168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8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8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8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8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8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8" s="9">
        <f>SUM(ENOS_G3_IRAGNG_MENOR_QUE_1_AÑO[[#This Row],[D1]:[D6]])</f>
        <v>0</v>
      </c>
      <c r="X168" s="2"/>
      <c r="Y168" s="32" t="s">
        <v>322</v>
      </c>
      <c r="Z168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8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8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8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8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8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8" s="9">
        <f>SUM(ENOS_G3_IRAGNG_1_4_AÑOS[[#This Row],[D1]:[D6]])</f>
        <v>0</v>
      </c>
    </row>
    <row r="169" spans="1:32" ht="1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2" t="s">
        <v>323</v>
      </c>
      <c r="Q169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9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9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9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9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9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9" s="9">
        <f>SUM(ENOS_G3_IRAGNG_MENOR_QUE_1_AÑO[[#This Row],[D1]:[D6]])</f>
        <v>0</v>
      </c>
      <c r="X169" s="2"/>
      <c r="Y169" s="32" t="s">
        <v>323</v>
      </c>
      <c r="Z169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9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9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9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9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9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9" s="9">
        <f>SUM(ENOS_G3_IRAGNG_1_4_AÑOS[[#This Row],[D1]:[D6]])</f>
        <v>0</v>
      </c>
    </row>
    <row r="170" spans="1:32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8" customHeight="1" thickBo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76" t="s">
        <v>293</v>
      </c>
      <c r="Q171" s="77"/>
      <c r="R171" s="77"/>
      <c r="S171" s="77"/>
      <c r="T171" s="77"/>
      <c r="U171" s="77"/>
      <c r="V171" s="77"/>
      <c r="W171" s="77"/>
      <c r="X171" s="2"/>
      <c r="Y171" s="76" t="s">
        <v>294</v>
      </c>
      <c r="Z171" s="77"/>
      <c r="AA171" s="77"/>
      <c r="AB171" s="77"/>
      <c r="AC171" s="77"/>
      <c r="AD171" s="77"/>
      <c r="AE171" s="77"/>
      <c r="AF171" s="77"/>
    </row>
    <row r="172" spans="1:32" ht="15.75" customHeight="1" thickTop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 t="s">
        <v>93</v>
      </c>
      <c r="Q172" s="8" t="s">
        <v>94</v>
      </c>
      <c r="R172" s="8" t="s">
        <v>95</v>
      </c>
      <c r="S172" s="8" t="s">
        <v>96</v>
      </c>
      <c r="T172" s="8" t="s">
        <v>97</v>
      </c>
      <c r="U172" s="8" t="s">
        <v>98</v>
      </c>
      <c r="V172" s="8" t="s">
        <v>99</v>
      </c>
      <c r="W172" s="10" t="s">
        <v>100</v>
      </c>
      <c r="X172" s="2"/>
      <c r="Y172" s="2" t="s">
        <v>93</v>
      </c>
      <c r="Z172" s="8" t="s">
        <v>94</v>
      </c>
      <c r="AA172" s="8" t="s">
        <v>95</v>
      </c>
      <c r="AB172" s="8" t="s">
        <v>96</v>
      </c>
      <c r="AC172" s="8" t="s">
        <v>97</v>
      </c>
      <c r="AD172" s="8" t="s">
        <v>98</v>
      </c>
      <c r="AE172" s="8" t="s">
        <v>99</v>
      </c>
      <c r="AF172" s="10" t="s">
        <v>100</v>
      </c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2" t="s">
        <v>321</v>
      </c>
      <c r="Q173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3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3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3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3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3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3" s="9">
        <f>SUM(ENOS_G3_IRAGNG_5_19_AÑOS[[#This Row],[D1]:[D6]])</f>
        <v>0</v>
      </c>
      <c r="X173" s="2"/>
      <c r="Y173" s="32" t="s">
        <v>321</v>
      </c>
      <c r="Z173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3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3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3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3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3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3" s="9">
        <f>SUM(ENOS_G3_IRAGNG_20_59_AÑOS[[#This Row],[D1]:[D6]])</f>
        <v>0</v>
      </c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2" t="s">
        <v>322</v>
      </c>
      <c r="Q174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4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4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4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4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4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4" s="9">
        <f>SUM(ENOS_G3_IRAGNG_5_19_AÑOS[[#This Row],[D1]:[D6]])</f>
        <v>0</v>
      </c>
      <c r="X174" s="2"/>
      <c r="Y174" s="32" t="s">
        <v>322</v>
      </c>
      <c r="Z174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4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4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4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4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4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4" s="9">
        <f>SUM(ENOS_G3_IRAGNG_20_59_AÑOS[[#This Row],[D1]:[D6]])</f>
        <v>0</v>
      </c>
    </row>
    <row r="175" spans="1:32" ht="1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2" t="s">
        <v>323</v>
      </c>
      <c r="Q175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5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5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5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5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5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5" s="9">
        <f>SUM(ENOS_G3_IRAGNG_5_19_AÑOS[[#This Row],[D1]:[D6]])</f>
        <v>0</v>
      </c>
      <c r="X175" s="2"/>
      <c r="Y175" s="32" t="s">
        <v>323</v>
      </c>
      <c r="Z175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5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5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5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5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5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5" s="9">
        <f>SUM(ENOS_G3_IRAGNG_20_59_AÑOS[[#This Row],[D1]:[D6]])</f>
        <v>0</v>
      </c>
    </row>
    <row r="176" spans="1:32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8" customHeight="1" thickBo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76" t="s">
        <v>295</v>
      </c>
      <c r="Q177" s="77"/>
      <c r="R177" s="77"/>
      <c r="S177" s="77"/>
      <c r="T177" s="77"/>
      <c r="U177" s="77"/>
      <c r="V177" s="77"/>
      <c r="W177" s="77"/>
      <c r="X177" s="2"/>
      <c r="Y177" s="76" t="s">
        <v>296</v>
      </c>
      <c r="Z177" s="77"/>
      <c r="AA177" s="77"/>
      <c r="AB177" s="77"/>
      <c r="AC177" s="77"/>
      <c r="AD177" s="77"/>
      <c r="AE177" s="77"/>
      <c r="AF177" s="77"/>
    </row>
    <row r="178" spans="1:32" ht="15.75" customHeight="1" thickTop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 t="s">
        <v>93</v>
      </c>
      <c r="Q178" s="8" t="s">
        <v>94</v>
      </c>
      <c r="R178" s="8" t="s">
        <v>95</v>
      </c>
      <c r="S178" s="8" t="s">
        <v>96</v>
      </c>
      <c r="T178" s="8" t="s">
        <v>97</v>
      </c>
      <c r="U178" s="8" t="s">
        <v>98</v>
      </c>
      <c r="V178" s="8" t="s">
        <v>99</v>
      </c>
      <c r="W178" s="10" t="s">
        <v>100</v>
      </c>
      <c r="X178" s="2"/>
      <c r="Y178" s="2" t="s">
        <v>93</v>
      </c>
      <c r="Z178" s="8" t="s">
        <v>94</v>
      </c>
      <c r="AA178" s="8" t="s">
        <v>95</v>
      </c>
      <c r="AB178" s="8" t="s">
        <v>96</v>
      </c>
      <c r="AC178" s="8" t="s">
        <v>97</v>
      </c>
      <c r="AD178" s="8" t="s">
        <v>98</v>
      </c>
      <c r="AE178" s="8" t="s">
        <v>99</v>
      </c>
      <c r="AF178" s="10" t="s">
        <v>100</v>
      </c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2" t="s">
        <v>321</v>
      </c>
      <c r="Q179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79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79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79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79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79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79" s="9">
        <f>SUM(ENOS_G3_IRAGNG_60_MAS_AÑOS[[#This Row],[D1]:[D6]])</f>
        <v>0</v>
      </c>
      <c r="X179" s="2"/>
      <c r="Y179" s="32" t="s">
        <v>321</v>
      </c>
      <c r="Z179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79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79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79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79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79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79" s="9">
        <f>SUM(ENOS_G3_IRAGNG_SD_AÑOS[[#This Row],[D1]:[D6]])</f>
        <v>0</v>
      </c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2" t="s">
        <v>322</v>
      </c>
      <c r="Q180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80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80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80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80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80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80" s="9">
        <f>SUM(ENOS_G3_IRAGNG_60_MAS_AÑOS[[#This Row],[D1]:[D6]])</f>
        <v>0</v>
      </c>
      <c r="X180" s="2"/>
      <c r="Y180" s="32" t="s">
        <v>322</v>
      </c>
      <c r="Z180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80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80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80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80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80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80" s="9">
        <f>SUM(ENOS_G3_IRAGNG_SD_AÑOS[[#This Row],[D1]:[D6]])</f>
        <v>0</v>
      </c>
    </row>
    <row r="181" spans="1:32" ht="18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2" t="s">
        <v>323</v>
      </c>
      <c r="Q181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81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81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81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81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81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81" s="9">
        <f>SUM(ENOS_G3_IRAGNG_60_MAS_AÑOS[[#This Row],[D1]:[D6]])</f>
        <v>0</v>
      </c>
      <c r="X181" s="2"/>
      <c r="Y181" s="32" t="s">
        <v>323</v>
      </c>
      <c r="Z181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81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81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81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81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81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81" s="9">
        <f>SUM(ENOS_G3_IRAGNG_SD_AÑOS[[#This Row],[D1]:[D6]])</f>
        <v>0</v>
      </c>
    </row>
    <row r="182" spans="1:3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8" customHeight="1" thickBo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76" t="s">
        <v>297</v>
      </c>
      <c r="Q183" s="77"/>
      <c r="R183" s="77"/>
      <c r="S183" s="77"/>
      <c r="T183" s="77"/>
      <c r="U183" s="77"/>
      <c r="V183" s="77"/>
      <c r="W183" s="77"/>
      <c r="X183" s="2"/>
      <c r="Y183" s="76" t="s">
        <v>298</v>
      </c>
      <c r="Z183" s="77"/>
      <c r="AA183" s="77"/>
      <c r="AB183" s="77"/>
      <c r="AC183" s="77"/>
      <c r="AD183" s="77"/>
      <c r="AE183" s="77"/>
      <c r="AF183" s="77"/>
    </row>
    <row r="184" spans="1:32" ht="15.75" customHeight="1" thickTop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 t="s">
        <v>93</v>
      </c>
      <c r="Q184" s="8" t="s">
        <v>94</v>
      </c>
      <c r="R184" s="8" t="s">
        <v>95</v>
      </c>
      <c r="S184" s="8" t="s">
        <v>96</v>
      </c>
      <c r="T184" s="8" t="s">
        <v>97</v>
      </c>
      <c r="U184" s="8" t="s">
        <v>98</v>
      </c>
      <c r="V184" s="8" t="s">
        <v>99</v>
      </c>
      <c r="W184" s="10" t="s">
        <v>100</v>
      </c>
      <c r="X184" s="2"/>
      <c r="Y184" s="2" t="s">
        <v>93</v>
      </c>
      <c r="Z184" s="8" t="s">
        <v>94</v>
      </c>
      <c r="AA184" s="8" t="s">
        <v>95</v>
      </c>
      <c r="AB184" s="8" t="s">
        <v>96</v>
      </c>
      <c r="AC184" s="8" t="s">
        <v>97</v>
      </c>
      <c r="AD184" s="8" t="s">
        <v>98</v>
      </c>
      <c r="AE184" s="8" t="s">
        <v>99</v>
      </c>
      <c r="AF184" s="10" t="s">
        <v>100</v>
      </c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2" t="s">
        <v>299</v>
      </c>
      <c r="Q185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5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5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5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5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5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5" s="9">
        <f>SUM(ENOS_G3_DA_MENOR_QUE_1_AÑO[[#This Row],[D1]:[D6]])</f>
        <v>0</v>
      </c>
      <c r="X185" s="2"/>
      <c r="Y185" s="32" t="s">
        <v>299</v>
      </c>
      <c r="Z185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5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5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5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5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5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5" s="9">
        <f>SUM(ENOS_G3_DA_1_4_AÑOS[[#This Row],[D1]:[D6]])</f>
        <v>0</v>
      </c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2" t="s">
        <v>324</v>
      </c>
      <c r="Q186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6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6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6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6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6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6" s="9">
        <f>SUM(ENOS_G3_DA_MENOR_QUE_1_AÑO[[#This Row],[D1]:[D6]])</f>
        <v>0</v>
      </c>
      <c r="X186" s="2"/>
      <c r="Y186" s="32" t="s">
        <v>324</v>
      </c>
      <c r="Z186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6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6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6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6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6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6" s="9">
        <f>SUM(ENOS_G3_DA_1_4_AÑOS[[#This Row],[D1]:[D6]])</f>
        <v>0</v>
      </c>
    </row>
    <row r="187" spans="1:32" ht="1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2" t="s">
        <v>325</v>
      </c>
      <c r="Q187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7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7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7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7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7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7" s="9">
        <f>SUM(ENOS_G3_DA_MENOR_QUE_1_AÑO[[#This Row],[D1]:[D6]])</f>
        <v>0</v>
      </c>
      <c r="X187" s="2"/>
      <c r="Y187" s="32" t="s">
        <v>325</v>
      </c>
      <c r="Z187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7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7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7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7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7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7" s="9">
        <f>SUM(ENOS_G3_DA_1_4_AÑOS[[#This Row],[D1]:[D6]])</f>
        <v>0</v>
      </c>
    </row>
    <row r="188" spans="1:32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2" t="s">
        <v>261</v>
      </c>
      <c r="Q188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8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8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8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8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8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8" s="9">
        <f>SUM(ENOS_G3_DA_MENOR_QUE_1_AÑO[[#This Row],[D1]:[D6]])</f>
        <v>0</v>
      </c>
      <c r="X188" s="2"/>
      <c r="Y188" s="32" t="s">
        <v>261</v>
      </c>
      <c r="Z188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8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8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8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8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8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8" s="9">
        <f>SUM(ENOS_G3_DA_1_4_AÑOS[[#This Row],[D1]:[D6]])</f>
        <v>0</v>
      </c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2" t="s">
        <v>300</v>
      </c>
      <c r="Q189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9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9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9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9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9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9" s="9">
        <f>SUM(ENOS_G3_DA_MENOR_QUE_1_AÑO[[#This Row],[D1]:[D6]])</f>
        <v>0</v>
      </c>
      <c r="X189" s="2"/>
      <c r="Y189" s="32" t="s">
        <v>300</v>
      </c>
      <c r="Z189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9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9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9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9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9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9" s="9">
        <f>SUM(ENOS_G3_DA_1_4_AÑOS[[#This Row],[D1]:[D6]])</f>
        <v>0</v>
      </c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2" t="s">
        <v>326</v>
      </c>
      <c r="Q190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0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0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0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0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0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0" s="9">
        <f>SUM(ENOS_G3_DA_MENOR_QUE_1_AÑO[[#This Row],[D1]:[D6]])</f>
        <v>0</v>
      </c>
      <c r="X190" s="2"/>
      <c r="Y190" s="32" t="s">
        <v>326</v>
      </c>
      <c r="Z190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0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0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0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0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0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0" s="9">
        <f>SUM(ENOS_G3_DA_1_4_AÑOS[[#This Row],[D1]:[D6]])</f>
        <v>0</v>
      </c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2" t="s">
        <v>327</v>
      </c>
      <c r="Q191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1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1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1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1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1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1" s="9">
        <f>SUM(ENOS_G3_DA_MENOR_QUE_1_AÑO[[#This Row],[D1]:[D6]])</f>
        <v>0</v>
      </c>
      <c r="X191" s="2"/>
      <c r="Y191" s="32" t="s">
        <v>327</v>
      </c>
      <c r="Z191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1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1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1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1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1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1" s="9">
        <f>SUM(ENOS_G3_DA_1_4_AÑOS[[#This Row],[D1]:[D6]])</f>
        <v>0</v>
      </c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2" t="s">
        <v>328</v>
      </c>
      <c r="Q192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2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2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2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2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2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2" s="9">
        <f>SUM(ENOS_G3_DA_MENOR_QUE_1_AÑO[[#This Row],[D1]:[D6]])</f>
        <v>0</v>
      </c>
      <c r="X192" s="2"/>
      <c r="Y192" s="32" t="s">
        <v>328</v>
      </c>
      <c r="Z192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2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2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2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2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2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2" s="9">
        <f>SUM(ENOS_G3_DA_1_4_AÑOS[[#This Row],[D1]:[D6]])</f>
        <v>0</v>
      </c>
    </row>
    <row r="193" spans="1:32" ht="1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8" customHeight="1" thickBo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76" t="s">
        <v>301</v>
      </c>
      <c r="Q194" s="77"/>
      <c r="R194" s="77"/>
      <c r="S194" s="77"/>
      <c r="T194" s="77"/>
      <c r="U194" s="77"/>
      <c r="V194" s="77"/>
      <c r="W194" s="77"/>
      <c r="X194" s="2"/>
      <c r="Y194" s="76" t="s">
        <v>302</v>
      </c>
      <c r="Z194" s="77"/>
      <c r="AA194" s="77"/>
      <c r="AB194" s="77"/>
      <c r="AC194" s="77"/>
      <c r="AD194" s="77"/>
      <c r="AE194" s="77"/>
      <c r="AF194" s="77"/>
    </row>
    <row r="195" spans="1:32" ht="15.75" customHeight="1" thickTop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 t="s">
        <v>93</v>
      </c>
      <c r="Q195" s="8" t="s">
        <v>94</v>
      </c>
      <c r="R195" s="8" t="s">
        <v>95</v>
      </c>
      <c r="S195" s="8" t="s">
        <v>96</v>
      </c>
      <c r="T195" s="8" t="s">
        <v>97</v>
      </c>
      <c r="U195" s="8" t="s">
        <v>98</v>
      </c>
      <c r="V195" s="8" t="s">
        <v>99</v>
      </c>
      <c r="W195" s="10" t="s">
        <v>100</v>
      </c>
      <c r="X195" s="2"/>
      <c r="Y195" s="2" t="s">
        <v>93</v>
      </c>
      <c r="Z195" s="8" t="s">
        <v>94</v>
      </c>
      <c r="AA195" s="8" t="s">
        <v>95</v>
      </c>
      <c r="AB195" s="8" t="s">
        <v>96</v>
      </c>
      <c r="AC195" s="8" t="s">
        <v>97</v>
      </c>
      <c r="AD195" s="8" t="s">
        <v>98</v>
      </c>
      <c r="AE195" s="8" t="s">
        <v>99</v>
      </c>
      <c r="AF195" s="10" t="s">
        <v>100</v>
      </c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2" t="s">
        <v>299</v>
      </c>
      <c r="Q196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6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6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6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6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6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6" s="9">
        <f>SUM(ENOS_G3_DA_5_19_AÑOS[[#This Row],[D1]:[D6]])</f>
        <v>0</v>
      </c>
      <c r="X196" s="2"/>
      <c r="Y196" s="32" t="s">
        <v>299</v>
      </c>
      <c r="Z196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6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6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6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6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6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6" s="9">
        <f>SUM(ENOS_G3_DA_20_59_AÑOS[[#This Row],[D1]:[D6]])</f>
        <v>0</v>
      </c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2" t="s">
        <v>324</v>
      </c>
      <c r="Q197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7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7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7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7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7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7" s="9">
        <f>SUM(ENOS_G3_DA_5_19_AÑOS[[#This Row],[D1]:[D6]])</f>
        <v>0</v>
      </c>
      <c r="X197" s="2"/>
      <c r="Y197" s="32" t="s">
        <v>324</v>
      </c>
      <c r="Z197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7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7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7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7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7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7" s="9">
        <f>SUM(ENOS_G3_DA_20_59_AÑOS[[#This Row],[D1]:[D6]])</f>
        <v>0</v>
      </c>
    </row>
    <row r="198" spans="1:32" ht="1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2" t="s">
        <v>325</v>
      </c>
      <c r="Q198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8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8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8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8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8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8" s="9">
        <f>SUM(ENOS_G3_DA_5_19_AÑOS[[#This Row],[D1]:[D6]])</f>
        <v>0</v>
      </c>
      <c r="X198" s="2"/>
      <c r="Y198" s="32" t="s">
        <v>325</v>
      </c>
      <c r="Z198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8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8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8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8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8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8" s="9">
        <f>SUM(ENOS_G3_DA_20_59_AÑOS[[#This Row],[D1]:[D6]])</f>
        <v>0</v>
      </c>
    </row>
    <row r="199" spans="1:32" ht="1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2" t="s">
        <v>261</v>
      </c>
      <c r="Q199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9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9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9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9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9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9" s="9">
        <f>SUM(ENOS_G3_DA_5_19_AÑOS[[#This Row],[D1]:[D6]])</f>
        <v>0</v>
      </c>
      <c r="X199" s="2"/>
      <c r="Y199" s="32" t="s">
        <v>261</v>
      </c>
      <c r="Z199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9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9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9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9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9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9" s="9">
        <f>SUM(ENOS_G3_DA_20_59_AÑOS[[#This Row],[D1]:[D6]])</f>
        <v>0</v>
      </c>
    </row>
    <row r="200" spans="1:32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2" t="s">
        <v>300</v>
      </c>
      <c r="Q200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0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0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0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0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0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0" s="9">
        <f>SUM(ENOS_G3_DA_5_19_AÑOS[[#This Row],[D1]:[D6]])</f>
        <v>0</v>
      </c>
      <c r="X200" s="2"/>
      <c r="Y200" s="32" t="s">
        <v>300</v>
      </c>
      <c r="Z200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0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0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0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0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0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0" s="9">
        <f>SUM(ENOS_G3_DA_20_59_AÑOS[[#This Row],[D1]:[D6]])</f>
        <v>0</v>
      </c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2" t="s">
        <v>326</v>
      </c>
      <c r="Q201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1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1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1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1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1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1" s="9">
        <f>SUM(ENOS_G3_DA_5_19_AÑOS[[#This Row],[D1]:[D6]])</f>
        <v>0</v>
      </c>
      <c r="X201" s="2"/>
      <c r="Y201" s="32" t="s">
        <v>326</v>
      </c>
      <c r="Z201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1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1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1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1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1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1" s="9">
        <f>SUM(ENOS_G3_DA_20_59_AÑOS[[#This Row],[D1]:[D6]])</f>
        <v>0</v>
      </c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2" t="s">
        <v>327</v>
      </c>
      <c r="Q202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2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2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2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2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2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2" s="9">
        <f>SUM(ENOS_G3_DA_5_19_AÑOS[[#This Row],[D1]:[D6]])</f>
        <v>0</v>
      </c>
      <c r="X202" s="2"/>
      <c r="Y202" s="32" t="s">
        <v>327</v>
      </c>
      <c r="Z202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2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2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2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2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2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2" s="9">
        <f>SUM(ENOS_G3_DA_20_59_AÑOS[[#This Row],[D1]:[D6]])</f>
        <v>0</v>
      </c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2" t="s">
        <v>328</v>
      </c>
      <c r="Q203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3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3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3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3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3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3" s="9">
        <f>SUM(ENOS_G3_DA_5_19_AÑOS[[#This Row],[D1]:[D6]])</f>
        <v>0</v>
      </c>
      <c r="X203" s="2"/>
      <c r="Y203" s="32" t="s">
        <v>328</v>
      </c>
      <c r="Z203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3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3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3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3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3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3" s="9">
        <f>SUM(ENOS_G3_DA_20_59_AÑOS[[#This Row],[D1]:[D6]])</f>
        <v>0</v>
      </c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8" customHeight="1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76" t="s">
        <v>303</v>
      </c>
      <c r="Q205" s="77"/>
      <c r="R205" s="77"/>
      <c r="S205" s="77"/>
      <c r="T205" s="77"/>
      <c r="U205" s="77"/>
      <c r="V205" s="77"/>
      <c r="W205" s="77"/>
      <c r="X205" s="2"/>
      <c r="Y205" s="76" t="s">
        <v>304</v>
      </c>
      <c r="Z205" s="77"/>
      <c r="AA205" s="77"/>
      <c r="AB205" s="77"/>
      <c r="AC205" s="77"/>
      <c r="AD205" s="77"/>
      <c r="AE205" s="77"/>
      <c r="AF205" s="77"/>
    </row>
    <row r="206" spans="1:32" ht="15.75" customHeight="1" thickTop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 t="s">
        <v>93</v>
      </c>
      <c r="Q206" s="8" t="s">
        <v>94</v>
      </c>
      <c r="R206" s="8" t="s">
        <v>95</v>
      </c>
      <c r="S206" s="8" t="s">
        <v>96</v>
      </c>
      <c r="T206" s="8" t="s">
        <v>97</v>
      </c>
      <c r="U206" s="8" t="s">
        <v>98</v>
      </c>
      <c r="V206" s="8" t="s">
        <v>99</v>
      </c>
      <c r="W206" s="10" t="s">
        <v>100</v>
      </c>
      <c r="X206" s="2"/>
      <c r="Y206" s="2" t="s">
        <v>93</v>
      </c>
      <c r="Z206" s="8" t="s">
        <v>94</v>
      </c>
      <c r="AA206" s="8" t="s">
        <v>95</v>
      </c>
      <c r="AB206" s="8" t="s">
        <v>96</v>
      </c>
      <c r="AC206" s="8" t="s">
        <v>97</v>
      </c>
      <c r="AD206" s="8" t="s">
        <v>98</v>
      </c>
      <c r="AE206" s="8" t="s">
        <v>99</v>
      </c>
      <c r="AF206" s="10" t="s">
        <v>100</v>
      </c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2" t="s">
        <v>299</v>
      </c>
      <c r="Q207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7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7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7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7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7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7" s="9">
        <f>SUM(ENOS_G3_DA_60_MAS_AÑOS[[#This Row],[D1]:[D6]])</f>
        <v>0</v>
      </c>
      <c r="X207" s="2"/>
      <c r="Y207" s="32" t="s">
        <v>299</v>
      </c>
      <c r="Z207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7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7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7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7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7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7" s="9">
        <f>SUM(ENOS_G3_DA_SD_AÑOS[[#This Row],[D1]:[D6]])</f>
        <v>0</v>
      </c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2" t="s">
        <v>324</v>
      </c>
      <c r="Q208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8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8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8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8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8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8" s="9">
        <f>SUM(ENOS_G3_DA_60_MAS_AÑOS[[#This Row],[D1]:[D6]])</f>
        <v>0</v>
      </c>
      <c r="X208" s="2"/>
      <c r="Y208" s="32" t="s">
        <v>324</v>
      </c>
      <c r="Z208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8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8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8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8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8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8" s="9">
        <f>SUM(ENOS_G3_DA_SD_AÑOS[[#This Row],[D1]:[D6]])</f>
        <v>0</v>
      </c>
    </row>
    <row r="209" spans="1:32" ht="18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2" t="s">
        <v>325</v>
      </c>
      <c r="Q209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9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9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9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9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9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9" s="9">
        <f>SUM(ENOS_G3_DA_60_MAS_AÑOS[[#This Row],[D1]:[D6]])</f>
        <v>0</v>
      </c>
      <c r="X209" s="2"/>
      <c r="Y209" s="32" t="s">
        <v>325</v>
      </c>
      <c r="Z209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9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9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9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9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9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9" s="9">
        <f>SUM(ENOS_G3_DA_SD_AÑOS[[#This Row],[D1]:[D6]])</f>
        <v>0</v>
      </c>
    </row>
    <row r="210" spans="1:32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2" t="s">
        <v>261</v>
      </c>
      <c r="Q210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0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0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0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0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0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0" s="9">
        <f>SUM(ENOS_G3_DA_60_MAS_AÑOS[[#This Row],[D1]:[D6]])</f>
        <v>0</v>
      </c>
      <c r="X210" s="2"/>
      <c r="Y210" s="32" t="s">
        <v>261</v>
      </c>
      <c r="Z210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0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0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0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0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0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0" s="9">
        <f>SUM(ENOS_G3_DA_SD_AÑOS[[#This Row],[D1]:[D6]])</f>
        <v>0</v>
      </c>
    </row>
    <row r="211" spans="1:32" ht="18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2" t="s">
        <v>300</v>
      </c>
      <c r="Q211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1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1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1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1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1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1" s="9">
        <f>SUM(ENOS_G3_DA_60_MAS_AÑOS[[#This Row],[D1]:[D6]])</f>
        <v>0</v>
      </c>
      <c r="X211" s="2"/>
      <c r="Y211" s="32" t="s">
        <v>300</v>
      </c>
      <c r="Z211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1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1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1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1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1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1" s="9">
        <f>SUM(ENOS_G3_DA_SD_AÑOS[[#This Row],[D1]:[D6]])</f>
        <v>0</v>
      </c>
    </row>
    <row r="212" spans="1:3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2" t="s">
        <v>326</v>
      </c>
      <c r="Q212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2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2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2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2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2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2" s="9">
        <f>SUM(ENOS_G3_DA_60_MAS_AÑOS[[#This Row],[D1]:[D6]])</f>
        <v>0</v>
      </c>
      <c r="X212" s="2"/>
      <c r="Y212" s="32" t="s">
        <v>326</v>
      </c>
      <c r="Z212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2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2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2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2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2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2" s="9">
        <f>SUM(ENOS_G3_DA_SD_AÑOS[[#This Row],[D1]:[D6]])</f>
        <v>0</v>
      </c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2" t="s">
        <v>327</v>
      </c>
      <c r="Q213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3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3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3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3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3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3" s="9">
        <f>SUM(ENOS_G3_DA_60_MAS_AÑOS[[#This Row],[D1]:[D6]])</f>
        <v>0</v>
      </c>
      <c r="X213" s="2"/>
      <c r="Y213" s="32" t="s">
        <v>327</v>
      </c>
      <c r="Z213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3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3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3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3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3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3" s="9">
        <f>SUM(ENOS_G3_DA_SD_AÑOS[[#This Row],[D1]:[D6]])</f>
        <v>0</v>
      </c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75"/>
      <c r="K214" s="81"/>
      <c r="L214" s="75"/>
      <c r="M214" s="81"/>
      <c r="N214" s="81"/>
      <c r="O214" s="2"/>
      <c r="P214" s="32" t="s">
        <v>328</v>
      </c>
      <c r="Q214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4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4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4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4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4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4" s="9">
        <f>SUM(ENOS_G3_DA_60_MAS_AÑOS[[#This Row],[D1]:[D6]])</f>
        <v>0</v>
      </c>
      <c r="X214" s="2"/>
      <c r="Y214" s="32" t="s">
        <v>328</v>
      </c>
      <c r="Z214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4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4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4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4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4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4" s="9">
        <f>SUM(ENOS_G3_DA_SD_AÑOS[[#This Row],[D1]:[D6]])</f>
        <v>0</v>
      </c>
    </row>
    <row r="215" spans="1:32">
      <c r="X215" s="2"/>
    </row>
    <row r="216" spans="1:32">
      <c r="X216" s="2"/>
    </row>
    <row r="217" spans="1:32">
      <c r="X217" s="2"/>
    </row>
    <row r="218" spans="1:32">
      <c r="X218" s="2"/>
    </row>
    <row r="219" spans="1:32">
      <c r="X219" s="2"/>
    </row>
    <row r="220" spans="1:32">
      <c r="X220" s="2"/>
    </row>
    <row r="221" spans="1:32">
      <c r="X221" s="2"/>
    </row>
    <row r="222" spans="1:32" ht="18" customHeight="1">
      <c r="X222" s="2"/>
    </row>
    <row r="223" spans="1:32" ht="15.75" customHeight="1">
      <c r="X223" s="2"/>
    </row>
    <row r="224" spans="1:32">
      <c r="X224" s="2"/>
    </row>
    <row r="225" spans="24:24">
      <c r="X225" s="2"/>
    </row>
    <row r="226" spans="24:24">
      <c r="X226" s="2"/>
    </row>
    <row r="227" spans="24:24">
      <c r="X227" s="2"/>
    </row>
    <row r="228" spans="24:24">
      <c r="X228" s="2"/>
    </row>
    <row r="229" spans="24:24">
      <c r="X229" s="2"/>
    </row>
    <row r="230" spans="24:24">
      <c r="X230" s="2"/>
    </row>
    <row r="231" spans="24:24">
      <c r="X231" s="2"/>
    </row>
    <row r="232" spans="24:24">
      <c r="X232" s="2"/>
    </row>
    <row r="233" spans="24:24" ht="18" customHeight="1">
      <c r="X233" s="2"/>
    </row>
    <row r="234" spans="24:24" ht="15.75" customHeight="1">
      <c r="X234" s="2"/>
    </row>
    <row r="235" spans="24:24">
      <c r="X235" s="2"/>
    </row>
    <row r="236" spans="24:24">
      <c r="X236" s="2"/>
    </row>
    <row r="237" spans="24:24">
      <c r="X237" s="2"/>
    </row>
    <row r="238" spans="24:24">
      <c r="X238" s="2"/>
    </row>
    <row r="239" spans="24:24">
      <c r="X239" s="2"/>
    </row>
    <row r="240" spans="24:24">
      <c r="X240" s="2"/>
    </row>
    <row r="241" spans="24:24">
      <c r="X241" s="2"/>
    </row>
    <row r="242" spans="24:24">
      <c r="X242" s="2"/>
    </row>
  </sheetData>
  <mergeCells count="119">
    <mergeCell ref="B1:M1"/>
    <mergeCell ref="N2:O2"/>
    <mergeCell ref="Y177:AF177"/>
    <mergeCell ref="G14:G15"/>
    <mergeCell ref="P77:W77"/>
    <mergeCell ref="P155:W155"/>
    <mergeCell ref="B2:M2"/>
    <mergeCell ref="P135:W135"/>
    <mergeCell ref="J10:K10"/>
    <mergeCell ref="D21:D22"/>
    <mergeCell ref="P165:W165"/>
    <mergeCell ref="Y63:AF63"/>
    <mergeCell ref="Y93:AF93"/>
    <mergeCell ref="J9:K9"/>
    <mergeCell ref="L14:L15"/>
    <mergeCell ref="D28:F28"/>
    <mergeCell ref="Y155:AF155"/>
    <mergeCell ref="P81:W81"/>
    <mergeCell ref="H19:I22"/>
    <mergeCell ref="Y67:AF67"/>
    <mergeCell ref="D16:D17"/>
    <mergeCell ref="D30:F30"/>
    <mergeCell ref="P145:W145"/>
    <mergeCell ref="J14:K15"/>
    <mergeCell ref="Y145:AF145"/>
    <mergeCell ref="F11:F12"/>
    <mergeCell ref="Y205:AF205"/>
    <mergeCell ref="J165:K165"/>
    <mergeCell ref="Y43:AF43"/>
    <mergeCell ref="B27:C27"/>
    <mergeCell ref="B13:C22"/>
    <mergeCell ref="Y35:AF35"/>
    <mergeCell ref="Y123:AF123"/>
    <mergeCell ref="Y59:AF59"/>
    <mergeCell ref="M24:M25"/>
    <mergeCell ref="J33:L33"/>
    <mergeCell ref="B29:C29"/>
    <mergeCell ref="Y183:AF183"/>
    <mergeCell ref="Y194:AF194"/>
    <mergeCell ref="Y111:AF111"/>
    <mergeCell ref="P43:W43"/>
    <mergeCell ref="M16:M18"/>
    <mergeCell ref="P93:W93"/>
    <mergeCell ref="P183:W183"/>
    <mergeCell ref="P177:W177"/>
    <mergeCell ref="Y171:AF171"/>
    <mergeCell ref="M14:M15"/>
    <mergeCell ref="B28:C28"/>
    <mergeCell ref="Y99:AF99"/>
    <mergeCell ref="J19:K20"/>
    <mergeCell ref="E16:E17"/>
    <mergeCell ref="G16:G17"/>
    <mergeCell ref="D14:D15"/>
    <mergeCell ref="L11:L12"/>
    <mergeCell ref="F14:F15"/>
    <mergeCell ref="J16:K18"/>
    <mergeCell ref="B30:C30"/>
    <mergeCell ref="F18:F20"/>
    <mergeCell ref="P47:W47"/>
    <mergeCell ref="P87:W87"/>
    <mergeCell ref="P29:AF34"/>
    <mergeCell ref="P71:W71"/>
    <mergeCell ref="J11:K12"/>
    <mergeCell ref="G18:G20"/>
    <mergeCell ref="P51:W51"/>
    <mergeCell ref="E11:E12"/>
    <mergeCell ref="D29:F29"/>
    <mergeCell ref="P67:W67"/>
    <mergeCell ref="Y81:AF81"/>
    <mergeCell ref="E18:E20"/>
    <mergeCell ref="D26:F26"/>
    <mergeCell ref="B6:G6"/>
    <mergeCell ref="J7:K7"/>
    <mergeCell ref="H7:I18"/>
    <mergeCell ref="Y47:AF47"/>
    <mergeCell ref="G11:G12"/>
    <mergeCell ref="L165:N165"/>
    <mergeCell ref="P35:W35"/>
    <mergeCell ref="B23:M23"/>
    <mergeCell ref="Y87:AF87"/>
    <mergeCell ref="M11:M12"/>
    <mergeCell ref="B24:C25"/>
    <mergeCell ref="Y71:AF71"/>
    <mergeCell ref="D18:D20"/>
    <mergeCell ref="F21:F22"/>
    <mergeCell ref="P59:W59"/>
    <mergeCell ref="Y51:AF51"/>
    <mergeCell ref="P111:W111"/>
    <mergeCell ref="Y135:AF135"/>
    <mergeCell ref="P63:W63"/>
    <mergeCell ref="J13:K13"/>
    <mergeCell ref="Y39:AF39"/>
    <mergeCell ref="G24:L24"/>
    <mergeCell ref="P99:W99"/>
    <mergeCell ref="Y165:AF165"/>
    <mergeCell ref="J214:K214"/>
    <mergeCell ref="B7:C12"/>
    <mergeCell ref="B3:M3"/>
    <mergeCell ref="M19:M20"/>
    <mergeCell ref="L214:N214"/>
    <mergeCell ref="J8:K8"/>
    <mergeCell ref="H6:M6"/>
    <mergeCell ref="P194:W194"/>
    <mergeCell ref="L19:L20"/>
    <mergeCell ref="P205:W205"/>
    <mergeCell ref="B26:C26"/>
    <mergeCell ref="L16:L18"/>
    <mergeCell ref="P39:W39"/>
    <mergeCell ref="J21:K21"/>
    <mergeCell ref="P171:W171"/>
    <mergeCell ref="E21:E22"/>
    <mergeCell ref="D24:F25"/>
    <mergeCell ref="G21:G22"/>
    <mergeCell ref="P123:W123"/>
    <mergeCell ref="F16:F17"/>
    <mergeCell ref="E14:E15"/>
    <mergeCell ref="D11:D12"/>
    <mergeCell ref="J22:K22"/>
    <mergeCell ref="D27:F27"/>
  </mergeCells>
  <conditionalFormatting sqref="N4 F8:G22 M8:M22 G26:M30">
    <cfRule type="cellIs" dxfId="43" priority="3" operator="greaterThan">
      <formula>0</formula>
    </cfRule>
  </conditionalFormatting>
  <conditionalFormatting sqref="Q37:W37 Z37:AF37 Q41:W41 Z41:AF41 Q45:W45 Z45:AF45 Q49:W49 Z49:AF49 Z53:AF53 Q53:W57 Q61:W61 Z61:AF61 Q65:W65 Z65:AF65 Q69:W69 Z69:AF69 Q73:W73 Z73:AF75 Q79:W79 Q83:W85 Z83:AF85 Q89:W91 Z89:AF91 Q95:W97 Z95:AF97 Q101:W109 Z101:AF109 Q113:W121 Z113:AF121 Q125:W133 Z125:AF133 Q137:W143 Z137:AF143">
    <cfRule type="cellIs" dxfId="42" priority="2" operator="greaterThan">
      <formula>0</formula>
    </cfRule>
  </conditionalFormatting>
  <conditionalFormatting sqref="Q147:W153 Z147:AF153 Q157:W163 Z157:AF163 Q167:W169 Z167:AF169 Q173:W175 Z173:AF175 Q179:W181 Z179:AF181 Q185:W192 Z185:AF192 Q196:W203 Z196:AF203 Q207:W214 Z207:AF214">
    <cfRule type="cellIs" dxfId="41" priority="1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49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AB9E-59BF-4969-A096-226F8D0DE39D}">
  <dimension ref="A1:AO72"/>
  <sheetViews>
    <sheetView showGridLines="0" zoomScale="70" zoomScaleNormal="70" workbookViewId="0">
      <selection activeCell="AJ3" sqref="AJ3"/>
    </sheetView>
  </sheetViews>
  <sheetFormatPr baseColWidth="10" defaultRowHeight="15"/>
  <cols>
    <col min="2" max="7" width="5.7109375" customWidth="1"/>
    <col min="8" max="8" width="5.7109375" style="2" customWidth="1"/>
    <col min="9" max="9" width="3.7109375" customWidth="1"/>
    <col min="11" max="16" width="5.7109375" customWidth="1"/>
    <col min="17" max="17" width="5.7109375" style="2" customWidth="1"/>
    <col min="18" max="18" width="3.7109375" customWidth="1"/>
    <col min="20" max="25" width="5.7109375" customWidth="1"/>
    <col min="26" max="26" width="5.7109375" style="2" customWidth="1"/>
    <col min="27" max="27" width="3.7109375" customWidth="1"/>
    <col min="29" max="34" width="5.7109375" customWidth="1"/>
    <col min="35" max="35" width="5.7109375" style="2" customWidth="1"/>
    <col min="36" max="36" width="21" bestFit="1" customWidth="1"/>
    <col min="37" max="37" width="11.7109375" bestFit="1" customWidth="1"/>
    <col min="38" max="43" width="5.7109375" customWidth="1"/>
    <col min="44" max="44" width="3.7109375" customWidth="1"/>
    <col min="46" max="51" width="5.7109375" customWidth="1"/>
    <col min="54" max="59" width="5.7109375" customWidth="1"/>
  </cols>
  <sheetData>
    <row r="1" spans="1:41" s="2" customFormat="1" ht="32.25" customHeight="1">
      <c r="F1" s="138" t="s">
        <v>347</v>
      </c>
      <c r="G1" s="138"/>
      <c r="H1" s="138"/>
      <c r="I1" s="138"/>
      <c r="J1" s="138"/>
      <c r="K1" s="138"/>
      <c r="M1" s="69" t="s">
        <v>362</v>
      </c>
      <c r="AJ1" s="74" t="s">
        <v>86</v>
      </c>
      <c r="AK1" s="75"/>
    </row>
    <row r="2" spans="1:41" ht="18" customHeight="1" thickBot="1">
      <c r="A2" s="76" t="s">
        <v>330</v>
      </c>
      <c r="B2" s="77"/>
      <c r="C2" s="77"/>
      <c r="D2" s="77"/>
      <c r="E2" s="77"/>
      <c r="F2" s="77"/>
      <c r="G2" s="77"/>
      <c r="H2" s="77"/>
      <c r="J2" s="76" t="s">
        <v>331</v>
      </c>
      <c r="K2" s="76"/>
      <c r="L2" s="76"/>
      <c r="M2" s="76"/>
      <c r="N2" s="76"/>
      <c r="O2" s="76"/>
      <c r="P2" s="76"/>
      <c r="Q2" s="76"/>
      <c r="R2" s="2"/>
      <c r="S2" s="76" t="s">
        <v>348</v>
      </c>
      <c r="T2" s="76"/>
      <c r="U2" s="76"/>
      <c r="V2" s="76"/>
      <c r="W2" s="76"/>
      <c r="X2" s="76"/>
      <c r="Y2" s="76"/>
      <c r="Z2" s="76"/>
      <c r="AB2" s="76" t="s">
        <v>350</v>
      </c>
      <c r="AC2" s="77"/>
      <c r="AD2" s="77"/>
      <c r="AE2" s="77"/>
      <c r="AF2" s="77"/>
      <c r="AG2" s="77"/>
      <c r="AH2" s="77"/>
      <c r="AI2" s="77"/>
      <c r="AJ2" s="1" t="s">
        <v>10</v>
      </c>
      <c r="AK2" t="s">
        <v>92</v>
      </c>
    </row>
    <row r="3" spans="1:41" ht="15.75" customHeight="1" thickTop="1">
      <c r="A3" s="6" t="str">
        <f>_xlfn.CONCAT("TOTAL: ",SUM(B3:G3))</f>
        <v>TOTAL: 0</v>
      </c>
      <c r="B3" s="5">
        <f>SUM(EPV_PARALISIS_FLACIDA_AGUDA62[D1])</f>
        <v>0</v>
      </c>
      <c r="C3" s="5">
        <f>SUM(EPV_PARALISIS_FLACIDA_AGUDA62[D2])</f>
        <v>0</v>
      </c>
      <c r="D3" s="5">
        <f>SUM(EPV_PARALISIS_FLACIDA_AGUDA62[D3])</f>
        <v>0</v>
      </c>
      <c r="E3" s="5">
        <f>SUM(EPV_PARALISIS_FLACIDA_AGUDA62[D4])</f>
        <v>0</v>
      </c>
      <c r="F3" s="5">
        <f>SUM(EPV_PARALISIS_FLACIDA_AGUDA62[D5])</f>
        <v>0</v>
      </c>
      <c r="G3" s="5">
        <f>SUM(EPV_PARALISIS_FLACIDA_AGUDA62[D6])</f>
        <v>0</v>
      </c>
      <c r="H3" s="7"/>
      <c r="J3" s="6" t="str">
        <f>_xlfn.CONCAT("TOTAL: ",SUM(K3:P3))</f>
        <v>TOTAL: 0</v>
      </c>
      <c r="K3" s="5">
        <f>SUM(EPV_RUBEOLA63[D1])</f>
        <v>0</v>
      </c>
      <c r="L3" s="5">
        <f>SUM(EPV_RUBEOLA63[D2])</f>
        <v>0</v>
      </c>
      <c r="M3" s="5">
        <f>SUM(EPV_RUBEOLA63[D3])</f>
        <v>0</v>
      </c>
      <c r="N3" s="5">
        <f>SUM(EPV_RUBEOLA63[D4])</f>
        <v>0</v>
      </c>
      <c r="O3" s="5">
        <f>SUM(EPV_RUBEOLA63[D5])</f>
        <v>0</v>
      </c>
      <c r="P3" s="5">
        <f>SUM(EPV_RUBEOLA63[D6])</f>
        <v>0</v>
      </c>
      <c r="Q3" s="7"/>
      <c r="S3" s="6" t="str">
        <f>_xlfn.CONCAT("TOTAL: ",SUM(T3:Y3))</f>
        <v>TOTAL: 0</v>
      </c>
      <c r="T3" s="5">
        <f>SUM(EPV_SARAMPION64[D1])</f>
        <v>0</v>
      </c>
      <c r="U3" s="5">
        <f>SUM(EPV_SARAMPION64[D2])</f>
        <v>0</v>
      </c>
      <c r="V3" s="5">
        <f>SUM(EPV_SARAMPION64[D3])</f>
        <v>0</v>
      </c>
      <c r="W3" s="5">
        <f>SUM(EPV_SARAMPION64[D4])</f>
        <v>0</v>
      </c>
      <c r="X3" s="5">
        <f>SUM(EPV_SARAMPION64[D5])</f>
        <v>0</v>
      </c>
      <c r="Y3" s="5">
        <f>SUM(EPV_SARAMPION64[D6])</f>
        <v>0</v>
      </c>
      <c r="Z3" s="7"/>
      <c r="AB3" s="6" t="str">
        <f>_xlfn.CONCAT("TOTAL: ",SUM(AC3:AH3))</f>
        <v>TOTAL: 0</v>
      </c>
      <c r="AC3" s="5">
        <f>SUM(EPV_DIFTERIA65[D1])</f>
        <v>0</v>
      </c>
      <c r="AD3" s="5">
        <f>SUM(EPV_DIFTERIA65[D2])</f>
        <v>0</v>
      </c>
      <c r="AE3" s="5">
        <f>SUM(EPV_DIFTERIA65[D3])</f>
        <v>0</v>
      </c>
      <c r="AF3" s="5">
        <f>SUM(EPV_DIFTERIA65[D4])</f>
        <v>0</v>
      </c>
      <c r="AG3" s="5">
        <f>SUM(EPV_DIFTERIA65[D5])</f>
        <v>0</v>
      </c>
      <c r="AH3" s="5">
        <f>SUM(EPV_DIFTERIA65[D6])</f>
        <v>0</v>
      </c>
      <c r="AI3" s="7"/>
    </row>
    <row r="4" spans="1:41">
      <c r="A4" t="s">
        <v>93</v>
      </c>
      <c r="B4" s="3" t="s">
        <v>94</v>
      </c>
      <c r="C4" s="3" t="s">
        <v>95</v>
      </c>
      <c r="D4" s="3" t="s">
        <v>96</v>
      </c>
      <c r="E4" s="3" t="s">
        <v>97</v>
      </c>
      <c r="F4" s="3" t="s">
        <v>98</v>
      </c>
      <c r="G4" s="3" t="s">
        <v>99</v>
      </c>
      <c r="H4" s="10" t="s">
        <v>100</v>
      </c>
      <c r="J4" t="s">
        <v>93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8" t="s">
        <v>100</v>
      </c>
      <c r="S4" t="s">
        <v>93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8" t="s">
        <v>100</v>
      </c>
      <c r="AB4" t="s">
        <v>93</v>
      </c>
      <c r="AC4" s="3" t="s">
        <v>94</v>
      </c>
      <c r="AD4" s="3" t="s">
        <v>95</v>
      </c>
      <c r="AE4" s="3" t="s">
        <v>96</v>
      </c>
      <c r="AF4" s="3" t="s">
        <v>97</v>
      </c>
      <c r="AG4" s="3" t="s">
        <v>98</v>
      </c>
      <c r="AH4" s="3" t="s">
        <v>99</v>
      </c>
      <c r="AI4" s="8" t="s">
        <v>100</v>
      </c>
    </row>
    <row r="5" spans="1:41">
      <c r="A5" s="4" t="s">
        <v>332</v>
      </c>
      <c r="B5" s="3">
        <f>IF($AK$2="(Todas)",COUNTIF(BASE[CODCIE10],EPV_PARALISIS_FLACIDA_AGUDA62[[#This Row],[CIE-10]]),COUNTIFS(BASE[Cod.Establecimiento],$AK$2,BASE[CODCIE10],EPV_PARALISIS_FLACIDA_AGUDA62[[#This Row],[CIE-10]]))</f>
        <v>0</v>
      </c>
      <c r="C5" s="3">
        <f>IF($AK$2="(Todas)",COUNTIF(BASE[CODCIE102],EPV_PARALISIS_FLACIDA_AGUDA62[[#This Row],[CIE-10]]),COUNTIFS(BASE[Cod.Establecimiento],$AK$2,BASE[CODCIE102],EPV_PARALISIS_FLACIDA_AGUDA62[[#This Row],[CIE-10]]))</f>
        <v>0</v>
      </c>
      <c r="D5" s="3">
        <f>IF($AK$2="(Todas)",COUNTIF(BASE[CODCIE104],EPV_PARALISIS_FLACIDA_AGUDA62[[#This Row],[CIE-10]]),COUNTIFS(BASE[Cod.Establecimiento],$AK$2,BASE[CODCIE104],EPV_PARALISIS_FLACIDA_AGUDA62[[#This Row],[CIE-10]]))</f>
        <v>0</v>
      </c>
      <c r="E5" s="3">
        <f>IF($AK$2="(Todas)",COUNTIF(BASE[CODCIE106],EPV_PARALISIS_FLACIDA_AGUDA62[[#This Row],[CIE-10]]),COUNTIFS(BASE[Cod.Establecimiento],$AK$2,BASE[CODCIE106],EPV_PARALISIS_FLACIDA_AGUDA62[[#This Row],[CIE-10]]))</f>
        <v>0</v>
      </c>
      <c r="F5" s="3">
        <f>IF($AK$2="(Todas)",COUNTIF(BASE[CODCIE108],EPV_PARALISIS_FLACIDA_AGUDA62[[#This Row],[CIE-10]]),COUNTIFS(BASE[Cod.Establecimiento],$AK$2,BASE[CODCIE108],EPV_PARALISIS_FLACIDA_AGUDA62[[#This Row],[CIE-10]]))</f>
        <v>0</v>
      </c>
      <c r="G5" s="3">
        <f>IF($AK$2="(Todas)",COUNTIF(BASE[CODCIE1010],EPV_PARALISIS_FLACIDA_AGUDA62[[#This Row],[CIE-10]]),COUNTIFS(BASE[Cod.Establecimiento],$AK$2,BASE[CODCIE1010],EPV_PARALISIS_FLACIDA_AGUDA62[[#This Row],[CIE-10]]))</f>
        <v>0</v>
      </c>
      <c r="H5" s="9">
        <f>SUM(EPV_PARALISIS_FLACIDA_AGUDA62[[#This Row],[D1]:[D6]])</f>
        <v>0</v>
      </c>
      <c r="J5" s="4" t="s">
        <v>261</v>
      </c>
      <c r="K5" s="3">
        <f>IF($AK$2="(Todas)",COUNTIF(BASE[CODCIE10],EPV_RUBEOLA63[[#This Row],[CIE-10]]),COUNTIFS(BASE[Cod.Establecimiento],$AK$2,BASE[CODCIE10],EPV_RUBEOLA63[[#This Row],[CIE-10]]))</f>
        <v>0</v>
      </c>
      <c r="L5" s="3">
        <f>IF($AK$2="(Todas)",COUNTIF(BASE[CODCIE102],EPV_RUBEOLA63[[#This Row],[CIE-10]]),COUNTIFS(BASE[Cod.Establecimiento],$AK$2,BASE[CODCIE102],EPV_RUBEOLA63[[#This Row],[CIE-10]]))</f>
        <v>0</v>
      </c>
      <c r="M5" s="3">
        <f>IF($AK$2="(Todas)",COUNTIF(BASE[CODCIE104],EPV_RUBEOLA63[[#This Row],[CIE-10]]),COUNTIFS(BASE[Cod.Establecimiento],$AK$2,BASE[CODCIE104],EPV_RUBEOLA63[[#This Row],[CIE-10]]))</f>
        <v>0</v>
      </c>
      <c r="N5" s="3">
        <f>IF($AK$2="(Todas)",COUNTIF(BASE[CODCIE106],EPV_RUBEOLA63[[#This Row],[CIE-10]]),COUNTIFS(BASE[Cod.Establecimiento],$AK$2,BASE[CODCIE106],EPV_RUBEOLA63[[#This Row],[CIE-10]]))</f>
        <v>0</v>
      </c>
      <c r="O5" s="3">
        <f>IF($AK$2="(Todas)",COUNTIF(BASE[CODCIE108],EPV_RUBEOLA63[[#This Row],[CIE-10]]),COUNTIFS(BASE[Cod.Establecimiento],$AK$2,BASE[CODCIE108],EPV_RUBEOLA63[[#This Row],[CIE-10]]))</f>
        <v>0</v>
      </c>
      <c r="P5" s="3">
        <f>IF($AK$2="(Todas)",COUNTIF(BASE[CODCIE1010],EPV_RUBEOLA63[[#This Row],[CIE-10]]),COUNTIFS(BASE[Cod.Establecimiento],$AK$2,BASE[CODCIE1010],EPV_RUBEOLA63[[#This Row],[CIE-10]]))</f>
        <v>0</v>
      </c>
      <c r="Q5" s="9">
        <f>SUM(EPV_RUBEOLA63[[#This Row],[D1]:[D6]])</f>
        <v>0</v>
      </c>
      <c r="S5" s="4" t="s">
        <v>349</v>
      </c>
      <c r="T5" s="3">
        <f>IF($AK$2="(Todas)",COUNTIF(BASE[CODCIE10],EPV_SARAMPION64[[#This Row],[CIE-10]]),COUNTIFS(BASE[Cod.Establecimiento],$AK$2,BASE[CODCIE10],EPV_SARAMPION64[[#This Row],[CIE-10]]))</f>
        <v>0</v>
      </c>
      <c r="U5" s="3">
        <f>IF($AK$2="(Todas)",COUNTIF(BASE[CODCIE102],EPV_SARAMPION64[[#This Row],[CIE-10]]),COUNTIFS(BASE[Cod.Establecimiento],$AK$2,BASE[CODCIE102],EPV_SARAMPION64[[#This Row],[CIE-10]]))</f>
        <v>0</v>
      </c>
      <c r="V5" s="3">
        <f>IF($AK$2="(Todas)",COUNTIF(BASE[CODCIE104],EPV_SARAMPION64[[#This Row],[CIE-10]]),COUNTIFS(BASE[Cod.Establecimiento],$AK$2,BASE[CODCIE104],EPV_SARAMPION64[[#This Row],[CIE-10]]))</f>
        <v>0</v>
      </c>
      <c r="W5" s="3">
        <f>IF($AK$2="(Todas)",COUNTIF(BASE[CODCIE106],EPV_SARAMPION64[[#This Row],[CIE-10]]),COUNTIFS(BASE[Cod.Establecimiento],$AK$2,BASE[CODCIE106],EPV_SARAMPION64[[#This Row],[CIE-10]]))</f>
        <v>0</v>
      </c>
      <c r="X5" s="3">
        <f>IF($AK$2="(Todas)",COUNTIF(BASE[CODCIE108],EPV_SARAMPION64[[#This Row],[CIE-10]]),COUNTIFS(BASE[Cod.Establecimiento],$AK$2,BASE[CODCIE108],EPV_SARAMPION64[[#This Row],[CIE-10]]))</f>
        <v>0</v>
      </c>
      <c r="Y5" s="3">
        <f>IF($AK$2="(Todas)",COUNTIF(BASE[CODCIE1010],EPV_SARAMPION64[[#This Row],[CIE-10]]),COUNTIFS(BASE[Cod.Establecimiento],$AK$2,BASE[CODCIE1010],EPV_SARAMPION64[[#This Row],[CIE-10]]))</f>
        <v>0</v>
      </c>
      <c r="Z5" s="9">
        <f>SUM(EPV_SARAMPION64[[#This Row],[D1]:[D6]])</f>
        <v>0</v>
      </c>
      <c r="AB5" s="4" t="s">
        <v>336</v>
      </c>
      <c r="AC5" s="3">
        <f>IF($AK$2="(Todas)",COUNTIF(BASE[CODCIE10],EPV_DIFTERIA65[[#This Row],[CIE-10]]),COUNTIFS(BASE[Cod.Establecimiento],$AK$2,BASE[CODCIE10],EPV_DIFTERIA65[[#This Row],[CIE-10]]))</f>
        <v>0</v>
      </c>
      <c r="AD5" s="3">
        <f>IF($AK$2="(Todas)",COUNTIF(BASE[CODCIE102],EPV_DIFTERIA65[[#This Row],[CIE-10]]),COUNTIFS(BASE[Cod.Establecimiento],$AK$2,BASE[CODCIE102],EPV_DIFTERIA65[[#This Row],[CIE-10]]))</f>
        <v>0</v>
      </c>
      <c r="AE5" s="3">
        <f>IF($AK$2="(Todas)",COUNTIF(BASE[CODCIE104],EPV_DIFTERIA65[[#This Row],[CIE-10]]),COUNTIFS(BASE[Cod.Establecimiento],$AK$2,BASE[CODCIE104],EPV_DIFTERIA65[[#This Row],[CIE-10]]))</f>
        <v>0</v>
      </c>
      <c r="AF5" s="3">
        <f>IF($AK$2="(Todas)",COUNTIF(BASE[CODCIE106],EPV_DIFTERIA65[[#This Row],[CIE-10]]),COUNTIFS(BASE[Cod.Establecimiento],$AK$2,BASE[CODCIE106],EPV_DIFTERIA65[[#This Row],[CIE-10]]))</f>
        <v>0</v>
      </c>
      <c r="AG5" s="3">
        <f>IF($AK$2="(Todas)",COUNTIF(BASE[CODCIE108],EPV_DIFTERIA65[[#This Row],[CIE-10]]),COUNTIFS(BASE[Cod.Establecimiento],$AK$2,BASE[CODCIE108],EPV_DIFTERIA65[[#This Row],[CIE-10]]))</f>
        <v>0</v>
      </c>
      <c r="AH5" s="3">
        <f>IF($AK$2="(Todas)",COUNTIF(BASE[CODCIE1010],EPV_DIFTERIA65[[#This Row],[CIE-10]]),COUNTIFS(BASE[Cod.Establecimiento],$AK$2,BASE[CODCIE1010],EPV_DIFTERIA65[[#This Row],[CIE-10]]))</f>
        <v>0</v>
      </c>
      <c r="AI5" s="9">
        <f>SUM(EPV_DIFTERIA65[[#This Row],[D1]:[D6]])</f>
        <v>0</v>
      </c>
    </row>
    <row r="6" spans="1:41">
      <c r="A6" s="4" t="s">
        <v>333</v>
      </c>
      <c r="B6" s="3">
        <f>IF($AK$2="(Todas)",COUNTIF(BASE[CODCIE10],EPV_PARALISIS_FLACIDA_AGUDA62[[#This Row],[CIE-10]]),COUNTIFS(BASE[Cod.Establecimiento],$AK$2,BASE[CODCIE10],EPV_PARALISIS_FLACIDA_AGUDA62[[#This Row],[CIE-10]]))</f>
        <v>0</v>
      </c>
      <c r="C6" s="3">
        <f>IF($AK$2="(Todas)",COUNTIF(BASE[CODCIE102],EPV_PARALISIS_FLACIDA_AGUDA62[[#This Row],[CIE-10]]),COUNTIFS(BASE[Cod.Establecimiento],$AK$2,BASE[CODCIE102],EPV_PARALISIS_FLACIDA_AGUDA62[[#This Row],[CIE-10]]))</f>
        <v>0</v>
      </c>
      <c r="D6" s="3">
        <f>IF($AK$2="(Todas)",COUNTIF(BASE[CODCIE104],EPV_PARALISIS_FLACIDA_AGUDA62[[#This Row],[CIE-10]]),COUNTIFS(BASE[Cod.Establecimiento],$AK$2,BASE[CODCIE104],EPV_PARALISIS_FLACIDA_AGUDA62[[#This Row],[CIE-10]]))</f>
        <v>0</v>
      </c>
      <c r="E6" s="3">
        <f>IF($AK$2="(Todas)",COUNTIF(BASE[CODCIE106],EPV_PARALISIS_FLACIDA_AGUDA62[[#This Row],[CIE-10]]),COUNTIFS(BASE[Cod.Establecimiento],$AK$2,BASE[CODCIE106],EPV_PARALISIS_FLACIDA_AGUDA62[[#This Row],[CIE-10]]))</f>
        <v>0</v>
      </c>
      <c r="F6" s="3">
        <f>IF($AK$2="(Todas)",COUNTIF(BASE[CODCIE108],EPV_PARALISIS_FLACIDA_AGUDA62[[#This Row],[CIE-10]]),COUNTIFS(BASE[Cod.Establecimiento],$AK$2,BASE[CODCIE108],EPV_PARALISIS_FLACIDA_AGUDA62[[#This Row],[CIE-10]]))</f>
        <v>0</v>
      </c>
      <c r="G6" s="3">
        <f>IF($AK$2="(Todas)",COUNTIF(BASE[CODCIE1010],EPV_PARALISIS_FLACIDA_AGUDA62[[#This Row],[CIE-10]]),COUNTIFS(BASE[Cod.Establecimiento],$AK$2,BASE[CODCIE1010],EPV_PARALISIS_FLACIDA_AGUDA62[[#This Row],[CIE-10]]))</f>
        <v>0</v>
      </c>
      <c r="H6" s="9">
        <f>SUM(EPV_PARALISIS_FLACIDA_AGUDA62[[#This Row],[D1]:[D6]])</f>
        <v>0</v>
      </c>
      <c r="J6" s="4" t="s">
        <v>345</v>
      </c>
      <c r="K6" s="3">
        <f>IF($AK$2="(Todas)",COUNTIF(BASE[CODCIE10],EPV_RUBEOLA63[[#This Row],[CIE-10]]),COUNTIFS(BASE[Cod.Establecimiento],$AK$2,BASE[CODCIE10],EPV_RUBEOLA63[[#This Row],[CIE-10]]))</f>
        <v>0</v>
      </c>
      <c r="L6" s="3">
        <f>IF($AK$2="(Todas)",COUNTIF(BASE[CODCIE102],EPV_RUBEOLA63[[#This Row],[CIE-10]]),COUNTIFS(BASE[Cod.Establecimiento],$AK$2,BASE[CODCIE102],EPV_RUBEOLA63[[#This Row],[CIE-10]]))</f>
        <v>0</v>
      </c>
      <c r="M6" s="3">
        <f>IF($AK$2="(Todas)",COUNTIF(BASE[CODCIE104],EPV_RUBEOLA63[[#This Row],[CIE-10]]),COUNTIFS(BASE[Cod.Establecimiento],$AK$2,BASE[CODCIE104],EPV_RUBEOLA63[[#This Row],[CIE-10]]))</f>
        <v>0</v>
      </c>
      <c r="N6" s="3">
        <f>IF($AK$2="(Todas)",COUNTIF(BASE[CODCIE106],EPV_RUBEOLA63[[#This Row],[CIE-10]]),COUNTIFS(BASE[Cod.Establecimiento],$AK$2,BASE[CODCIE106],EPV_RUBEOLA63[[#This Row],[CIE-10]]))</f>
        <v>0</v>
      </c>
      <c r="O6" s="3">
        <f>IF($AK$2="(Todas)",COUNTIF(BASE[CODCIE108],EPV_RUBEOLA63[[#This Row],[CIE-10]]),COUNTIFS(BASE[Cod.Establecimiento],$AK$2,BASE[CODCIE108],EPV_RUBEOLA63[[#This Row],[CIE-10]]))</f>
        <v>0</v>
      </c>
      <c r="P6" s="3">
        <f>IF($AK$2="(Todas)",COUNTIF(BASE[CODCIE1010],EPV_RUBEOLA63[[#This Row],[CIE-10]]),COUNTIFS(BASE[Cod.Establecimiento],$AK$2,BASE[CODCIE1010],EPV_RUBEOLA63[[#This Row],[CIE-10]]))</f>
        <v>0</v>
      </c>
      <c r="Q6" s="9">
        <f>SUM(EPV_RUBEOLA63[[#This Row],[D1]:[D6]])</f>
        <v>0</v>
      </c>
    </row>
    <row r="7" spans="1:41" ht="18" customHeight="1" thickBot="1">
      <c r="A7" s="4" t="s">
        <v>324</v>
      </c>
      <c r="B7" s="3">
        <f>IF($AK$2="(Todas)",COUNTIF(BASE[CODCIE10],EPV_PARALISIS_FLACIDA_AGUDA62[[#This Row],[CIE-10]]),COUNTIFS(BASE[Cod.Establecimiento],$AK$2,BASE[CODCIE10],EPV_PARALISIS_FLACIDA_AGUDA62[[#This Row],[CIE-10]]))</f>
        <v>0</v>
      </c>
      <c r="C7" s="3">
        <f>IF($AK$2="(Todas)",COUNTIF(BASE[CODCIE102],EPV_PARALISIS_FLACIDA_AGUDA62[[#This Row],[CIE-10]]),COUNTIFS(BASE[Cod.Establecimiento],$AK$2,BASE[CODCIE102],EPV_PARALISIS_FLACIDA_AGUDA62[[#This Row],[CIE-10]]))</f>
        <v>0</v>
      </c>
      <c r="D7" s="3">
        <f>IF($AK$2="(Todas)",COUNTIF(BASE[CODCIE104],EPV_PARALISIS_FLACIDA_AGUDA62[[#This Row],[CIE-10]]),COUNTIFS(BASE[Cod.Establecimiento],$AK$2,BASE[CODCIE104],EPV_PARALISIS_FLACIDA_AGUDA62[[#This Row],[CIE-10]]))</f>
        <v>0</v>
      </c>
      <c r="E7" s="3">
        <f>IF($AK$2="(Todas)",COUNTIF(BASE[CODCIE106],EPV_PARALISIS_FLACIDA_AGUDA62[[#This Row],[CIE-10]]),COUNTIFS(BASE[Cod.Establecimiento],$AK$2,BASE[CODCIE106],EPV_PARALISIS_FLACIDA_AGUDA62[[#This Row],[CIE-10]]))</f>
        <v>0</v>
      </c>
      <c r="F7" s="3">
        <f>IF($AK$2="(Todas)",COUNTIF(BASE[CODCIE108],EPV_PARALISIS_FLACIDA_AGUDA62[[#This Row],[CIE-10]]),COUNTIFS(BASE[Cod.Establecimiento],$AK$2,BASE[CODCIE108],EPV_PARALISIS_FLACIDA_AGUDA62[[#This Row],[CIE-10]]))</f>
        <v>0</v>
      </c>
      <c r="G7" s="3">
        <f>IF($AK$2="(Todas)",COUNTIF(BASE[CODCIE1010],EPV_PARALISIS_FLACIDA_AGUDA62[[#This Row],[CIE-10]]),COUNTIFS(BASE[Cod.Establecimiento],$AK$2,BASE[CODCIE1010],EPV_PARALISIS_FLACIDA_AGUDA62[[#This Row],[CIE-10]]))</f>
        <v>0</v>
      </c>
      <c r="H7" s="9">
        <f>SUM(EPV_PARALISIS_FLACIDA_AGUDA62[[#This Row],[D1]:[D6]])</f>
        <v>0</v>
      </c>
      <c r="J7" s="4" t="s">
        <v>346</v>
      </c>
      <c r="K7" s="3">
        <f>IF($AK$2="(Todas)",COUNTIF(BASE[CODCIE10],EPV_RUBEOLA63[[#This Row],[CIE-10]]),COUNTIFS(BASE[Cod.Establecimiento],$AK$2,BASE[CODCIE10],EPV_RUBEOLA63[[#This Row],[CIE-10]]))</f>
        <v>0</v>
      </c>
      <c r="L7" s="3">
        <f>IF($AK$2="(Todas)",COUNTIF(BASE[CODCIE102],EPV_RUBEOLA63[[#This Row],[CIE-10]]),COUNTIFS(BASE[Cod.Establecimiento],$AK$2,BASE[CODCIE102],EPV_RUBEOLA63[[#This Row],[CIE-10]]))</f>
        <v>0</v>
      </c>
      <c r="M7" s="3">
        <f>IF($AK$2="(Todas)",COUNTIF(BASE[CODCIE104],EPV_RUBEOLA63[[#This Row],[CIE-10]]),COUNTIFS(BASE[Cod.Establecimiento],$AK$2,BASE[CODCIE104],EPV_RUBEOLA63[[#This Row],[CIE-10]]))</f>
        <v>0</v>
      </c>
      <c r="N7" s="3">
        <f>IF($AK$2="(Todas)",COUNTIF(BASE[CODCIE106],EPV_RUBEOLA63[[#This Row],[CIE-10]]),COUNTIFS(BASE[Cod.Establecimiento],$AK$2,BASE[CODCIE106],EPV_RUBEOLA63[[#This Row],[CIE-10]]))</f>
        <v>0</v>
      </c>
      <c r="O7" s="3">
        <f>IF($AK$2="(Todas)",COUNTIF(BASE[CODCIE108],EPV_RUBEOLA63[[#This Row],[CIE-10]]),COUNTIFS(BASE[Cod.Establecimiento],$AK$2,BASE[CODCIE108],EPV_RUBEOLA63[[#This Row],[CIE-10]]))</f>
        <v>0</v>
      </c>
      <c r="P7" s="3">
        <f>IF($AK$2="(Todas)",COUNTIF(BASE[CODCIE1010],EPV_RUBEOLA63[[#This Row],[CIE-10]]),COUNTIFS(BASE[Cod.Establecimiento],$AK$2,BASE[CODCIE1010],EPV_RUBEOLA63[[#This Row],[CIE-10]]))</f>
        <v>0</v>
      </c>
      <c r="Q7" s="9">
        <f>SUM(EPV_RUBEOLA63[[#This Row],[D1]:[D6]])</f>
        <v>0</v>
      </c>
      <c r="S7" s="76" t="s">
        <v>351</v>
      </c>
      <c r="T7" s="76"/>
      <c r="U7" s="76"/>
      <c r="V7" s="76"/>
      <c r="W7" s="76"/>
      <c r="X7" s="76"/>
      <c r="Y7" s="76"/>
      <c r="Z7" s="76"/>
      <c r="AB7" s="76" t="s">
        <v>352</v>
      </c>
      <c r="AC7" s="76"/>
      <c r="AD7" s="76"/>
      <c r="AE7" s="76"/>
      <c r="AF7" s="76"/>
      <c r="AG7" s="76"/>
      <c r="AH7" s="76"/>
      <c r="AI7" s="76"/>
      <c r="AJ7" s="139" t="s">
        <v>142</v>
      </c>
      <c r="AK7" s="139"/>
      <c r="AL7" s="70"/>
      <c r="AM7" s="70"/>
      <c r="AN7" s="70"/>
      <c r="AO7" s="70"/>
    </row>
    <row r="8" spans="1:41" ht="15.75" customHeight="1" thickTop="1">
      <c r="A8" s="4" t="s">
        <v>325</v>
      </c>
      <c r="B8" s="3">
        <f>IF($AK$2="(Todas)",COUNTIF(BASE[CODCIE10],EPV_PARALISIS_FLACIDA_AGUDA62[[#This Row],[CIE-10]]),COUNTIFS(BASE[Cod.Establecimiento],$AK$2,BASE[CODCIE10],EPV_PARALISIS_FLACIDA_AGUDA62[[#This Row],[CIE-10]]))</f>
        <v>0</v>
      </c>
      <c r="C8" s="3">
        <f>IF($AK$2="(Todas)",COUNTIF(BASE[CODCIE102],EPV_PARALISIS_FLACIDA_AGUDA62[[#This Row],[CIE-10]]),COUNTIFS(BASE[Cod.Establecimiento],$AK$2,BASE[CODCIE102],EPV_PARALISIS_FLACIDA_AGUDA62[[#This Row],[CIE-10]]))</f>
        <v>0</v>
      </c>
      <c r="D8" s="3">
        <f>IF($AK$2="(Todas)",COUNTIF(BASE[CODCIE104],EPV_PARALISIS_FLACIDA_AGUDA62[[#This Row],[CIE-10]]),COUNTIFS(BASE[Cod.Establecimiento],$AK$2,BASE[CODCIE104],EPV_PARALISIS_FLACIDA_AGUDA62[[#This Row],[CIE-10]]))</f>
        <v>0</v>
      </c>
      <c r="E8" s="3">
        <f>IF($AK$2="(Todas)",COUNTIF(BASE[CODCIE106],EPV_PARALISIS_FLACIDA_AGUDA62[[#This Row],[CIE-10]]),COUNTIFS(BASE[Cod.Establecimiento],$AK$2,BASE[CODCIE106],EPV_PARALISIS_FLACIDA_AGUDA62[[#This Row],[CIE-10]]))</f>
        <v>0</v>
      </c>
      <c r="F8" s="3">
        <f>IF($AK$2="(Todas)",COUNTIF(BASE[CODCIE108],EPV_PARALISIS_FLACIDA_AGUDA62[[#This Row],[CIE-10]]),COUNTIFS(BASE[Cod.Establecimiento],$AK$2,BASE[CODCIE108],EPV_PARALISIS_FLACIDA_AGUDA62[[#This Row],[CIE-10]]))</f>
        <v>0</v>
      </c>
      <c r="G8" s="3">
        <f>IF($AK$2="(Todas)",COUNTIF(BASE[CODCIE1010],EPV_PARALISIS_FLACIDA_AGUDA62[[#This Row],[CIE-10]]),COUNTIFS(BASE[Cod.Establecimiento],$AK$2,BASE[CODCIE1010],EPV_PARALISIS_FLACIDA_AGUDA62[[#This Row],[CIE-10]]))</f>
        <v>0</v>
      </c>
      <c r="H8" s="9">
        <f>SUM(EPV_PARALISIS_FLACIDA_AGUDA62[[#This Row],[D1]:[D6]])</f>
        <v>0</v>
      </c>
      <c r="J8" s="4" t="s">
        <v>112</v>
      </c>
      <c r="K8" s="3">
        <f>IF($AK$2="(Todas)",COUNTIF(BASE[CODCIE10],EPV_RUBEOLA63[[#This Row],[CIE-10]]),COUNTIFS(BASE[Cod.Establecimiento],$AK$2,BASE[CODCIE10],EPV_RUBEOLA63[[#This Row],[CIE-10]]))</f>
        <v>0</v>
      </c>
      <c r="L8" s="3">
        <f>IF($AK$2="(Todas)",COUNTIF(BASE[CODCIE102],EPV_RUBEOLA63[[#This Row],[CIE-10]]),COUNTIFS(BASE[Cod.Establecimiento],$AK$2,BASE[CODCIE102],EPV_RUBEOLA63[[#This Row],[CIE-10]]))</f>
        <v>0</v>
      </c>
      <c r="M8" s="3">
        <f>IF($AK$2="(Todas)",COUNTIF(BASE[CODCIE104],EPV_RUBEOLA63[[#This Row],[CIE-10]]),COUNTIFS(BASE[Cod.Establecimiento],$AK$2,BASE[CODCIE104],EPV_RUBEOLA63[[#This Row],[CIE-10]]))</f>
        <v>0</v>
      </c>
      <c r="N8" s="3">
        <f>IF($AK$2="(Todas)",COUNTIF(BASE[CODCIE106],EPV_RUBEOLA63[[#This Row],[CIE-10]]),COUNTIFS(BASE[Cod.Establecimiento],$AK$2,BASE[CODCIE106],EPV_RUBEOLA63[[#This Row],[CIE-10]]))</f>
        <v>0</v>
      </c>
      <c r="O8" s="3">
        <f>IF($AK$2="(Todas)",COUNTIF(BASE[CODCIE108],EPV_RUBEOLA63[[#This Row],[CIE-10]]),COUNTIFS(BASE[Cod.Establecimiento],$AK$2,BASE[CODCIE108],EPV_RUBEOLA63[[#This Row],[CIE-10]]))</f>
        <v>0</v>
      </c>
      <c r="P8" s="3">
        <f>IF($AK$2="(Todas)",COUNTIF(BASE[CODCIE1010],EPV_RUBEOLA63[[#This Row],[CIE-10]]),COUNTIFS(BASE[Cod.Establecimiento],$AK$2,BASE[CODCIE1010],EPV_RUBEOLA63[[#This Row],[CIE-10]]))</f>
        <v>0</v>
      </c>
      <c r="Q8" s="9">
        <f>SUM(EPV_RUBEOLA63[[#This Row],[D1]:[D6]])</f>
        <v>0</v>
      </c>
      <c r="S8" s="6" t="str">
        <f>_xlfn.CONCAT("TOTAL: ",SUM(T8:Y8))</f>
        <v>TOTAL: 0</v>
      </c>
      <c r="T8" s="5">
        <f>SUM(EPV_SARAMPION6466[D1])</f>
        <v>0</v>
      </c>
      <c r="U8" s="5">
        <f>SUM(EPV_SARAMPION6466[D2])</f>
        <v>0</v>
      </c>
      <c r="V8" s="5">
        <f>SUM(EPV_SARAMPION6466[D3])</f>
        <v>0</v>
      </c>
      <c r="W8" s="5">
        <f>SUM(EPV_SARAMPION6466[D4])</f>
        <v>0</v>
      </c>
      <c r="X8" s="5">
        <f>SUM(EPV_SARAMPION6466[D5])</f>
        <v>0</v>
      </c>
      <c r="Y8" s="5">
        <f>SUM(EPV_SARAMPION6466[D6])</f>
        <v>0</v>
      </c>
      <c r="Z8" s="7"/>
      <c r="AB8" s="6" t="str">
        <f>_xlfn.CONCAT("TOTAL: ",SUM(AC8:AH8))</f>
        <v>TOTAL: 0</v>
      </c>
      <c r="AC8" s="5">
        <f>SUM(EPV_SARAMPION646667[D1])</f>
        <v>0</v>
      </c>
      <c r="AD8" s="5">
        <f>SUM(EPV_SARAMPION646667[D2])</f>
        <v>0</v>
      </c>
      <c r="AE8" s="5">
        <f>SUM(EPV_SARAMPION646667[D3])</f>
        <v>0</v>
      </c>
      <c r="AF8" s="5">
        <f>SUM(EPV_SARAMPION646667[D4])</f>
        <v>0</v>
      </c>
      <c r="AG8" s="5">
        <f>SUM(EPV_SARAMPION646667[D5])</f>
        <v>0</v>
      </c>
      <c r="AH8" s="5">
        <f>SUM(EPV_SARAMPION646667[D6])</f>
        <v>0</v>
      </c>
      <c r="AI8" s="7"/>
      <c r="AJ8" s="139"/>
      <c r="AK8" s="139"/>
      <c r="AL8" s="70"/>
      <c r="AM8" s="70"/>
      <c r="AN8" s="70"/>
      <c r="AO8" s="70"/>
    </row>
    <row r="9" spans="1:41" ht="15" customHeight="1">
      <c r="A9" s="4" t="s">
        <v>261</v>
      </c>
      <c r="B9" s="3">
        <f>IF($AK$2="(Todas)",COUNTIF(BASE[CODCIE10],EPV_PARALISIS_FLACIDA_AGUDA62[[#This Row],[CIE-10]]),COUNTIFS(BASE[Cod.Establecimiento],$AK$2,BASE[CODCIE10],EPV_PARALISIS_FLACIDA_AGUDA62[[#This Row],[CIE-10]]))</f>
        <v>0</v>
      </c>
      <c r="C9" s="3">
        <f>IF($AK$2="(Todas)",COUNTIF(BASE[CODCIE102],EPV_PARALISIS_FLACIDA_AGUDA62[[#This Row],[CIE-10]]),COUNTIFS(BASE[Cod.Establecimiento],$AK$2,BASE[CODCIE102],EPV_PARALISIS_FLACIDA_AGUDA62[[#This Row],[CIE-10]]))</f>
        <v>0</v>
      </c>
      <c r="D9" s="3">
        <f>IF($AK$2="(Todas)",COUNTIF(BASE[CODCIE104],EPV_PARALISIS_FLACIDA_AGUDA62[[#This Row],[CIE-10]]),COUNTIFS(BASE[Cod.Establecimiento],$AK$2,BASE[CODCIE104],EPV_PARALISIS_FLACIDA_AGUDA62[[#This Row],[CIE-10]]))</f>
        <v>0</v>
      </c>
      <c r="E9" s="3">
        <f>IF($AK$2="(Todas)",COUNTIF(BASE[CODCIE106],EPV_PARALISIS_FLACIDA_AGUDA62[[#This Row],[CIE-10]]),COUNTIFS(BASE[Cod.Establecimiento],$AK$2,BASE[CODCIE106],EPV_PARALISIS_FLACIDA_AGUDA62[[#This Row],[CIE-10]]))</f>
        <v>0</v>
      </c>
      <c r="F9" s="3">
        <f>IF($AK$2="(Todas)",COUNTIF(BASE[CODCIE108],EPV_PARALISIS_FLACIDA_AGUDA62[[#This Row],[CIE-10]]),COUNTIFS(BASE[Cod.Establecimiento],$AK$2,BASE[CODCIE108],EPV_PARALISIS_FLACIDA_AGUDA62[[#This Row],[CIE-10]]))</f>
        <v>0</v>
      </c>
      <c r="G9" s="3">
        <f>IF($AK$2="(Todas)",COUNTIF(BASE[CODCIE1010],EPV_PARALISIS_FLACIDA_AGUDA62[[#This Row],[CIE-10]]),COUNTIFS(BASE[Cod.Establecimiento],$AK$2,BASE[CODCIE1010],EPV_PARALISIS_FLACIDA_AGUDA62[[#This Row],[CIE-10]]))</f>
        <v>0</v>
      </c>
      <c r="H9" s="9">
        <f>SUM(EPV_PARALISIS_FLACIDA_AGUDA62[[#This Row],[D1]:[D6]])</f>
        <v>0</v>
      </c>
      <c r="S9" t="s">
        <v>93</v>
      </c>
      <c r="T9" s="3" t="s">
        <v>94</v>
      </c>
      <c r="U9" s="3" t="s">
        <v>95</v>
      </c>
      <c r="V9" s="3" t="s">
        <v>96</v>
      </c>
      <c r="W9" s="3" t="s">
        <v>97</v>
      </c>
      <c r="X9" s="3" t="s">
        <v>98</v>
      </c>
      <c r="Y9" s="3" t="s">
        <v>99</v>
      </c>
      <c r="Z9" s="8" t="s">
        <v>100</v>
      </c>
      <c r="AB9" t="s">
        <v>93</v>
      </c>
      <c r="AC9" s="3" t="s">
        <v>94</v>
      </c>
      <c r="AD9" s="3" t="s">
        <v>95</v>
      </c>
      <c r="AE9" s="3" t="s">
        <v>96</v>
      </c>
      <c r="AF9" s="3" t="s">
        <v>97</v>
      </c>
      <c r="AG9" s="3" t="s">
        <v>98</v>
      </c>
      <c r="AH9" s="3" t="s">
        <v>99</v>
      </c>
      <c r="AI9" s="8" t="s">
        <v>100</v>
      </c>
      <c r="AJ9" s="139"/>
      <c r="AK9" s="139"/>
      <c r="AL9" s="70"/>
      <c r="AM9" s="70"/>
      <c r="AN9" s="70"/>
      <c r="AO9" s="70"/>
    </row>
    <row r="10" spans="1:41" ht="15" customHeight="1">
      <c r="A10" s="4" t="s">
        <v>334</v>
      </c>
      <c r="B10" s="3">
        <f>IF($AK$2="(Todas)",COUNTIF(BASE[CODCIE10],EPV_PARALISIS_FLACIDA_AGUDA62[[#This Row],[CIE-10]]),COUNTIFS(BASE[Cod.Establecimiento],$AK$2,BASE[CODCIE10],EPV_PARALISIS_FLACIDA_AGUDA62[[#This Row],[CIE-10]]))</f>
        <v>0</v>
      </c>
      <c r="C10" s="3">
        <f>IF($AK$2="(Todas)",COUNTIF(BASE[CODCIE102],EPV_PARALISIS_FLACIDA_AGUDA62[[#This Row],[CIE-10]]),COUNTIFS(BASE[Cod.Establecimiento],$AK$2,BASE[CODCIE102],EPV_PARALISIS_FLACIDA_AGUDA62[[#This Row],[CIE-10]]))</f>
        <v>0</v>
      </c>
      <c r="D10" s="3">
        <f>IF($AK$2="(Todas)",COUNTIF(BASE[CODCIE104],EPV_PARALISIS_FLACIDA_AGUDA62[[#This Row],[CIE-10]]),COUNTIFS(BASE[Cod.Establecimiento],$AK$2,BASE[CODCIE104],EPV_PARALISIS_FLACIDA_AGUDA62[[#This Row],[CIE-10]]))</f>
        <v>0</v>
      </c>
      <c r="E10" s="3">
        <f>IF($AK$2="(Todas)",COUNTIF(BASE[CODCIE106],EPV_PARALISIS_FLACIDA_AGUDA62[[#This Row],[CIE-10]]),COUNTIFS(BASE[Cod.Establecimiento],$AK$2,BASE[CODCIE106],EPV_PARALISIS_FLACIDA_AGUDA62[[#This Row],[CIE-10]]))</f>
        <v>0</v>
      </c>
      <c r="F10" s="3">
        <f>IF($AK$2="(Todas)",COUNTIF(BASE[CODCIE108],EPV_PARALISIS_FLACIDA_AGUDA62[[#This Row],[CIE-10]]),COUNTIFS(BASE[Cod.Establecimiento],$AK$2,BASE[CODCIE108],EPV_PARALISIS_FLACIDA_AGUDA62[[#This Row],[CIE-10]]))</f>
        <v>0</v>
      </c>
      <c r="G10" s="3">
        <f>IF($AK$2="(Todas)",COUNTIF(BASE[CODCIE1010],EPV_PARALISIS_FLACIDA_AGUDA62[[#This Row],[CIE-10]]),COUNTIFS(BASE[Cod.Establecimiento],$AK$2,BASE[CODCIE1010],EPV_PARALISIS_FLACIDA_AGUDA62[[#This Row],[CIE-10]]))</f>
        <v>0</v>
      </c>
      <c r="H10" s="9">
        <f>SUM(EPV_PARALISIS_FLACIDA_AGUDA62[[#This Row],[D1]:[D6]])</f>
        <v>0</v>
      </c>
      <c r="J10" s="2"/>
      <c r="K10" s="2"/>
      <c r="L10" s="2"/>
      <c r="M10" s="2"/>
      <c r="N10" s="2"/>
      <c r="O10" s="2"/>
      <c r="P10" s="2"/>
      <c r="S10" s="4" t="s">
        <v>335</v>
      </c>
      <c r="T10" s="3">
        <f>IF($AK$2="(Todas)",COUNTIF(BASE[CODCIE10],EPV_SARAMPION6466[[#This Row],[CIE-10]]),COUNTIFS(BASE[Cod.Establecimiento],$AK$2,BASE[CODCIE10],EPV_SARAMPION6466[[#This Row],[CIE-10]]))</f>
        <v>0</v>
      </c>
      <c r="U10" s="3">
        <f>IF($AK$2="(Todas)",COUNTIF(BASE[CODCIE102],EPV_SARAMPION6466[[#This Row],[CIE-10]]),COUNTIFS(BASE[Cod.Establecimiento],$AK$2,BASE[CODCIE102],EPV_SARAMPION6466[[#This Row],[CIE-10]]))</f>
        <v>0</v>
      </c>
      <c r="V10" s="3">
        <f>IF($AK$2="(Todas)",COUNTIF(BASE[CODCIE104],EPV_SARAMPION6466[[#This Row],[CIE-10]]),COUNTIFS(BASE[Cod.Establecimiento],$AK$2,BASE[CODCIE104],EPV_SARAMPION6466[[#This Row],[CIE-10]]))</f>
        <v>0</v>
      </c>
      <c r="W10" s="3">
        <f>IF($AK$2="(Todas)",COUNTIF(BASE[CODCIE106],EPV_SARAMPION6466[[#This Row],[CIE-10]]),COUNTIFS(BASE[Cod.Establecimiento],$AK$2,BASE[CODCIE106],EPV_SARAMPION6466[[#This Row],[CIE-10]]))</f>
        <v>0</v>
      </c>
      <c r="X10" s="3">
        <f>IF($AK$2="(Todas)",COUNTIF(BASE[CODCIE108],EPV_SARAMPION6466[[#This Row],[CIE-10]]),COUNTIFS(BASE[Cod.Establecimiento],$AK$2,BASE[CODCIE108],EPV_SARAMPION6466[[#This Row],[CIE-10]]))</f>
        <v>0</v>
      </c>
      <c r="Y10" s="3">
        <f>IF($AK$2="(Todas)",COUNTIF(BASE[CODCIE1010],EPV_SARAMPION6466[[#This Row],[CIE-10]]),COUNTIFS(BASE[Cod.Establecimiento],$AK$2,BASE[CODCIE1010],EPV_SARAMPION6466[[#This Row],[CIE-10]]))</f>
        <v>0</v>
      </c>
      <c r="Z10" s="9">
        <f>SUM(EPV_SARAMPION6466[[#This Row],[D1]:[D6]])</f>
        <v>0</v>
      </c>
      <c r="AB10" s="4" t="s">
        <v>353</v>
      </c>
      <c r="AC10" s="3">
        <f>IF($AK$2="(Todas)",COUNTIF(BASE[CODCIE10],EPV_SARAMPION646667[[#This Row],[CIE-10]]),COUNTIFS(BASE[Cod.Establecimiento],$AK$2,BASE[CODCIE10],EPV_SARAMPION646667[[#This Row],[CIE-10]]))</f>
        <v>0</v>
      </c>
      <c r="AD10" s="3">
        <f>IF($AK$2="(Todas)",COUNTIF(BASE[CODCIE102],EPV_SARAMPION646667[[#This Row],[CIE-10]]),COUNTIFS(BASE[Cod.Establecimiento],$AK$2,BASE[CODCIE102],EPV_SARAMPION646667[[#This Row],[CIE-10]]))</f>
        <v>0</v>
      </c>
      <c r="AE10" s="3">
        <f>IF($AK$2="(Todas)",COUNTIF(BASE[CODCIE104],EPV_SARAMPION646667[[#This Row],[CIE-10]]),COUNTIFS(BASE[Cod.Establecimiento],$AK$2,BASE[CODCIE104],EPV_SARAMPION646667[[#This Row],[CIE-10]]))</f>
        <v>0</v>
      </c>
      <c r="AF10" s="3">
        <f>IF($AK$2="(Todas)",COUNTIF(BASE[CODCIE106],EPV_SARAMPION646667[[#This Row],[CIE-10]]),COUNTIFS(BASE[Cod.Establecimiento],$AK$2,BASE[CODCIE106],EPV_SARAMPION646667[[#This Row],[CIE-10]]))</f>
        <v>0</v>
      </c>
      <c r="AG10" s="3">
        <f>IF($AK$2="(Todas)",COUNTIF(BASE[CODCIE108],EPV_SARAMPION646667[[#This Row],[CIE-10]]),COUNTIFS(BASE[Cod.Establecimiento],$AK$2,BASE[CODCIE108],EPV_SARAMPION646667[[#This Row],[CIE-10]]))</f>
        <v>0</v>
      </c>
      <c r="AH10" s="3">
        <f>IF($AK$2="(Todas)",COUNTIF(BASE[CODCIE1010],EPV_SARAMPION646667[[#This Row],[CIE-10]]),COUNTIFS(BASE[Cod.Establecimiento],$AK$2,BASE[CODCIE1010],EPV_SARAMPION646667[[#This Row],[CIE-10]]))</f>
        <v>0</v>
      </c>
      <c r="AI10" s="9">
        <f>SUM(EPV_SARAMPION646667[[#This Row],[D1]:[D6]])</f>
        <v>0</v>
      </c>
      <c r="AJ10" s="139"/>
      <c r="AK10" s="139"/>
      <c r="AL10" s="70"/>
      <c r="AM10" s="70"/>
      <c r="AN10" s="70"/>
      <c r="AO10" s="70"/>
    </row>
    <row r="11" spans="1:41" ht="15" customHeight="1">
      <c r="A11" s="4" t="s">
        <v>326</v>
      </c>
      <c r="B11" s="3">
        <f>IF($AK$2="(Todas)",COUNTIF(BASE[CODCIE10],EPV_PARALISIS_FLACIDA_AGUDA62[[#This Row],[CIE-10]]),COUNTIFS(BASE[Cod.Establecimiento],$AK$2,BASE[CODCIE10],EPV_PARALISIS_FLACIDA_AGUDA62[[#This Row],[CIE-10]]))</f>
        <v>0</v>
      </c>
      <c r="C11" s="3">
        <f>IF($AK$2="(Todas)",COUNTIF(BASE[CODCIE102],EPV_PARALISIS_FLACIDA_AGUDA62[[#This Row],[CIE-10]]),COUNTIFS(BASE[Cod.Establecimiento],$AK$2,BASE[CODCIE102],EPV_PARALISIS_FLACIDA_AGUDA62[[#This Row],[CIE-10]]))</f>
        <v>0</v>
      </c>
      <c r="D11" s="3">
        <f>IF($AK$2="(Todas)",COUNTIF(BASE[CODCIE104],EPV_PARALISIS_FLACIDA_AGUDA62[[#This Row],[CIE-10]]),COUNTIFS(BASE[Cod.Establecimiento],$AK$2,BASE[CODCIE104],EPV_PARALISIS_FLACIDA_AGUDA62[[#This Row],[CIE-10]]))</f>
        <v>0</v>
      </c>
      <c r="E11" s="3">
        <f>IF($AK$2="(Todas)",COUNTIF(BASE[CODCIE106],EPV_PARALISIS_FLACIDA_AGUDA62[[#This Row],[CIE-10]]),COUNTIFS(BASE[Cod.Establecimiento],$AK$2,BASE[CODCIE106],EPV_PARALISIS_FLACIDA_AGUDA62[[#This Row],[CIE-10]]))</f>
        <v>0</v>
      </c>
      <c r="F11" s="3">
        <f>IF($AK$2="(Todas)",COUNTIF(BASE[CODCIE108],EPV_PARALISIS_FLACIDA_AGUDA62[[#This Row],[CIE-10]]),COUNTIFS(BASE[Cod.Establecimiento],$AK$2,BASE[CODCIE108],EPV_PARALISIS_FLACIDA_AGUDA62[[#This Row],[CIE-10]]))</f>
        <v>0</v>
      </c>
      <c r="G11" s="3">
        <f>IF($AK$2="(Todas)",COUNTIF(BASE[CODCIE1010],EPV_PARALISIS_FLACIDA_AGUDA62[[#This Row],[CIE-10]]),COUNTIFS(BASE[Cod.Establecimiento],$AK$2,BASE[CODCIE1010],EPV_PARALISIS_FLACIDA_AGUDA62[[#This Row],[CIE-10]]))</f>
        <v>0</v>
      </c>
      <c r="H11" s="9">
        <f>SUM(EPV_PARALISIS_FLACIDA_AGUDA62[[#This Row],[D1]:[D6]])</f>
        <v>0</v>
      </c>
      <c r="J11" s="2"/>
      <c r="K11" s="2"/>
      <c r="L11" s="2"/>
      <c r="M11" s="2"/>
      <c r="N11" s="2"/>
      <c r="O11" s="2"/>
      <c r="P11" s="2"/>
      <c r="S11" s="2"/>
      <c r="T11" s="2"/>
      <c r="U11" s="2"/>
      <c r="V11" s="2"/>
      <c r="W11" s="2"/>
      <c r="X11" s="2"/>
      <c r="Y11" s="2"/>
      <c r="AB11" s="2"/>
      <c r="AC11" s="2"/>
      <c r="AD11" s="2"/>
      <c r="AE11" s="2"/>
      <c r="AF11" s="2"/>
      <c r="AG11" s="2"/>
      <c r="AH11" s="2"/>
      <c r="AJ11" s="139"/>
      <c r="AK11" s="139"/>
      <c r="AL11" s="70"/>
      <c r="AM11" s="70"/>
      <c r="AN11" s="70"/>
      <c r="AO11" s="70"/>
    </row>
    <row r="12" spans="1:41" ht="18" customHeight="1" thickBot="1">
      <c r="A12" s="32" t="s">
        <v>327</v>
      </c>
      <c r="B12" s="3">
        <f>IF($AK$2="(Todas)",COUNTIF(BASE[CODCIE10],EPV_PARALISIS_FLACIDA_AGUDA62[[#This Row],[CIE-10]]),COUNTIFS(BASE[Cod.Establecimiento],$AK$2,BASE[CODCIE10],EPV_PARALISIS_FLACIDA_AGUDA62[[#This Row],[CIE-10]]))</f>
        <v>0</v>
      </c>
      <c r="C12" s="3">
        <f>IF($AK$2="(Todas)",COUNTIF(BASE[CODCIE102],EPV_PARALISIS_FLACIDA_AGUDA62[[#This Row],[CIE-10]]),COUNTIFS(BASE[Cod.Establecimiento],$AK$2,BASE[CODCIE102],EPV_PARALISIS_FLACIDA_AGUDA62[[#This Row],[CIE-10]]))</f>
        <v>0</v>
      </c>
      <c r="D12" s="3">
        <f>IF($AK$2="(Todas)",COUNTIF(BASE[CODCIE104],EPV_PARALISIS_FLACIDA_AGUDA62[[#This Row],[CIE-10]]),COUNTIFS(BASE[Cod.Establecimiento],$AK$2,BASE[CODCIE104],EPV_PARALISIS_FLACIDA_AGUDA62[[#This Row],[CIE-10]]))</f>
        <v>0</v>
      </c>
      <c r="E12" s="3">
        <f>IF($AK$2="(Todas)",COUNTIF(BASE[CODCIE106],EPV_PARALISIS_FLACIDA_AGUDA62[[#This Row],[CIE-10]]),COUNTIFS(BASE[Cod.Establecimiento],$AK$2,BASE[CODCIE106],EPV_PARALISIS_FLACIDA_AGUDA62[[#This Row],[CIE-10]]))</f>
        <v>0</v>
      </c>
      <c r="F12" s="3">
        <f>IF($AK$2="(Todas)",COUNTIF(BASE[CODCIE108],EPV_PARALISIS_FLACIDA_AGUDA62[[#This Row],[CIE-10]]),COUNTIFS(BASE[Cod.Establecimiento],$AK$2,BASE[CODCIE108],EPV_PARALISIS_FLACIDA_AGUDA62[[#This Row],[CIE-10]]))</f>
        <v>0</v>
      </c>
      <c r="G12" s="3">
        <f>IF($AK$2="(Todas)",COUNTIF(BASE[CODCIE1010],EPV_PARALISIS_FLACIDA_AGUDA62[[#This Row],[CIE-10]]),COUNTIFS(BASE[Cod.Establecimiento],$AK$2,BASE[CODCIE1010],EPV_PARALISIS_FLACIDA_AGUDA62[[#This Row],[CIE-10]]))</f>
        <v>0</v>
      </c>
      <c r="H12" s="67">
        <f>SUM(EPV_PARALISIS_FLACIDA_AGUDA62[[#This Row],[D1]:[D6]])</f>
        <v>0</v>
      </c>
      <c r="J12" s="76" t="s">
        <v>354</v>
      </c>
      <c r="K12" s="76"/>
      <c r="L12" s="76"/>
      <c r="M12" s="76"/>
      <c r="N12" s="76"/>
      <c r="O12" s="76"/>
      <c r="P12" s="76"/>
      <c r="Q12" s="76"/>
      <c r="S12" s="76" t="s">
        <v>356</v>
      </c>
      <c r="T12" s="76"/>
      <c r="U12" s="76"/>
      <c r="V12" s="76"/>
      <c r="W12" s="76"/>
      <c r="X12" s="76"/>
      <c r="Y12" s="76"/>
      <c r="Z12" s="76"/>
      <c r="AB12" s="76" t="s">
        <v>357</v>
      </c>
      <c r="AC12" s="76"/>
      <c r="AD12" s="76"/>
      <c r="AE12" s="76"/>
      <c r="AF12" s="76"/>
      <c r="AG12" s="76"/>
      <c r="AH12" s="76"/>
      <c r="AI12" s="76"/>
      <c r="AJ12" s="139"/>
      <c r="AK12" s="139"/>
      <c r="AL12" s="70"/>
      <c r="AM12" s="70"/>
      <c r="AN12" s="70"/>
      <c r="AO12" s="70"/>
    </row>
    <row r="13" spans="1:41" ht="15.75" customHeight="1" thickTop="1">
      <c r="A13" s="32" t="s">
        <v>328</v>
      </c>
      <c r="B13" s="3">
        <f>IF($AK$2="(Todas)",COUNTIF(BASE[CODCIE10],EPV_PARALISIS_FLACIDA_AGUDA62[[#This Row],[CIE-10]]),COUNTIFS(BASE[Cod.Establecimiento],$AK$2,BASE[CODCIE10],EPV_PARALISIS_FLACIDA_AGUDA62[[#This Row],[CIE-10]]))</f>
        <v>0</v>
      </c>
      <c r="C13" s="3">
        <f>IF($AK$2="(Todas)",COUNTIF(BASE[CODCIE102],EPV_PARALISIS_FLACIDA_AGUDA62[[#This Row],[CIE-10]]),COUNTIFS(BASE[Cod.Establecimiento],$AK$2,BASE[CODCIE102],EPV_PARALISIS_FLACIDA_AGUDA62[[#This Row],[CIE-10]]))</f>
        <v>0</v>
      </c>
      <c r="D13" s="3">
        <f>IF($AK$2="(Todas)",COUNTIF(BASE[CODCIE104],EPV_PARALISIS_FLACIDA_AGUDA62[[#This Row],[CIE-10]]),COUNTIFS(BASE[Cod.Establecimiento],$AK$2,BASE[CODCIE104],EPV_PARALISIS_FLACIDA_AGUDA62[[#This Row],[CIE-10]]))</f>
        <v>0</v>
      </c>
      <c r="E13" s="3">
        <f>IF($AK$2="(Todas)",COUNTIF(BASE[CODCIE106],EPV_PARALISIS_FLACIDA_AGUDA62[[#This Row],[CIE-10]]),COUNTIFS(BASE[Cod.Establecimiento],$AK$2,BASE[CODCIE106],EPV_PARALISIS_FLACIDA_AGUDA62[[#This Row],[CIE-10]]))</f>
        <v>0</v>
      </c>
      <c r="F13" s="3">
        <f>IF($AK$2="(Todas)",COUNTIF(BASE[CODCIE108],EPV_PARALISIS_FLACIDA_AGUDA62[[#This Row],[CIE-10]]),COUNTIFS(BASE[Cod.Establecimiento],$AK$2,BASE[CODCIE108],EPV_PARALISIS_FLACIDA_AGUDA62[[#This Row],[CIE-10]]))</f>
        <v>0</v>
      </c>
      <c r="G13" s="3">
        <f>IF($AK$2="(Todas)",COUNTIF(BASE[CODCIE1010],EPV_PARALISIS_FLACIDA_AGUDA62[[#This Row],[CIE-10]]),COUNTIFS(BASE[Cod.Establecimiento],$AK$2,BASE[CODCIE1010],EPV_PARALISIS_FLACIDA_AGUDA62[[#This Row],[CIE-10]]))</f>
        <v>0</v>
      </c>
      <c r="H13" s="67">
        <f>SUM(EPV_PARALISIS_FLACIDA_AGUDA62[[#This Row],[D1]:[D6]])</f>
        <v>0</v>
      </c>
      <c r="J13" s="6" t="str">
        <f>_xlfn.CONCAT("TOTAL: ",SUM(K13:P13))</f>
        <v>TOTAL: 0</v>
      </c>
      <c r="K13" s="5">
        <f>SUM(EPV_SARAMPION646669[D1])</f>
        <v>0</v>
      </c>
      <c r="L13" s="5">
        <f>SUM(EPV_SARAMPION646669[D2])</f>
        <v>0</v>
      </c>
      <c r="M13" s="5">
        <f>SUM(EPV_SARAMPION646669[D3])</f>
        <v>0</v>
      </c>
      <c r="N13" s="5">
        <f>SUM(EPV_SARAMPION646669[D4])</f>
        <v>0</v>
      </c>
      <c r="O13" s="5">
        <f>SUM(EPV_SARAMPION646669[D5])</f>
        <v>0</v>
      </c>
      <c r="P13" s="5">
        <f>SUM(EPV_SARAMPION646669[D6])</f>
        <v>0</v>
      </c>
      <c r="Q13" s="7"/>
      <c r="S13" s="6" t="str">
        <f>_xlfn.CONCAT("TOTAL: ",SUM(T13:Y13))</f>
        <v>TOTAL: 0</v>
      </c>
      <c r="T13" s="5">
        <f>SUM(EPV_SARAMPION646670[D1])</f>
        <v>0</v>
      </c>
      <c r="U13" s="5">
        <f>SUM(EPV_SARAMPION646670[D2])</f>
        <v>0</v>
      </c>
      <c r="V13" s="5">
        <f>SUM(EPV_SARAMPION646670[D3])</f>
        <v>0</v>
      </c>
      <c r="W13" s="5">
        <f>SUM(EPV_SARAMPION646670[D4])</f>
        <v>0</v>
      </c>
      <c r="X13" s="5">
        <f>SUM(EPV_SARAMPION646670[D5])</f>
        <v>0</v>
      </c>
      <c r="Y13" s="5">
        <f>SUM(EPV_SARAMPION646670[D6])</f>
        <v>0</v>
      </c>
      <c r="Z13" s="7"/>
      <c r="AB13" s="6" t="str">
        <f>_xlfn.CONCAT("TOTAL: ",SUM(AC13:AH13))</f>
        <v>TOTAL: 0</v>
      </c>
      <c r="AC13" s="5">
        <f>SUM(EPV_SARAMPION646671[D1])</f>
        <v>0</v>
      </c>
      <c r="AD13" s="5">
        <f>SUM(EPV_SARAMPION646671[D2])</f>
        <v>0</v>
      </c>
      <c r="AE13" s="5">
        <f>SUM(EPV_SARAMPION646671[D3])</f>
        <v>0</v>
      </c>
      <c r="AF13" s="5">
        <f>SUM(EPV_SARAMPION646671[D4])</f>
        <v>0</v>
      </c>
      <c r="AG13" s="5">
        <f>SUM(EPV_SARAMPION646671[D5])</f>
        <v>0</v>
      </c>
      <c r="AH13" s="5">
        <f>SUM(EPV_SARAMPION646671[D6])</f>
        <v>0</v>
      </c>
      <c r="AI13" s="7"/>
      <c r="AJ13" s="139"/>
      <c r="AK13" s="139"/>
      <c r="AL13" s="70"/>
      <c r="AM13" s="70"/>
      <c r="AN13" s="70"/>
      <c r="AO13" s="70"/>
    </row>
    <row r="14" spans="1:41" ht="15" customHeight="1">
      <c r="A14" s="32" t="s">
        <v>335</v>
      </c>
      <c r="B14" s="3">
        <f>IF($AK$2="(Todas)",COUNTIF(BASE[CODCIE10],EPV_PARALISIS_FLACIDA_AGUDA62[[#This Row],[CIE-10]]),COUNTIFS(BASE[Cod.Establecimiento],$AK$2,BASE[CODCIE10],EPV_PARALISIS_FLACIDA_AGUDA62[[#This Row],[CIE-10]]))</f>
        <v>0</v>
      </c>
      <c r="C14" s="3">
        <f>IF($AK$2="(Todas)",COUNTIF(BASE[CODCIE102],EPV_PARALISIS_FLACIDA_AGUDA62[[#This Row],[CIE-10]]),COUNTIFS(BASE[Cod.Establecimiento],$AK$2,BASE[CODCIE102],EPV_PARALISIS_FLACIDA_AGUDA62[[#This Row],[CIE-10]]))</f>
        <v>0</v>
      </c>
      <c r="D14" s="3">
        <f>IF($AK$2="(Todas)",COUNTIF(BASE[CODCIE104],EPV_PARALISIS_FLACIDA_AGUDA62[[#This Row],[CIE-10]]),COUNTIFS(BASE[Cod.Establecimiento],$AK$2,BASE[CODCIE104],EPV_PARALISIS_FLACIDA_AGUDA62[[#This Row],[CIE-10]]))</f>
        <v>0</v>
      </c>
      <c r="E14" s="3">
        <f>IF($AK$2="(Todas)",COUNTIF(BASE[CODCIE106],EPV_PARALISIS_FLACIDA_AGUDA62[[#This Row],[CIE-10]]),COUNTIFS(BASE[Cod.Establecimiento],$AK$2,BASE[CODCIE106],EPV_PARALISIS_FLACIDA_AGUDA62[[#This Row],[CIE-10]]))</f>
        <v>0</v>
      </c>
      <c r="F14" s="3">
        <f>IF($AK$2="(Todas)",COUNTIF(BASE[CODCIE108],EPV_PARALISIS_FLACIDA_AGUDA62[[#This Row],[CIE-10]]),COUNTIFS(BASE[Cod.Establecimiento],$AK$2,BASE[CODCIE108],EPV_PARALISIS_FLACIDA_AGUDA62[[#This Row],[CIE-10]]))</f>
        <v>0</v>
      </c>
      <c r="G14" s="3">
        <f>IF($AK$2="(Todas)",COUNTIF(BASE[CODCIE1010],EPV_PARALISIS_FLACIDA_AGUDA62[[#This Row],[CIE-10]]),COUNTIFS(BASE[Cod.Establecimiento],$AK$2,BASE[CODCIE1010],EPV_PARALISIS_FLACIDA_AGUDA62[[#This Row],[CIE-10]]))</f>
        <v>0</v>
      </c>
      <c r="H14" s="67">
        <f>SUM(EPV_PARALISIS_FLACIDA_AGUDA62[[#This Row],[D1]:[D6]])</f>
        <v>0</v>
      </c>
      <c r="J14" t="s">
        <v>93</v>
      </c>
      <c r="K14" s="3" t="s">
        <v>94</v>
      </c>
      <c r="L14" s="3" t="s">
        <v>95</v>
      </c>
      <c r="M14" s="3" t="s">
        <v>96</v>
      </c>
      <c r="N14" s="3" t="s">
        <v>97</v>
      </c>
      <c r="O14" s="3" t="s">
        <v>98</v>
      </c>
      <c r="P14" s="3" t="s">
        <v>99</v>
      </c>
      <c r="Q14" s="8" t="s">
        <v>100</v>
      </c>
      <c r="S14" t="s">
        <v>93</v>
      </c>
      <c r="T14" s="3" t="s">
        <v>94</v>
      </c>
      <c r="U14" s="3" t="s">
        <v>95</v>
      </c>
      <c r="V14" s="3" t="s">
        <v>96</v>
      </c>
      <c r="W14" s="3" t="s">
        <v>97</v>
      </c>
      <c r="X14" s="3" t="s">
        <v>98</v>
      </c>
      <c r="Y14" s="3" t="s">
        <v>99</v>
      </c>
      <c r="Z14" s="8" t="s">
        <v>100</v>
      </c>
      <c r="AB14" t="s">
        <v>93</v>
      </c>
      <c r="AC14" s="3" t="s">
        <v>94</v>
      </c>
      <c r="AD14" s="3" t="s">
        <v>95</v>
      </c>
      <c r="AE14" s="3" t="s">
        <v>96</v>
      </c>
      <c r="AF14" s="3" t="s">
        <v>97</v>
      </c>
      <c r="AG14" s="3" t="s">
        <v>98</v>
      </c>
      <c r="AH14" s="3" t="s">
        <v>99</v>
      </c>
      <c r="AI14" s="8" t="s">
        <v>100</v>
      </c>
      <c r="AJ14" s="139"/>
      <c r="AK14" s="139"/>
      <c r="AL14" s="70"/>
      <c r="AM14" s="70"/>
      <c r="AN14" s="70"/>
      <c r="AO14" s="70"/>
    </row>
    <row r="15" spans="1:41" ht="15" customHeight="1">
      <c r="A15" s="32" t="s">
        <v>336</v>
      </c>
      <c r="B15" s="3">
        <f>IF($AK$2="(Todas)",COUNTIF(BASE[CODCIE10],EPV_PARALISIS_FLACIDA_AGUDA62[[#This Row],[CIE-10]]),COUNTIFS(BASE[Cod.Establecimiento],$AK$2,BASE[CODCIE10],EPV_PARALISIS_FLACIDA_AGUDA62[[#This Row],[CIE-10]]))</f>
        <v>0</v>
      </c>
      <c r="C15" s="3">
        <f>IF($AK$2="(Todas)",COUNTIF(BASE[CODCIE102],EPV_PARALISIS_FLACIDA_AGUDA62[[#This Row],[CIE-10]]),COUNTIFS(BASE[Cod.Establecimiento],$AK$2,BASE[CODCIE102],EPV_PARALISIS_FLACIDA_AGUDA62[[#This Row],[CIE-10]]))</f>
        <v>0</v>
      </c>
      <c r="D15" s="3">
        <f>IF($AK$2="(Todas)",COUNTIF(BASE[CODCIE104],EPV_PARALISIS_FLACIDA_AGUDA62[[#This Row],[CIE-10]]),COUNTIFS(BASE[Cod.Establecimiento],$AK$2,BASE[CODCIE104],EPV_PARALISIS_FLACIDA_AGUDA62[[#This Row],[CIE-10]]))</f>
        <v>0</v>
      </c>
      <c r="E15" s="3">
        <f>IF($AK$2="(Todas)",COUNTIF(BASE[CODCIE106],EPV_PARALISIS_FLACIDA_AGUDA62[[#This Row],[CIE-10]]),COUNTIFS(BASE[Cod.Establecimiento],$AK$2,BASE[CODCIE106],EPV_PARALISIS_FLACIDA_AGUDA62[[#This Row],[CIE-10]]))</f>
        <v>0</v>
      </c>
      <c r="F15" s="3">
        <f>IF($AK$2="(Todas)",COUNTIF(BASE[CODCIE108],EPV_PARALISIS_FLACIDA_AGUDA62[[#This Row],[CIE-10]]),COUNTIFS(BASE[Cod.Establecimiento],$AK$2,BASE[CODCIE108],EPV_PARALISIS_FLACIDA_AGUDA62[[#This Row],[CIE-10]]))</f>
        <v>0</v>
      </c>
      <c r="G15" s="3">
        <f>IF($AK$2="(Todas)",COUNTIF(BASE[CODCIE1010],EPV_PARALISIS_FLACIDA_AGUDA62[[#This Row],[CIE-10]]),COUNTIFS(BASE[Cod.Establecimiento],$AK$2,BASE[CODCIE1010],EPV_PARALISIS_FLACIDA_AGUDA62[[#This Row],[CIE-10]]))</f>
        <v>0</v>
      </c>
      <c r="H15" s="67">
        <f>SUM(EPV_PARALISIS_FLACIDA_AGUDA62[[#This Row],[D1]:[D6]])</f>
        <v>0</v>
      </c>
      <c r="J15" s="4" t="s">
        <v>355</v>
      </c>
      <c r="K15" s="3">
        <f>IF($AK$2="(Todas)",COUNTIF(BASE[CODCIE10],EPV_SARAMPION646669[[#This Row],[CIE-10]]),COUNTIFS(BASE[Cod.Establecimiento],$AK$2,BASE[CODCIE10],EPV_SARAMPION646669[[#This Row],[CIE-10]]))</f>
        <v>0</v>
      </c>
      <c r="L15" s="3">
        <f>IF($AK$2="(Todas)",COUNTIF(BASE[CODCIE102],EPV_SARAMPION646669[[#This Row],[CIE-10]]),COUNTIFS(BASE[Cod.Establecimiento],$AK$2,BASE[CODCIE102],EPV_SARAMPION646669[[#This Row],[CIE-10]]))</f>
        <v>0</v>
      </c>
      <c r="M15" s="3">
        <f>IF($AK$2="(Todas)",COUNTIF(BASE[CODCIE104],EPV_SARAMPION646669[[#This Row],[CIE-10]]),COUNTIFS(BASE[Cod.Establecimiento],$AK$2,BASE[CODCIE104],EPV_SARAMPION646669[[#This Row],[CIE-10]]))</f>
        <v>0</v>
      </c>
      <c r="N15" s="3">
        <f>IF($AK$2="(Todas)",COUNTIF(BASE[CODCIE106],EPV_SARAMPION646669[[#This Row],[CIE-10]]),COUNTIFS(BASE[Cod.Establecimiento],$AK$2,BASE[CODCIE106],EPV_SARAMPION646669[[#This Row],[CIE-10]]))</f>
        <v>0</v>
      </c>
      <c r="O15" s="3">
        <f>IF($AK$2="(Todas)",COUNTIF(BASE[CODCIE108],EPV_SARAMPION646669[[#This Row],[CIE-10]]),COUNTIFS(BASE[Cod.Establecimiento],$AK$2,BASE[CODCIE108],EPV_SARAMPION646669[[#This Row],[CIE-10]]))</f>
        <v>0</v>
      </c>
      <c r="P15" s="3">
        <f>IF($AK$2="(Todas)",COUNTIF(BASE[CODCIE1010],EPV_SARAMPION646669[[#This Row],[CIE-10]]),COUNTIFS(BASE[Cod.Establecimiento],$AK$2,BASE[CODCIE1010],EPV_SARAMPION646669[[#This Row],[CIE-10]]))</f>
        <v>0</v>
      </c>
      <c r="Q15" s="9">
        <f>SUM(EPV_SARAMPION646669[[#This Row],[D1]:[D6]])</f>
        <v>0</v>
      </c>
      <c r="S15" s="4" t="s">
        <v>236</v>
      </c>
      <c r="T15" s="3">
        <f>IF($AK$2="(Todas)",COUNTIF(BASE[CODCIE10],EPV_SARAMPION646670[[#This Row],[CIE-10]]),COUNTIFS(BASE[Cod.Establecimiento],$AK$2,BASE[CODCIE10],EPV_SARAMPION646670[[#This Row],[CIE-10]]))</f>
        <v>0</v>
      </c>
      <c r="U15" s="3">
        <f>IF($AK$2="(Todas)",COUNTIF(BASE[CODCIE102],EPV_SARAMPION646670[[#This Row],[CIE-10]]),COUNTIFS(BASE[Cod.Establecimiento],$AK$2,BASE[CODCIE102],EPV_SARAMPION646670[[#This Row],[CIE-10]]))</f>
        <v>0</v>
      </c>
      <c r="V15" s="3">
        <f>IF($AK$2="(Todas)",COUNTIF(BASE[CODCIE104],EPV_SARAMPION646670[[#This Row],[CIE-10]]),COUNTIFS(BASE[Cod.Establecimiento],$AK$2,BASE[CODCIE104],EPV_SARAMPION646670[[#This Row],[CIE-10]]))</f>
        <v>0</v>
      </c>
      <c r="W15" s="3">
        <f>IF($AK$2="(Todas)",COUNTIF(BASE[CODCIE106],EPV_SARAMPION646670[[#This Row],[CIE-10]]),COUNTIFS(BASE[Cod.Establecimiento],$AK$2,BASE[CODCIE106],EPV_SARAMPION646670[[#This Row],[CIE-10]]))</f>
        <v>0</v>
      </c>
      <c r="X15" s="3">
        <f>IF($AK$2="(Todas)",COUNTIF(BASE[CODCIE108],EPV_SARAMPION646670[[#This Row],[CIE-10]]),COUNTIFS(BASE[Cod.Establecimiento],$AK$2,BASE[CODCIE108],EPV_SARAMPION646670[[#This Row],[CIE-10]]))</f>
        <v>0</v>
      </c>
      <c r="Y15" s="3">
        <f>IF($AK$2="(Todas)",COUNTIF(BASE[CODCIE1010],EPV_SARAMPION646670[[#This Row],[CIE-10]]),COUNTIFS(BASE[Cod.Establecimiento],$AK$2,BASE[CODCIE1010],EPV_SARAMPION646670[[#This Row],[CIE-10]]))</f>
        <v>0</v>
      </c>
      <c r="Z15" s="9">
        <f>SUM(EPV_SARAMPION646670[[#This Row],[D1]:[D6]])</f>
        <v>0</v>
      </c>
      <c r="AB15" s="4" t="s">
        <v>133</v>
      </c>
      <c r="AC15" s="3">
        <f>IF($AK$2="(Todas)",COUNTIF(BASE[CODCIE10],EPV_SARAMPION646671[[#This Row],[CIE-10]]),COUNTIFS(BASE[Cod.Establecimiento],$AK$2,BASE[CODCIE10],EPV_SARAMPION646671[[#This Row],[CIE-10]]))</f>
        <v>0</v>
      </c>
      <c r="AD15" s="3">
        <f>IF($AK$2="(Todas)",COUNTIF(BASE[CODCIE102],EPV_SARAMPION646671[[#This Row],[CIE-10]]),COUNTIFS(BASE[Cod.Establecimiento],$AK$2,BASE[CODCIE102],EPV_SARAMPION646671[[#This Row],[CIE-10]]))</f>
        <v>0</v>
      </c>
      <c r="AE15" s="3">
        <f>IF($AK$2="(Todas)",COUNTIF(BASE[CODCIE104],EPV_SARAMPION646671[[#This Row],[CIE-10]]),COUNTIFS(BASE[Cod.Establecimiento],$AK$2,BASE[CODCIE104],EPV_SARAMPION646671[[#This Row],[CIE-10]]))</f>
        <v>0</v>
      </c>
      <c r="AF15" s="3">
        <f>IF($AK$2="(Todas)",COUNTIF(BASE[CODCIE106],EPV_SARAMPION646671[[#This Row],[CIE-10]]),COUNTIFS(BASE[Cod.Establecimiento],$AK$2,BASE[CODCIE106],EPV_SARAMPION646671[[#This Row],[CIE-10]]))</f>
        <v>0</v>
      </c>
      <c r="AG15" s="3">
        <f>IF($AK$2="(Todas)",COUNTIF(BASE[CODCIE108],EPV_SARAMPION646671[[#This Row],[CIE-10]]),COUNTIFS(BASE[Cod.Establecimiento],$AK$2,BASE[CODCIE108],EPV_SARAMPION646671[[#This Row],[CIE-10]]))</f>
        <v>0</v>
      </c>
      <c r="AH15" s="3">
        <f>IF($AK$2="(Todas)",COUNTIF(BASE[CODCIE1010],EPV_SARAMPION646671[[#This Row],[CIE-10]]),COUNTIFS(BASE[Cod.Establecimiento],$AK$2,BASE[CODCIE1010],EPV_SARAMPION646671[[#This Row],[CIE-10]]))</f>
        <v>0</v>
      </c>
      <c r="AI15" s="9">
        <f>SUM(EPV_SARAMPION646671[[#This Row],[D1]:[D6]])</f>
        <v>0</v>
      </c>
      <c r="AJ15" s="139"/>
      <c r="AK15" s="139"/>
      <c r="AL15" s="70"/>
      <c r="AM15" s="70"/>
      <c r="AN15" s="70"/>
      <c r="AO15" s="70"/>
    </row>
    <row r="16" spans="1:41" ht="15" customHeight="1">
      <c r="A16" s="32" t="s">
        <v>337</v>
      </c>
      <c r="B16" s="3">
        <f>IF($AK$2="(Todas)",COUNTIF(BASE[CODCIE10],EPV_PARALISIS_FLACIDA_AGUDA62[[#This Row],[CIE-10]]),COUNTIFS(BASE[Cod.Establecimiento],$AK$2,BASE[CODCIE10],EPV_PARALISIS_FLACIDA_AGUDA62[[#This Row],[CIE-10]]))</f>
        <v>0</v>
      </c>
      <c r="C16" s="3">
        <f>IF($AK$2="(Todas)",COUNTIF(BASE[CODCIE102],EPV_PARALISIS_FLACIDA_AGUDA62[[#This Row],[CIE-10]]),COUNTIFS(BASE[Cod.Establecimiento],$AK$2,BASE[CODCIE102],EPV_PARALISIS_FLACIDA_AGUDA62[[#This Row],[CIE-10]]))</f>
        <v>0</v>
      </c>
      <c r="D16" s="3">
        <f>IF($AK$2="(Todas)",COUNTIF(BASE[CODCIE104],EPV_PARALISIS_FLACIDA_AGUDA62[[#This Row],[CIE-10]]),COUNTIFS(BASE[Cod.Establecimiento],$AK$2,BASE[CODCIE104],EPV_PARALISIS_FLACIDA_AGUDA62[[#This Row],[CIE-10]]))</f>
        <v>0</v>
      </c>
      <c r="E16" s="3">
        <f>IF($AK$2="(Todas)",COUNTIF(BASE[CODCIE106],EPV_PARALISIS_FLACIDA_AGUDA62[[#This Row],[CIE-10]]),COUNTIFS(BASE[Cod.Establecimiento],$AK$2,BASE[CODCIE106],EPV_PARALISIS_FLACIDA_AGUDA62[[#This Row],[CIE-10]]))</f>
        <v>0</v>
      </c>
      <c r="F16" s="3">
        <f>IF($AK$2="(Todas)",COUNTIF(BASE[CODCIE108],EPV_PARALISIS_FLACIDA_AGUDA62[[#This Row],[CIE-10]]),COUNTIFS(BASE[Cod.Establecimiento],$AK$2,BASE[CODCIE108],EPV_PARALISIS_FLACIDA_AGUDA62[[#This Row],[CIE-10]]))</f>
        <v>0</v>
      </c>
      <c r="G16" s="3">
        <f>IF($AK$2="(Todas)",COUNTIF(BASE[CODCIE1010],EPV_PARALISIS_FLACIDA_AGUDA62[[#This Row],[CIE-10]]),COUNTIFS(BASE[Cod.Establecimiento],$AK$2,BASE[CODCIE1010],EPV_PARALISIS_FLACIDA_AGUDA62[[#This Row],[CIE-10]]))</f>
        <v>0</v>
      </c>
      <c r="H16" s="67">
        <f>SUM(EPV_PARALISIS_FLACIDA_AGUDA62[[#This Row],[D1]:[D6]])</f>
        <v>0</v>
      </c>
      <c r="J16" s="2"/>
      <c r="K16" s="2"/>
      <c r="L16" s="2"/>
      <c r="M16" s="2"/>
      <c r="N16" s="2"/>
      <c r="O16" s="2"/>
      <c r="P16" s="2"/>
      <c r="AJ16" s="139"/>
      <c r="AK16" s="139"/>
      <c r="AL16" s="70"/>
      <c r="AM16" s="70"/>
      <c r="AN16" s="70"/>
      <c r="AO16" s="70"/>
    </row>
    <row r="17" spans="1:41" s="2" customFormat="1" ht="18" customHeight="1" thickBot="1">
      <c r="A17" s="32" t="s">
        <v>257</v>
      </c>
      <c r="B17" s="8">
        <f>IF($AK$2="(Todas)",COUNTIF(BASE[CODCIE10],EPV_PARALISIS_FLACIDA_AGUDA62[[#This Row],[CIE-10]]),COUNTIFS(BASE[Cod.Establecimiento],$AK$2,BASE[CODCIE10],EPV_PARALISIS_FLACIDA_AGUDA62[[#This Row],[CIE-10]]))</f>
        <v>0</v>
      </c>
      <c r="C17" s="8">
        <f>IF($AK$2="(Todas)",COUNTIF(BASE[CODCIE102],EPV_PARALISIS_FLACIDA_AGUDA62[[#This Row],[CIE-10]]),COUNTIFS(BASE[Cod.Establecimiento],$AK$2,BASE[CODCIE102],EPV_PARALISIS_FLACIDA_AGUDA62[[#This Row],[CIE-10]]))</f>
        <v>0</v>
      </c>
      <c r="D17" s="8">
        <f>IF($AK$2="(Todas)",COUNTIF(BASE[CODCIE104],EPV_PARALISIS_FLACIDA_AGUDA62[[#This Row],[CIE-10]]),COUNTIFS(BASE[Cod.Establecimiento],$AK$2,BASE[CODCIE104],EPV_PARALISIS_FLACIDA_AGUDA62[[#This Row],[CIE-10]]))</f>
        <v>0</v>
      </c>
      <c r="E17" s="8">
        <f>IF($AK$2="(Todas)",COUNTIF(BASE[CODCIE106],EPV_PARALISIS_FLACIDA_AGUDA62[[#This Row],[CIE-10]]),COUNTIFS(BASE[Cod.Establecimiento],$AK$2,BASE[CODCIE106],EPV_PARALISIS_FLACIDA_AGUDA62[[#This Row],[CIE-10]]))</f>
        <v>0</v>
      </c>
      <c r="F17" s="8">
        <f>IF($AK$2="(Todas)",COUNTIF(BASE[CODCIE108],EPV_PARALISIS_FLACIDA_AGUDA62[[#This Row],[CIE-10]]),COUNTIFS(BASE[Cod.Establecimiento],$AK$2,BASE[CODCIE108],EPV_PARALISIS_FLACIDA_AGUDA62[[#This Row],[CIE-10]]))</f>
        <v>0</v>
      </c>
      <c r="G17" s="8">
        <f>IF($AK$2="(Todas)",COUNTIF(BASE[CODCIE1010],EPV_PARALISIS_FLACIDA_AGUDA62[[#This Row],[CIE-10]]),COUNTIFS(BASE[Cod.Establecimiento],$AK$2,BASE[CODCIE1010],EPV_PARALISIS_FLACIDA_AGUDA62[[#This Row],[CIE-10]]))</f>
        <v>0</v>
      </c>
      <c r="H17" s="67">
        <f>SUM(EPV_PARALISIS_FLACIDA_AGUDA62[[#This Row],[D1]:[D6]])</f>
        <v>0</v>
      </c>
      <c r="J17" s="76" t="s">
        <v>358</v>
      </c>
      <c r="K17" s="76"/>
      <c r="L17" s="76"/>
      <c r="M17" s="76"/>
      <c r="N17" s="76"/>
      <c r="O17" s="76"/>
      <c r="P17" s="76"/>
      <c r="Q17" s="76"/>
      <c r="S17" s="76" t="s">
        <v>91</v>
      </c>
      <c r="T17" s="76"/>
      <c r="U17" s="76"/>
      <c r="V17" s="76"/>
      <c r="W17" s="76"/>
      <c r="X17" s="76"/>
      <c r="Y17" s="76"/>
      <c r="Z17" s="76"/>
      <c r="AB17" s="76" t="s">
        <v>364</v>
      </c>
      <c r="AC17" s="76"/>
      <c r="AD17" s="76"/>
      <c r="AE17" s="76"/>
      <c r="AF17" s="76"/>
      <c r="AG17" s="76"/>
      <c r="AH17" s="76"/>
      <c r="AI17" s="76"/>
      <c r="AJ17" s="139"/>
      <c r="AK17" s="139"/>
      <c r="AL17" s="70"/>
      <c r="AM17" s="70"/>
      <c r="AN17" s="70"/>
      <c r="AO17" s="70"/>
    </row>
    <row r="18" spans="1:41" s="2" customFormat="1" ht="15.75" customHeight="1" thickTop="1">
      <c r="A18" s="32" t="s">
        <v>338</v>
      </c>
      <c r="B18" s="8">
        <f>IF($AK$2="(Todas)",COUNTIF(BASE[CODCIE10],EPV_PARALISIS_FLACIDA_AGUDA62[[#This Row],[CIE-10]]),COUNTIFS(BASE[Cod.Establecimiento],$AK$2,BASE[CODCIE10],EPV_PARALISIS_FLACIDA_AGUDA62[[#This Row],[CIE-10]]))</f>
        <v>0</v>
      </c>
      <c r="C18" s="8">
        <f>IF($AK$2="(Todas)",COUNTIF(BASE[CODCIE102],EPV_PARALISIS_FLACIDA_AGUDA62[[#This Row],[CIE-10]]),COUNTIFS(BASE[Cod.Establecimiento],$AK$2,BASE[CODCIE102],EPV_PARALISIS_FLACIDA_AGUDA62[[#This Row],[CIE-10]]))</f>
        <v>0</v>
      </c>
      <c r="D18" s="8">
        <f>IF($AK$2="(Todas)",COUNTIF(BASE[CODCIE104],EPV_PARALISIS_FLACIDA_AGUDA62[[#This Row],[CIE-10]]),COUNTIFS(BASE[Cod.Establecimiento],$AK$2,BASE[CODCIE104],EPV_PARALISIS_FLACIDA_AGUDA62[[#This Row],[CIE-10]]))</f>
        <v>0</v>
      </c>
      <c r="E18" s="8">
        <f>IF($AK$2="(Todas)",COUNTIF(BASE[CODCIE106],EPV_PARALISIS_FLACIDA_AGUDA62[[#This Row],[CIE-10]]),COUNTIFS(BASE[Cod.Establecimiento],$AK$2,BASE[CODCIE106],EPV_PARALISIS_FLACIDA_AGUDA62[[#This Row],[CIE-10]]))</f>
        <v>0</v>
      </c>
      <c r="F18" s="8">
        <f>IF($AK$2="(Todas)",COUNTIF(BASE[CODCIE108],EPV_PARALISIS_FLACIDA_AGUDA62[[#This Row],[CIE-10]]),COUNTIFS(BASE[Cod.Establecimiento],$AK$2,BASE[CODCIE108],EPV_PARALISIS_FLACIDA_AGUDA62[[#This Row],[CIE-10]]))</f>
        <v>0</v>
      </c>
      <c r="G18" s="8">
        <f>IF($AK$2="(Todas)",COUNTIF(BASE[CODCIE1010],EPV_PARALISIS_FLACIDA_AGUDA62[[#This Row],[CIE-10]]),COUNTIFS(BASE[Cod.Establecimiento],$AK$2,BASE[CODCIE1010],EPV_PARALISIS_FLACIDA_AGUDA62[[#This Row],[CIE-10]]))</f>
        <v>0</v>
      </c>
      <c r="H18" s="67">
        <f>SUM(EPV_PARALISIS_FLACIDA_AGUDA62[[#This Row],[D1]:[D6]])</f>
        <v>0</v>
      </c>
      <c r="J18" s="6" t="str">
        <f>_xlfn.CONCAT("TOTAL: ",SUM(K18:P18))</f>
        <v>TOTAL: 0</v>
      </c>
      <c r="K18" s="5">
        <f>SUM(EPV_SARAMPION64666972[D1])</f>
        <v>0</v>
      </c>
      <c r="L18" s="5">
        <f>SUM(EPV_SARAMPION64666972[D2])</f>
        <v>0</v>
      </c>
      <c r="M18" s="5">
        <f>SUM(EPV_SARAMPION64666972[D3])</f>
        <v>0</v>
      </c>
      <c r="N18" s="5">
        <f>SUM(EPV_SARAMPION64666972[D4])</f>
        <v>0</v>
      </c>
      <c r="O18" s="5">
        <f>SUM(EPV_SARAMPION64666972[D5])</f>
        <v>0</v>
      </c>
      <c r="P18" s="5">
        <f>SUM(EPV_SARAMPION64666972[D6])</f>
        <v>0</v>
      </c>
      <c r="Q18" s="7"/>
      <c r="S18" s="6" t="str">
        <f>_xlfn.CONCAT("TOTAL: ",SUM(T18:Y18))</f>
        <v>TOTAL: 0</v>
      </c>
      <c r="T18" s="5">
        <f>SUM(EPV_SARAMPION6466697274[D1])</f>
        <v>0</v>
      </c>
      <c r="U18" s="5">
        <f>SUM(EPV_SARAMPION6466697274[D2])</f>
        <v>0</v>
      </c>
      <c r="V18" s="5">
        <f>SUM(EPV_SARAMPION6466697274[D3])</f>
        <v>0</v>
      </c>
      <c r="W18" s="5">
        <f>SUM(EPV_SARAMPION6466697274[D4])</f>
        <v>0</v>
      </c>
      <c r="X18" s="5">
        <f>SUM(EPV_SARAMPION6466697274[D5])</f>
        <v>0</v>
      </c>
      <c r="Y18" s="5">
        <f>SUM(EPV_SARAMPION6466697274[D6])</f>
        <v>0</v>
      </c>
      <c r="Z18" s="7"/>
      <c r="AB18" s="6" t="str">
        <f>_xlfn.CONCAT("TOTAL: ",SUM(AC18:AH18))</f>
        <v>TOTAL: 0</v>
      </c>
      <c r="AC18" s="5">
        <f>SUM(EPV_SARAMPION646669727475[D1])</f>
        <v>0</v>
      </c>
      <c r="AD18" s="5">
        <f>SUM(EPV_SARAMPION646669727475[D2])</f>
        <v>0</v>
      </c>
      <c r="AE18" s="5">
        <f>SUM(EPV_SARAMPION646669727475[D3])</f>
        <v>0</v>
      </c>
      <c r="AF18" s="5">
        <f>SUM(EPV_SARAMPION646669727475[D4])</f>
        <v>0</v>
      </c>
      <c r="AG18" s="5">
        <f>SUM(EPV_SARAMPION646669727475[D5])</f>
        <v>0</v>
      </c>
      <c r="AH18" s="5">
        <f>SUM(EPV_SARAMPION646669727475[D6])</f>
        <v>0</v>
      </c>
      <c r="AI18" s="7"/>
      <c r="AJ18" s="139"/>
      <c r="AK18" s="139"/>
      <c r="AL18" s="70"/>
      <c r="AM18" s="70"/>
      <c r="AN18" s="70"/>
      <c r="AO18" s="70"/>
    </row>
    <row r="19" spans="1:41" s="2" customFormat="1" ht="15" customHeight="1">
      <c r="A19" s="32" t="s">
        <v>339</v>
      </c>
      <c r="B19" s="8">
        <f>IF($AK$2="(Todas)",COUNTIF(BASE[CODCIE10],EPV_PARALISIS_FLACIDA_AGUDA62[[#This Row],[CIE-10]]),COUNTIFS(BASE[Cod.Establecimiento],$AK$2,BASE[CODCIE10],EPV_PARALISIS_FLACIDA_AGUDA62[[#This Row],[CIE-10]]))</f>
        <v>0</v>
      </c>
      <c r="C19" s="8">
        <f>IF($AK$2="(Todas)",COUNTIF(BASE[CODCIE102],EPV_PARALISIS_FLACIDA_AGUDA62[[#This Row],[CIE-10]]),COUNTIFS(BASE[Cod.Establecimiento],$AK$2,BASE[CODCIE102],EPV_PARALISIS_FLACIDA_AGUDA62[[#This Row],[CIE-10]]))</f>
        <v>0</v>
      </c>
      <c r="D19" s="8">
        <f>IF($AK$2="(Todas)",COUNTIF(BASE[CODCIE104],EPV_PARALISIS_FLACIDA_AGUDA62[[#This Row],[CIE-10]]),COUNTIFS(BASE[Cod.Establecimiento],$AK$2,BASE[CODCIE104],EPV_PARALISIS_FLACIDA_AGUDA62[[#This Row],[CIE-10]]))</f>
        <v>0</v>
      </c>
      <c r="E19" s="8">
        <f>IF($AK$2="(Todas)",COUNTIF(BASE[CODCIE106],EPV_PARALISIS_FLACIDA_AGUDA62[[#This Row],[CIE-10]]),COUNTIFS(BASE[Cod.Establecimiento],$AK$2,BASE[CODCIE106],EPV_PARALISIS_FLACIDA_AGUDA62[[#This Row],[CIE-10]]))</f>
        <v>0</v>
      </c>
      <c r="F19" s="8">
        <f>IF($AK$2="(Todas)",COUNTIF(BASE[CODCIE108],EPV_PARALISIS_FLACIDA_AGUDA62[[#This Row],[CIE-10]]),COUNTIFS(BASE[Cod.Establecimiento],$AK$2,BASE[CODCIE108],EPV_PARALISIS_FLACIDA_AGUDA62[[#This Row],[CIE-10]]))</f>
        <v>0</v>
      </c>
      <c r="G19" s="8">
        <f>IF($AK$2="(Todas)",COUNTIF(BASE[CODCIE1010],EPV_PARALISIS_FLACIDA_AGUDA62[[#This Row],[CIE-10]]),COUNTIFS(BASE[Cod.Establecimiento],$AK$2,BASE[CODCIE1010],EPV_PARALISIS_FLACIDA_AGUDA62[[#This Row],[CIE-10]]))</f>
        <v>0</v>
      </c>
      <c r="H19" s="67">
        <f>SUM(EPV_PARALISIS_FLACIDA_AGUDA62[[#This Row],[D1]:[D6]])</f>
        <v>0</v>
      </c>
      <c r="J19" t="s">
        <v>93</v>
      </c>
      <c r="K19" s="3" t="s">
        <v>94</v>
      </c>
      <c r="L19" s="3" t="s">
        <v>95</v>
      </c>
      <c r="M19" s="3" t="s">
        <v>96</v>
      </c>
      <c r="N19" s="3" t="s">
        <v>97</v>
      </c>
      <c r="O19" s="3" t="s">
        <v>98</v>
      </c>
      <c r="P19" s="3" t="s">
        <v>99</v>
      </c>
      <c r="Q19" s="8" t="s">
        <v>100</v>
      </c>
      <c r="S19" t="s">
        <v>93</v>
      </c>
      <c r="T19" s="3" t="s">
        <v>94</v>
      </c>
      <c r="U19" s="3" t="s">
        <v>95</v>
      </c>
      <c r="V19" s="3" t="s">
        <v>96</v>
      </c>
      <c r="W19" s="3" t="s">
        <v>97</v>
      </c>
      <c r="X19" s="3" t="s">
        <v>98</v>
      </c>
      <c r="Y19" s="3" t="s">
        <v>99</v>
      </c>
      <c r="Z19" s="8" t="s">
        <v>100</v>
      </c>
      <c r="AB19" t="s">
        <v>93</v>
      </c>
      <c r="AC19" s="3" t="s">
        <v>94</v>
      </c>
      <c r="AD19" s="3" t="s">
        <v>95</v>
      </c>
      <c r="AE19" s="3" t="s">
        <v>96</v>
      </c>
      <c r="AF19" s="3" t="s">
        <v>97</v>
      </c>
      <c r="AG19" s="3" t="s">
        <v>98</v>
      </c>
      <c r="AH19" s="3" t="s">
        <v>99</v>
      </c>
      <c r="AI19" s="8" t="s">
        <v>100</v>
      </c>
      <c r="AJ19" s="139"/>
      <c r="AK19" s="139"/>
      <c r="AL19" s="70"/>
      <c r="AM19" s="70"/>
      <c r="AN19" s="70"/>
      <c r="AO19" s="70"/>
    </row>
    <row r="20" spans="1:41" s="2" customFormat="1" ht="15" customHeight="1">
      <c r="A20" s="32" t="s">
        <v>340</v>
      </c>
      <c r="B20" s="8">
        <f>IF($AK$2="(Todas)",COUNTIF(BASE[CODCIE10],EPV_PARALISIS_FLACIDA_AGUDA62[[#This Row],[CIE-10]]),COUNTIFS(BASE[Cod.Establecimiento],$AK$2,BASE[CODCIE10],EPV_PARALISIS_FLACIDA_AGUDA62[[#This Row],[CIE-10]]))</f>
        <v>0</v>
      </c>
      <c r="C20" s="8">
        <f>IF($AK$2="(Todas)",COUNTIF(BASE[CODCIE102],EPV_PARALISIS_FLACIDA_AGUDA62[[#This Row],[CIE-10]]),COUNTIFS(BASE[Cod.Establecimiento],$AK$2,BASE[CODCIE102],EPV_PARALISIS_FLACIDA_AGUDA62[[#This Row],[CIE-10]]))</f>
        <v>0</v>
      </c>
      <c r="D20" s="8">
        <f>IF($AK$2="(Todas)",COUNTIF(BASE[CODCIE104],EPV_PARALISIS_FLACIDA_AGUDA62[[#This Row],[CIE-10]]),COUNTIFS(BASE[Cod.Establecimiento],$AK$2,BASE[CODCIE104],EPV_PARALISIS_FLACIDA_AGUDA62[[#This Row],[CIE-10]]))</f>
        <v>0</v>
      </c>
      <c r="E20" s="8">
        <f>IF($AK$2="(Todas)",COUNTIF(BASE[CODCIE106],EPV_PARALISIS_FLACIDA_AGUDA62[[#This Row],[CIE-10]]),COUNTIFS(BASE[Cod.Establecimiento],$AK$2,BASE[CODCIE106],EPV_PARALISIS_FLACIDA_AGUDA62[[#This Row],[CIE-10]]))</f>
        <v>0</v>
      </c>
      <c r="F20" s="8">
        <f>IF($AK$2="(Todas)",COUNTIF(BASE[CODCIE108],EPV_PARALISIS_FLACIDA_AGUDA62[[#This Row],[CIE-10]]),COUNTIFS(BASE[Cod.Establecimiento],$AK$2,BASE[CODCIE108],EPV_PARALISIS_FLACIDA_AGUDA62[[#This Row],[CIE-10]]))</f>
        <v>0</v>
      </c>
      <c r="G20" s="8">
        <f>IF($AK$2="(Todas)",COUNTIF(BASE[CODCIE1010],EPV_PARALISIS_FLACIDA_AGUDA62[[#This Row],[CIE-10]]),COUNTIFS(BASE[Cod.Establecimiento],$AK$2,BASE[CODCIE1010],EPV_PARALISIS_FLACIDA_AGUDA62[[#This Row],[CIE-10]]))</f>
        <v>0</v>
      </c>
      <c r="H20" s="67">
        <f>SUM(EPV_PARALISIS_FLACIDA_AGUDA62[[#This Row],[D1]:[D6]])</f>
        <v>0</v>
      </c>
      <c r="J20" s="4" t="s">
        <v>359</v>
      </c>
      <c r="K20" s="3">
        <f>IF($AK$2="(Todas)",COUNTIF(BASE[CODCIE10],EPV_SARAMPION64666972[[#This Row],[CIE-10]]),COUNTIFS(BASE[Cod.Establecimiento],$AK$2,BASE[CODCIE10],EPV_SARAMPION64666972[[#This Row],[CIE-10]]))</f>
        <v>0</v>
      </c>
      <c r="L20" s="3">
        <f>IF($AK$2="(Todas)",COUNTIF(BASE[CODCIE102],EPV_SARAMPION64666972[[#This Row],[CIE-10]]),COUNTIFS(BASE[Cod.Establecimiento],$AK$2,BASE[CODCIE102],EPV_SARAMPION64666972[[#This Row],[CIE-10]]))</f>
        <v>0</v>
      </c>
      <c r="M20" s="3">
        <f>IF($AK$2="(Todas)",COUNTIF(BASE[CODCIE104],EPV_SARAMPION64666972[[#This Row],[CIE-10]]),COUNTIFS(BASE[Cod.Establecimiento],$AK$2,BASE[CODCIE104],EPV_SARAMPION64666972[[#This Row],[CIE-10]]))</f>
        <v>0</v>
      </c>
      <c r="N20" s="3">
        <f>IF($AK$2="(Todas)",COUNTIF(BASE[CODCIE106],EPV_SARAMPION64666972[[#This Row],[CIE-10]]),COUNTIFS(BASE[Cod.Establecimiento],$AK$2,BASE[CODCIE106],EPV_SARAMPION64666972[[#This Row],[CIE-10]]))</f>
        <v>0</v>
      </c>
      <c r="O20" s="3">
        <f>IF($AK$2="(Todas)",COUNTIF(BASE[CODCIE108],EPV_SARAMPION64666972[[#This Row],[CIE-10]]),COUNTIFS(BASE[Cod.Establecimiento],$AK$2,BASE[CODCIE108],EPV_SARAMPION64666972[[#This Row],[CIE-10]]))</f>
        <v>0</v>
      </c>
      <c r="P20" s="3">
        <f>IF($AK$2="(Todas)",COUNTIF(BASE[CODCIE1010],EPV_SARAMPION64666972[[#This Row],[CIE-10]]),COUNTIFS(BASE[Cod.Establecimiento],$AK$2,BASE[CODCIE1010],EPV_SARAMPION64666972[[#This Row],[CIE-10]]))</f>
        <v>0</v>
      </c>
      <c r="Q20" s="9">
        <f>SUM(EPV_SARAMPION64666972[[#This Row],[D1]:[D6]])</f>
        <v>0</v>
      </c>
      <c r="S20" s="4" t="s">
        <v>363</v>
      </c>
      <c r="T20" s="3">
        <f>IF($AK$2="(Todas)",COUNTIF(BASE[CODCIE10],EPV_SARAMPION6466697274[[#This Row],[CIE-10]]),COUNTIFS(BASE[Cod.Establecimiento],$AK$2,BASE[CODCIE10],EPV_SARAMPION6466697274[[#This Row],[CIE-10]]))</f>
        <v>0</v>
      </c>
      <c r="U20" s="3">
        <f>IF($AK$2="(Todas)",COUNTIF(BASE[CODCIE102],EPV_SARAMPION6466697274[[#This Row],[CIE-10]]),COUNTIFS(BASE[Cod.Establecimiento],$AK$2,BASE[CODCIE102],EPV_SARAMPION6466697274[[#This Row],[CIE-10]]))</f>
        <v>0</v>
      </c>
      <c r="V20" s="3">
        <f>IF($AK$2="(Todas)",COUNTIF(BASE[CODCIE104],EPV_SARAMPION6466697274[[#This Row],[CIE-10]]),COUNTIFS(BASE[Cod.Establecimiento],$AK$2,BASE[CODCIE104],EPV_SARAMPION6466697274[[#This Row],[CIE-10]]))</f>
        <v>0</v>
      </c>
      <c r="W20" s="3">
        <f>IF($AK$2="(Todas)",COUNTIF(BASE[CODCIE106],EPV_SARAMPION6466697274[[#This Row],[CIE-10]]),COUNTIFS(BASE[Cod.Establecimiento],$AK$2,BASE[CODCIE106],EPV_SARAMPION6466697274[[#This Row],[CIE-10]]))</f>
        <v>0</v>
      </c>
      <c r="X20" s="3">
        <f>IF($AK$2="(Todas)",COUNTIF(BASE[CODCIE108],EPV_SARAMPION6466697274[[#This Row],[CIE-10]]),COUNTIFS(BASE[Cod.Establecimiento],$AK$2,BASE[CODCIE108],EPV_SARAMPION6466697274[[#This Row],[CIE-10]]))</f>
        <v>0</v>
      </c>
      <c r="Y20" s="3">
        <f>IF($AK$2="(Todas)",COUNTIF(BASE[CODCIE1010],EPV_SARAMPION6466697274[[#This Row],[CIE-10]]),COUNTIFS(BASE[Cod.Establecimiento],$AK$2,BASE[CODCIE1010],EPV_SARAMPION6466697274[[#This Row],[CIE-10]]))</f>
        <v>0</v>
      </c>
      <c r="Z20" s="9">
        <f>SUM(EPV_SARAMPION6466697274[[#This Row],[D1]:[D6]])</f>
        <v>0</v>
      </c>
      <c r="AB20" s="4" t="s">
        <v>365</v>
      </c>
      <c r="AC20" s="3">
        <f>IF($AK$2="(Todas)",COUNTIF(BASE[CODCIE10],EPV_SARAMPION646669727475[[#This Row],[CIE-10]]),COUNTIFS(BASE[Cod.Establecimiento],$AK$2,BASE[CODCIE10],EPV_SARAMPION646669727475[[#This Row],[CIE-10]]))</f>
        <v>0</v>
      </c>
      <c r="AD20" s="3">
        <f>IF($AK$2="(Todas)",COUNTIF(BASE[CODCIE102],EPV_SARAMPION646669727475[[#This Row],[CIE-10]]),COUNTIFS(BASE[Cod.Establecimiento],$AK$2,BASE[CODCIE102],EPV_SARAMPION646669727475[[#This Row],[CIE-10]]))</f>
        <v>0</v>
      </c>
      <c r="AE20" s="3">
        <f>IF($AK$2="(Todas)",COUNTIF(BASE[CODCIE104],EPV_SARAMPION646669727475[[#This Row],[CIE-10]]),COUNTIFS(BASE[Cod.Establecimiento],$AK$2,BASE[CODCIE104],EPV_SARAMPION646669727475[[#This Row],[CIE-10]]))</f>
        <v>0</v>
      </c>
      <c r="AF20" s="3">
        <f>IF($AK$2="(Todas)",COUNTIF(BASE[CODCIE106],EPV_SARAMPION646669727475[[#This Row],[CIE-10]]),COUNTIFS(BASE[Cod.Establecimiento],$AK$2,BASE[CODCIE106],EPV_SARAMPION646669727475[[#This Row],[CIE-10]]))</f>
        <v>0</v>
      </c>
      <c r="AG20" s="3">
        <f>IF($AK$2="(Todas)",COUNTIF(BASE[CODCIE108],EPV_SARAMPION646669727475[[#This Row],[CIE-10]]),COUNTIFS(BASE[Cod.Establecimiento],$AK$2,BASE[CODCIE108],EPV_SARAMPION646669727475[[#This Row],[CIE-10]]))</f>
        <v>0</v>
      </c>
      <c r="AH20" s="3">
        <f>IF($AK$2="(Todas)",COUNTIF(BASE[CODCIE1010],EPV_SARAMPION646669727475[[#This Row],[CIE-10]]),COUNTIFS(BASE[Cod.Establecimiento],$AK$2,BASE[CODCIE1010],EPV_SARAMPION646669727475[[#This Row],[CIE-10]]))</f>
        <v>0</v>
      </c>
      <c r="AI20" s="9">
        <f>SUM(EPV_SARAMPION646669727475[[#This Row],[D1]:[D6]])</f>
        <v>0</v>
      </c>
      <c r="AJ20" s="139"/>
      <c r="AK20" s="139"/>
      <c r="AL20" s="70"/>
      <c r="AM20" s="70"/>
      <c r="AN20" s="70"/>
      <c r="AO20" s="70"/>
    </row>
    <row r="21" spans="1:41" s="2" customFormat="1" ht="15" customHeight="1">
      <c r="A21" s="32" t="s">
        <v>341</v>
      </c>
      <c r="B21" s="8">
        <f>IF($AK$2="(Todas)",COUNTIF(BASE[CODCIE10],EPV_PARALISIS_FLACIDA_AGUDA62[[#This Row],[CIE-10]]),COUNTIFS(BASE[Cod.Establecimiento],$AK$2,BASE[CODCIE10],EPV_PARALISIS_FLACIDA_AGUDA62[[#This Row],[CIE-10]]))</f>
        <v>0</v>
      </c>
      <c r="C21" s="8">
        <f>IF($AK$2="(Todas)",COUNTIF(BASE[CODCIE102],EPV_PARALISIS_FLACIDA_AGUDA62[[#This Row],[CIE-10]]),COUNTIFS(BASE[Cod.Establecimiento],$AK$2,BASE[CODCIE102],EPV_PARALISIS_FLACIDA_AGUDA62[[#This Row],[CIE-10]]))</f>
        <v>0</v>
      </c>
      <c r="D21" s="8">
        <f>IF($AK$2="(Todas)",COUNTIF(BASE[CODCIE104],EPV_PARALISIS_FLACIDA_AGUDA62[[#This Row],[CIE-10]]),COUNTIFS(BASE[Cod.Establecimiento],$AK$2,BASE[CODCIE104],EPV_PARALISIS_FLACIDA_AGUDA62[[#This Row],[CIE-10]]))</f>
        <v>0</v>
      </c>
      <c r="E21" s="8">
        <f>IF($AK$2="(Todas)",COUNTIF(BASE[CODCIE106],EPV_PARALISIS_FLACIDA_AGUDA62[[#This Row],[CIE-10]]),COUNTIFS(BASE[Cod.Establecimiento],$AK$2,BASE[CODCIE106],EPV_PARALISIS_FLACIDA_AGUDA62[[#This Row],[CIE-10]]))</f>
        <v>0</v>
      </c>
      <c r="F21" s="8">
        <f>IF($AK$2="(Todas)",COUNTIF(BASE[CODCIE108],EPV_PARALISIS_FLACIDA_AGUDA62[[#This Row],[CIE-10]]),COUNTIFS(BASE[Cod.Establecimiento],$AK$2,BASE[CODCIE108],EPV_PARALISIS_FLACIDA_AGUDA62[[#This Row],[CIE-10]]))</f>
        <v>0</v>
      </c>
      <c r="G21" s="8">
        <f>IF($AK$2="(Todas)",COUNTIF(BASE[CODCIE1010],EPV_PARALISIS_FLACIDA_AGUDA62[[#This Row],[CIE-10]]),COUNTIFS(BASE[Cod.Establecimiento],$AK$2,BASE[CODCIE1010],EPV_PARALISIS_FLACIDA_AGUDA62[[#This Row],[CIE-10]]))</f>
        <v>0</v>
      </c>
      <c r="H21" s="67">
        <f>SUM(EPV_PARALISIS_FLACIDA_AGUDA62[[#This Row],[D1]:[D6]])</f>
        <v>0</v>
      </c>
      <c r="J21"/>
      <c r="K21"/>
      <c r="L21"/>
      <c r="M21"/>
      <c r="N21"/>
      <c r="O21"/>
      <c r="P21"/>
      <c r="AJ21" s="139"/>
      <c r="AK21" s="139"/>
      <c r="AL21" s="70"/>
      <c r="AM21" s="70"/>
      <c r="AN21" s="70"/>
      <c r="AO21" s="70"/>
    </row>
    <row r="22" spans="1:41" s="2" customFormat="1" ht="18" customHeight="1" thickBot="1">
      <c r="A22" s="32" t="s">
        <v>342</v>
      </c>
      <c r="B22" s="8">
        <f>IF($AK$2="(Todas)",COUNTIF(BASE[CODCIE10],EPV_PARALISIS_FLACIDA_AGUDA62[[#This Row],[CIE-10]]),COUNTIFS(BASE[Cod.Establecimiento],$AK$2,BASE[CODCIE10],EPV_PARALISIS_FLACIDA_AGUDA62[[#This Row],[CIE-10]]))</f>
        <v>0</v>
      </c>
      <c r="C22" s="8">
        <f>IF($AK$2="(Todas)",COUNTIF(BASE[CODCIE102],EPV_PARALISIS_FLACIDA_AGUDA62[[#This Row],[CIE-10]]),COUNTIFS(BASE[Cod.Establecimiento],$AK$2,BASE[CODCIE102],EPV_PARALISIS_FLACIDA_AGUDA62[[#This Row],[CIE-10]]))</f>
        <v>0</v>
      </c>
      <c r="D22" s="8">
        <f>IF($AK$2="(Todas)",COUNTIF(BASE[CODCIE104],EPV_PARALISIS_FLACIDA_AGUDA62[[#This Row],[CIE-10]]),COUNTIFS(BASE[Cod.Establecimiento],$AK$2,BASE[CODCIE104],EPV_PARALISIS_FLACIDA_AGUDA62[[#This Row],[CIE-10]]))</f>
        <v>0</v>
      </c>
      <c r="E22" s="8">
        <f>IF($AK$2="(Todas)",COUNTIF(BASE[CODCIE106],EPV_PARALISIS_FLACIDA_AGUDA62[[#This Row],[CIE-10]]),COUNTIFS(BASE[Cod.Establecimiento],$AK$2,BASE[CODCIE106],EPV_PARALISIS_FLACIDA_AGUDA62[[#This Row],[CIE-10]]))</f>
        <v>0</v>
      </c>
      <c r="F22" s="8">
        <f>IF($AK$2="(Todas)",COUNTIF(BASE[CODCIE108],EPV_PARALISIS_FLACIDA_AGUDA62[[#This Row],[CIE-10]]),COUNTIFS(BASE[Cod.Establecimiento],$AK$2,BASE[CODCIE108],EPV_PARALISIS_FLACIDA_AGUDA62[[#This Row],[CIE-10]]))</f>
        <v>0</v>
      </c>
      <c r="G22" s="8">
        <f>IF($AK$2="(Todas)",COUNTIF(BASE[CODCIE1010],EPV_PARALISIS_FLACIDA_AGUDA62[[#This Row],[CIE-10]]),COUNTIFS(BASE[Cod.Establecimiento],$AK$2,BASE[CODCIE1010],EPV_PARALISIS_FLACIDA_AGUDA62[[#This Row],[CIE-10]]))</f>
        <v>0</v>
      </c>
      <c r="H22" s="67">
        <f>SUM(EPV_PARALISIS_FLACIDA_AGUDA62[[#This Row],[D1]:[D6]])</f>
        <v>0</v>
      </c>
      <c r="J22" s="76" t="s">
        <v>361</v>
      </c>
      <c r="K22" s="76"/>
      <c r="L22" s="76"/>
      <c r="M22" s="76"/>
      <c r="N22" s="76"/>
      <c r="O22" s="76"/>
      <c r="P22" s="76"/>
      <c r="Q22" s="76"/>
      <c r="S22" s="76" t="s">
        <v>366</v>
      </c>
      <c r="T22" s="76"/>
      <c r="U22" s="76"/>
      <c r="V22" s="76"/>
      <c r="W22" s="76"/>
      <c r="X22" s="76"/>
      <c r="Y22" s="76"/>
      <c r="Z22" s="76"/>
      <c r="AB22" s="76" t="s">
        <v>370</v>
      </c>
      <c r="AC22" s="76"/>
      <c r="AD22" s="76"/>
      <c r="AE22" s="76"/>
      <c r="AF22" s="76"/>
      <c r="AG22" s="76"/>
      <c r="AH22" s="76"/>
      <c r="AI22" s="76"/>
      <c r="AJ22" s="139"/>
      <c r="AK22" s="139"/>
      <c r="AL22" s="70"/>
      <c r="AM22" s="70"/>
      <c r="AN22" s="70"/>
      <c r="AO22" s="70"/>
    </row>
    <row r="23" spans="1:41" s="2" customFormat="1" ht="15.75" customHeight="1" thickTop="1">
      <c r="A23" s="32" t="s">
        <v>343</v>
      </c>
      <c r="B23" s="8">
        <f>IF($AK$2="(Todas)",COUNTIF(BASE[CODCIE10],EPV_PARALISIS_FLACIDA_AGUDA62[[#This Row],[CIE-10]]),COUNTIFS(BASE[Cod.Establecimiento],$AK$2,BASE[CODCIE10],EPV_PARALISIS_FLACIDA_AGUDA62[[#This Row],[CIE-10]]))</f>
        <v>0</v>
      </c>
      <c r="C23" s="8">
        <f>IF($AK$2="(Todas)",COUNTIF(BASE[CODCIE102],EPV_PARALISIS_FLACIDA_AGUDA62[[#This Row],[CIE-10]]),COUNTIFS(BASE[Cod.Establecimiento],$AK$2,BASE[CODCIE102],EPV_PARALISIS_FLACIDA_AGUDA62[[#This Row],[CIE-10]]))</f>
        <v>0</v>
      </c>
      <c r="D23" s="8">
        <f>IF($AK$2="(Todas)",COUNTIF(BASE[CODCIE104],EPV_PARALISIS_FLACIDA_AGUDA62[[#This Row],[CIE-10]]),COUNTIFS(BASE[Cod.Establecimiento],$AK$2,BASE[CODCIE104],EPV_PARALISIS_FLACIDA_AGUDA62[[#This Row],[CIE-10]]))</f>
        <v>0</v>
      </c>
      <c r="E23" s="8">
        <f>IF($AK$2="(Todas)",COUNTIF(BASE[CODCIE106],EPV_PARALISIS_FLACIDA_AGUDA62[[#This Row],[CIE-10]]),COUNTIFS(BASE[Cod.Establecimiento],$AK$2,BASE[CODCIE106],EPV_PARALISIS_FLACIDA_AGUDA62[[#This Row],[CIE-10]]))</f>
        <v>0</v>
      </c>
      <c r="F23" s="8">
        <f>IF($AK$2="(Todas)",COUNTIF(BASE[CODCIE108],EPV_PARALISIS_FLACIDA_AGUDA62[[#This Row],[CIE-10]]),COUNTIFS(BASE[Cod.Establecimiento],$AK$2,BASE[CODCIE108],EPV_PARALISIS_FLACIDA_AGUDA62[[#This Row],[CIE-10]]))</f>
        <v>0</v>
      </c>
      <c r="G23" s="8">
        <f>IF($AK$2="(Todas)",COUNTIF(BASE[CODCIE1010],EPV_PARALISIS_FLACIDA_AGUDA62[[#This Row],[CIE-10]]),COUNTIFS(BASE[Cod.Establecimiento],$AK$2,BASE[CODCIE1010],EPV_PARALISIS_FLACIDA_AGUDA62[[#This Row],[CIE-10]]))</f>
        <v>0</v>
      </c>
      <c r="H23" s="67">
        <f>SUM(EPV_PARALISIS_FLACIDA_AGUDA62[[#This Row],[D1]:[D6]])</f>
        <v>0</v>
      </c>
      <c r="J23" s="6" t="str">
        <f>_xlfn.CONCAT("TOTAL: ",SUM(K23:P23))</f>
        <v>TOTAL: 0</v>
      </c>
      <c r="K23" s="5">
        <f>SUM(EPV_SARAMPION6466697273[D1])</f>
        <v>0</v>
      </c>
      <c r="L23" s="5">
        <f>SUM(EPV_SARAMPION6466697273[D2])</f>
        <v>0</v>
      </c>
      <c r="M23" s="5">
        <f>SUM(EPV_SARAMPION6466697273[D3])</f>
        <v>0</v>
      </c>
      <c r="N23" s="5">
        <f>SUM(EPV_SARAMPION6466697273[D4])</f>
        <v>0</v>
      </c>
      <c r="O23" s="5">
        <f>SUM(EPV_SARAMPION6466697273[D5])</f>
        <v>0</v>
      </c>
      <c r="P23" s="5">
        <f>SUM(EPV_SARAMPION6466697273[D6])</f>
        <v>0</v>
      </c>
      <c r="Q23" s="7"/>
      <c r="S23" s="6" t="str">
        <f>_xlfn.CONCAT("TOTAL: ",SUM(T23:Y23))</f>
        <v>TOTAL: 0</v>
      </c>
      <c r="T23" s="5">
        <f>SUM(EPV_SARAMPION646669727376[D1])</f>
        <v>0</v>
      </c>
      <c r="U23" s="5">
        <f>SUM(EPV_SARAMPION646669727376[D2])</f>
        <v>0</v>
      </c>
      <c r="V23" s="5">
        <f>SUM(EPV_SARAMPION646669727376[D3])</f>
        <v>0</v>
      </c>
      <c r="W23" s="5">
        <f>SUM(EPV_SARAMPION646669727376[D4])</f>
        <v>0</v>
      </c>
      <c r="X23" s="5">
        <f>SUM(EPV_SARAMPION646669727376[D5])</f>
        <v>0</v>
      </c>
      <c r="Y23" s="5">
        <f>SUM(EPV_SARAMPION646669727376[D6])</f>
        <v>0</v>
      </c>
      <c r="Z23" s="7"/>
      <c r="AB23" s="6" t="str">
        <f>_xlfn.CONCAT("TOTAL: ",SUM(AC23:AH23))</f>
        <v>TOTAL: 0</v>
      </c>
      <c r="AC23" s="5">
        <f>SUM(EPV_SARAMPION64666972737677[D1])</f>
        <v>0</v>
      </c>
      <c r="AD23" s="5">
        <f>SUM(EPV_SARAMPION64666972737677[D2])</f>
        <v>0</v>
      </c>
      <c r="AE23" s="5">
        <f>SUM(EPV_SARAMPION64666972737677[D3])</f>
        <v>0</v>
      </c>
      <c r="AF23" s="5">
        <f>SUM(EPV_SARAMPION64666972737677[D4])</f>
        <v>0</v>
      </c>
      <c r="AG23" s="5">
        <f>SUM(EPV_SARAMPION64666972737677[D5])</f>
        <v>0</v>
      </c>
      <c r="AH23" s="5">
        <f>SUM(EPV_SARAMPION64666972737677[D6])</f>
        <v>0</v>
      </c>
      <c r="AI23" s="7"/>
      <c r="AJ23" s="139"/>
      <c r="AK23" s="139"/>
      <c r="AL23" s="70"/>
      <c r="AM23" s="70"/>
      <c r="AN23" s="70"/>
      <c r="AO23" s="70"/>
    </row>
    <row r="24" spans="1:41" s="2" customFormat="1" ht="15" customHeight="1">
      <c r="A24" s="32" t="s">
        <v>344</v>
      </c>
      <c r="B24" s="8">
        <f>IF($AK$2="(Todas)",COUNTIF(BASE[CODCIE10],EPV_PARALISIS_FLACIDA_AGUDA62[[#This Row],[CIE-10]]),COUNTIFS(BASE[Cod.Establecimiento],$AK$2,BASE[CODCIE10],EPV_PARALISIS_FLACIDA_AGUDA62[[#This Row],[CIE-10]]))</f>
        <v>0</v>
      </c>
      <c r="C24" s="8">
        <f>IF($AK$2="(Todas)",COUNTIF(BASE[CODCIE102],EPV_PARALISIS_FLACIDA_AGUDA62[[#This Row],[CIE-10]]),COUNTIFS(BASE[Cod.Establecimiento],$AK$2,BASE[CODCIE102],EPV_PARALISIS_FLACIDA_AGUDA62[[#This Row],[CIE-10]]))</f>
        <v>0</v>
      </c>
      <c r="D24" s="8">
        <f>IF($AK$2="(Todas)",COUNTIF(BASE[CODCIE104],EPV_PARALISIS_FLACIDA_AGUDA62[[#This Row],[CIE-10]]),COUNTIFS(BASE[Cod.Establecimiento],$AK$2,BASE[CODCIE104],EPV_PARALISIS_FLACIDA_AGUDA62[[#This Row],[CIE-10]]))</f>
        <v>0</v>
      </c>
      <c r="E24" s="8">
        <f>IF($AK$2="(Todas)",COUNTIF(BASE[CODCIE106],EPV_PARALISIS_FLACIDA_AGUDA62[[#This Row],[CIE-10]]),COUNTIFS(BASE[Cod.Establecimiento],$AK$2,BASE[CODCIE106],EPV_PARALISIS_FLACIDA_AGUDA62[[#This Row],[CIE-10]]))</f>
        <v>0</v>
      </c>
      <c r="F24" s="8">
        <f>IF($AK$2="(Todas)",COUNTIF(BASE[CODCIE108],EPV_PARALISIS_FLACIDA_AGUDA62[[#This Row],[CIE-10]]),COUNTIFS(BASE[Cod.Establecimiento],$AK$2,BASE[CODCIE108],EPV_PARALISIS_FLACIDA_AGUDA62[[#This Row],[CIE-10]]))</f>
        <v>0</v>
      </c>
      <c r="G24" s="8">
        <f>IF($AK$2="(Todas)",COUNTIF(BASE[CODCIE1010],EPV_PARALISIS_FLACIDA_AGUDA62[[#This Row],[CIE-10]]),COUNTIFS(BASE[Cod.Establecimiento],$AK$2,BASE[CODCIE1010],EPV_PARALISIS_FLACIDA_AGUDA62[[#This Row],[CIE-10]]))</f>
        <v>0</v>
      </c>
      <c r="H24" s="67">
        <f>SUM(EPV_PARALISIS_FLACIDA_AGUDA62[[#This Row],[D1]:[D6]])</f>
        <v>0</v>
      </c>
      <c r="J24" t="s">
        <v>93</v>
      </c>
      <c r="K24" s="3" t="s">
        <v>94</v>
      </c>
      <c r="L24" s="3" t="s">
        <v>95</v>
      </c>
      <c r="M24" s="3" t="s">
        <v>96</v>
      </c>
      <c r="N24" s="3" t="s">
        <v>97</v>
      </c>
      <c r="O24" s="3" t="s">
        <v>98</v>
      </c>
      <c r="P24" s="3" t="s">
        <v>99</v>
      </c>
      <c r="Q24" s="8" t="s">
        <v>100</v>
      </c>
      <c r="S24" t="s">
        <v>93</v>
      </c>
      <c r="T24" s="3" t="s">
        <v>94</v>
      </c>
      <c r="U24" s="3" t="s">
        <v>95</v>
      </c>
      <c r="V24" s="3" t="s">
        <v>96</v>
      </c>
      <c r="W24" s="3" t="s">
        <v>97</v>
      </c>
      <c r="X24" s="3" t="s">
        <v>98</v>
      </c>
      <c r="Y24" s="3" t="s">
        <v>99</v>
      </c>
      <c r="Z24" s="8" t="s">
        <v>100</v>
      </c>
      <c r="AB24" t="s">
        <v>93</v>
      </c>
      <c r="AC24" s="3" t="s">
        <v>94</v>
      </c>
      <c r="AD24" s="3" t="s">
        <v>95</v>
      </c>
      <c r="AE24" s="3" t="s">
        <v>96</v>
      </c>
      <c r="AF24" s="3" t="s">
        <v>97</v>
      </c>
      <c r="AG24" s="3" t="s">
        <v>98</v>
      </c>
      <c r="AH24" s="3" t="s">
        <v>99</v>
      </c>
      <c r="AI24" s="8" t="s">
        <v>100</v>
      </c>
      <c r="AJ24" s="139"/>
      <c r="AK24" s="139"/>
      <c r="AL24" s="70"/>
      <c r="AM24" s="70"/>
      <c r="AN24" s="70"/>
      <c r="AO24" s="70"/>
    </row>
    <row r="25" spans="1:41" ht="15" customHeight="1">
      <c r="J25" s="4" t="s">
        <v>360</v>
      </c>
      <c r="K25" s="3">
        <f>IF($AK$2="(Todas)",COUNTIF(BASE[CODCIE10],EPV_SARAMPION6466697273[[#This Row],[CIE-10]]),COUNTIFS(BASE[Cod.Establecimiento],$AK$2,BASE[CODCIE10],EPV_SARAMPION6466697273[[#This Row],[CIE-10]]))</f>
        <v>0</v>
      </c>
      <c r="L25" s="3">
        <f>IF($AK$2="(Todas)",COUNTIF(BASE[CODCIE102],EPV_SARAMPION6466697273[[#This Row],[CIE-10]]),COUNTIFS(BASE[Cod.Establecimiento],$AK$2,BASE[CODCIE102],EPV_SARAMPION6466697273[[#This Row],[CIE-10]]))</f>
        <v>0</v>
      </c>
      <c r="M25" s="3">
        <f>IF($AK$2="(Todas)",COUNTIF(BASE[CODCIE104],EPV_SARAMPION6466697273[[#This Row],[CIE-10]]),COUNTIFS(BASE[Cod.Establecimiento],$AK$2,BASE[CODCIE104],EPV_SARAMPION6466697273[[#This Row],[CIE-10]]))</f>
        <v>0</v>
      </c>
      <c r="N25" s="3">
        <f>IF($AK$2="(Todas)",COUNTIF(BASE[CODCIE106],EPV_SARAMPION6466697273[[#This Row],[CIE-10]]),COUNTIFS(BASE[Cod.Establecimiento],$AK$2,BASE[CODCIE106],EPV_SARAMPION6466697273[[#This Row],[CIE-10]]))</f>
        <v>0</v>
      </c>
      <c r="O25" s="3">
        <f>IF($AK$2="(Todas)",COUNTIF(BASE[CODCIE108],EPV_SARAMPION6466697273[[#This Row],[CIE-10]]),COUNTIFS(BASE[Cod.Establecimiento],$AK$2,BASE[CODCIE108],EPV_SARAMPION6466697273[[#This Row],[CIE-10]]))</f>
        <v>0</v>
      </c>
      <c r="P25" s="3">
        <f>IF($AK$2="(Todas)",COUNTIF(BASE[CODCIE1010],EPV_SARAMPION6466697273[[#This Row],[CIE-10]]),COUNTIFS(BASE[Cod.Establecimiento],$AK$2,BASE[CODCIE1010],EPV_SARAMPION6466697273[[#This Row],[CIE-10]]))</f>
        <v>0</v>
      </c>
      <c r="Q25" s="9">
        <f>SUM(EPV_SARAMPION6466697273[[#This Row],[D1]:[D6]])</f>
        <v>0</v>
      </c>
      <c r="S25" s="4" t="s">
        <v>367</v>
      </c>
      <c r="T25" s="3">
        <f>IF($AK$2="(Todas)",COUNTIF(BASE[CODCIE10],EPV_SARAMPION646669727376[[#This Row],[CIE-10]]),COUNTIFS(BASE[Cod.Establecimiento],$AK$2,BASE[CODCIE10],EPV_SARAMPION646669727376[[#This Row],[CIE-10]]))</f>
        <v>0</v>
      </c>
      <c r="U25" s="3">
        <f>IF($AK$2="(Todas)",COUNTIF(BASE[CODCIE102],EPV_SARAMPION646669727376[[#This Row],[CIE-10]]),COUNTIFS(BASE[Cod.Establecimiento],$AK$2,BASE[CODCIE102],EPV_SARAMPION646669727376[[#This Row],[CIE-10]]))</f>
        <v>0</v>
      </c>
      <c r="V25" s="3">
        <f>IF($AK$2="(Todas)",COUNTIF(BASE[CODCIE104],EPV_SARAMPION646669727376[[#This Row],[CIE-10]]),COUNTIFS(BASE[Cod.Establecimiento],$AK$2,BASE[CODCIE104],EPV_SARAMPION646669727376[[#This Row],[CIE-10]]))</f>
        <v>0</v>
      </c>
      <c r="W25" s="3">
        <f>IF($AK$2="(Todas)",COUNTIF(BASE[CODCIE106],EPV_SARAMPION646669727376[[#This Row],[CIE-10]]),COUNTIFS(BASE[Cod.Establecimiento],$AK$2,BASE[CODCIE106],EPV_SARAMPION646669727376[[#This Row],[CIE-10]]))</f>
        <v>0</v>
      </c>
      <c r="X25" s="3">
        <f>IF($AK$2="(Todas)",COUNTIF(BASE[CODCIE108],EPV_SARAMPION646669727376[[#This Row],[CIE-10]]),COUNTIFS(BASE[Cod.Establecimiento],$AK$2,BASE[CODCIE108],EPV_SARAMPION646669727376[[#This Row],[CIE-10]]))</f>
        <v>0</v>
      </c>
      <c r="Y25" s="3">
        <f>IF($AK$2="(Todas)",COUNTIF(BASE[CODCIE1010],EPV_SARAMPION646669727376[[#This Row],[CIE-10]]),COUNTIFS(BASE[Cod.Establecimiento],$AK$2,BASE[CODCIE1010],EPV_SARAMPION646669727376[[#This Row],[CIE-10]]))</f>
        <v>0</v>
      </c>
      <c r="Z25" s="9">
        <f>SUM(EPV_SARAMPION646669727376[[#This Row],[D1]:[D6]])</f>
        <v>0</v>
      </c>
      <c r="AB25" s="4" t="s">
        <v>371</v>
      </c>
      <c r="AC25" s="3">
        <f>IF($AK$2="(Todas)",COUNTIF(BASE[CODCIE10],EPV_SARAMPION64666972737677[[#This Row],[CIE-10]]),COUNTIFS(BASE[Cod.Establecimiento],$AK$2,BASE[CODCIE10],EPV_SARAMPION64666972737677[[#This Row],[CIE-10]]))</f>
        <v>0</v>
      </c>
      <c r="AD25" s="3">
        <f>IF($AK$2="(Todas)",COUNTIF(BASE[CODCIE102],EPV_SARAMPION64666972737677[[#This Row],[CIE-10]]),COUNTIFS(BASE[Cod.Establecimiento],$AK$2,BASE[CODCIE102],EPV_SARAMPION64666972737677[[#This Row],[CIE-10]]))</f>
        <v>0</v>
      </c>
      <c r="AE25" s="3">
        <f>IF($AK$2="(Todas)",COUNTIF(BASE[CODCIE104],EPV_SARAMPION64666972737677[[#This Row],[CIE-10]]),COUNTIFS(BASE[Cod.Establecimiento],$AK$2,BASE[CODCIE104],EPV_SARAMPION64666972737677[[#This Row],[CIE-10]]))</f>
        <v>0</v>
      </c>
      <c r="AF25" s="3">
        <f>IF($AK$2="(Todas)",COUNTIF(BASE[CODCIE106],EPV_SARAMPION64666972737677[[#This Row],[CIE-10]]),COUNTIFS(BASE[Cod.Establecimiento],$AK$2,BASE[CODCIE106],EPV_SARAMPION64666972737677[[#This Row],[CIE-10]]))</f>
        <v>0</v>
      </c>
      <c r="AG25" s="3">
        <f>IF($AK$2="(Todas)",COUNTIF(BASE[CODCIE108],EPV_SARAMPION64666972737677[[#This Row],[CIE-10]]),COUNTIFS(BASE[Cod.Establecimiento],$AK$2,BASE[CODCIE108],EPV_SARAMPION64666972737677[[#This Row],[CIE-10]]))</f>
        <v>0</v>
      </c>
      <c r="AH25" s="3">
        <f>IF($AK$2="(Todas)",COUNTIF(BASE[CODCIE1010],EPV_SARAMPION64666972737677[[#This Row],[CIE-10]]),COUNTIFS(BASE[Cod.Establecimiento],$AK$2,BASE[CODCIE1010],EPV_SARAMPION64666972737677[[#This Row],[CIE-10]]))</f>
        <v>0</v>
      </c>
      <c r="AI25" s="9">
        <f>SUM(EPV_SARAMPION64666972737677[[#This Row],[D1]:[D6]])</f>
        <v>0</v>
      </c>
      <c r="AJ25" s="139"/>
      <c r="AK25" s="139"/>
      <c r="AL25" s="70"/>
      <c r="AM25" s="70"/>
      <c r="AN25" s="70"/>
      <c r="AO25" s="70"/>
    </row>
    <row r="26" spans="1:41" ht="15" customHeight="1">
      <c r="S26" s="32" t="s">
        <v>368</v>
      </c>
      <c r="T26" s="3">
        <f>IF($AK$2="(Todas)",COUNTIF(BASE[CODCIE10],EPV_SARAMPION646669727376[[#This Row],[CIE-10]]),COUNTIFS(BASE[Cod.Establecimiento],$AK$2,BASE[CODCIE10],EPV_SARAMPION646669727376[[#This Row],[CIE-10]]))</f>
        <v>0</v>
      </c>
      <c r="U26" s="3">
        <f>IF($AK$2="(Todas)",COUNTIF(BASE[CODCIE102],EPV_SARAMPION646669727376[[#This Row],[CIE-10]]),COUNTIFS(BASE[Cod.Establecimiento],$AK$2,BASE[CODCIE102],EPV_SARAMPION646669727376[[#This Row],[CIE-10]]))</f>
        <v>0</v>
      </c>
      <c r="V26" s="3">
        <f>IF($AK$2="(Todas)",COUNTIF(BASE[CODCIE104],EPV_SARAMPION646669727376[[#This Row],[CIE-10]]),COUNTIFS(BASE[Cod.Establecimiento],$AK$2,BASE[CODCIE104],EPV_SARAMPION646669727376[[#This Row],[CIE-10]]))</f>
        <v>0</v>
      </c>
      <c r="W26" s="3">
        <f>IF($AK$2="(Todas)",COUNTIF(BASE[CODCIE106],EPV_SARAMPION646669727376[[#This Row],[CIE-10]]),COUNTIFS(BASE[Cod.Establecimiento],$AK$2,BASE[CODCIE106],EPV_SARAMPION646669727376[[#This Row],[CIE-10]]))</f>
        <v>0</v>
      </c>
      <c r="X26" s="3">
        <f>IF($AK$2="(Todas)",COUNTIF(BASE[CODCIE108],EPV_SARAMPION646669727376[[#This Row],[CIE-10]]),COUNTIFS(BASE[Cod.Establecimiento],$AK$2,BASE[CODCIE108],EPV_SARAMPION646669727376[[#This Row],[CIE-10]]))</f>
        <v>0</v>
      </c>
      <c r="Y26" s="3">
        <f>IF($AK$2="(Todas)",COUNTIF(BASE[CODCIE1010],EPV_SARAMPION646669727376[[#This Row],[CIE-10]]),COUNTIFS(BASE[Cod.Establecimiento],$AK$2,BASE[CODCIE1010],EPV_SARAMPION646669727376[[#This Row],[CIE-10]]))</f>
        <v>0</v>
      </c>
      <c r="Z26" s="9">
        <f>SUM(EPV_SARAMPION646669727376[[#This Row],[D1]:[D6]])</f>
        <v>0</v>
      </c>
      <c r="AB26" s="32" t="s">
        <v>372</v>
      </c>
      <c r="AC26" s="3">
        <f>IF($AK$2="(Todas)",COUNTIF(BASE[CODCIE10],EPV_SARAMPION64666972737677[[#This Row],[CIE-10]]),COUNTIFS(BASE[Cod.Establecimiento],$AK$2,BASE[CODCIE10],EPV_SARAMPION64666972737677[[#This Row],[CIE-10]]))</f>
        <v>0</v>
      </c>
      <c r="AD26" s="3">
        <f>IF($AK$2="(Todas)",COUNTIF(BASE[CODCIE102],EPV_SARAMPION64666972737677[[#This Row],[CIE-10]]),COUNTIFS(BASE[Cod.Establecimiento],$AK$2,BASE[CODCIE102],EPV_SARAMPION64666972737677[[#This Row],[CIE-10]]))</f>
        <v>0</v>
      </c>
      <c r="AE26" s="3">
        <f>IF($AK$2="(Todas)",COUNTIF(BASE[CODCIE104],EPV_SARAMPION64666972737677[[#This Row],[CIE-10]]),COUNTIFS(BASE[Cod.Establecimiento],$AK$2,BASE[CODCIE104],EPV_SARAMPION64666972737677[[#This Row],[CIE-10]]))</f>
        <v>0</v>
      </c>
      <c r="AF26" s="3">
        <f>IF($AK$2="(Todas)",COUNTIF(BASE[CODCIE106],EPV_SARAMPION64666972737677[[#This Row],[CIE-10]]),COUNTIFS(BASE[Cod.Establecimiento],$AK$2,BASE[CODCIE106],EPV_SARAMPION64666972737677[[#This Row],[CIE-10]]))</f>
        <v>0</v>
      </c>
      <c r="AG26" s="3">
        <f>IF($AK$2="(Todas)",COUNTIF(BASE[CODCIE108],EPV_SARAMPION64666972737677[[#This Row],[CIE-10]]),COUNTIFS(BASE[Cod.Establecimiento],$AK$2,BASE[CODCIE108],EPV_SARAMPION64666972737677[[#This Row],[CIE-10]]))</f>
        <v>0</v>
      </c>
      <c r="AH26" s="3">
        <f>IF($AK$2="(Todas)",COUNTIF(BASE[CODCIE1010],EPV_SARAMPION64666972737677[[#This Row],[CIE-10]]),COUNTIFS(BASE[Cod.Establecimiento],$AK$2,BASE[CODCIE1010],EPV_SARAMPION64666972737677[[#This Row],[CIE-10]]))</f>
        <v>0</v>
      </c>
      <c r="AI26" s="9">
        <f>SUM(EPV_SARAMPION64666972737677[[#This Row],[D1]:[D6]])</f>
        <v>0</v>
      </c>
      <c r="AJ26" s="139"/>
      <c r="AK26" s="139"/>
      <c r="AL26" s="70"/>
      <c r="AM26" s="70"/>
      <c r="AN26" s="70"/>
      <c r="AO26" s="70"/>
    </row>
    <row r="27" spans="1:41" ht="15" customHeight="1" thickBot="1">
      <c r="A27" s="76" t="s">
        <v>378</v>
      </c>
      <c r="B27" s="76"/>
      <c r="C27" s="76"/>
      <c r="D27" s="76"/>
      <c r="E27" s="76"/>
      <c r="F27" s="76"/>
      <c r="G27" s="76"/>
      <c r="H27" s="76"/>
      <c r="J27" s="76" t="s">
        <v>377</v>
      </c>
      <c r="K27" s="76"/>
      <c r="L27" s="76"/>
      <c r="M27" s="76"/>
      <c r="N27" s="76"/>
      <c r="O27" s="76"/>
      <c r="P27" s="76"/>
      <c r="Q27" s="76"/>
      <c r="S27" s="32" t="s">
        <v>369</v>
      </c>
      <c r="T27" s="3">
        <f>IF($AK$2="(Todas)",COUNTIF(BASE[CODCIE10],EPV_SARAMPION646669727376[[#This Row],[CIE-10]]),COUNTIFS(BASE[Cod.Establecimiento],$AK$2,BASE[CODCIE10],EPV_SARAMPION646669727376[[#This Row],[CIE-10]]))</f>
        <v>0</v>
      </c>
      <c r="U27" s="3">
        <f>IF($AK$2="(Todas)",COUNTIF(BASE[CODCIE102],EPV_SARAMPION646669727376[[#This Row],[CIE-10]]),COUNTIFS(BASE[Cod.Establecimiento],$AK$2,BASE[CODCIE102],EPV_SARAMPION646669727376[[#This Row],[CIE-10]]))</f>
        <v>0</v>
      </c>
      <c r="V27" s="3">
        <f>IF($AK$2="(Todas)",COUNTIF(BASE[CODCIE104],EPV_SARAMPION646669727376[[#This Row],[CIE-10]]),COUNTIFS(BASE[Cod.Establecimiento],$AK$2,BASE[CODCIE104],EPV_SARAMPION646669727376[[#This Row],[CIE-10]]))</f>
        <v>0</v>
      </c>
      <c r="W27" s="3">
        <f>IF($AK$2="(Todas)",COUNTIF(BASE[CODCIE106],EPV_SARAMPION646669727376[[#This Row],[CIE-10]]),COUNTIFS(BASE[Cod.Establecimiento],$AK$2,BASE[CODCIE106],EPV_SARAMPION646669727376[[#This Row],[CIE-10]]))</f>
        <v>0</v>
      </c>
      <c r="X27" s="3">
        <f>IF($AK$2="(Todas)",COUNTIF(BASE[CODCIE108],EPV_SARAMPION646669727376[[#This Row],[CIE-10]]),COUNTIFS(BASE[Cod.Establecimiento],$AK$2,BASE[CODCIE108],EPV_SARAMPION646669727376[[#This Row],[CIE-10]]))</f>
        <v>0</v>
      </c>
      <c r="Y27" s="3">
        <f>IF($AK$2="(Todas)",COUNTIF(BASE[CODCIE1010],EPV_SARAMPION646669727376[[#This Row],[CIE-10]]),COUNTIFS(BASE[Cod.Establecimiento],$AK$2,BASE[CODCIE1010],EPV_SARAMPION646669727376[[#This Row],[CIE-10]]))</f>
        <v>0</v>
      </c>
      <c r="Z27" s="9">
        <f>SUM(EPV_SARAMPION646669727376[[#This Row],[D1]:[D6]])</f>
        <v>0</v>
      </c>
      <c r="AB27" s="32" t="s">
        <v>373</v>
      </c>
      <c r="AC27" s="3">
        <f>IF($AK$2="(Todas)",COUNTIF(BASE[CODCIE10],EPV_SARAMPION64666972737677[[#This Row],[CIE-10]]),COUNTIFS(BASE[Cod.Establecimiento],$AK$2,BASE[CODCIE10],EPV_SARAMPION64666972737677[[#This Row],[CIE-10]]))</f>
        <v>0</v>
      </c>
      <c r="AD27" s="3">
        <f>IF($AK$2="(Todas)",COUNTIF(BASE[CODCIE102],EPV_SARAMPION64666972737677[[#This Row],[CIE-10]]),COUNTIFS(BASE[Cod.Establecimiento],$AK$2,BASE[CODCIE102],EPV_SARAMPION64666972737677[[#This Row],[CIE-10]]))</f>
        <v>0</v>
      </c>
      <c r="AE27" s="3">
        <f>IF($AK$2="(Todas)",COUNTIF(BASE[CODCIE104],EPV_SARAMPION64666972737677[[#This Row],[CIE-10]]),COUNTIFS(BASE[Cod.Establecimiento],$AK$2,BASE[CODCIE104],EPV_SARAMPION64666972737677[[#This Row],[CIE-10]]))</f>
        <v>0</v>
      </c>
      <c r="AF27" s="3">
        <f>IF($AK$2="(Todas)",COUNTIF(BASE[CODCIE106],EPV_SARAMPION64666972737677[[#This Row],[CIE-10]]),COUNTIFS(BASE[Cod.Establecimiento],$AK$2,BASE[CODCIE106],EPV_SARAMPION64666972737677[[#This Row],[CIE-10]]))</f>
        <v>0</v>
      </c>
      <c r="AG27" s="3">
        <f>IF($AK$2="(Todas)",COUNTIF(BASE[CODCIE108],EPV_SARAMPION64666972737677[[#This Row],[CIE-10]]),COUNTIFS(BASE[Cod.Establecimiento],$AK$2,BASE[CODCIE108],EPV_SARAMPION64666972737677[[#This Row],[CIE-10]]))</f>
        <v>0</v>
      </c>
      <c r="AH27" s="3">
        <f>IF($AK$2="(Todas)",COUNTIF(BASE[CODCIE1010],EPV_SARAMPION64666972737677[[#This Row],[CIE-10]]),COUNTIFS(BASE[Cod.Establecimiento],$AK$2,BASE[CODCIE1010],EPV_SARAMPION64666972737677[[#This Row],[CIE-10]]))</f>
        <v>0</v>
      </c>
      <c r="AI27" s="9">
        <f>SUM(EPV_SARAMPION64666972737677[[#This Row],[D1]:[D6]])</f>
        <v>0</v>
      </c>
      <c r="AJ27" s="139"/>
      <c r="AK27" s="139"/>
      <c r="AL27" s="70"/>
      <c r="AM27" s="70"/>
      <c r="AN27" s="70"/>
      <c r="AO27" s="70"/>
    </row>
    <row r="28" spans="1:41" ht="15.75" thickTop="1">
      <c r="A28" s="6" t="str">
        <f>_xlfn.CONCAT("TOTAL: ",SUM(B28:G28))</f>
        <v>TOTAL: 0</v>
      </c>
      <c r="B28" s="5">
        <f>SUM(EPV_SARAMPION64666972737880[D1])</f>
        <v>0</v>
      </c>
      <c r="C28" s="5">
        <f>SUM(EPV_SARAMPION64666972737880[D2])</f>
        <v>0</v>
      </c>
      <c r="D28" s="5">
        <f>SUM(EPV_SARAMPION64666972737880[D3])</f>
        <v>0</v>
      </c>
      <c r="E28" s="5">
        <f>SUM(EPV_SARAMPION64666972737880[D4])</f>
        <v>0</v>
      </c>
      <c r="F28" s="5">
        <f>SUM(EPV_SARAMPION64666972737880[D5])</f>
        <v>0</v>
      </c>
      <c r="G28" s="5">
        <f>SUM(EPV_SARAMPION64666972737880[D6])</f>
        <v>0</v>
      </c>
      <c r="H28" s="7"/>
      <c r="J28" s="6" t="str">
        <f>_xlfn.CONCAT("TOTAL: ",SUM(K28:P28))</f>
        <v>TOTAL: 0</v>
      </c>
      <c r="K28" s="5">
        <f>SUM(EPV_SARAMPION646669727378[D1])</f>
        <v>0</v>
      </c>
      <c r="L28" s="5">
        <f>SUM(EPV_SARAMPION646669727378[D2])</f>
        <v>0</v>
      </c>
      <c r="M28" s="5">
        <f>SUM(EPV_SARAMPION646669727378[D3])</f>
        <v>0</v>
      </c>
      <c r="N28" s="5">
        <f>SUM(EPV_SARAMPION646669727378[D4])</f>
        <v>0</v>
      </c>
      <c r="O28" s="5">
        <f>SUM(EPV_SARAMPION646669727378[D5])</f>
        <v>0</v>
      </c>
      <c r="P28" s="5">
        <f>SUM(EPV_SARAMPION646669727378[D6])</f>
        <v>0</v>
      </c>
      <c r="Q28" s="7"/>
      <c r="AB28" s="32" t="s">
        <v>374</v>
      </c>
      <c r="AC28" s="3">
        <f>IF($AK$2="(Todas)",COUNTIF(BASE[CODCIE10],EPV_SARAMPION64666972737677[[#This Row],[CIE-10]]),COUNTIFS(BASE[Cod.Establecimiento],$AK$2,BASE[CODCIE10],EPV_SARAMPION64666972737677[[#This Row],[CIE-10]]))</f>
        <v>0</v>
      </c>
      <c r="AD28" s="3">
        <f>IF($AK$2="(Todas)",COUNTIF(BASE[CODCIE102],EPV_SARAMPION64666972737677[[#This Row],[CIE-10]]),COUNTIFS(BASE[Cod.Establecimiento],$AK$2,BASE[CODCIE102],EPV_SARAMPION64666972737677[[#This Row],[CIE-10]]))</f>
        <v>0</v>
      </c>
      <c r="AE28" s="3">
        <f>IF($AK$2="(Todas)",COUNTIF(BASE[CODCIE104],EPV_SARAMPION64666972737677[[#This Row],[CIE-10]]),COUNTIFS(BASE[Cod.Establecimiento],$AK$2,BASE[CODCIE104],EPV_SARAMPION64666972737677[[#This Row],[CIE-10]]))</f>
        <v>0</v>
      </c>
      <c r="AF28" s="3">
        <f>IF($AK$2="(Todas)",COUNTIF(BASE[CODCIE106],EPV_SARAMPION64666972737677[[#This Row],[CIE-10]]),COUNTIFS(BASE[Cod.Establecimiento],$AK$2,BASE[CODCIE106],EPV_SARAMPION64666972737677[[#This Row],[CIE-10]]))</f>
        <v>0</v>
      </c>
      <c r="AG28" s="3">
        <f>IF($AK$2="(Todas)",COUNTIF(BASE[CODCIE108],EPV_SARAMPION64666972737677[[#This Row],[CIE-10]]),COUNTIFS(BASE[Cod.Establecimiento],$AK$2,BASE[CODCIE108],EPV_SARAMPION64666972737677[[#This Row],[CIE-10]]))</f>
        <v>0</v>
      </c>
      <c r="AH28" s="3">
        <f>IF($AK$2="(Todas)",COUNTIF(BASE[CODCIE1010],EPV_SARAMPION64666972737677[[#This Row],[CIE-10]]),COUNTIFS(BASE[Cod.Establecimiento],$AK$2,BASE[CODCIE1010],EPV_SARAMPION64666972737677[[#This Row],[CIE-10]]))</f>
        <v>0</v>
      </c>
      <c r="AI28" s="9">
        <f>SUM(EPV_SARAMPION64666972737677[[#This Row],[D1]:[D6]])</f>
        <v>0</v>
      </c>
      <c r="AJ28" s="139"/>
      <c r="AK28" s="139"/>
    </row>
    <row r="29" spans="1:41">
      <c r="A29" t="s">
        <v>93</v>
      </c>
      <c r="B29" s="3" t="s">
        <v>94</v>
      </c>
      <c r="C29" s="3" t="s">
        <v>95</v>
      </c>
      <c r="D29" s="3" t="s">
        <v>96</v>
      </c>
      <c r="E29" s="3" t="s">
        <v>97</v>
      </c>
      <c r="F29" s="3" t="s">
        <v>98</v>
      </c>
      <c r="G29" s="3" t="s">
        <v>99</v>
      </c>
      <c r="H29" s="8" t="s">
        <v>100</v>
      </c>
      <c r="J29" t="s">
        <v>93</v>
      </c>
      <c r="K29" s="3" t="s">
        <v>94</v>
      </c>
      <c r="L29" s="3" t="s">
        <v>95</v>
      </c>
      <c r="M29" s="3" t="s">
        <v>96</v>
      </c>
      <c r="N29" s="3" t="s">
        <v>97</v>
      </c>
      <c r="O29" s="3" t="s">
        <v>98</v>
      </c>
      <c r="P29" s="3" t="s">
        <v>99</v>
      </c>
      <c r="Q29" s="8" t="s">
        <v>100</v>
      </c>
      <c r="AB29" s="32" t="s">
        <v>375</v>
      </c>
      <c r="AC29" s="3">
        <f>IF($AK$2="(Todas)",COUNTIF(BASE[CODCIE10],EPV_SARAMPION64666972737677[[#This Row],[CIE-10]]),COUNTIFS(BASE[Cod.Establecimiento],$AK$2,BASE[CODCIE10],EPV_SARAMPION64666972737677[[#This Row],[CIE-10]]))</f>
        <v>0</v>
      </c>
      <c r="AD29" s="3">
        <f>IF($AK$2="(Todas)",COUNTIF(BASE[CODCIE102],EPV_SARAMPION64666972737677[[#This Row],[CIE-10]]),COUNTIFS(BASE[Cod.Establecimiento],$AK$2,BASE[CODCIE102],EPV_SARAMPION64666972737677[[#This Row],[CIE-10]]))</f>
        <v>0</v>
      </c>
      <c r="AE29" s="3">
        <f>IF($AK$2="(Todas)",COUNTIF(BASE[CODCIE104],EPV_SARAMPION64666972737677[[#This Row],[CIE-10]]),COUNTIFS(BASE[Cod.Establecimiento],$AK$2,BASE[CODCIE104],EPV_SARAMPION64666972737677[[#This Row],[CIE-10]]))</f>
        <v>0</v>
      </c>
      <c r="AF29" s="3">
        <f>IF($AK$2="(Todas)",COUNTIF(BASE[CODCIE106],EPV_SARAMPION64666972737677[[#This Row],[CIE-10]]),COUNTIFS(BASE[Cod.Establecimiento],$AK$2,BASE[CODCIE106],EPV_SARAMPION64666972737677[[#This Row],[CIE-10]]))</f>
        <v>0</v>
      </c>
      <c r="AG29" s="3">
        <f>IF($AK$2="(Todas)",COUNTIF(BASE[CODCIE108],EPV_SARAMPION64666972737677[[#This Row],[CIE-10]]),COUNTIFS(BASE[Cod.Establecimiento],$AK$2,BASE[CODCIE108],EPV_SARAMPION64666972737677[[#This Row],[CIE-10]]))</f>
        <v>0</v>
      </c>
      <c r="AH29" s="3">
        <f>IF($AK$2="(Todas)",COUNTIF(BASE[CODCIE1010],EPV_SARAMPION64666972737677[[#This Row],[CIE-10]]),COUNTIFS(BASE[Cod.Establecimiento],$AK$2,BASE[CODCIE1010],EPV_SARAMPION64666972737677[[#This Row],[CIE-10]]))</f>
        <v>0</v>
      </c>
      <c r="AI29" s="9">
        <f>SUM(EPV_SARAMPION64666972737677[[#This Row],[D1]:[D6]])</f>
        <v>0</v>
      </c>
      <c r="AJ29" s="139"/>
      <c r="AK29" s="139"/>
    </row>
    <row r="30" spans="1:41">
      <c r="A30" s="4" t="s">
        <v>257</v>
      </c>
      <c r="B30" s="3">
        <f>IF($AK$2="(Todas)",COUNTIF(BASE[CODCIE10],EPV_SARAMPION64666972737880[[#This Row],[CIE-10]]),COUNTIFS(BASE[Cod.Establecimiento],$AK$2,BASE[CODCIE10],EPV_SARAMPION64666972737880[[#This Row],[CIE-10]]))</f>
        <v>0</v>
      </c>
      <c r="C30" s="3">
        <f>IF($AK$2="(Todas)",COUNTIF(BASE[CODCIE102],EPV_SARAMPION64666972737880[[#This Row],[CIE-10]]),COUNTIFS(BASE[Cod.Establecimiento],$AK$2,BASE[CODCIE102],EPV_SARAMPION64666972737880[[#This Row],[CIE-10]]))</f>
        <v>0</v>
      </c>
      <c r="D30" s="3">
        <f>IF($AK$2="(Todas)",COUNTIF(BASE[CODCIE104],EPV_SARAMPION64666972737880[[#This Row],[CIE-10]]),COUNTIFS(BASE[Cod.Establecimiento],$AK$2,BASE[CODCIE104],EPV_SARAMPION64666972737880[[#This Row],[CIE-10]]))</f>
        <v>0</v>
      </c>
      <c r="E30" s="3">
        <f>IF($AK$2="(Todas)",COUNTIF(BASE[CODCIE106],EPV_SARAMPION64666972737880[[#This Row],[CIE-10]]),COUNTIFS(BASE[Cod.Establecimiento],$AK$2,BASE[CODCIE106],EPV_SARAMPION64666972737880[[#This Row],[CIE-10]]))</f>
        <v>0</v>
      </c>
      <c r="F30" s="3">
        <f>IF($AK$2="(Todas)",COUNTIF(BASE[CODCIE108],EPV_SARAMPION64666972737880[[#This Row],[CIE-10]]),COUNTIFS(BASE[Cod.Establecimiento],$AK$2,BASE[CODCIE108],EPV_SARAMPION64666972737880[[#This Row],[CIE-10]]))</f>
        <v>0</v>
      </c>
      <c r="G30" s="3">
        <f>IF($AK$2="(Todas)",COUNTIF(BASE[CODCIE1010],EPV_SARAMPION64666972737880[[#This Row],[CIE-10]]),COUNTIFS(BASE[Cod.Establecimiento],$AK$2,BASE[CODCIE1010],EPV_SARAMPION64666972737880[[#This Row],[CIE-10]]))</f>
        <v>0</v>
      </c>
      <c r="H30" s="9">
        <f>SUM(EPV_SARAMPION64666972737880[[#This Row],[D1]:[D6]])</f>
        <v>0</v>
      </c>
      <c r="J30" s="4" t="s">
        <v>376</v>
      </c>
      <c r="K30" s="3">
        <f>IF($AK$2="(Todas)",COUNTIF(BASE[CODCIE10],EPV_SARAMPION646669727378[[#This Row],[CIE-10]]),COUNTIFS(BASE[Cod.Establecimiento],$AK$2,BASE[CODCIE10],EPV_SARAMPION646669727378[[#This Row],[CIE-10]]))</f>
        <v>0</v>
      </c>
      <c r="L30" s="3">
        <f>IF($AK$2="(Todas)",COUNTIF(BASE[CODCIE102],EPV_SARAMPION646669727378[[#This Row],[CIE-10]]),COUNTIFS(BASE[Cod.Establecimiento],$AK$2,BASE[CODCIE102],EPV_SARAMPION646669727378[[#This Row],[CIE-10]]))</f>
        <v>0</v>
      </c>
      <c r="M30" s="3">
        <f>IF($AK$2="(Todas)",COUNTIF(BASE[CODCIE104],EPV_SARAMPION646669727378[[#This Row],[CIE-10]]),COUNTIFS(BASE[Cod.Establecimiento],$AK$2,BASE[CODCIE104],EPV_SARAMPION646669727378[[#This Row],[CIE-10]]))</f>
        <v>0</v>
      </c>
      <c r="N30" s="3">
        <f>IF($AK$2="(Todas)",COUNTIF(BASE[CODCIE106],EPV_SARAMPION646669727378[[#This Row],[CIE-10]]),COUNTIFS(BASE[Cod.Establecimiento],$AK$2,BASE[CODCIE106],EPV_SARAMPION646669727378[[#This Row],[CIE-10]]))</f>
        <v>0</v>
      </c>
      <c r="O30" s="3">
        <f>IF($AK$2="(Todas)",COUNTIF(BASE[CODCIE108],EPV_SARAMPION646669727378[[#This Row],[CIE-10]]),COUNTIFS(BASE[Cod.Establecimiento],$AK$2,BASE[CODCIE108],EPV_SARAMPION646669727378[[#This Row],[CIE-10]]))</f>
        <v>0</v>
      </c>
      <c r="P30" s="3">
        <f>IF($AK$2="(Todas)",COUNTIF(BASE[CODCIE1010],EPV_SARAMPION646669727378[[#This Row],[CIE-10]]),COUNTIFS(BASE[Cod.Establecimiento],$AK$2,BASE[CODCIE1010],EPV_SARAMPION646669727378[[#This Row],[CIE-10]]))</f>
        <v>0</v>
      </c>
      <c r="Q30" s="9">
        <f>SUM(EPV_SARAMPION646669727378[[#This Row],[D1]:[D6]])</f>
        <v>0</v>
      </c>
      <c r="AJ30" s="139"/>
      <c r="AK30" s="139"/>
    </row>
    <row r="31" spans="1:41" ht="18" thickBot="1">
      <c r="S31" s="76" t="s">
        <v>384</v>
      </c>
      <c r="T31" s="76"/>
      <c r="U31" s="76"/>
      <c r="V31" s="76"/>
      <c r="W31" s="76"/>
      <c r="X31" s="76"/>
      <c r="Y31" s="76"/>
      <c r="Z31" s="76"/>
      <c r="AJ31" s="139"/>
      <c r="AK31" s="139"/>
    </row>
    <row r="32" spans="1:41" ht="18.75" thickTop="1" thickBot="1">
      <c r="A32" s="76" t="s">
        <v>379</v>
      </c>
      <c r="B32" s="76"/>
      <c r="C32" s="76"/>
      <c r="D32" s="76"/>
      <c r="E32" s="76"/>
      <c r="F32" s="76"/>
      <c r="G32" s="76"/>
      <c r="H32" s="76"/>
      <c r="J32" s="76" t="s">
        <v>381</v>
      </c>
      <c r="K32" s="76"/>
      <c r="L32" s="76"/>
      <c r="M32" s="76"/>
      <c r="N32" s="76"/>
      <c r="O32" s="76"/>
      <c r="P32" s="76"/>
      <c r="Q32" s="76"/>
      <c r="S32" s="6" t="str">
        <f>_xlfn.CONCAT("TOTAL: ",SUM(T32:Y32))</f>
        <v>TOTAL: 0</v>
      </c>
      <c r="T32" s="5">
        <f>SUM(EPV_SARAMPION64666972737880818283[D1])</f>
        <v>0</v>
      </c>
      <c r="U32" s="5">
        <f>SUM(EPV_SARAMPION64666972737880818283[D2])</f>
        <v>0</v>
      </c>
      <c r="V32" s="5">
        <f>SUM(EPV_SARAMPION64666972737880818283[D3])</f>
        <v>0</v>
      </c>
      <c r="W32" s="5">
        <f>SUM(EPV_SARAMPION64666972737880818283[D4])</f>
        <v>0</v>
      </c>
      <c r="X32" s="5">
        <f>SUM(EPV_SARAMPION64666972737880818283[D5])</f>
        <v>0</v>
      </c>
      <c r="Y32" s="5">
        <f>SUM(EPV_SARAMPION64666972737880818283[D6])</f>
        <v>0</v>
      </c>
      <c r="Z32" s="7"/>
      <c r="AB32" s="76" t="s">
        <v>386</v>
      </c>
      <c r="AC32" s="76"/>
      <c r="AD32" s="76"/>
      <c r="AE32" s="76"/>
      <c r="AF32" s="76"/>
      <c r="AG32" s="76"/>
      <c r="AH32" s="76"/>
      <c r="AI32" s="76"/>
      <c r="AJ32" s="139"/>
      <c r="AK32" s="139"/>
    </row>
    <row r="33" spans="1:37" ht="15.75" thickTop="1">
      <c r="A33" s="6" t="str">
        <f>_xlfn.CONCAT("TOTAL: ",SUM(B33:G33))</f>
        <v>TOTAL: 0</v>
      </c>
      <c r="B33" s="5">
        <f>SUM(EPV_SARAMPION6466697273788081[D1])</f>
        <v>0</v>
      </c>
      <c r="C33" s="5">
        <f>SUM(EPV_SARAMPION6466697273788081[D2])</f>
        <v>0</v>
      </c>
      <c r="D33" s="5">
        <f>SUM(EPV_SARAMPION6466697273788081[D3])</f>
        <v>0</v>
      </c>
      <c r="E33" s="5">
        <f>SUM(EPV_SARAMPION6466697273788081[D4])</f>
        <v>0</v>
      </c>
      <c r="F33" s="5">
        <f>SUM(EPV_SARAMPION6466697273788081[D5])</f>
        <v>0</v>
      </c>
      <c r="G33" s="5">
        <f>SUM(EPV_SARAMPION6466697273788081[D6])</f>
        <v>0</v>
      </c>
      <c r="H33" s="7"/>
      <c r="J33" s="6" t="str">
        <f>_xlfn.CONCAT("TOTAL: ",SUM(K33:P33))</f>
        <v>TOTAL: 0</v>
      </c>
      <c r="K33" s="5">
        <f>SUM(EPV_SARAMPION646669727378808182[D1])</f>
        <v>0</v>
      </c>
      <c r="L33" s="5">
        <f>SUM(EPV_SARAMPION646669727378808182[D2])</f>
        <v>0</v>
      </c>
      <c r="M33" s="5">
        <f>SUM(EPV_SARAMPION646669727378808182[D3])</f>
        <v>0</v>
      </c>
      <c r="N33" s="5">
        <f>SUM(EPV_SARAMPION646669727378808182[D4])</f>
        <v>0</v>
      </c>
      <c r="O33" s="5">
        <f>SUM(EPV_SARAMPION646669727378808182[D5])</f>
        <v>0</v>
      </c>
      <c r="P33" s="5">
        <f>SUM(EPV_SARAMPION646669727378808182[D6])</f>
        <v>0</v>
      </c>
      <c r="Q33" s="7"/>
      <c r="S33" t="s">
        <v>93</v>
      </c>
      <c r="T33" s="3" t="s">
        <v>94</v>
      </c>
      <c r="U33" s="3" t="s">
        <v>95</v>
      </c>
      <c r="V33" s="3" t="s">
        <v>96</v>
      </c>
      <c r="W33" s="3" t="s">
        <v>97</v>
      </c>
      <c r="X33" s="3" t="s">
        <v>98</v>
      </c>
      <c r="Y33" s="3" t="s">
        <v>99</v>
      </c>
      <c r="Z33" s="8" t="s">
        <v>100</v>
      </c>
      <c r="AB33" s="6" t="str">
        <f>_xlfn.CONCAT("TOTAL: ",SUM(AC33:AH33))</f>
        <v>TOTAL: 0</v>
      </c>
      <c r="AC33" s="5">
        <f>SUM(EPV_SARAMPION6466697273788081828384[D1])</f>
        <v>0</v>
      </c>
      <c r="AD33" s="5">
        <f>SUM(EPV_SARAMPION6466697273788081828384[D2])</f>
        <v>0</v>
      </c>
      <c r="AE33" s="5">
        <f>SUM(EPV_SARAMPION6466697273788081828384[D3])</f>
        <v>0</v>
      </c>
      <c r="AF33" s="5">
        <f>SUM(EPV_SARAMPION6466697273788081828384[D4])</f>
        <v>0</v>
      </c>
      <c r="AG33" s="5">
        <f>SUM(EPV_SARAMPION6466697273788081828384[D5])</f>
        <v>0</v>
      </c>
      <c r="AH33" s="5">
        <f>SUM(EPV_SARAMPION6466697273788081828384[D6])</f>
        <v>0</v>
      </c>
      <c r="AI33" s="7"/>
      <c r="AJ33" s="139"/>
      <c r="AK33" s="139"/>
    </row>
    <row r="34" spans="1:37">
      <c r="A34" t="s">
        <v>93</v>
      </c>
      <c r="B34" s="3" t="s">
        <v>94</v>
      </c>
      <c r="C34" s="3" t="s">
        <v>95</v>
      </c>
      <c r="D34" s="3" t="s">
        <v>96</v>
      </c>
      <c r="E34" s="3" t="s">
        <v>97</v>
      </c>
      <c r="F34" s="3" t="s">
        <v>98</v>
      </c>
      <c r="G34" s="3" t="s">
        <v>99</v>
      </c>
      <c r="H34" s="8" t="s">
        <v>100</v>
      </c>
      <c r="J34" t="s">
        <v>93</v>
      </c>
      <c r="K34" s="3" t="s">
        <v>94</v>
      </c>
      <c r="L34" s="3" t="s">
        <v>95</v>
      </c>
      <c r="M34" s="3" t="s">
        <v>96</v>
      </c>
      <c r="N34" s="3" t="s">
        <v>97</v>
      </c>
      <c r="O34" s="3" t="s">
        <v>98</v>
      </c>
      <c r="P34" s="3" t="s">
        <v>99</v>
      </c>
      <c r="Q34" s="8" t="s">
        <v>100</v>
      </c>
      <c r="S34" s="4" t="s">
        <v>383</v>
      </c>
      <c r="T34" s="3">
        <f>IF($AK$2="(Todas)",COUNTIF(BASE[CODCIE10],EPV_SARAMPION64666972737880818283[[#This Row],[CIE-10]]),COUNTIFS(BASE[Cod.Establecimiento],$AK$2,BASE[CODCIE10],EPV_SARAMPION64666972737880818283[[#This Row],[CIE-10]]))</f>
        <v>0</v>
      </c>
      <c r="U34" s="3">
        <f>IF($AK$2="(Todas)",COUNTIF(BASE[CODCIE102],EPV_SARAMPION64666972737880818283[[#This Row],[CIE-10]]),COUNTIFS(BASE[Cod.Establecimiento],$AK$2,BASE[CODCIE102],EPV_SARAMPION64666972737880818283[[#This Row],[CIE-10]]))</f>
        <v>0</v>
      </c>
      <c r="V34" s="3">
        <f>IF($AK$2="(Todas)",COUNTIF(BASE[CODCIE104],EPV_SARAMPION64666972737880818283[[#This Row],[CIE-10]]),COUNTIFS(BASE[Cod.Establecimiento],$AK$2,BASE[CODCIE104],EPV_SARAMPION64666972737880818283[[#This Row],[CIE-10]]))</f>
        <v>0</v>
      </c>
      <c r="W34" s="3">
        <f>IF($AK$2="(Todas)",COUNTIF(BASE[CODCIE106],EPV_SARAMPION64666972737880818283[[#This Row],[CIE-10]]),COUNTIFS(BASE[Cod.Establecimiento],$AK$2,BASE[CODCIE106],EPV_SARAMPION64666972737880818283[[#This Row],[CIE-10]]))</f>
        <v>0</v>
      </c>
      <c r="X34" s="3">
        <f>IF($AK$2="(Todas)",COUNTIF(BASE[CODCIE108],EPV_SARAMPION64666972737880818283[[#This Row],[CIE-10]]),COUNTIFS(BASE[Cod.Establecimiento],$AK$2,BASE[CODCIE108],EPV_SARAMPION64666972737880818283[[#This Row],[CIE-10]]))</f>
        <v>0</v>
      </c>
      <c r="Y34" s="3">
        <f>IF($AK$2="(Todas)",COUNTIF(BASE[CODCIE1010],EPV_SARAMPION64666972737880818283[[#This Row],[CIE-10]]),COUNTIFS(BASE[Cod.Establecimiento],$AK$2,BASE[CODCIE1010],EPV_SARAMPION64666972737880818283[[#This Row],[CIE-10]]))</f>
        <v>0</v>
      </c>
      <c r="Z34" s="9">
        <f>SUM(EPV_SARAMPION64666972737880818283[[#This Row],[D1]:[D6]])</f>
        <v>0</v>
      </c>
      <c r="AB34" t="s">
        <v>93</v>
      </c>
      <c r="AC34" s="3" t="s">
        <v>94</v>
      </c>
      <c r="AD34" s="3" t="s">
        <v>95</v>
      </c>
      <c r="AE34" s="3" t="s">
        <v>96</v>
      </c>
      <c r="AF34" s="3" t="s">
        <v>97</v>
      </c>
      <c r="AG34" s="3" t="s">
        <v>98</v>
      </c>
      <c r="AH34" s="3" t="s">
        <v>99</v>
      </c>
      <c r="AI34" s="8" t="s">
        <v>100</v>
      </c>
      <c r="AJ34" s="139"/>
      <c r="AK34" s="139"/>
    </row>
    <row r="35" spans="1:37">
      <c r="A35" s="4" t="s">
        <v>380</v>
      </c>
      <c r="B35" s="3">
        <f>IF($AK$2="(Todas)",COUNTIF(BASE[CODCIE10],EPV_SARAMPION6466697273788081[[#This Row],[CIE-10]]),COUNTIFS(BASE[Cod.Establecimiento],$AK$2,BASE[CODCIE10],EPV_SARAMPION6466697273788081[[#This Row],[CIE-10]]))</f>
        <v>0</v>
      </c>
      <c r="C35" s="3">
        <f>IF($AK$2="(Todas)",COUNTIF(BASE[CODCIE102],EPV_SARAMPION6466697273788081[[#This Row],[CIE-10]]),COUNTIFS(BASE[Cod.Establecimiento],$AK$2,BASE[CODCIE102],EPV_SARAMPION6466697273788081[[#This Row],[CIE-10]]))</f>
        <v>0</v>
      </c>
      <c r="D35" s="3">
        <f>IF($AK$2="(Todas)",COUNTIF(BASE[CODCIE104],EPV_SARAMPION6466697273788081[[#This Row],[CIE-10]]),COUNTIFS(BASE[Cod.Establecimiento],$AK$2,BASE[CODCIE104],EPV_SARAMPION6466697273788081[[#This Row],[CIE-10]]))</f>
        <v>0</v>
      </c>
      <c r="E35" s="3">
        <f>IF($AK$2="(Todas)",COUNTIF(BASE[CODCIE106],EPV_SARAMPION6466697273788081[[#This Row],[CIE-10]]),COUNTIFS(BASE[Cod.Establecimiento],$AK$2,BASE[CODCIE106],EPV_SARAMPION6466697273788081[[#This Row],[CIE-10]]))</f>
        <v>0</v>
      </c>
      <c r="F35" s="3">
        <f>IF($AK$2="(Todas)",COUNTIF(BASE[CODCIE108],EPV_SARAMPION6466697273788081[[#This Row],[CIE-10]]),COUNTIFS(BASE[Cod.Establecimiento],$AK$2,BASE[CODCIE108],EPV_SARAMPION6466697273788081[[#This Row],[CIE-10]]))</f>
        <v>0</v>
      </c>
      <c r="G35" s="3">
        <f>IF($AK$2="(Todas)",COUNTIF(BASE[CODCIE1010],EPV_SARAMPION6466697273788081[[#This Row],[CIE-10]]),COUNTIFS(BASE[Cod.Establecimiento],$AK$2,BASE[CODCIE1010],EPV_SARAMPION6466697273788081[[#This Row],[CIE-10]]))</f>
        <v>0</v>
      </c>
      <c r="H35" s="9">
        <f>SUM(EPV_SARAMPION6466697273788081[[#This Row],[D1]:[D6]])</f>
        <v>0</v>
      </c>
      <c r="J35" s="4" t="s">
        <v>382</v>
      </c>
      <c r="K35" s="3">
        <f>IF($AK$2="(Todas)",COUNTIF(BASE[CODCIE10],EPV_SARAMPION646669727378808182[[#This Row],[CIE-10]]),COUNTIFS(BASE[Cod.Establecimiento],$AK$2,BASE[CODCIE10],EPV_SARAMPION646669727378808182[[#This Row],[CIE-10]]))</f>
        <v>0</v>
      </c>
      <c r="L35" s="3">
        <f>IF($AK$2="(Todas)",COUNTIF(BASE[CODCIE102],EPV_SARAMPION646669727378808182[[#This Row],[CIE-10]]),COUNTIFS(BASE[Cod.Establecimiento],$AK$2,BASE[CODCIE102],EPV_SARAMPION646669727378808182[[#This Row],[CIE-10]]))</f>
        <v>0</v>
      </c>
      <c r="M35" s="3">
        <f>IF($AK$2="(Todas)",COUNTIF(BASE[CODCIE104],EPV_SARAMPION646669727378808182[[#This Row],[CIE-10]]),COUNTIFS(BASE[Cod.Establecimiento],$AK$2,BASE[CODCIE104],EPV_SARAMPION646669727378808182[[#This Row],[CIE-10]]))</f>
        <v>0</v>
      </c>
      <c r="N35" s="3">
        <f>IF($AK$2="(Todas)",COUNTIF(BASE[CODCIE106],EPV_SARAMPION646669727378808182[[#This Row],[CIE-10]]),COUNTIFS(BASE[Cod.Establecimiento],$AK$2,BASE[CODCIE106],EPV_SARAMPION646669727378808182[[#This Row],[CIE-10]]))</f>
        <v>0</v>
      </c>
      <c r="O35" s="3">
        <f>IF($AK$2="(Todas)",COUNTIF(BASE[CODCIE108],EPV_SARAMPION646669727378808182[[#This Row],[CIE-10]]),COUNTIFS(BASE[Cod.Establecimiento],$AK$2,BASE[CODCIE108],EPV_SARAMPION646669727378808182[[#This Row],[CIE-10]]))</f>
        <v>0</v>
      </c>
      <c r="P35" s="3">
        <f>IF($AK$2="(Todas)",COUNTIF(BASE[CODCIE1010],EPV_SARAMPION646669727378808182[[#This Row],[CIE-10]]),COUNTIFS(BASE[Cod.Establecimiento],$AK$2,BASE[CODCIE1010],EPV_SARAMPION646669727378808182[[#This Row],[CIE-10]]))</f>
        <v>0</v>
      </c>
      <c r="Q35" s="9">
        <f>SUM(EPV_SARAMPION646669727378808182[[#This Row],[D1]:[D6]])</f>
        <v>0</v>
      </c>
      <c r="S35" s="32" t="s">
        <v>385</v>
      </c>
      <c r="T35" s="3">
        <f>IF($AK$2="(Todas)",COUNTIF(BASE[CODCIE10],EPV_SARAMPION64666972737880818283[[#This Row],[CIE-10]]),COUNTIFS(BASE[Cod.Establecimiento],$AK$2,BASE[CODCIE10],EPV_SARAMPION64666972737880818283[[#This Row],[CIE-10]]))</f>
        <v>0</v>
      </c>
      <c r="U35" s="3">
        <f>IF($AK$2="(Todas)",COUNTIF(BASE[CODCIE102],EPV_SARAMPION64666972737880818283[[#This Row],[CIE-10]]),COUNTIFS(BASE[Cod.Establecimiento],$AK$2,BASE[CODCIE102],EPV_SARAMPION64666972737880818283[[#This Row],[CIE-10]]))</f>
        <v>0</v>
      </c>
      <c r="V35" s="3">
        <f>IF($AK$2="(Todas)",COUNTIF(BASE[CODCIE104],EPV_SARAMPION64666972737880818283[[#This Row],[CIE-10]]),COUNTIFS(BASE[Cod.Establecimiento],$AK$2,BASE[CODCIE104],EPV_SARAMPION64666972737880818283[[#This Row],[CIE-10]]))</f>
        <v>0</v>
      </c>
      <c r="W35" s="3">
        <f>IF($AK$2="(Todas)",COUNTIF(BASE[CODCIE106],EPV_SARAMPION64666972737880818283[[#This Row],[CIE-10]]),COUNTIFS(BASE[Cod.Establecimiento],$AK$2,BASE[CODCIE106],EPV_SARAMPION64666972737880818283[[#This Row],[CIE-10]]))</f>
        <v>0</v>
      </c>
      <c r="X35" s="3">
        <f>IF($AK$2="(Todas)",COUNTIF(BASE[CODCIE108],EPV_SARAMPION64666972737880818283[[#This Row],[CIE-10]]),COUNTIFS(BASE[Cod.Establecimiento],$AK$2,BASE[CODCIE108],EPV_SARAMPION64666972737880818283[[#This Row],[CIE-10]]))</f>
        <v>0</v>
      </c>
      <c r="Y35" s="3">
        <f>IF($AK$2="(Todas)",COUNTIF(BASE[CODCIE1010],EPV_SARAMPION64666972737880818283[[#This Row],[CIE-10]]),COUNTIFS(BASE[Cod.Establecimiento],$AK$2,BASE[CODCIE1010],EPV_SARAMPION64666972737880818283[[#This Row],[CIE-10]]))</f>
        <v>0</v>
      </c>
      <c r="Z35" s="9">
        <f>SUM(EPV_SARAMPION64666972737880818283[[#This Row],[D1]:[D6]])</f>
        <v>0</v>
      </c>
      <c r="AB35" s="4" t="s">
        <v>387</v>
      </c>
      <c r="AC35" s="3">
        <f>IF($AK$2="(Todas)",COUNTIF(BASE[CODCIE10],EPV_SARAMPION6466697273788081828384[[#This Row],[CIE-10]]),COUNTIFS(BASE[Cod.Establecimiento],$AK$2,BASE[CODCIE10],EPV_SARAMPION6466697273788081828384[[#This Row],[CIE-10]]))</f>
        <v>0</v>
      </c>
      <c r="AD35" s="3">
        <f>IF($AK$2="(Todas)",COUNTIF(BASE[CODCIE102],EPV_SARAMPION6466697273788081828384[[#This Row],[CIE-10]]),COUNTIFS(BASE[Cod.Establecimiento],$AK$2,BASE[CODCIE102],EPV_SARAMPION6466697273788081828384[[#This Row],[CIE-10]]))</f>
        <v>0</v>
      </c>
      <c r="AE35" s="3">
        <f>IF($AK$2="(Todas)",COUNTIF(BASE[CODCIE104],EPV_SARAMPION6466697273788081828384[[#This Row],[CIE-10]]),COUNTIFS(BASE[Cod.Establecimiento],$AK$2,BASE[CODCIE104],EPV_SARAMPION6466697273788081828384[[#This Row],[CIE-10]]))</f>
        <v>0</v>
      </c>
      <c r="AF35" s="3">
        <f>IF($AK$2="(Todas)",COUNTIF(BASE[CODCIE106],EPV_SARAMPION6466697273788081828384[[#This Row],[CIE-10]]),COUNTIFS(BASE[Cod.Establecimiento],$AK$2,BASE[CODCIE106],EPV_SARAMPION6466697273788081828384[[#This Row],[CIE-10]]))</f>
        <v>0</v>
      </c>
      <c r="AG35" s="3">
        <f>IF($AK$2="(Todas)",COUNTIF(BASE[CODCIE108],EPV_SARAMPION6466697273788081828384[[#This Row],[CIE-10]]),COUNTIFS(BASE[Cod.Establecimiento],$AK$2,BASE[CODCIE108],EPV_SARAMPION6466697273788081828384[[#This Row],[CIE-10]]))</f>
        <v>0</v>
      </c>
      <c r="AH35" s="3">
        <f>IF($AK$2="(Todas)",COUNTIF(BASE[CODCIE1010],EPV_SARAMPION6466697273788081828384[[#This Row],[CIE-10]]),COUNTIFS(BASE[Cod.Establecimiento],$AK$2,BASE[CODCIE1010],EPV_SARAMPION6466697273788081828384[[#This Row],[CIE-10]]))</f>
        <v>0</v>
      </c>
      <c r="AI35" s="9">
        <f>SUM(EPV_SARAMPION6466697273788081828384[[#This Row],[D1]:[D6]])</f>
        <v>0</v>
      </c>
      <c r="AJ35" s="139"/>
      <c r="AK35" s="139"/>
    </row>
    <row r="37" spans="1:37" ht="18" thickBot="1">
      <c r="A37" s="76" t="s">
        <v>388</v>
      </c>
      <c r="B37" s="76"/>
      <c r="C37" s="76"/>
      <c r="D37" s="76"/>
      <c r="E37" s="76"/>
      <c r="F37" s="76"/>
      <c r="G37" s="76"/>
      <c r="H37" s="76"/>
      <c r="J37" s="76" t="s">
        <v>390</v>
      </c>
      <c r="K37" s="76"/>
      <c r="L37" s="76"/>
      <c r="M37" s="76"/>
      <c r="N37" s="76"/>
      <c r="O37" s="76"/>
      <c r="P37" s="76"/>
      <c r="Q37" s="76"/>
      <c r="S37" s="137" t="s">
        <v>397</v>
      </c>
      <c r="T37" s="137"/>
      <c r="U37" s="137"/>
      <c r="V37" s="137"/>
      <c r="W37" s="137"/>
      <c r="X37" s="137"/>
      <c r="Y37" s="137"/>
      <c r="Z37" s="137"/>
      <c r="AB37" s="76" t="s">
        <v>394</v>
      </c>
      <c r="AC37" s="76"/>
      <c r="AD37" s="76"/>
      <c r="AE37" s="76"/>
      <c r="AF37" s="76"/>
      <c r="AG37" s="76"/>
      <c r="AH37" s="76"/>
      <c r="AI37" s="76"/>
    </row>
    <row r="38" spans="1:37" ht="15.75" thickTop="1">
      <c r="A38" s="6" t="str">
        <f>_xlfn.CONCAT("TOTAL: ",SUM(B38:G38))</f>
        <v>TOTAL: 0</v>
      </c>
      <c r="B38" s="5">
        <f>SUM(EPV_SARAMPION646669727378808185[D1])</f>
        <v>0</v>
      </c>
      <c r="C38" s="5">
        <f>SUM(EPV_SARAMPION646669727378808185[D2])</f>
        <v>0</v>
      </c>
      <c r="D38" s="5">
        <f>SUM(EPV_SARAMPION646669727378808185[D3])</f>
        <v>0</v>
      </c>
      <c r="E38" s="5">
        <f>SUM(EPV_SARAMPION646669727378808185[D4])</f>
        <v>0</v>
      </c>
      <c r="F38" s="5">
        <f>SUM(EPV_SARAMPION646669727378808185[D5])</f>
        <v>0</v>
      </c>
      <c r="G38" s="5">
        <f>SUM(EPV_SARAMPION646669727378808185[D6])</f>
        <v>0</v>
      </c>
      <c r="H38" s="7"/>
      <c r="J38" s="6" t="str">
        <f>_xlfn.CONCAT("TOTAL: ",SUM(K38:P38))</f>
        <v>TOTAL: 0</v>
      </c>
      <c r="K38" s="5">
        <f>SUM(EPV_SARAMPION64666972737880818586[D1])</f>
        <v>0</v>
      </c>
      <c r="L38" s="5">
        <f>SUM(EPV_SARAMPION64666972737880818586[D2])</f>
        <v>0</v>
      </c>
      <c r="M38" s="5">
        <f>SUM(EPV_SARAMPION64666972737880818586[D3])</f>
        <v>0</v>
      </c>
      <c r="N38" s="5">
        <f>SUM(EPV_SARAMPION64666972737880818586[D4])</f>
        <v>0</v>
      </c>
      <c r="O38" s="5">
        <f>SUM(EPV_SARAMPION64666972737880818586[D5])</f>
        <v>0</v>
      </c>
      <c r="P38" s="5">
        <f>SUM(EPV_SARAMPION64666972737880818586[D6])</f>
        <v>0</v>
      </c>
      <c r="Q38" s="7"/>
      <c r="S38" s="6" t="str">
        <f>_xlfn.CONCAT("TOTAL: ",SUM(T38:Y38))</f>
        <v>TOTAL: 0</v>
      </c>
      <c r="T38" s="5">
        <f>SUM(EPV_SARAMPION6466697273788081858687[D1])</f>
        <v>0</v>
      </c>
      <c r="U38" s="5">
        <f>SUM(EPV_SARAMPION6466697273788081858687[D2])</f>
        <v>0</v>
      </c>
      <c r="V38" s="5">
        <f>SUM(EPV_SARAMPION6466697273788081858687[D3])</f>
        <v>0</v>
      </c>
      <c r="W38" s="5">
        <f>SUM(EPV_SARAMPION6466697273788081858687[D4])</f>
        <v>0</v>
      </c>
      <c r="X38" s="5">
        <f>SUM(EPV_SARAMPION6466697273788081858687[D5])</f>
        <v>0</v>
      </c>
      <c r="Y38" s="5">
        <f>SUM(EPV_SARAMPION6466697273788081858687[D6])</f>
        <v>0</v>
      </c>
      <c r="Z38" s="7"/>
      <c r="AB38" s="6" t="str">
        <f>_xlfn.CONCAT("TOTAL: ",SUM(AC38:AH38))</f>
        <v>TOTAL: 0</v>
      </c>
      <c r="AC38" s="5">
        <f>SUM(EPV_SARAMPION646669727378808185868788[D1])</f>
        <v>0</v>
      </c>
      <c r="AD38" s="5">
        <f>SUM(EPV_SARAMPION646669727378808185868788[D2])</f>
        <v>0</v>
      </c>
      <c r="AE38" s="5">
        <f>SUM(EPV_SARAMPION646669727378808185868788[D3])</f>
        <v>0</v>
      </c>
      <c r="AF38" s="5">
        <f>SUM(EPV_SARAMPION646669727378808185868788[D4])</f>
        <v>0</v>
      </c>
      <c r="AG38" s="5">
        <f>SUM(EPV_SARAMPION646669727378808185868788[D5])</f>
        <v>0</v>
      </c>
      <c r="AH38" s="5">
        <f>SUM(EPV_SARAMPION646669727378808185868788[D6])</f>
        <v>0</v>
      </c>
      <c r="AI38" s="7"/>
    </row>
    <row r="39" spans="1:37">
      <c r="A39" t="s">
        <v>93</v>
      </c>
      <c r="B39" s="3" t="s">
        <v>94</v>
      </c>
      <c r="C39" s="3" t="s">
        <v>95</v>
      </c>
      <c r="D39" s="3" t="s">
        <v>96</v>
      </c>
      <c r="E39" s="3" t="s">
        <v>97</v>
      </c>
      <c r="F39" s="3" t="s">
        <v>98</v>
      </c>
      <c r="G39" s="3" t="s">
        <v>99</v>
      </c>
      <c r="H39" s="8" t="s">
        <v>100</v>
      </c>
      <c r="J39" t="s">
        <v>93</v>
      </c>
      <c r="K39" s="3" t="s">
        <v>94</v>
      </c>
      <c r="L39" s="3" t="s">
        <v>95</v>
      </c>
      <c r="M39" s="3" t="s">
        <v>96</v>
      </c>
      <c r="N39" s="3" t="s">
        <v>97</v>
      </c>
      <c r="O39" s="3" t="s">
        <v>98</v>
      </c>
      <c r="P39" s="3" t="s">
        <v>99</v>
      </c>
      <c r="Q39" s="8" t="s">
        <v>100</v>
      </c>
      <c r="S39" t="s">
        <v>93</v>
      </c>
      <c r="T39" s="3" t="s">
        <v>94</v>
      </c>
      <c r="U39" s="3" t="s">
        <v>95</v>
      </c>
      <c r="V39" s="3" t="s">
        <v>96</v>
      </c>
      <c r="W39" s="3" t="s">
        <v>97</v>
      </c>
      <c r="X39" s="3" t="s">
        <v>98</v>
      </c>
      <c r="Y39" s="3" t="s">
        <v>99</v>
      </c>
      <c r="Z39" s="8" t="s">
        <v>100</v>
      </c>
      <c r="AB39" t="s">
        <v>93</v>
      </c>
      <c r="AC39" s="3" t="s">
        <v>94</v>
      </c>
      <c r="AD39" s="3" t="s">
        <v>95</v>
      </c>
      <c r="AE39" s="3" t="s">
        <v>96</v>
      </c>
      <c r="AF39" s="3" t="s">
        <v>97</v>
      </c>
      <c r="AG39" s="3" t="s">
        <v>98</v>
      </c>
      <c r="AH39" s="3" t="s">
        <v>99</v>
      </c>
      <c r="AI39" s="8" t="s">
        <v>100</v>
      </c>
    </row>
    <row r="40" spans="1:37" ht="19.5" customHeight="1">
      <c r="A40" s="4" t="s">
        <v>389</v>
      </c>
      <c r="B40" s="3">
        <f>IF($AK$2="(Todas)",COUNTIF(BASE[CODCIE10],EPV_SARAMPION646669727378808185[[#This Row],[CIE-10]]),COUNTIFS(BASE[Cod.Establecimiento],$AK$2,BASE[CODCIE10],EPV_SARAMPION646669727378808185[[#This Row],[CIE-10]]))</f>
        <v>0</v>
      </c>
      <c r="C40" s="3">
        <f>IF($AK$2="(Todas)",COUNTIF(BASE[CODCIE102],EPV_SARAMPION646669727378808185[[#This Row],[CIE-10]]),COUNTIFS(BASE[Cod.Establecimiento],$AK$2,BASE[CODCIE102],EPV_SARAMPION646669727378808185[[#This Row],[CIE-10]]))</f>
        <v>0</v>
      </c>
      <c r="D40" s="3">
        <f>IF($AK$2="(Todas)",COUNTIF(BASE[CODCIE104],EPV_SARAMPION646669727378808185[[#This Row],[CIE-10]]),COUNTIFS(BASE[Cod.Establecimiento],$AK$2,BASE[CODCIE104],EPV_SARAMPION646669727378808185[[#This Row],[CIE-10]]))</f>
        <v>0</v>
      </c>
      <c r="E40" s="3">
        <f>IF($AK$2="(Todas)",COUNTIF(BASE[CODCIE106],EPV_SARAMPION646669727378808185[[#This Row],[CIE-10]]),COUNTIFS(BASE[Cod.Establecimiento],$AK$2,BASE[CODCIE106],EPV_SARAMPION646669727378808185[[#This Row],[CIE-10]]))</f>
        <v>0</v>
      </c>
      <c r="F40" s="3">
        <f>IF($AK$2="(Todas)",COUNTIF(BASE[CODCIE108],EPV_SARAMPION646669727378808185[[#This Row],[CIE-10]]),COUNTIFS(BASE[Cod.Establecimiento],$AK$2,BASE[CODCIE108],EPV_SARAMPION646669727378808185[[#This Row],[CIE-10]]))</f>
        <v>0</v>
      </c>
      <c r="G40" s="3">
        <f>IF($AK$2="(Todas)",COUNTIF(BASE[CODCIE1010],EPV_SARAMPION646669727378808185[[#This Row],[CIE-10]]),COUNTIFS(BASE[Cod.Establecimiento],$AK$2,BASE[CODCIE1010],EPV_SARAMPION646669727378808185[[#This Row],[CIE-10]]))</f>
        <v>0</v>
      </c>
      <c r="H40" s="9">
        <f>SUM(EPV_SARAMPION646669727378808185[[#This Row],[D1]:[D6]])</f>
        <v>0</v>
      </c>
      <c r="J40" s="4" t="s">
        <v>391</v>
      </c>
      <c r="K40" s="3">
        <f>IF($AK$2="(Todas)",COUNTIF(BASE[CODCIE10],EPV_SARAMPION64666972737880818586[[#This Row],[CIE-10]]),COUNTIFS(BASE[Cod.Establecimiento],$AK$2,BASE[CODCIE10],EPV_SARAMPION64666972737880818586[[#This Row],[CIE-10]]))</f>
        <v>0</v>
      </c>
      <c r="L40" s="3">
        <f>IF($AK$2="(Todas)",COUNTIF(BASE[CODCIE102],EPV_SARAMPION64666972737880818586[[#This Row],[CIE-10]]),COUNTIFS(BASE[Cod.Establecimiento],$AK$2,BASE[CODCIE102],EPV_SARAMPION64666972737880818586[[#This Row],[CIE-10]]))</f>
        <v>0</v>
      </c>
      <c r="M40" s="3">
        <f>IF($AK$2="(Todas)",COUNTIF(BASE[CODCIE104],EPV_SARAMPION64666972737880818586[[#This Row],[CIE-10]]),COUNTIFS(BASE[Cod.Establecimiento],$AK$2,BASE[CODCIE104],EPV_SARAMPION64666972737880818586[[#This Row],[CIE-10]]))</f>
        <v>0</v>
      </c>
      <c r="N40" s="3">
        <f>IF($AK$2="(Todas)",COUNTIF(BASE[CODCIE106],EPV_SARAMPION64666972737880818586[[#This Row],[CIE-10]]),COUNTIFS(BASE[Cod.Establecimiento],$AK$2,BASE[CODCIE106],EPV_SARAMPION64666972737880818586[[#This Row],[CIE-10]]))</f>
        <v>0</v>
      </c>
      <c r="O40" s="3">
        <f>IF($AK$2="(Todas)",COUNTIF(BASE[CODCIE108],EPV_SARAMPION64666972737880818586[[#This Row],[CIE-10]]),COUNTIFS(BASE[Cod.Establecimiento],$AK$2,BASE[CODCIE108],EPV_SARAMPION64666972737880818586[[#This Row],[CIE-10]]))</f>
        <v>0</v>
      </c>
      <c r="P40" s="3">
        <f>IF($AK$2="(Todas)",COUNTIF(BASE[CODCIE1010],EPV_SARAMPION64666972737880818586[[#This Row],[CIE-10]]),COUNTIFS(BASE[Cod.Establecimiento],$AK$2,BASE[CODCIE1010],EPV_SARAMPION64666972737880818586[[#This Row],[CIE-10]]))</f>
        <v>0</v>
      </c>
      <c r="Q40" s="9">
        <f>SUM(EPV_SARAMPION64666972737880818586[[#This Row],[D1]:[D6]])</f>
        <v>0</v>
      </c>
      <c r="S40" s="4" t="s">
        <v>392</v>
      </c>
      <c r="T40" s="3">
        <f>IF($AK$2="(Todas)",COUNTIF(BASE[CODCIE10],EPV_SARAMPION6466697273788081858687[[#This Row],[CIE-10]]),COUNTIFS(BASE[Cod.Establecimiento],$AK$2,BASE[CODCIE10],EPV_SARAMPION6466697273788081858687[[#This Row],[CIE-10]]))</f>
        <v>0</v>
      </c>
      <c r="U40" s="3">
        <f>IF($AK$2="(Todas)",COUNTIF(BASE[CODCIE102],EPV_SARAMPION6466697273788081858687[[#This Row],[CIE-10]]),COUNTIFS(BASE[Cod.Establecimiento],$AK$2,BASE[CODCIE102],EPV_SARAMPION6466697273788081858687[[#This Row],[CIE-10]]))</f>
        <v>0</v>
      </c>
      <c r="V40" s="3">
        <f>IF($AK$2="(Todas)",COUNTIF(BASE[CODCIE104],EPV_SARAMPION6466697273788081858687[[#This Row],[CIE-10]]),COUNTIFS(BASE[Cod.Establecimiento],$AK$2,BASE[CODCIE104],EPV_SARAMPION6466697273788081858687[[#This Row],[CIE-10]]))</f>
        <v>0</v>
      </c>
      <c r="W40" s="3">
        <f>IF($AK$2="(Todas)",COUNTIF(BASE[CODCIE106],EPV_SARAMPION6466697273788081858687[[#This Row],[CIE-10]]),COUNTIFS(BASE[Cod.Establecimiento],$AK$2,BASE[CODCIE106],EPV_SARAMPION6466697273788081858687[[#This Row],[CIE-10]]))</f>
        <v>0</v>
      </c>
      <c r="X40" s="3">
        <f>IF($AK$2="(Todas)",COUNTIF(BASE[CODCIE108],EPV_SARAMPION6466697273788081858687[[#This Row],[CIE-10]]),COUNTIFS(BASE[Cod.Establecimiento],$AK$2,BASE[CODCIE108],EPV_SARAMPION6466697273788081858687[[#This Row],[CIE-10]]))</f>
        <v>0</v>
      </c>
      <c r="Y40" s="3">
        <f>IF($AK$2="(Todas)",COUNTIF(BASE[CODCIE1010],EPV_SARAMPION6466697273788081858687[[#This Row],[CIE-10]]),COUNTIFS(BASE[Cod.Establecimiento],$AK$2,BASE[CODCIE1010],EPV_SARAMPION6466697273788081858687[[#This Row],[CIE-10]]))</f>
        <v>0</v>
      </c>
      <c r="Z40" s="9">
        <f>SUM(EPV_SARAMPION6466697273788081858687[[#This Row],[D1]:[D6]])</f>
        <v>0</v>
      </c>
      <c r="AB40" s="4" t="s">
        <v>395</v>
      </c>
      <c r="AC40" s="3">
        <f>IF($AK$2="(Todas)",COUNTIF(BASE[CODCIE10],EPV_SARAMPION646669727378808185868788[[#This Row],[CIE-10]]),COUNTIFS(BASE[Cod.Establecimiento],$AK$2,BASE[CODCIE10],EPV_SARAMPION646669727378808185868788[[#This Row],[CIE-10]]))</f>
        <v>0</v>
      </c>
      <c r="AD40" s="3">
        <f>IF($AK$2="(Todas)",COUNTIF(BASE[CODCIE102],EPV_SARAMPION646669727378808185868788[[#This Row],[CIE-10]]),COUNTIFS(BASE[Cod.Establecimiento],$AK$2,BASE[CODCIE102],EPV_SARAMPION646669727378808185868788[[#This Row],[CIE-10]]))</f>
        <v>0</v>
      </c>
      <c r="AE40" s="3">
        <f>IF($AK$2="(Todas)",COUNTIF(BASE[CODCIE104],EPV_SARAMPION646669727378808185868788[[#This Row],[CIE-10]]),COUNTIFS(BASE[Cod.Establecimiento],$AK$2,BASE[CODCIE104],EPV_SARAMPION646669727378808185868788[[#This Row],[CIE-10]]))</f>
        <v>0</v>
      </c>
      <c r="AF40" s="3">
        <f>IF($AK$2="(Todas)",COUNTIF(BASE[CODCIE106],EPV_SARAMPION646669727378808185868788[[#This Row],[CIE-10]]),COUNTIFS(BASE[Cod.Establecimiento],$AK$2,BASE[CODCIE106],EPV_SARAMPION646669727378808185868788[[#This Row],[CIE-10]]))</f>
        <v>0</v>
      </c>
      <c r="AG40" s="3">
        <f>IF($AK$2="(Todas)",COUNTIF(BASE[CODCIE108],EPV_SARAMPION646669727378808185868788[[#This Row],[CIE-10]]),COUNTIFS(BASE[Cod.Establecimiento],$AK$2,BASE[CODCIE108],EPV_SARAMPION646669727378808185868788[[#This Row],[CIE-10]]))</f>
        <v>0</v>
      </c>
      <c r="AH40" s="3">
        <f>IF($AK$2="(Todas)",COUNTIF(BASE[CODCIE1010],EPV_SARAMPION646669727378808185868788[[#This Row],[CIE-10]]),COUNTIFS(BASE[Cod.Establecimiento],$AK$2,BASE[CODCIE1010],EPV_SARAMPION646669727378808185868788[[#This Row],[CIE-10]]))</f>
        <v>0</v>
      </c>
      <c r="AI40" s="9">
        <f>SUM(EPV_SARAMPION646669727378808185868788[[#This Row],[D1]:[D6]])</f>
        <v>0</v>
      </c>
    </row>
    <row r="41" spans="1:37" ht="19.5" customHeight="1">
      <c r="S41" s="4" t="s">
        <v>393</v>
      </c>
      <c r="T41" s="3">
        <f>IF($AK$2="(Todas)",COUNTIF(BASE[CODCIE10],EPV_SARAMPION6466697273788081858687[[#This Row],[CIE-10]]),COUNTIFS(BASE[Cod.Establecimiento],$AK$2,BASE[CODCIE10],EPV_SARAMPION6466697273788081858687[[#This Row],[CIE-10]]))</f>
        <v>0</v>
      </c>
      <c r="U41" s="3">
        <f>IF($AK$2="(Todas)",COUNTIF(BASE[CODCIE102],EPV_SARAMPION6466697273788081858687[[#This Row],[CIE-10]]),COUNTIFS(BASE[Cod.Establecimiento],$AK$2,BASE[CODCIE102],EPV_SARAMPION6466697273788081858687[[#This Row],[CIE-10]]))</f>
        <v>0</v>
      </c>
      <c r="V41" s="3">
        <f>IF($AK$2="(Todas)",COUNTIF(BASE[CODCIE104],EPV_SARAMPION6466697273788081858687[[#This Row],[CIE-10]]),COUNTIFS(BASE[Cod.Establecimiento],$AK$2,BASE[CODCIE104],EPV_SARAMPION6466697273788081858687[[#This Row],[CIE-10]]))</f>
        <v>0</v>
      </c>
      <c r="W41" s="3">
        <f>IF($AK$2="(Todas)",COUNTIF(BASE[CODCIE106],EPV_SARAMPION6466697273788081858687[[#This Row],[CIE-10]]),COUNTIFS(BASE[Cod.Establecimiento],$AK$2,BASE[CODCIE106],EPV_SARAMPION6466697273788081858687[[#This Row],[CIE-10]]))</f>
        <v>0</v>
      </c>
      <c r="X41" s="3">
        <f>IF($AK$2="(Todas)",COUNTIF(BASE[CODCIE108],EPV_SARAMPION6466697273788081858687[[#This Row],[CIE-10]]),COUNTIFS(BASE[Cod.Establecimiento],$AK$2,BASE[CODCIE108],EPV_SARAMPION6466697273788081858687[[#This Row],[CIE-10]]))</f>
        <v>0</v>
      </c>
      <c r="Y41" s="3">
        <f>IF($AK$2="(Todas)",COUNTIF(BASE[CODCIE1010],EPV_SARAMPION6466697273788081858687[[#This Row],[CIE-10]]),COUNTIFS(BASE[Cod.Establecimiento],$AK$2,BASE[CODCIE1010],EPV_SARAMPION6466697273788081858687[[#This Row],[CIE-10]]))</f>
        <v>0</v>
      </c>
      <c r="Z41" s="9">
        <f>SUM(EPV_SARAMPION6466697273788081858687[[#This Row],[D1]:[D6]])</f>
        <v>0</v>
      </c>
      <c r="AA41" s="68"/>
      <c r="AB41" s="4" t="s">
        <v>396</v>
      </c>
      <c r="AC41" s="3">
        <f>IF($AK$2="(Todas)",COUNTIF(BASE[CODCIE10],EPV_SARAMPION646669727378808185868788[[#This Row],[CIE-10]]),COUNTIFS(BASE[Cod.Establecimiento],$AK$2,BASE[CODCIE10],EPV_SARAMPION646669727378808185868788[[#This Row],[CIE-10]]))</f>
        <v>0</v>
      </c>
      <c r="AD41" s="3">
        <f>IF($AK$2="(Todas)",COUNTIF(BASE[CODCIE102],EPV_SARAMPION646669727378808185868788[[#This Row],[CIE-10]]),COUNTIFS(BASE[Cod.Establecimiento],$AK$2,BASE[CODCIE102],EPV_SARAMPION646669727378808185868788[[#This Row],[CIE-10]]))</f>
        <v>0</v>
      </c>
      <c r="AE41" s="3">
        <f>IF($AK$2="(Todas)",COUNTIF(BASE[CODCIE104],EPV_SARAMPION646669727378808185868788[[#This Row],[CIE-10]]),COUNTIFS(BASE[Cod.Establecimiento],$AK$2,BASE[CODCIE104],EPV_SARAMPION646669727378808185868788[[#This Row],[CIE-10]]))</f>
        <v>0</v>
      </c>
      <c r="AF41" s="3">
        <f>IF($AK$2="(Todas)",COUNTIF(BASE[CODCIE106],EPV_SARAMPION646669727378808185868788[[#This Row],[CIE-10]]),COUNTIFS(BASE[Cod.Establecimiento],$AK$2,BASE[CODCIE106],EPV_SARAMPION646669727378808185868788[[#This Row],[CIE-10]]))</f>
        <v>0</v>
      </c>
      <c r="AG41" s="3">
        <f>IF($AK$2="(Todas)",COUNTIF(BASE[CODCIE108],EPV_SARAMPION646669727378808185868788[[#This Row],[CIE-10]]),COUNTIFS(BASE[Cod.Establecimiento],$AK$2,BASE[CODCIE108],EPV_SARAMPION646669727378808185868788[[#This Row],[CIE-10]]))</f>
        <v>0</v>
      </c>
      <c r="AH41" s="3">
        <f>IF($AK$2="(Todas)",COUNTIF(BASE[CODCIE1010],EPV_SARAMPION646669727378808185868788[[#This Row],[CIE-10]]),COUNTIFS(BASE[Cod.Establecimiento],$AK$2,BASE[CODCIE1010],EPV_SARAMPION646669727378808185868788[[#This Row],[CIE-10]]))</f>
        <v>0</v>
      </c>
      <c r="AI41" s="9">
        <f>SUM(EPV_SARAMPION646669727378808185868788[[#This Row],[D1]:[D6]])</f>
        <v>0</v>
      </c>
    </row>
    <row r="42" spans="1:37" ht="15" customHeight="1"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</row>
    <row r="43" spans="1:37" ht="15" customHeight="1" thickBot="1">
      <c r="A43" s="76" t="s">
        <v>398</v>
      </c>
      <c r="B43" s="76"/>
      <c r="C43" s="76"/>
      <c r="D43" s="76"/>
      <c r="E43" s="76"/>
      <c r="F43" s="76"/>
      <c r="G43" s="76"/>
      <c r="H43" s="76"/>
      <c r="J43" s="76" t="s">
        <v>126</v>
      </c>
      <c r="K43" s="76"/>
      <c r="L43" s="76"/>
      <c r="M43" s="76"/>
      <c r="N43" s="76"/>
      <c r="O43" s="76"/>
      <c r="P43" s="76"/>
      <c r="Q43" s="76"/>
      <c r="S43" s="76" t="s">
        <v>399</v>
      </c>
      <c r="T43" s="76"/>
      <c r="U43" s="76"/>
      <c r="V43" s="76"/>
      <c r="W43" s="76"/>
      <c r="X43" s="76"/>
      <c r="Y43" s="76"/>
      <c r="Z43" s="76"/>
      <c r="AA43" s="68"/>
      <c r="AB43" s="76" t="s">
        <v>400</v>
      </c>
      <c r="AC43" s="76"/>
      <c r="AD43" s="76"/>
      <c r="AE43" s="76"/>
      <c r="AF43" s="76"/>
      <c r="AG43" s="76"/>
      <c r="AH43" s="76"/>
      <c r="AI43" s="76"/>
    </row>
    <row r="44" spans="1:37" ht="15" customHeight="1" thickTop="1">
      <c r="A44" s="6" t="str">
        <f>_xlfn.CONCAT("TOTAL: ",SUM(B44:G44))</f>
        <v>TOTAL: 0</v>
      </c>
      <c r="B44" s="5">
        <f>SUM(EPV_SARAMPION64666972737880818591[D1])</f>
        <v>0</v>
      </c>
      <c r="C44" s="5">
        <f>SUM(EPV_SARAMPION64666972737880818591[D2])</f>
        <v>0</v>
      </c>
      <c r="D44" s="5">
        <f>SUM(EPV_SARAMPION64666972737880818591[D3])</f>
        <v>0</v>
      </c>
      <c r="E44" s="5">
        <f>SUM(EPV_SARAMPION64666972737880818591[D4])</f>
        <v>0</v>
      </c>
      <c r="F44" s="5">
        <f>SUM(EPV_SARAMPION64666972737880818591[D5])</f>
        <v>0</v>
      </c>
      <c r="G44" s="5">
        <f>SUM(EPV_SARAMPION64666972737880818591[D6])</f>
        <v>0</v>
      </c>
      <c r="H44" s="7"/>
      <c r="J44" s="6" t="str">
        <f>_xlfn.CONCAT("TOTAL: ",SUM(K44:P44))</f>
        <v>TOTAL: 0</v>
      </c>
      <c r="K44" s="5">
        <f>SUM(EPV_SARAMPION64666972737880818592[D1])</f>
        <v>0</v>
      </c>
      <c r="L44" s="5">
        <f>SUM(EPV_SARAMPION64666972737880818592[D2])</f>
        <v>0</v>
      </c>
      <c r="M44" s="5">
        <f>SUM(EPV_SARAMPION64666972737880818592[D3])</f>
        <v>0</v>
      </c>
      <c r="N44" s="5">
        <f>SUM(EPV_SARAMPION64666972737880818592[D4])</f>
        <v>0</v>
      </c>
      <c r="O44" s="5">
        <f>SUM(EPV_SARAMPION64666972737880818592[D5])</f>
        <v>0</v>
      </c>
      <c r="P44" s="5">
        <f>SUM(EPV_SARAMPION64666972737880818592[D6])</f>
        <v>0</v>
      </c>
      <c r="Q44" s="7"/>
      <c r="S44" s="6" t="str">
        <f>_xlfn.CONCAT("TOTAL: ",SUM(T44:Y44))</f>
        <v>TOTAL: 0</v>
      </c>
      <c r="T44" s="5">
        <f>SUM(EPV_SARAMPION6466697273788081859294[D1])</f>
        <v>0</v>
      </c>
      <c r="U44" s="5">
        <f>SUM(EPV_SARAMPION6466697273788081859294[D2])</f>
        <v>0</v>
      </c>
      <c r="V44" s="5">
        <f>SUM(EPV_SARAMPION6466697273788081859294[D3])</f>
        <v>0</v>
      </c>
      <c r="W44" s="5">
        <f>SUM(EPV_SARAMPION6466697273788081859294[D4])</f>
        <v>0</v>
      </c>
      <c r="X44" s="5">
        <f>SUM(EPV_SARAMPION6466697273788081859294[D5])</f>
        <v>0</v>
      </c>
      <c r="Y44" s="5">
        <f>SUM(EPV_SARAMPION6466697273788081859294[D6])</f>
        <v>0</v>
      </c>
      <c r="Z44" s="7"/>
      <c r="AA44" s="68"/>
      <c r="AB44" s="6" t="str">
        <f>_xlfn.CONCAT("TOTAL: ",SUM(AC44:AH44))</f>
        <v>TOTAL: 0</v>
      </c>
      <c r="AC44" s="5">
        <f>SUM(EPV_SARAMPION646669727378808185929495[D1])</f>
        <v>0</v>
      </c>
      <c r="AD44" s="5">
        <f>SUM(EPV_SARAMPION646669727378808185929495[D2])</f>
        <v>0</v>
      </c>
      <c r="AE44" s="5">
        <f>SUM(EPV_SARAMPION646669727378808185929495[D3])</f>
        <v>0</v>
      </c>
      <c r="AF44" s="5">
        <f>SUM(EPV_SARAMPION646669727378808185929495[D4])</f>
        <v>0</v>
      </c>
      <c r="AG44" s="5">
        <f>SUM(EPV_SARAMPION646669727378808185929495[D5])</f>
        <v>0</v>
      </c>
      <c r="AH44" s="5">
        <f>SUM(EPV_SARAMPION646669727378808185929495[D6])</f>
        <v>0</v>
      </c>
      <c r="AI44" s="7"/>
    </row>
    <row r="45" spans="1:37" ht="15" customHeight="1">
      <c r="A45" t="s">
        <v>93</v>
      </c>
      <c r="B45" s="3" t="s">
        <v>94</v>
      </c>
      <c r="C45" s="3" t="s">
        <v>95</v>
      </c>
      <c r="D45" s="3" t="s">
        <v>96</v>
      </c>
      <c r="E45" s="3" t="s">
        <v>97</v>
      </c>
      <c r="F45" s="3" t="s">
        <v>98</v>
      </c>
      <c r="G45" s="3" t="s">
        <v>99</v>
      </c>
      <c r="H45" s="8" t="s">
        <v>100</v>
      </c>
      <c r="J45" t="s">
        <v>93</v>
      </c>
      <c r="K45" s="3" t="s">
        <v>94</v>
      </c>
      <c r="L45" s="3" t="s">
        <v>95</v>
      </c>
      <c r="M45" s="3" t="s">
        <v>96</v>
      </c>
      <c r="N45" s="3" t="s">
        <v>97</v>
      </c>
      <c r="O45" s="3" t="s">
        <v>98</v>
      </c>
      <c r="P45" s="3" t="s">
        <v>99</v>
      </c>
      <c r="Q45" s="8" t="s">
        <v>100</v>
      </c>
      <c r="S45" t="s">
        <v>93</v>
      </c>
      <c r="T45" s="3" t="s">
        <v>94</v>
      </c>
      <c r="U45" s="3" t="s">
        <v>95</v>
      </c>
      <c r="V45" s="3" t="s">
        <v>96</v>
      </c>
      <c r="W45" s="3" t="s">
        <v>97</v>
      </c>
      <c r="X45" s="3" t="s">
        <v>98</v>
      </c>
      <c r="Y45" s="3" t="s">
        <v>99</v>
      </c>
      <c r="Z45" s="8" t="s">
        <v>100</v>
      </c>
      <c r="AA45" s="68"/>
      <c r="AB45" t="s">
        <v>93</v>
      </c>
      <c r="AC45" s="3" t="s">
        <v>94</v>
      </c>
      <c r="AD45" s="3" t="s">
        <v>95</v>
      </c>
      <c r="AE45" s="3" t="s">
        <v>96</v>
      </c>
      <c r="AF45" s="3" t="s">
        <v>97</v>
      </c>
      <c r="AG45" s="3" t="s">
        <v>98</v>
      </c>
      <c r="AH45" s="3" t="s">
        <v>99</v>
      </c>
      <c r="AI45" s="8" t="s">
        <v>100</v>
      </c>
    </row>
    <row r="46" spans="1:37" ht="15" customHeight="1">
      <c r="A46" s="4" t="s">
        <v>247</v>
      </c>
      <c r="B46" s="3">
        <f>IF($AK$2="(Todas)",COUNTIF(BASE[CODCIE10],EPV_SARAMPION64666972737880818591[[#This Row],[CIE-10]]),COUNTIFS(BASE[Cod.Establecimiento],$AK$2,BASE[CODCIE10],EPV_SARAMPION64666972737880818591[[#This Row],[CIE-10]]))</f>
        <v>0</v>
      </c>
      <c r="C46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6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6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6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6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6" s="9">
        <f>SUM(EPV_SARAMPION64666972737880818591[[#This Row],[D1]:[D6]])</f>
        <v>0</v>
      </c>
      <c r="J46" s="4" t="s">
        <v>130</v>
      </c>
      <c r="K46" s="3">
        <f>IF($AK$2="(Todas)",COUNTIF(BASE[CODCIE10],EPV_SARAMPION64666972737880818592[[#This Row],[CIE-10]]),COUNTIFS(BASE[Cod.Establecimiento],$AK$2,BASE[CODCIE10],EPV_SARAMPION64666972737880818592[[#This Row],[CIE-10]]))</f>
        <v>0</v>
      </c>
      <c r="L46" s="3">
        <f>IF($AK$2="(Todas)",COUNTIF(BASE[CODCIE102],EPV_SARAMPION64666972737880818592[[#This Row],[CIE-10]]),COUNTIFS(BASE[Cod.Establecimiento],$AK$2,BASE[CODCIE102],EPV_SARAMPION64666972737880818592[[#This Row],[CIE-10]]))</f>
        <v>0</v>
      </c>
      <c r="M46" s="3">
        <f>IF($AK$2="(Todas)",COUNTIF(BASE[CODCIE104],EPV_SARAMPION64666972737880818592[[#This Row],[CIE-10]]),COUNTIFS(BASE[Cod.Establecimiento],$AK$2,BASE[CODCIE104],EPV_SARAMPION64666972737880818592[[#This Row],[CIE-10]]))</f>
        <v>0</v>
      </c>
      <c r="N46" s="3">
        <f>IF($AK$2="(Todas)",COUNTIF(BASE[CODCIE106],EPV_SARAMPION64666972737880818592[[#This Row],[CIE-10]]),COUNTIFS(BASE[Cod.Establecimiento],$AK$2,BASE[CODCIE106],EPV_SARAMPION64666972737880818592[[#This Row],[CIE-10]]))</f>
        <v>0</v>
      </c>
      <c r="O46" s="3">
        <f>IF($AK$2="(Todas)",COUNTIF(BASE[CODCIE108],EPV_SARAMPION64666972737880818592[[#This Row],[CIE-10]]),COUNTIFS(BASE[Cod.Establecimiento],$AK$2,BASE[CODCIE108],EPV_SARAMPION64666972737880818592[[#This Row],[CIE-10]]))</f>
        <v>0</v>
      </c>
      <c r="P46" s="3">
        <f>IF($AK$2="(Todas)",COUNTIF(BASE[CODCIE1010],EPV_SARAMPION64666972737880818592[[#This Row],[CIE-10]]),COUNTIFS(BASE[Cod.Establecimiento],$AK$2,BASE[CODCIE1010],EPV_SARAMPION64666972737880818592[[#This Row],[CIE-10]]))</f>
        <v>0</v>
      </c>
      <c r="Q46" s="9">
        <f>SUM(EPV_SARAMPION64666972737880818592[[#This Row],[D1]:[D6]])</f>
        <v>0</v>
      </c>
      <c r="S46" s="4" t="s">
        <v>240</v>
      </c>
      <c r="T46" s="3">
        <f>IF($AK$2="(Todas)",COUNTIF(BASE[CODCIE10],EPV_SARAMPION6466697273788081859294[[#This Row],[CIE-10]]),COUNTIFS(BASE[Cod.Establecimiento],$AK$2,BASE[CODCIE10],EPV_SARAMPION6466697273788081859294[[#This Row],[CIE-10]]))</f>
        <v>0</v>
      </c>
      <c r="U46" s="3">
        <f>IF($AK$2="(Todas)",COUNTIF(BASE[CODCIE102],EPV_SARAMPION6466697273788081859294[[#This Row],[CIE-10]]),COUNTIFS(BASE[Cod.Establecimiento],$AK$2,BASE[CODCIE102],EPV_SARAMPION6466697273788081859294[[#This Row],[CIE-10]]))</f>
        <v>0</v>
      </c>
      <c r="V46" s="3">
        <f>IF($AK$2="(Todas)",COUNTIF(BASE[CODCIE104],EPV_SARAMPION6466697273788081859294[[#This Row],[CIE-10]]),COUNTIFS(BASE[Cod.Establecimiento],$AK$2,BASE[CODCIE104],EPV_SARAMPION6466697273788081859294[[#This Row],[CIE-10]]))</f>
        <v>0</v>
      </c>
      <c r="W46" s="3">
        <f>IF($AK$2="(Todas)",COUNTIF(BASE[CODCIE106],EPV_SARAMPION6466697273788081859294[[#This Row],[CIE-10]]),COUNTIFS(BASE[Cod.Establecimiento],$AK$2,BASE[CODCIE106],EPV_SARAMPION6466697273788081859294[[#This Row],[CIE-10]]))</f>
        <v>0</v>
      </c>
      <c r="X46" s="3">
        <f>IF($AK$2="(Todas)",COUNTIF(BASE[CODCIE108],EPV_SARAMPION6466697273788081859294[[#This Row],[CIE-10]]),COUNTIFS(BASE[Cod.Establecimiento],$AK$2,BASE[CODCIE108],EPV_SARAMPION6466697273788081859294[[#This Row],[CIE-10]]))</f>
        <v>0</v>
      </c>
      <c r="Y46" s="3">
        <f>IF($AK$2="(Todas)",COUNTIF(BASE[CODCIE1010],EPV_SARAMPION6466697273788081859294[[#This Row],[CIE-10]]),COUNTIFS(BASE[Cod.Establecimiento],$AK$2,BASE[CODCIE1010],EPV_SARAMPION6466697273788081859294[[#This Row],[CIE-10]]))</f>
        <v>0</v>
      </c>
      <c r="Z46" s="9">
        <f>SUM(EPV_SARAMPION6466697273788081859294[[#This Row],[D1]:[D6]])</f>
        <v>0</v>
      </c>
      <c r="AA46" s="68"/>
      <c r="AB46" s="4" t="s">
        <v>115</v>
      </c>
      <c r="AC46" s="3">
        <f>IF($AK$2="(Todas)",COUNTIF(BASE[CODCIE10],EPV_SARAMPION646669727378808185929495[[#This Row],[CIE-10]]),COUNTIFS(BASE[Cod.Establecimiento],$AK$2,BASE[CODCIE10],EPV_SARAMPION646669727378808185929495[[#This Row],[CIE-10]]))</f>
        <v>0</v>
      </c>
      <c r="AD46" s="3">
        <f>IF($AK$2="(Todas)",COUNTIF(BASE[CODCIE102],EPV_SARAMPION646669727378808185929495[[#This Row],[CIE-10]]),COUNTIFS(BASE[Cod.Establecimiento],$AK$2,BASE[CODCIE102],EPV_SARAMPION646669727378808185929495[[#This Row],[CIE-10]]))</f>
        <v>0</v>
      </c>
      <c r="AE46" s="3">
        <f>IF($AK$2="(Todas)",COUNTIF(BASE[CODCIE104],EPV_SARAMPION646669727378808185929495[[#This Row],[CIE-10]]),COUNTIFS(BASE[Cod.Establecimiento],$AK$2,BASE[CODCIE104],EPV_SARAMPION646669727378808185929495[[#This Row],[CIE-10]]))</f>
        <v>0</v>
      </c>
      <c r="AF46" s="3">
        <f>IF($AK$2="(Todas)",COUNTIF(BASE[CODCIE106],EPV_SARAMPION646669727378808185929495[[#This Row],[CIE-10]]),COUNTIFS(BASE[Cod.Establecimiento],$AK$2,BASE[CODCIE106],EPV_SARAMPION646669727378808185929495[[#This Row],[CIE-10]]))</f>
        <v>0</v>
      </c>
      <c r="AG46" s="3">
        <f>IF($AK$2="(Todas)",COUNTIF(BASE[CODCIE108],EPV_SARAMPION646669727378808185929495[[#This Row],[CIE-10]]),COUNTIFS(BASE[Cod.Establecimiento],$AK$2,BASE[CODCIE108],EPV_SARAMPION646669727378808185929495[[#This Row],[CIE-10]]))</f>
        <v>0</v>
      </c>
      <c r="AH46" s="3">
        <f>IF($AK$2="(Todas)",COUNTIF(BASE[CODCIE1010],EPV_SARAMPION646669727378808185929495[[#This Row],[CIE-10]]),COUNTIFS(BASE[Cod.Establecimiento],$AK$2,BASE[CODCIE1010],EPV_SARAMPION646669727378808185929495[[#This Row],[CIE-10]]))</f>
        <v>0</v>
      </c>
      <c r="AI46" s="9">
        <f>SUM(EPV_SARAMPION646669727378808185929495[[#This Row],[D1]:[D6]])</f>
        <v>0</v>
      </c>
    </row>
    <row r="47" spans="1:37" ht="15" customHeight="1">
      <c r="A47" s="32" t="s">
        <v>249</v>
      </c>
      <c r="B47" s="3">
        <f>IF($AK$2="(Todas)",COUNTIF(BASE[CODCIE10],EPV_SARAMPION64666972737880818591[[#This Row],[CIE-10]]),COUNTIFS(BASE[Cod.Establecimiento],$AK$2,BASE[CODCIE10],EPV_SARAMPION64666972737880818591[[#This Row],[CIE-10]]))</f>
        <v>0</v>
      </c>
      <c r="C47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7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7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7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7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7" s="9">
        <f>SUM(EPV_SARAMPION64666972737880818591[[#This Row],[D1]:[D6]])</f>
        <v>0</v>
      </c>
    </row>
    <row r="48" spans="1:37" ht="15" customHeight="1" thickBot="1">
      <c r="A48" s="32" t="s">
        <v>250</v>
      </c>
      <c r="B48" s="3">
        <f>IF($AK$2="(Todas)",COUNTIF(BASE[CODCIE10],EPV_SARAMPION64666972737880818591[[#This Row],[CIE-10]]),COUNTIFS(BASE[Cod.Establecimiento],$AK$2,BASE[CODCIE10],EPV_SARAMPION64666972737880818591[[#This Row],[CIE-10]]))</f>
        <v>0</v>
      </c>
      <c r="C48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8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8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8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8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8" s="9">
        <f>SUM(EPV_SARAMPION64666972737880818591[[#This Row],[D1]:[D6]])</f>
        <v>0</v>
      </c>
      <c r="J48" s="76" t="s">
        <v>401</v>
      </c>
      <c r="K48" s="76"/>
      <c r="L48" s="76"/>
      <c r="M48" s="76"/>
      <c r="N48" s="76"/>
      <c r="O48" s="76"/>
      <c r="P48" s="76"/>
      <c r="Q48" s="76"/>
      <c r="S48" s="76" t="s">
        <v>403</v>
      </c>
      <c r="T48" s="76"/>
      <c r="U48" s="76"/>
      <c r="V48" s="76"/>
      <c r="W48" s="76"/>
      <c r="X48" s="76"/>
      <c r="Y48" s="76"/>
      <c r="Z48" s="76"/>
      <c r="AB48" s="76" t="s">
        <v>405</v>
      </c>
      <c r="AC48" s="76"/>
      <c r="AD48" s="76"/>
      <c r="AE48" s="76"/>
      <c r="AF48" s="76"/>
      <c r="AG48" s="76"/>
      <c r="AH48" s="76"/>
      <c r="AI48" s="76"/>
    </row>
    <row r="49" spans="1:35" ht="15" customHeight="1" thickTop="1">
      <c r="A49" s="32" t="s">
        <v>251</v>
      </c>
      <c r="B49" s="3">
        <f>IF($AK$2="(Todas)",COUNTIF(BASE[CODCIE10],EPV_SARAMPION64666972737880818591[[#This Row],[CIE-10]]),COUNTIFS(BASE[Cod.Establecimiento],$AK$2,BASE[CODCIE10],EPV_SARAMPION64666972737880818591[[#This Row],[CIE-10]]))</f>
        <v>0</v>
      </c>
      <c r="C49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9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9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9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9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9" s="9">
        <f>SUM(EPV_SARAMPION64666972737880818591[[#This Row],[D1]:[D6]])</f>
        <v>0</v>
      </c>
      <c r="J49" s="6" t="str">
        <f>_xlfn.CONCAT("TOTAL: ",SUM(K49:P49))</f>
        <v>TOTAL: 0</v>
      </c>
      <c r="K49" s="5">
        <f>SUM(EPV_SARAMPION6466697273788081859296[D1])</f>
        <v>0</v>
      </c>
      <c r="L49" s="5">
        <f>SUM(EPV_SARAMPION6466697273788081859296[D2])</f>
        <v>0</v>
      </c>
      <c r="M49" s="5">
        <f>SUM(EPV_SARAMPION6466697273788081859296[D3])</f>
        <v>0</v>
      </c>
      <c r="N49" s="5">
        <f>SUM(EPV_SARAMPION6466697273788081859296[D4])</f>
        <v>0</v>
      </c>
      <c r="O49" s="5">
        <f>SUM(EPV_SARAMPION6466697273788081859296[D5])</f>
        <v>0</v>
      </c>
      <c r="P49" s="5">
        <f>SUM(EPV_SARAMPION6466697273788081859296[D6])</f>
        <v>0</v>
      </c>
      <c r="Q49" s="7"/>
      <c r="S49" s="6" t="str">
        <f>_xlfn.CONCAT("TOTAL: ",SUM(T49:Y49))</f>
        <v>TOTAL: 0</v>
      </c>
      <c r="T49" s="5">
        <f>SUM(EPV_SARAMPION646669727378808185929697[D1])</f>
        <v>0</v>
      </c>
      <c r="U49" s="5">
        <f>SUM(EPV_SARAMPION646669727378808185929697[D2])</f>
        <v>0</v>
      </c>
      <c r="V49" s="5">
        <f>SUM(EPV_SARAMPION646669727378808185929697[D3])</f>
        <v>0</v>
      </c>
      <c r="W49" s="5">
        <f>SUM(EPV_SARAMPION646669727378808185929697[D4])</f>
        <v>0</v>
      </c>
      <c r="X49" s="5">
        <f>SUM(EPV_SARAMPION646669727378808185929697[D5])</f>
        <v>0</v>
      </c>
      <c r="Y49" s="5">
        <f>SUM(EPV_SARAMPION646669727378808185929697[D6])</f>
        <v>0</v>
      </c>
      <c r="Z49" s="7"/>
      <c r="AB49" s="6" t="str">
        <f>_xlfn.CONCAT("TOTAL: ",SUM(AC49:AH49))</f>
        <v>TOTAL: 0</v>
      </c>
      <c r="AC49" s="5">
        <f>SUM(EPV_SARAMPION64666972737880818592969798[D1])</f>
        <v>0</v>
      </c>
      <c r="AD49" s="5">
        <f>SUM(EPV_SARAMPION64666972737880818592969798[D2])</f>
        <v>0</v>
      </c>
      <c r="AE49" s="5">
        <f>SUM(EPV_SARAMPION64666972737880818592969798[D3])</f>
        <v>0</v>
      </c>
      <c r="AF49" s="5">
        <f>SUM(EPV_SARAMPION64666972737880818592969798[D4])</f>
        <v>0</v>
      </c>
      <c r="AG49" s="5">
        <f>SUM(EPV_SARAMPION64666972737880818592969798[D5])</f>
        <v>0</v>
      </c>
      <c r="AH49" s="5">
        <f>SUM(EPV_SARAMPION64666972737880818592969798[D6])</f>
        <v>0</v>
      </c>
      <c r="AI49" s="7"/>
    </row>
    <row r="50" spans="1:35" ht="15" customHeight="1">
      <c r="A50" s="32" t="s">
        <v>252</v>
      </c>
      <c r="B50" s="3">
        <f>IF($AK$2="(Todas)",COUNTIF(BASE[CODCIE10],EPV_SARAMPION64666972737880818591[[#This Row],[CIE-10]]),COUNTIFS(BASE[Cod.Establecimiento],$AK$2,BASE[CODCIE10],EPV_SARAMPION64666972737880818591[[#This Row],[CIE-10]]))</f>
        <v>0</v>
      </c>
      <c r="C50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50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50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50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50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50" s="9">
        <f>SUM(EPV_SARAMPION64666972737880818591[[#This Row],[D1]:[D6]])</f>
        <v>0</v>
      </c>
      <c r="J50" t="s">
        <v>93</v>
      </c>
      <c r="K50" s="3" t="s">
        <v>94</v>
      </c>
      <c r="L50" s="3" t="s">
        <v>95</v>
      </c>
      <c r="M50" s="3" t="s">
        <v>96</v>
      </c>
      <c r="N50" s="3" t="s">
        <v>97</v>
      </c>
      <c r="O50" s="3" t="s">
        <v>98</v>
      </c>
      <c r="P50" s="3" t="s">
        <v>99</v>
      </c>
      <c r="Q50" s="8" t="s">
        <v>100</v>
      </c>
      <c r="S50" t="s">
        <v>93</v>
      </c>
      <c r="T50" s="3" t="s">
        <v>94</v>
      </c>
      <c r="U50" s="3" t="s">
        <v>95</v>
      </c>
      <c r="V50" s="3" t="s">
        <v>96</v>
      </c>
      <c r="W50" s="3" t="s">
        <v>97</v>
      </c>
      <c r="X50" s="3" t="s">
        <v>98</v>
      </c>
      <c r="Y50" s="3" t="s">
        <v>99</v>
      </c>
      <c r="Z50" s="8" t="s">
        <v>100</v>
      </c>
      <c r="AB50" t="s">
        <v>93</v>
      </c>
      <c r="AC50" s="3" t="s">
        <v>94</v>
      </c>
      <c r="AD50" s="3" t="s">
        <v>95</v>
      </c>
      <c r="AE50" s="3" t="s">
        <v>96</v>
      </c>
      <c r="AF50" s="3" t="s">
        <v>97</v>
      </c>
      <c r="AG50" s="3" t="s">
        <v>98</v>
      </c>
      <c r="AH50" s="3" t="s">
        <v>99</v>
      </c>
      <c r="AI50" s="8" t="s">
        <v>100</v>
      </c>
    </row>
    <row r="51" spans="1:35" ht="15" customHeight="1">
      <c r="J51" s="4" t="s">
        <v>402</v>
      </c>
      <c r="K51" s="3">
        <f>IF($AK$2="(Todas)",COUNTIF(BASE[CODCIE10],EPV_SARAMPION6466697273788081859296[[#This Row],[CIE-10]]),COUNTIFS(BASE[Cod.Establecimiento],$AK$2,BASE[CODCIE10],EPV_SARAMPION6466697273788081859296[[#This Row],[CIE-10]]))</f>
        <v>0</v>
      </c>
      <c r="L51" s="3">
        <f>IF($AK$2="(Todas)",COUNTIF(BASE[CODCIE102],EPV_SARAMPION6466697273788081859296[[#This Row],[CIE-10]]),COUNTIFS(BASE[Cod.Establecimiento],$AK$2,BASE[CODCIE102],EPV_SARAMPION6466697273788081859296[[#This Row],[CIE-10]]))</f>
        <v>0</v>
      </c>
      <c r="M51" s="3">
        <f>IF($AK$2="(Todas)",COUNTIF(BASE[CODCIE104],EPV_SARAMPION6466697273788081859296[[#This Row],[CIE-10]]),COUNTIFS(BASE[Cod.Establecimiento],$AK$2,BASE[CODCIE104],EPV_SARAMPION6466697273788081859296[[#This Row],[CIE-10]]))</f>
        <v>0</v>
      </c>
      <c r="N51" s="3">
        <f>IF($AK$2="(Todas)",COUNTIF(BASE[CODCIE106],EPV_SARAMPION6466697273788081859296[[#This Row],[CIE-10]]),COUNTIFS(BASE[Cod.Establecimiento],$AK$2,BASE[CODCIE106],EPV_SARAMPION6466697273788081859296[[#This Row],[CIE-10]]))</f>
        <v>0</v>
      </c>
      <c r="O51" s="3">
        <f>IF($AK$2="(Todas)",COUNTIF(BASE[CODCIE108],EPV_SARAMPION6466697273788081859296[[#This Row],[CIE-10]]),COUNTIFS(BASE[Cod.Establecimiento],$AK$2,BASE[CODCIE108],EPV_SARAMPION6466697273788081859296[[#This Row],[CIE-10]]))</f>
        <v>0</v>
      </c>
      <c r="P51" s="3">
        <f>IF($AK$2="(Todas)",COUNTIF(BASE[CODCIE1010],EPV_SARAMPION6466697273788081859296[[#This Row],[CIE-10]]),COUNTIFS(BASE[Cod.Establecimiento],$AK$2,BASE[CODCIE1010],EPV_SARAMPION6466697273788081859296[[#This Row],[CIE-10]]))</f>
        <v>0</v>
      </c>
      <c r="Q51" s="9">
        <f>SUM(EPV_SARAMPION6466697273788081859296[[#This Row],[D1]:[D6]])</f>
        <v>0</v>
      </c>
      <c r="S51" s="4" t="s">
        <v>404</v>
      </c>
      <c r="T51" s="3">
        <f>IF($AK$2="(Todas)",COUNTIF(BASE[CODCIE10],EPV_SARAMPION646669727378808185929697[[#This Row],[CIE-10]]),COUNTIFS(BASE[Cod.Establecimiento],$AK$2,BASE[CODCIE10],EPV_SARAMPION646669727378808185929697[[#This Row],[CIE-10]]))</f>
        <v>0</v>
      </c>
      <c r="U51" s="3">
        <f>IF($AK$2="(Todas)",COUNTIF(BASE[CODCIE102],EPV_SARAMPION646669727378808185929697[[#This Row],[CIE-10]]),COUNTIFS(BASE[Cod.Establecimiento],$AK$2,BASE[CODCIE102],EPV_SARAMPION646669727378808185929697[[#This Row],[CIE-10]]))</f>
        <v>0</v>
      </c>
      <c r="V51" s="3">
        <f>IF($AK$2="(Todas)",COUNTIF(BASE[CODCIE104],EPV_SARAMPION646669727378808185929697[[#This Row],[CIE-10]]),COUNTIFS(BASE[Cod.Establecimiento],$AK$2,BASE[CODCIE104],EPV_SARAMPION646669727378808185929697[[#This Row],[CIE-10]]))</f>
        <v>0</v>
      </c>
      <c r="W51" s="3">
        <f>IF($AK$2="(Todas)",COUNTIF(BASE[CODCIE106],EPV_SARAMPION646669727378808185929697[[#This Row],[CIE-10]]),COUNTIFS(BASE[Cod.Establecimiento],$AK$2,BASE[CODCIE106],EPV_SARAMPION646669727378808185929697[[#This Row],[CIE-10]]))</f>
        <v>0</v>
      </c>
      <c r="X51" s="3">
        <f>IF($AK$2="(Todas)",COUNTIF(BASE[CODCIE108],EPV_SARAMPION646669727378808185929697[[#This Row],[CIE-10]]),COUNTIFS(BASE[Cod.Establecimiento],$AK$2,BASE[CODCIE108],EPV_SARAMPION646669727378808185929697[[#This Row],[CIE-10]]))</f>
        <v>0</v>
      </c>
      <c r="Y51" s="3">
        <f>IF($AK$2="(Todas)",COUNTIF(BASE[CODCIE1010],EPV_SARAMPION646669727378808185929697[[#This Row],[CIE-10]]),COUNTIFS(BASE[Cod.Establecimiento],$AK$2,BASE[CODCIE1010],EPV_SARAMPION646669727378808185929697[[#This Row],[CIE-10]]))</f>
        <v>0</v>
      </c>
      <c r="Z51" s="9">
        <f>SUM(EPV_SARAMPION646669727378808185929697[[#This Row],[D1]:[D6]])</f>
        <v>0</v>
      </c>
      <c r="AB51" s="4" t="s">
        <v>406</v>
      </c>
      <c r="AC51" s="3">
        <f>IF($AK$2="(Todas)",COUNTIF(BASE[CODCIE10],EPV_SARAMPION64666972737880818592969798[[#This Row],[CIE-10]]),COUNTIFS(BASE[Cod.Establecimiento],$AK$2,BASE[CODCIE10],EPV_SARAMPION64666972737880818592969798[[#This Row],[CIE-10]]))</f>
        <v>0</v>
      </c>
      <c r="AD51" s="3">
        <f>IF($AK$2="(Todas)",COUNTIF(BASE[CODCIE102],EPV_SARAMPION64666972737880818592969798[[#This Row],[CIE-10]]),COUNTIFS(BASE[Cod.Establecimiento],$AK$2,BASE[CODCIE102],EPV_SARAMPION64666972737880818592969798[[#This Row],[CIE-10]]))</f>
        <v>0</v>
      </c>
      <c r="AE51" s="3">
        <f>IF($AK$2="(Todas)",COUNTIF(BASE[CODCIE104],EPV_SARAMPION64666972737880818592969798[[#This Row],[CIE-10]]),COUNTIFS(BASE[Cod.Establecimiento],$AK$2,BASE[CODCIE104],EPV_SARAMPION64666972737880818592969798[[#This Row],[CIE-10]]))</f>
        <v>0</v>
      </c>
      <c r="AF51" s="3">
        <f>IF($AK$2="(Todas)",COUNTIF(BASE[CODCIE106],EPV_SARAMPION64666972737880818592969798[[#This Row],[CIE-10]]),COUNTIFS(BASE[Cod.Establecimiento],$AK$2,BASE[CODCIE106],EPV_SARAMPION64666972737880818592969798[[#This Row],[CIE-10]]))</f>
        <v>0</v>
      </c>
      <c r="AG51" s="3">
        <f>IF($AK$2="(Todas)",COUNTIF(BASE[CODCIE108],EPV_SARAMPION64666972737880818592969798[[#This Row],[CIE-10]]),COUNTIFS(BASE[Cod.Establecimiento],$AK$2,BASE[CODCIE108],EPV_SARAMPION64666972737880818592969798[[#This Row],[CIE-10]]))</f>
        <v>0</v>
      </c>
      <c r="AH51" s="3">
        <f>IF($AK$2="(Todas)",COUNTIF(BASE[CODCIE1010],EPV_SARAMPION64666972737880818592969798[[#This Row],[CIE-10]]),COUNTIFS(BASE[Cod.Establecimiento],$AK$2,BASE[CODCIE1010],EPV_SARAMPION64666972737880818592969798[[#This Row],[CIE-10]]))</f>
        <v>0</v>
      </c>
      <c r="AI51" s="9">
        <f>SUM(EPV_SARAMPION64666972737880818592969798[[#This Row],[D1]:[D6]])</f>
        <v>0</v>
      </c>
    </row>
    <row r="52" spans="1:35" ht="15" customHeight="1"/>
    <row r="53" spans="1:35" ht="15" customHeight="1" thickBot="1">
      <c r="A53" s="76" t="s">
        <v>88</v>
      </c>
      <c r="B53" s="76"/>
      <c r="C53" s="76"/>
      <c r="D53" s="76"/>
      <c r="E53" s="76"/>
      <c r="F53" s="76"/>
      <c r="G53" s="76"/>
      <c r="H53" s="76"/>
      <c r="J53" s="76" t="s">
        <v>407</v>
      </c>
      <c r="K53" s="76"/>
      <c r="L53" s="76"/>
      <c r="M53" s="76"/>
      <c r="N53" s="76"/>
      <c r="O53" s="76"/>
      <c r="P53" s="76"/>
      <c r="Q53" s="76"/>
      <c r="S53" s="76" t="s">
        <v>90</v>
      </c>
      <c r="T53" s="76"/>
      <c r="U53" s="76"/>
      <c r="V53" s="76"/>
      <c r="W53" s="76"/>
      <c r="X53" s="76"/>
      <c r="Y53" s="76"/>
      <c r="Z53" s="76"/>
      <c r="AB53" s="76" t="s">
        <v>412</v>
      </c>
      <c r="AC53" s="76"/>
      <c r="AD53" s="76"/>
      <c r="AE53" s="76"/>
      <c r="AF53" s="76"/>
      <c r="AG53" s="76"/>
      <c r="AH53" s="76"/>
      <c r="AI53" s="76"/>
    </row>
    <row r="54" spans="1:35" ht="15" customHeight="1" thickTop="1">
      <c r="A54" s="6" t="str">
        <f>_xlfn.CONCAT("TOTAL: ",SUM(B54:G54))</f>
        <v>TOTAL: 0</v>
      </c>
      <c r="B54" s="5">
        <f>SUM(EPV_SARAMPION64666972737880818592969798100[D1])</f>
        <v>0</v>
      </c>
      <c r="C54" s="5">
        <f>SUM(EPV_SARAMPION64666972737880818592969798100[D2])</f>
        <v>0</v>
      </c>
      <c r="D54" s="5">
        <f>SUM(EPV_SARAMPION64666972737880818592969798100[D3])</f>
        <v>0</v>
      </c>
      <c r="E54" s="5">
        <f>SUM(EPV_SARAMPION64666972737880818592969798100[D4])</f>
        <v>0</v>
      </c>
      <c r="F54" s="5">
        <f>SUM(EPV_SARAMPION64666972737880818592969798100[D5])</f>
        <v>0</v>
      </c>
      <c r="G54" s="5">
        <f>SUM(EPV_SARAMPION64666972737880818592969798100[D6])</f>
        <v>0</v>
      </c>
      <c r="H54" s="7"/>
      <c r="J54" s="6" t="str">
        <f>_xlfn.CONCAT("TOTAL: ",SUM(K54:P54))</f>
        <v>TOTAL: 0</v>
      </c>
      <c r="K54" s="5">
        <f>SUM(EPV_SARAMPION6466697273788081859296979810068[D1])</f>
        <v>0</v>
      </c>
      <c r="L54" s="5">
        <f>SUM(EPV_SARAMPION6466697273788081859296979810068[D2])</f>
        <v>0</v>
      </c>
      <c r="M54" s="5">
        <f>SUM(EPV_SARAMPION6466697273788081859296979810068[D3])</f>
        <v>0</v>
      </c>
      <c r="N54" s="5">
        <f>SUM(EPV_SARAMPION6466697273788081859296979810068[D4])</f>
        <v>0</v>
      </c>
      <c r="O54" s="5">
        <f>SUM(EPV_SARAMPION6466697273788081859296979810068[D5])</f>
        <v>0</v>
      </c>
      <c r="P54" s="5">
        <f>SUM(EPV_SARAMPION6466697273788081859296979810068[D6])</f>
        <v>0</v>
      </c>
      <c r="Q54" s="7"/>
      <c r="S54" s="6" t="str">
        <f>_xlfn.CONCAT("TOTAL: ",SUM(T54:Y54))</f>
        <v>TOTAL: 0</v>
      </c>
      <c r="T54" s="5">
        <f>SUM(EPV_SARAMPION646669727378808185929697981006879[D1])</f>
        <v>0</v>
      </c>
      <c r="U54" s="5">
        <f>SUM(EPV_SARAMPION646669727378808185929697981006879[D2])</f>
        <v>0</v>
      </c>
      <c r="V54" s="5">
        <f>SUM(EPV_SARAMPION646669727378808185929697981006879[D3])</f>
        <v>0</v>
      </c>
      <c r="W54" s="5">
        <f>SUM(EPV_SARAMPION646669727378808185929697981006879[D4])</f>
        <v>0</v>
      </c>
      <c r="X54" s="5">
        <f>SUM(EPV_SARAMPION646669727378808185929697981006879[D5])</f>
        <v>0</v>
      </c>
      <c r="Y54" s="5">
        <f>SUM(EPV_SARAMPION646669727378808185929697981006879[D6])</f>
        <v>0</v>
      </c>
      <c r="Z54" s="7"/>
      <c r="AB54" s="6" t="str">
        <f>_xlfn.CONCAT("TOTAL: ",SUM(AC54:AH54))</f>
        <v>TOTAL: 0</v>
      </c>
      <c r="AC54" s="5">
        <f>SUM(EPV_SARAMPION64666972737880818592969798100687993[D1])</f>
        <v>0</v>
      </c>
      <c r="AD54" s="5">
        <f>SUM(EPV_SARAMPION64666972737880818592969798100687993[D2])</f>
        <v>0</v>
      </c>
      <c r="AE54" s="5">
        <f>SUM(EPV_SARAMPION64666972737880818592969798100687993[D3])</f>
        <v>0</v>
      </c>
      <c r="AF54" s="5">
        <f>SUM(EPV_SARAMPION64666972737880818592969798100687993[D4])</f>
        <v>0</v>
      </c>
      <c r="AG54" s="5">
        <f>SUM(EPV_SARAMPION64666972737880818592969798100687993[D5])</f>
        <v>0</v>
      </c>
      <c r="AH54" s="5">
        <f>SUM(EPV_SARAMPION64666972737880818592969798100687993[D6])</f>
        <v>0</v>
      </c>
      <c r="AI54" s="7"/>
    </row>
    <row r="55" spans="1:35" ht="15" customHeight="1">
      <c r="A55" t="s">
        <v>93</v>
      </c>
      <c r="B55" s="3" t="s">
        <v>94</v>
      </c>
      <c r="C55" s="3" t="s">
        <v>95</v>
      </c>
      <c r="D55" s="3" t="s">
        <v>96</v>
      </c>
      <c r="E55" s="3" t="s">
        <v>97</v>
      </c>
      <c r="F55" s="3" t="s">
        <v>98</v>
      </c>
      <c r="G55" s="3" t="s">
        <v>99</v>
      </c>
      <c r="H55" s="8" t="s">
        <v>100</v>
      </c>
      <c r="J55" t="s">
        <v>93</v>
      </c>
      <c r="K55" s="3" t="s">
        <v>94</v>
      </c>
      <c r="L55" s="3" t="s">
        <v>95</v>
      </c>
      <c r="M55" s="3" t="s">
        <v>96</v>
      </c>
      <c r="N55" s="3" t="s">
        <v>97</v>
      </c>
      <c r="O55" s="3" t="s">
        <v>98</v>
      </c>
      <c r="P55" s="3" t="s">
        <v>99</v>
      </c>
      <c r="Q55" s="8" t="s">
        <v>100</v>
      </c>
      <c r="S55" t="s">
        <v>93</v>
      </c>
      <c r="T55" s="3" t="s">
        <v>94</v>
      </c>
      <c r="U55" s="3" t="s">
        <v>95</v>
      </c>
      <c r="V55" s="3" t="s">
        <v>96</v>
      </c>
      <c r="W55" s="3" t="s">
        <v>97</v>
      </c>
      <c r="X55" s="3" t="s">
        <v>98</v>
      </c>
      <c r="Y55" s="3" t="s">
        <v>99</v>
      </c>
      <c r="Z55" s="8" t="s">
        <v>100</v>
      </c>
      <c r="AB55" t="s">
        <v>93</v>
      </c>
      <c r="AC55" s="3" t="s">
        <v>94</v>
      </c>
      <c r="AD55" s="3" t="s">
        <v>95</v>
      </c>
      <c r="AE55" s="3" t="s">
        <v>96</v>
      </c>
      <c r="AF55" s="3" t="s">
        <v>97</v>
      </c>
      <c r="AG55" s="3" t="s">
        <v>98</v>
      </c>
      <c r="AH55" s="3" t="s">
        <v>99</v>
      </c>
      <c r="AI55" s="8" t="s">
        <v>100</v>
      </c>
    </row>
    <row r="56" spans="1:35" ht="15" customHeight="1">
      <c r="A56" s="4" t="s">
        <v>120</v>
      </c>
      <c r="B56" s="3">
        <f>IF($AK$2="(Todas)",COUNTIF(BASE[CODCIE10],EPV_SARAMPION64666972737880818592969798100[[#This Row],[CIE-10]]),COUNTIFS(BASE[Cod.Establecimiento],$AK$2,BASE[CODCIE10],EPV_SARAMPION64666972737880818592969798100[[#This Row],[CIE-10]]))</f>
        <v>0</v>
      </c>
      <c r="C56" s="3">
        <f>IF($AK$2="(Todas)",COUNTIF(BASE[CODCIE102],EPV_SARAMPION64666972737880818592969798100[[#This Row],[CIE-10]]),COUNTIFS(BASE[Cod.Establecimiento],$AK$2,BASE[CODCIE102],EPV_SARAMPION64666972737880818592969798100[[#This Row],[CIE-10]]))</f>
        <v>0</v>
      </c>
      <c r="D56" s="3">
        <f>IF($AK$2="(Todas)",COUNTIF(BASE[CODCIE104],EPV_SARAMPION64666972737880818592969798100[[#This Row],[CIE-10]]),COUNTIFS(BASE[Cod.Establecimiento],$AK$2,BASE[CODCIE104],EPV_SARAMPION64666972737880818592969798100[[#This Row],[CIE-10]]))</f>
        <v>0</v>
      </c>
      <c r="E56" s="3">
        <f>IF($AK$2="(Todas)",COUNTIF(BASE[CODCIE106],EPV_SARAMPION64666972737880818592969798100[[#This Row],[CIE-10]]),COUNTIFS(BASE[Cod.Establecimiento],$AK$2,BASE[CODCIE106],EPV_SARAMPION64666972737880818592969798100[[#This Row],[CIE-10]]))</f>
        <v>0</v>
      </c>
      <c r="F56" s="3">
        <f>IF($AK$2="(Todas)",COUNTIF(BASE[CODCIE108],EPV_SARAMPION64666972737880818592969798100[[#This Row],[CIE-10]]),COUNTIFS(BASE[Cod.Establecimiento],$AK$2,BASE[CODCIE108],EPV_SARAMPION64666972737880818592969798100[[#This Row],[CIE-10]]))</f>
        <v>0</v>
      </c>
      <c r="G56" s="3">
        <f>IF($AK$2="(Todas)",COUNTIF(BASE[CODCIE1010],EPV_SARAMPION64666972737880818592969798100[[#This Row],[CIE-10]]),COUNTIFS(BASE[Cod.Establecimiento],$AK$2,BASE[CODCIE1010],EPV_SARAMPION64666972737880818592969798100[[#This Row],[CIE-10]]))</f>
        <v>0</v>
      </c>
      <c r="H56" s="9">
        <f>SUM(EPV_SARAMPION64666972737880818592969798100[[#This Row],[D1]:[D6]])</f>
        <v>0</v>
      </c>
      <c r="J56" s="4" t="s">
        <v>124</v>
      </c>
      <c r="K56" s="3">
        <f>IF($AK$2="(Todas)",COUNTIF(BASE[CODCIE10],EPV_SARAMPION6466697273788081859296979810068[[#This Row],[CIE-10]]),COUNTIFS(BASE[Cod.Establecimiento],$AK$2,BASE[CODCIE10],EPV_SARAMPION6466697273788081859296979810068[[#This Row],[CIE-10]]))</f>
        <v>0</v>
      </c>
      <c r="L56" s="3">
        <f>IF($AK$2="(Todas)",COUNTIF(BASE[CODCIE102],EPV_SARAMPION6466697273788081859296979810068[[#This Row],[CIE-10]]),COUNTIFS(BASE[Cod.Establecimiento],$AK$2,BASE[CODCIE102],EPV_SARAMPION6466697273788081859296979810068[[#This Row],[CIE-10]]))</f>
        <v>0</v>
      </c>
      <c r="M56" s="3">
        <f>IF($AK$2="(Todas)",COUNTIF(BASE[CODCIE104],EPV_SARAMPION6466697273788081859296979810068[[#This Row],[CIE-10]]),COUNTIFS(BASE[Cod.Establecimiento],$AK$2,BASE[CODCIE104],EPV_SARAMPION6466697273788081859296979810068[[#This Row],[CIE-10]]))</f>
        <v>0</v>
      </c>
      <c r="N56" s="3">
        <f>IF($AK$2="(Todas)",COUNTIF(BASE[CODCIE106],EPV_SARAMPION6466697273788081859296979810068[[#This Row],[CIE-10]]),COUNTIFS(BASE[Cod.Establecimiento],$AK$2,BASE[CODCIE106],EPV_SARAMPION6466697273788081859296979810068[[#This Row],[CIE-10]]))</f>
        <v>0</v>
      </c>
      <c r="O56" s="3">
        <f>IF($AK$2="(Todas)",COUNTIF(BASE[CODCIE108],EPV_SARAMPION6466697273788081859296979810068[[#This Row],[CIE-10]]),COUNTIFS(BASE[Cod.Establecimiento],$AK$2,BASE[CODCIE108],EPV_SARAMPION6466697273788081859296979810068[[#This Row],[CIE-10]]))</f>
        <v>0</v>
      </c>
      <c r="P56" s="3">
        <f>IF($AK$2="(Todas)",COUNTIF(BASE[CODCIE1010],EPV_SARAMPION6466697273788081859296979810068[[#This Row],[CIE-10]]),COUNTIFS(BASE[Cod.Establecimiento],$AK$2,BASE[CODCIE1010],EPV_SARAMPION6466697273788081859296979810068[[#This Row],[CIE-10]]))</f>
        <v>0</v>
      </c>
      <c r="Q56" s="9">
        <f>SUM(EPV_SARAMPION6466697273788081859296979810068[[#This Row],[D1]:[D6]])</f>
        <v>0</v>
      </c>
      <c r="S56" s="4" t="s">
        <v>121</v>
      </c>
      <c r="T56" s="3">
        <f>IF($AK$2="(Todas)",COUNTIF(BASE[CODCIE10],EPV_SARAMPION646669727378808185929697981006879[[#This Row],[CIE-10]]),COUNTIFS(BASE[Cod.Establecimiento],$AK$2,BASE[CODCIE10],EPV_SARAMPION646669727378808185929697981006879[[#This Row],[CIE-10]]))</f>
        <v>0</v>
      </c>
      <c r="U56" s="3">
        <f>IF($AK$2="(Todas)",COUNTIF(BASE[CODCIE102],EPV_SARAMPION646669727378808185929697981006879[[#This Row],[CIE-10]]),COUNTIFS(BASE[Cod.Establecimiento],$AK$2,BASE[CODCIE102],EPV_SARAMPION646669727378808185929697981006879[[#This Row],[CIE-10]]))</f>
        <v>0</v>
      </c>
      <c r="V56" s="3">
        <f>IF($AK$2="(Todas)",COUNTIF(BASE[CODCIE104],EPV_SARAMPION646669727378808185929697981006879[[#This Row],[CIE-10]]),COUNTIFS(BASE[Cod.Establecimiento],$AK$2,BASE[CODCIE104],EPV_SARAMPION646669727378808185929697981006879[[#This Row],[CIE-10]]))</f>
        <v>0</v>
      </c>
      <c r="W56" s="3">
        <f>IF($AK$2="(Todas)",COUNTIF(BASE[CODCIE106],EPV_SARAMPION646669727378808185929697981006879[[#This Row],[CIE-10]]),COUNTIFS(BASE[Cod.Establecimiento],$AK$2,BASE[CODCIE106],EPV_SARAMPION646669727378808185929697981006879[[#This Row],[CIE-10]]))</f>
        <v>0</v>
      </c>
      <c r="X56" s="3">
        <f>IF($AK$2="(Todas)",COUNTIF(BASE[CODCIE108],EPV_SARAMPION646669727378808185929697981006879[[#This Row],[CIE-10]]),COUNTIFS(BASE[Cod.Establecimiento],$AK$2,BASE[CODCIE108],EPV_SARAMPION646669727378808185929697981006879[[#This Row],[CIE-10]]))</f>
        <v>0</v>
      </c>
      <c r="Y56" s="3">
        <f>IF($AK$2="(Todas)",COUNTIF(BASE[CODCIE1010],EPV_SARAMPION646669727378808185929697981006879[[#This Row],[CIE-10]]),COUNTIFS(BASE[Cod.Establecimiento],$AK$2,BASE[CODCIE1010],EPV_SARAMPION646669727378808185929697981006879[[#This Row],[CIE-10]]))</f>
        <v>0</v>
      </c>
      <c r="Z56" s="9">
        <f>SUM(EPV_SARAMPION646669727378808185929697981006879[[#This Row],[D1]:[D6]])</f>
        <v>0</v>
      </c>
      <c r="AB56" s="4" t="s">
        <v>413</v>
      </c>
      <c r="AC56" s="3">
        <f>IF($AK$2="(Todas)",COUNTIF(BASE[CODCIE10],EPV_SARAMPION64666972737880818592969798100687993[[#This Row],[CIE-10]]),COUNTIFS(BASE[Cod.Establecimiento],$AK$2,BASE[CODCIE10],EPV_SARAMPION64666972737880818592969798100687993[[#This Row],[CIE-10]]))</f>
        <v>0</v>
      </c>
      <c r="AD56" s="3">
        <f>IF($AK$2="(Todas)",COUNTIF(BASE[CODCIE102],EPV_SARAMPION64666972737880818592969798100687993[[#This Row],[CIE-10]]),COUNTIFS(BASE[Cod.Establecimiento],$AK$2,BASE[CODCIE102],EPV_SARAMPION64666972737880818592969798100687993[[#This Row],[CIE-10]]))</f>
        <v>0</v>
      </c>
      <c r="AE56" s="3">
        <f>IF($AK$2="(Todas)",COUNTIF(BASE[CODCIE104],EPV_SARAMPION64666972737880818592969798100687993[[#This Row],[CIE-10]]),COUNTIFS(BASE[Cod.Establecimiento],$AK$2,BASE[CODCIE104],EPV_SARAMPION64666972737880818592969798100687993[[#This Row],[CIE-10]]))</f>
        <v>0</v>
      </c>
      <c r="AF56" s="3">
        <f>IF($AK$2="(Todas)",COUNTIF(BASE[CODCIE106],EPV_SARAMPION64666972737880818592969798100687993[[#This Row],[CIE-10]]),COUNTIFS(BASE[Cod.Establecimiento],$AK$2,BASE[CODCIE106],EPV_SARAMPION64666972737880818592969798100687993[[#This Row],[CIE-10]]))</f>
        <v>0</v>
      </c>
      <c r="AG56" s="3">
        <f>IF($AK$2="(Todas)",COUNTIF(BASE[CODCIE108],EPV_SARAMPION64666972737880818592969798100687993[[#This Row],[CIE-10]]),COUNTIFS(BASE[Cod.Establecimiento],$AK$2,BASE[CODCIE108],EPV_SARAMPION64666972737880818592969798100687993[[#This Row],[CIE-10]]))</f>
        <v>0</v>
      </c>
      <c r="AH56" s="3">
        <f>IF($AK$2="(Todas)",COUNTIF(BASE[CODCIE1010],EPV_SARAMPION64666972737880818592969798100687993[[#This Row],[CIE-10]]),COUNTIFS(BASE[Cod.Establecimiento],$AK$2,BASE[CODCIE1010],EPV_SARAMPION64666972737880818592969798100687993[[#This Row],[CIE-10]]))</f>
        <v>0</v>
      </c>
      <c r="AI56" s="9">
        <f>SUM(EPV_SARAMPION64666972737880818592969798100687993[[#This Row],[D1]:[D6]])</f>
        <v>0</v>
      </c>
    </row>
    <row r="57" spans="1:35" ht="15" customHeight="1"/>
    <row r="58" spans="1:35" ht="15" customHeight="1" thickBot="1">
      <c r="A58" s="76" t="s">
        <v>408</v>
      </c>
      <c r="B58" s="76"/>
      <c r="C58" s="76"/>
      <c r="D58" s="76"/>
      <c r="E58" s="76"/>
      <c r="F58" s="76"/>
      <c r="G58" s="76"/>
      <c r="H58" s="76"/>
      <c r="J58" s="76" t="s">
        <v>409</v>
      </c>
      <c r="K58" s="76"/>
      <c r="L58" s="76"/>
      <c r="M58" s="76"/>
      <c r="N58" s="76"/>
      <c r="O58" s="76"/>
      <c r="P58" s="76"/>
      <c r="Q58" s="76"/>
      <c r="S58" s="76" t="s">
        <v>128</v>
      </c>
      <c r="T58" s="76"/>
      <c r="U58" s="76"/>
      <c r="V58" s="76"/>
      <c r="W58" s="76"/>
      <c r="X58" s="76"/>
      <c r="Y58" s="76"/>
      <c r="Z58" s="76"/>
      <c r="AB58" s="76" t="s">
        <v>414</v>
      </c>
      <c r="AC58" s="76"/>
      <c r="AD58" s="76"/>
      <c r="AE58" s="76"/>
      <c r="AF58" s="76"/>
      <c r="AG58" s="76"/>
      <c r="AH58" s="76"/>
      <c r="AI58" s="76"/>
    </row>
    <row r="59" spans="1:35" ht="15" customHeight="1" thickTop="1">
      <c r="A59" s="6" t="str">
        <f>_xlfn.CONCAT("TOTAL: ",SUM(B59:G59))</f>
        <v>TOTAL: 0</v>
      </c>
      <c r="B59" s="5">
        <f>SUM(EPV_SARAMPION64666972737880818592969798100687989[D1])</f>
        <v>0</v>
      </c>
      <c r="C59" s="5">
        <f>SUM(EPV_SARAMPION64666972737880818592969798100687989[D2])</f>
        <v>0</v>
      </c>
      <c r="D59" s="5">
        <f>SUM(EPV_SARAMPION64666972737880818592969798100687989[D3])</f>
        <v>0</v>
      </c>
      <c r="E59" s="5">
        <f>SUM(EPV_SARAMPION64666972737880818592969798100687989[D4])</f>
        <v>0</v>
      </c>
      <c r="F59" s="5">
        <f>SUM(EPV_SARAMPION64666972737880818592969798100687989[D5])</f>
        <v>0</v>
      </c>
      <c r="G59" s="5">
        <f>SUM(EPV_SARAMPION64666972737880818592969798100687989[D6])</f>
        <v>0</v>
      </c>
      <c r="H59" s="7"/>
      <c r="J59" s="6" t="str">
        <f>_xlfn.CONCAT("TOTAL: ",SUM(K59:P59))</f>
        <v>TOTAL: 0</v>
      </c>
      <c r="K59" s="5">
        <f>SUM(EPV_SARAMPION646669727378808185929697981006890[D1])</f>
        <v>0</v>
      </c>
      <c r="L59" s="5">
        <f>SUM(EPV_SARAMPION646669727378808185929697981006890[D2])</f>
        <v>0</v>
      </c>
      <c r="M59" s="5">
        <f>SUM(EPV_SARAMPION646669727378808185929697981006890[D3])</f>
        <v>0</v>
      </c>
      <c r="N59" s="5">
        <f>SUM(EPV_SARAMPION646669727378808185929697981006890[D4])</f>
        <v>0</v>
      </c>
      <c r="O59" s="5">
        <f>SUM(EPV_SARAMPION646669727378808185929697981006890[D5])</f>
        <v>0</v>
      </c>
      <c r="P59" s="5">
        <f>SUM(EPV_SARAMPION646669727378808185929697981006890[D6])</f>
        <v>0</v>
      </c>
      <c r="Q59" s="7"/>
      <c r="S59" s="6" t="str">
        <f>_xlfn.CONCAT("TOTAL: ",SUM(T59:Y59))</f>
        <v>TOTAL: 0</v>
      </c>
      <c r="T59" s="5">
        <f>SUM(EPV_SARAMPION6466697273788081859296979810068799399[D1])</f>
        <v>0</v>
      </c>
      <c r="U59" s="5">
        <f>SUM(EPV_SARAMPION6466697273788081859296979810068799399[D2])</f>
        <v>0</v>
      </c>
      <c r="V59" s="5">
        <f>SUM(EPV_SARAMPION6466697273788081859296979810068799399[D3])</f>
        <v>0</v>
      </c>
      <c r="W59" s="5">
        <f>SUM(EPV_SARAMPION6466697273788081859296979810068799399[D4])</f>
        <v>0</v>
      </c>
      <c r="X59" s="5">
        <f>SUM(EPV_SARAMPION6466697273788081859296979810068799399[D5])</f>
        <v>0</v>
      </c>
      <c r="Y59" s="5">
        <f>SUM(EPV_SARAMPION6466697273788081859296979810068799399[D6])</f>
        <v>0</v>
      </c>
      <c r="Z59" s="7"/>
      <c r="AB59" s="6" t="str">
        <f>_xlfn.CONCAT("TOTAL: ",SUM(AC59:AH59))</f>
        <v>TOTAL: 0</v>
      </c>
      <c r="AC59" s="5">
        <f>SUM(EPV_SARAMPION6466697273788081859296979810068799399101[D1])</f>
        <v>0</v>
      </c>
      <c r="AD59" s="5">
        <f>SUM(EPV_SARAMPION6466697273788081859296979810068799399101[D2])</f>
        <v>0</v>
      </c>
      <c r="AE59" s="5">
        <f>SUM(EPV_SARAMPION6466697273788081859296979810068799399101[D3])</f>
        <v>0</v>
      </c>
      <c r="AF59" s="5">
        <f>SUM(EPV_SARAMPION6466697273788081859296979810068799399101[D4])</f>
        <v>0</v>
      </c>
      <c r="AG59" s="5">
        <f>SUM(EPV_SARAMPION6466697273788081859296979810068799399101[D5])</f>
        <v>0</v>
      </c>
      <c r="AH59" s="5">
        <f>SUM(EPV_SARAMPION6466697273788081859296979810068799399101[D6])</f>
        <v>0</v>
      </c>
      <c r="AI59" s="7"/>
    </row>
    <row r="60" spans="1:35" ht="15" customHeight="1">
      <c r="A60" t="s">
        <v>93</v>
      </c>
      <c r="B60" s="3" t="s">
        <v>94</v>
      </c>
      <c r="C60" s="3" t="s">
        <v>95</v>
      </c>
      <c r="D60" s="3" t="s">
        <v>96</v>
      </c>
      <c r="E60" s="3" t="s">
        <v>97</v>
      </c>
      <c r="F60" s="3" t="s">
        <v>98</v>
      </c>
      <c r="G60" s="3" t="s">
        <v>99</v>
      </c>
      <c r="H60" s="8" t="s">
        <v>100</v>
      </c>
      <c r="J60" t="s">
        <v>93</v>
      </c>
      <c r="K60" s="3" t="s">
        <v>94</v>
      </c>
      <c r="L60" s="3" t="s">
        <v>95</v>
      </c>
      <c r="M60" s="3" t="s">
        <v>96</v>
      </c>
      <c r="N60" s="3" t="s">
        <v>97</v>
      </c>
      <c r="O60" s="3" t="s">
        <v>98</v>
      </c>
      <c r="P60" s="3" t="s">
        <v>99</v>
      </c>
      <c r="Q60" s="8" t="s">
        <v>100</v>
      </c>
      <c r="S60" t="s">
        <v>93</v>
      </c>
      <c r="T60" s="3" t="s">
        <v>94</v>
      </c>
      <c r="U60" s="3" t="s">
        <v>95</v>
      </c>
      <c r="V60" s="3" t="s">
        <v>96</v>
      </c>
      <c r="W60" s="3" t="s">
        <v>97</v>
      </c>
      <c r="X60" s="3" t="s">
        <v>98</v>
      </c>
      <c r="Y60" s="3" t="s">
        <v>99</v>
      </c>
      <c r="Z60" s="8" t="s">
        <v>100</v>
      </c>
      <c r="AB60" t="s">
        <v>93</v>
      </c>
      <c r="AC60" s="3" t="s">
        <v>94</v>
      </c>
      <c r="AD60" s="3" t="s">
        <v>95</v>
      </c>
      <c r="AE60" s="3" t="s">
        <v>96</v>
      </c>
      <c r="AF60" s="3" t="s">
        <v>97</v>
      </c>
      <c r="AG60" s="3" t="s">
        <v>98</v>
      </c>
      <c r="AH60" s="3" t="s">
        <v>99</v>
      </c>
      <c r="AI60" s="8" t="s">
        <v>100</v>
      </c>
    </row>
    <row r="61" spans="1:35" ht="15" customHeight="1">
      <c r="A61" s="4" t="s">
        <v>262</v>
      </c>
      <c r="B61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1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1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1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1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1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1" s="9">
        <f>SUM(EPV_SARAMPION64666972737880818592969798100687989[[#This Row],[D1]:[D6]])</f>
        <v>0</v>
      </c>
      <c r="J61" s="4" t="s">
        <v>411</v>
      </c>
      <c r="K61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1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1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1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1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1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1" s="9">
        <f>SUM(EPV_SARAMPION646669727378808185929697981006890[[#This Row],[D1]:[D6]])</f>
        <v>0</v>
      </c>
      <c r="S61" s="4" t="s">
        <v>132</v>
      </c>
      <c r="T61" s="3">
        <f>IF($AK$2="(Todas)",COUNTIF(BASE[CODCIE10],EPV_SARAMPION6466697273788081859296979810068799399[[#This Row],[CIE-10]]),COUNTIFS(BASE[Cod.Establecimiento],$AK$2,BASE[CODCIE10],EPV_SARAMPION6466697273788081859296979810068799399[[#This Row],[CIE-10]]))</f>
        <v>0</v>
      </c>
      <c r="U61" s="3">
        <f>IF($AK$2="(Todas)",COUNTIF(BASE[CODCIE102],EPV_SARAMPION6466697273788081859296979810068799399[[#This Row],[CIE-10]]),COUNTIFS(BASE[Cod.Establecimiento],$AK$2,BASE[CODCIE102],EPV_SARAMPION6466697273788081859296979810068799399[[#This Row],[CIE-10]]))</f>
        <v>0</v>
      </c>
      <c r="V61" s="3">
        <f>IF($AK$2="(Todas)",COUNTIF(BASE[CODCIE104],EPV_SARAMPION6466697273788081859296979810068799399[[#This Row],[CIE-10]]),COUNTIFS(BASE[Cod.Establecimiento],$AK$2,BASE[CODCIE104],EPV_SARAMPION6466697273788081859296979810068799399[[#This Row],[CIE-10]]))</f>
        <v>0</v>
      </c>
      <c r="W61" s="3">
        <f>IF($AK$2="(Todas)",COUNTIF(BASE[CODCIE106],EPV_SARAMPION6466697273788081859296979810068799399[[#This Row],[CIE-10]]),COUNTIFS(BASE[Cod.Establecimiento],$AK$2,BASE[CODCIE106],EPV_SARAMPION6466697273788081859296979810068799399[[#This Row],[CIE-10]]))</f>
        <v>0</v>
      </c>
      <c r="X61" s="3">
        <f>IF($AK$2="(Todas)",COUNTIF(BASE[CODCIE108],EPV_SARAMPION6466697273788081859296979810068799399[[#This Row],[CIE-10]]),COUNTIFS(BASE[Cod.Establecimiento],$AK$2,BASE[CODCIE108],EPV_SARAMPION6466697273788081859296979810068799399[[#This Row],[CIE-10]]))</f>
        <v>0</v>
      </c>
      <c r="Y61" s="3">
        <f>IF($AK$2="(Todas)",COUNTIF(BASE[CODCIE1010],EPV_SARAMPION6466697273788081859296979810068799399[[#This Row],[CIE-10]]),COUNTIFS(BASE[Cod.Establecimiento],$AK$2,BASE[CODCIE1010],EPV_SARAMPION6466697273788081859296979810068799399[[#This Row],[CIE-10]]))</f>
        <v>0</v>
      </c>
      <c r="Z61" s="9">
        <f>SUM(EPV_SARAMPION6466697273788081859296979810068799399[[#This Row],[D1]:[D6]])</f>
        <v>0</v>
      </c>
      <c r="AB61" s="4" t="s">
        <v>416</v>
      </c>
      <c r="AC61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1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1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1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1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1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1" s="9">
        <f>SUM(EPV_SARAMPION6466697273788081859296979810068799399101[[#This Row],[D1]:[D6]])</f>
        <v>0</v>
      </c>
    </row>
    <row r="62" spans="1:35" ht="15" customHeight="1">
      <c r="A62" s="32" t="s">
        <v>265</v>
      </c>
      <c r="B62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2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2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2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2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2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2" s="9">
        <f>SUM(EPV_SARAMPION64666972737880818592969798100687989[[#This Row],[D1]:[D6]])</f>
        <v>0</v>
      </c>
      <c r="J62" s="32" t="s">
        <v>410</v>
      </c>
      <c r="K62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2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2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2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2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2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2" s="9">
        <f>SUM(EPV_SARAMPION646669727378808185929697981006890[[#This Row],[D1]:[D6]])</f>
        <v>0</v>
      </c>
      <c r="AB62" s="32" t="s">
        <v>417</v>
      </c>
      <c r="AC62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2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2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2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2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2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2" s="9">
        <f>SUM(EPV_SARAMPION6466697273788081859296979810068799399101[[#This Row],[D1]:[D6]])</f>
        <v>0</v>
      </c>
    </row>
    <row r="63" spans="1:35" ht="15" customHeight="1">
      <c r="A63" s="32" t="s">
        <v>266</v>
      </c>
      <c r="B63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3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3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3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3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3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3" s="9">
        <f>SUM(EPV_SARAMPION64666972737880818592969798100687989[[#This Row],[D1]:[D6]])</f>
        <v>0</v>
      </c>
      <c r="J63" s="32" t="s">
        <v>415</v>
      </c>
      <c r="K63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3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3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3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3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3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3" s="9">
        <f>SUM(EPV_SARAMPION646669727378808185929697981006890[[#This Row],[D1]:[D6]])</f>
        <v>0</v>
      </c>
      <c r="AB63" s="32" t="s">
        <v>418</v>
      </c>
      <c r="AC63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3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3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3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3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3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3" s="9">
        <f>SUM(EPV_SARAMPION6466697273788081859296979810068799399101[[#This Row],[D1]:[D6]])</f>
        <v>0</v>
      </c>
    </row>
    <row r="64" spans="1:35" ht="15" customHeight="1">
      <c r="AB64" s="32" t="s">
        <v>419</v>
      </c>
      <c r="AC64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4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4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4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4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4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4" s="9">
        <f>SUM(EPV_SARAMPION6466697273788081859296979810068799399101[[#This Row],[D1]:[D6]])</f>
        <v>0</v>
      </c>
    </row>
    <row r="65" spans="1:35" ht="18" thickBot="1">
      <c r="A65" s="76" t="s">
        <v>144</v>
      </c>
      <c r="B65" s="76"/>
      <c r="C65" s="76"/>
      <c r="D65" s="76"/>
      <c r="E65" s="76"/>
      <c r="F65" s="76"/>
      <c r="G65" s="76"/>
      <c r="H65" s="76"/>
      <c r="J65" s="76" t="s">
        <v>421</v>
      </c>
      <c r="K65" s="76"/>
      <c r="L65" s="76"/>
      <c r="M65" s="76"/>
      <c r="N65" s="76"/>
      <c r="O65" s="76"/>
      <c r="P65" s="76"/>
      <c r="Q65" s="76"/>
      <c r="AB65" s="32" t="s">
        <v>420</v>
      </c>
      <c r="AC65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5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5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5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5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5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5" s="9">
        <f>SUM(EPV_SARAMPION6466697273788081859296979810068799399101[[#This Row],[D1]:[D6]])</f>
        <v>0</v>
      </c>
    </row>
    <row r="66" spans="1:35" ht="15.75" thickTop="1">
      <c r="A66" s="6" t="str">
        <f>_xlfn.CONCAT("TOTAL: ",SUM(B66:G66))</f>
        <v>TOTAL: 0</v>
      </c>
      <c r="B66" s="5">
        <f>SUM(EPV_SARAMPION6466697273788081859296979810068799399102[D1])</f>
        <v>0</v>
      </c>
      <c r="C66" s="5">
        <f>SUM(EPV_SARAMPION6466697273788081859296979810068799399102[D2])</f>
        <v>0</v>
      </c>
      <c r="D66" s="5">
        <f>SUM(EPV_SARAMPION6466697273788081859296979810068799399102[D3])</f>
        <v>0</v>
      </c>
      <c r="E66" s="5">
        <f>SUM(EPV_SARAMPION6466697273788081859296979810068799399102[D4])</f>
        <v>0</v>
      </c>
      <c r="F66" s="5">
        <f>SUM(EPV_SARAMPION6466697273788081859296979810068799399102[D5])</f>
        <v>0</v>
      </c>
      <c r="G66" s="5">
        <f>SUM(EPV_SARAMPION6466697273788081859296979810068799399102[D6])</f>
        <v>0</v>
      </c>
      <c r="H66" s="7"/>
      <c r="J66" s="6" t="str">
        <f>_xlfn.CONCAT("TOTAL: ",SUM(K66:P66))</f>
        <v>TOTAL: 0</v>
      </c>
      <c r="K66" s="5">
        <f>SUM(EPV_SARAMPION6466697273788081859296979810068799399101104[D1])</f>
        <v>0</v>
      </c>
      <c r="L66" s="5">
        <f>SUM(EPV_SARAMPION6466697273788081859296979810068799399101104[D2])</f>
        <v>0</v>
      </c>
      <c r="M66" s="5">
        <f>SUM(EPV_SARAMPION6466697273788081859296979810068799399101104[D3])</f>
        <v>0</v>
      </c>
      <c r="N66" s="5">
        <f>SUM(EPV_SARAMPION6466697273788081859296979810068799399101104[D4])</f>
        <v>0</v>
      </c>
      <c r="O66" s="5">
        <f>SUM(EPV_SARAMPION6466697273788081859296979810068799399101104[D5])</f>
        <v>0</v>
      </c>
      <c r="P66" s="5">
        <f>SUM(EPV_SARAMPION6466697273788081859296979810068799399101104[D6])</f>
        <v>0</v>
      </c>
      <c r="Q66" s="7"/>
    </row>
    <row r="67" spans="1:35">
      <c r="A67" t="s">
        <v>93</v>
      </c>
      <c r="B67" s="3" t="s">
        <v>94</v>
      </c>
      <c r="C67" s="3" t="s">
        <v>95</v>
      </c>
      <c r="D67" s="3" t="s">
        <v>96</v>
      </c>
      <c r="E67" s="3" t="s">
        <v>97</v>
      </c>
      <c r="F67" s="3" t="s">
        <v>98</v>
      </c>
      <c r="G67" s="3" t="s">
        <v>99</v>
      </c>
      <c r="H67" s="8" t="s">
        <v>100</v>
      </c>
      <c r="J67" t="s">
        <v>93</v>
      </c>
      <c r="K67" s="3" t="s">
        <v>94</v>
      </c>
      <c r="L67" s="3" t="s">
        <v>95</v>
      </c>
      <c r="M67" s="3" t="s">
        <v>96</v>
      </c>
      <c r="N67" s="3" t="s">
        <v>97</v>
      </c>
      <c r="O67" s="3" t="s">
        <v>98</v>
      </c>
      <c r="P67" s="3" t="s">
        <v>99</v>
      </c>
      <c r="Q67" s="8" t="s">
        <v>100</v>
      </c>
    </row>
    <row r="68" spans="1:35">
      <c r="A68" s="4" t="s">
        <v>147</v>
      </c>
      <c r="B68" s="3">
        <f>IF($AK$2="(Todas)",COUNTIF(BASE[CODCIE10],EPV_SARAMPION6466697273788081859296979810068799399102[[#This Row],[CIE-10]]),COUNTIFS(BASE[Cod.Establecimiento],$AK$2,BASE[CODCIE10],EPV_SARAMPION6466697273788081859296979810068799399102[[#This Row],[CIE-10]]))</f>
        <v>0</v>
      </c>
      <c r="C68" s="3">
        <f>IF($AK$2="(Todas)",COUNTIF(BASE[CODCIE102],EPV_SARAMPION6466697273788081859296979810068799399102[[#This Row],[CIE-10]]),COUNTIFS(BASE[Cod.Establecimiento],$AK$2,BASE[CODCIE102],EPV_SARAMPION6466697273788081859296979810068799399102[[#This Row],[CIE-10]]))</f>
        <v>0</v>
      </c>
      <c r="D68" s="3">
        <f>IF($AK$2="(Todas)",COUNTIF(BASE[CODCIE104],EPV_SARAMPION6466697273788081859296979810068799399102[[#This Row],[CIE-10]]),COUNTIFS(BASE[Cod.Establecimiento],$AK$2,BASE[CODCIE104],EPV_SARAMPION6466697273788081859296979810068799399102[[#This Row],[CIE-10]]))</f>
        <v>0</v>
      </c>
      <c r="E68" s="3">
        <f>IF($AK$2="(Todas)",COUNTIF(BASE[CODCIE106],EPV_SARAMPION6466697273788081859296979810068799399102[[#This Row],[CIE-10]]),COUNTIFS(BASE[Cod.Establecimiento],$AK$2,BASE[CODCIE106],EPV_SARAMPION6466697273788081859296979810068799399102[[#This Row],[CIE-10]]))</f>
        <v>0</v>
      </c>
      <c r="F68" s="3">
        <f>IF($AK$2="(Todas)",COUNTIF(BASE[CODCIE108],EPV_SARAMPION6466697273788081859296979810068799399102[[#This Row],[CIE-10]]),COUNTIFS(BASE[Cod.Establecimiento],$AK$2,BASE[CODCIE108],EPV_SARAMPION6466697273788081859296979810068799399102[[#This Row],[CIE-10]]))</f>
        <v>0</v>
      </c>
      <c r="G68" s="3">
        <f>IF($AK$2="(Todas)",COUNTIF(BASE[CODCIE1010],EPV_SARAMPION6466697273788081859296979810068799399102[[#This Row],[CIE-10]]),COUNTIFS(BASE[Cod.Establecimiento],$AK$2,BASE[CODCIE1010],EPV_SARAMPION6466697273788081859296979810068799399102[[#This Row],[CIE-10]]))</f>
        <v>0</v>
      </c>
      <c r="H68" s="9">
        <f>SUM(EPV_SARAMPION6466697273788081859296979810068799399102[[#This Row],[D1]:[D6]])</f>
        <v>0</v>
      </c>
      <c r="J68" s="4" t="s">
        <v>422</v>
      </c>
      <c r="K68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68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68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68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68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68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68" s="9">
        <f>SUM(EPV_SARAMPION6466697273788081859296979810068799399101104[[#This Row],[D1]:[D6]])</f>
        <v>0</v>
      </c>
    </row>
    <row r="69" spans="1:35">
      <c r="J69" s="32" t="s">
        <v>423</v>
      </c>
      <c r="K69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69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69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69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69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69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69" s="9">
        <f>SUM(EPV_SARAMPION6466697273788081859296979810068799399101104[[#This Row],[D1]:[D6]])</f>
        <v>0</v>
      </c>
    </row>
    <row r="70" spans="1:35">
      <c r="J70" s="32" t="s">
        <v>424</v>
      </c>
      <c r="K70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0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0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0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0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0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0" s="9">
        <f>SUM(EPV_SARAMPION6466697273788081859296979810068799399101104[[#This Row],[D1]:[D6]])</f>
        <v>0</v>
      </c>
    </row>
    <row r="71" spans="1:35">
      <c r="J71" s="32" t="s">
        <v>425</v>
      </c>
      <c r="K71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1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1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1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1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1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1" s="9">
        <f>SUM(EPV_SARAMPION6466697273788081859296979810068799399101104[[#This Row],[D1]:[D6]])</f>
        <v>0</v>
      </c>
    </row>
    <row r="72" spans="1:35">
      <c r="J72" s="32" t="s">
        <v>426</v>
      </c>
      <c r="K72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2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2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2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2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2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2" s="9">
        <f>SUM(EPV_SARAMPION6466697273788081859296979810068799399101104[[#This Row],[D1]:[D6]])</f>
        <v>0</v>
      </c>
    </row>
  </sheetData>
  <mergeCells count="45">
    <mergeCell ref="J17:Q17"/>
    <mergeCell ref="AJ1:AK1"/>
    <mergeCell ref="A2:H2"/>
    <mergeCell ref="AB2:AI2"/>
    <mergeCell ref="J2:Q2"/>
    <mergeCell ref="S2:Z2"/>
    <mergeCell ref="F1:K1"/>
    <mergeCell ref="AJ7:AK35"/>
    <mergeCell ref="S17:Z17"/>
    <mergeCell ref="AB17:AI17"/>
    <mergeCell ref="S7:Z7"/>
    <mergeCell ref="AB7:AI7"/>
    <mergeCell ref="J12:Q12"/>
    <mergeCell ref="S12:Z12"/>
    <mergeCell ref="AB12:AI12"/>
    <mergeCell ref="A37:H37"/>
    <mergeCell ref="J27:Q27"/>
    <mergeCell ref="A27:H27"/>
    <mergeCell ref="A32:H32"/>
    <mergeCell ref="J32:Q32"/>
    <mergeCell ref="J37:Q37"/>
    <mergeCell ref="S37:Z37"/>
    <mergeCell ref="AB37:AI37"/>
    <mergeCell ref="S31:Z31"/>
    <mergeCell ref="AB32:AI32"/>
    <mergeCell ref="J22:Q22"/>
    <mergeCell ref="S22:Z22"/>
    <mergeCell ref="AB22:AI22"/>
    <mergeCell ref="AB43:AI43"/>
    <mergeCell ref="S48:Z48"/>
    <mergeCell ref="AB48:AI48"/>
    <mergeCell ref="A53:H53"/>
    <mergeCell ref="A43:H43"/>
    <mergeCell ref="J43:Q43"/>
    <mergeCell ref="J48:Q48"/>
    <mergeCell ref="S43:Z43"/>
    <mergeCell ref="J53:Q53"/>
    <mergeCell ref="S53:Z53"/>
    <mergeCell ref="A65:H65"/>
    <mergeCell ref="J65:Q65"/>
    <mergeCell ref="A58:H58"/>
    <mergeCell ref="J58:Q58"/>
    <mergeCell ref="AB53:AI53"/>
    <mergeCell ref="S58:Z58"/>
    <mergeCell ref="AB58:AI58"/>
  </mergeCells>
  <phoneticPr fontId="29" type="noConversion"/>
  <conditionalFormatting sqref="K5:Q8">
    <cfRule type="cellIs" dxfId="40" priority="12" operator="greaterThan">
      <formula>0</formula>
    </cfRule>
  </conditionalFormatting>
  <conditionalFormatting sqref="K56:Q56 T56:Z56 AC56:AI56 T61:Z61 B61:H63 K61:Q63 AC61:AI65 B68:H68 K68:Q72">
    <cfRule type="cellIs" dxfId="39" priority="1" operator="greaterThan">
      <formula>0</formula>
    </cfRule>
  </conditionalFormatting>
  <conditionalFormatting sqref="T5:Z5 AC5:AI5 T10:Z10 AC10:AI10 K15:Q15 T15:Z15 AC15:AI15 K20:Q20 T20:Z20 AC20:AI20 K25:Q25 T25:Z27 AC25:AI29 B30:H30 K30:Q30 T34:Z35 B35:H35 K35:Q35 AC35:AI35 B40:H40 K40:Q40 T40:Z41 AC40:AI41 K46:Q46 T46:Z46 AC46:AI46 B46:H50 K51:Q51 T51:Z51 AC51:AI51 B56:H56">
    <cfRule type="cellIs" dxfId="38" priority="11" operator="greaterThan">
      <formula>0</formula>
    </cfRule>
  </conditionalFormatting>
  <conditionalFormatting sqref="AJ3 B5:H24">
    <cfRule type="cellIs" dxfId="37" priority="13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42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4F5D-0A1D-4EA1-9988-FCA20D7941E8}">
  <dimension ref="A1:EG79"/>
  <sheetViews>
    <sheetView zoomScale="70" zoomScaleNormal="70" workbookViewId="0">
      <selection activeCell="B3" sqref="B3"/>
    </sheetView>
  </sheetViews>
  <sheetFormatPr baseColWidth="10" defaultRowHeight="15"/>
  <cols>
    <col min="1" max="1" width="19.42578125" bestFit="1" customWidth="1"/>
    <col min="2" max="2" width="9.85546875" bestFit="1" customWidth="1"/>
    <col min="3" max="3" width="1.7109375" customWidth="1"/>
    <col min="5" max="11" width="5.7109375" customWidth="1"/>
    <col min="12" max="12" width="1.7109375" customWidth="1"/>
    <col min="14" max="20" width="5.7109375" customWidth="1"/>
    <col min="21" max="21" width="1.7109375" customWidth="1"/>
    <col min="23" max="29" width="5.7109375" customWidth="1"/>
    <col min="30" max="30" width="1.7109375" customWidth="1"/>
    <col min="32" max="38" width="5.7109375" customWidth="1"/>
    <col min="39" max="39" width="1.7109375" customWidth="1"/>
    <col min="41" max="47" width="5.7109375" customWidth="1"/>
    <col min="48" max="48" width="1.7109375" customWidth="1"/>
    <col min="50" max="56" width="5.7109375" customWidth="1"/>
    <col min="57" max="57" width="1.7109375" customWidth="1"/>
    <col min="59" max="65" width="5.7109375" customWidth="1"/>
    <col min="66" max="66" width="1.7109375" customWidth="1"/>
    <col min="68" max="74" width="5.7109375" customWidth="1"/>
    <col min="75" max="75" width="1.7109375" customWidth="1"/>
    <col min="77" max="83" width="5.7109375" customWidth="1"/>
    <col min="84" max="84" width="1.7109375" customWidth="1"/>
    <col min="86" max="92" width="5.7109375" customWidth="1"/>
    <col min="93" max="93" width="1.7109375" customWidth="1"/>
    <col min="95" max="101" width="5.7109375" customWidth="1"/>
    <col min="102" max="102" width="1.7109375" customWidth="1"/>
    <col min="104" max="110" width="5.7109375" customWidth="1"/>
    <col min="111" max="111" width="1.7109375" customWidth="1"/>
    <col min="113" max="119" width="5.7109375" customWidth="1"/>
    <col min="120" max="120" width="1.7109375" customWidth="1"/>
    <col min="122" max="128" width="5.7109375" customWidth="1"/>
    <col min="129" max="129" width="1.7109375" customWidth="1"/>
    <col min="131" max="137" width="5.7109375" customWidth="1"/>
  </cols>
  <sheetData>
    <row r="1" spans="1:137" ht="20.25" thickBot="1">
      <c r="A1" s="74" t="s">
        <v>86</v>
      </c>
      <c r="B1" s="75"/>
      <c r="D1" s="143" t="s">
        <v>427</v>
      </c>
      <c r="E1" s="143"/>
      <c r="F1" s="143"/>
      <c r="G1" s="143"/>
      <c r="H1" s="143"/>
      <c r="I1" s="143"/>
      <c r="J1" s="143"/>
      <c r="K1" s="143"/>
      <c r="M1" s="143" t="s">
        <v>468</v>
      </c>
      <c r="N1" s="143"/>
      <c r="O1" s="143"/>
      <c r="P1" s="143"/>
      <c r="Q1" s="143"/>
      <c r="R1" s="143"/>
      <c r="S1" s="143"/>
      <c r="T1" s="143"/>
      <c r="V1" s="143" t="s">
        <v>470</v>
      </c>
      <c r="W1" s="143"/>
      <c r="X1" s="143"/>
      <c r="Y1" s="143"/>
      <c r="Z1" s="143"/>
      <c r="AA1" s="143"/>
      <c r="AB1" s="143"/>
      <c r="AC1" s="143"/>
      <c r="AE1" s="143" t="s">
        <v>473</v>
      </c>
      <c r="AF1" s="143"/>
      <c r="AG1" s="143"/>
      <c r="AH1" s="143"/>
      <c r="AI1" s="143"/>
      <c r="AJ1" s="143"/>
      <c r="AK1" s="143"/>
      <c r="AL1" s="143"/>
      <c r="AN1" s="143" t="s">
        <v>477</v>
      </c>
      <c r="AO1" s="143"/>
      <c r="AP1" s="143"/>
      <c r="AQ1" s="143"/>
      <c r="AR1" s="143"/>
      <c r="AS1" s="143"/>
      <c r="AT1" s="143"/>
      <c r="AU1" s="143"/>
      <c r="AW1" s="143" t="s">
        <v>481</v>
      </c>
      <c r="AX1" s="143"/>
      <c r="AY1" s="143"/>
      <c r="AZ1" s="143"/>
      <c r="BA1" s="143"/>
      <c r="BB1" s="143"/>
      <c r="BC1" s="143"/>
      <c r="BD1" s="143"/>
      <c r="BF1" s="143" t="s">
        <v>487</v>
      </c>
      <c r="BG1" s="143"/>
      <c r="BH1" s="143"/>
      <c r="BI1" s="143"/>
      <c r="BJ1" s="143"/>
      <c r="BK1" s="143"/>
      <c r="BL1" s="143"/>
      <c r="BM1" s="143"/>
      <c r="BO1" s="143" t="s">
        <v>491</v>
      </c>
      <c r="BP1" s="143"/>
      <c r="BQ1" s="143"/>
      <c r="BR1" s="143"/>
      <c r="BS1" s="143"/>
      <c r="BT1" s="143"/>
      <c r="BU1" s="143"/>
      <c r="BV1" s="143"/>
      <c r="BX1" s="143" t="s">
        <v>495</v>
      </c>
      <c r="BY1" s="143"/>
      <c r="BZ1" s="143"/>
      <c r="CA1" s="143"/>
      <c r="CB1" s="143"/>
      <c r="CC1" s="143"/>
      <c r="CD1" s="143"/>
      <c r="CE1" s="143"/>
      <c r="CG1" s="143" t="s">
        <v>499</v>
      </c>
      <c r="CH1" s="143"/>
      <c r="CI1" s="143"/>
      <c r="CJ1" s="143"/>
      <c r="CK1" s="143"/>
      <c r="CL1" s="143"/>
      <c r="CM1" s="143"/>
      <c r="CN1" s="143"/>
      <c r="CP1" s="143" t="s">
        <v>502</v>
      </c>
      <c r="CQ1" s="143"/>
      <c r="CR1" s="143"/>
      <c r="CS1" s="143"/>
      <c r="CT1" s="143"/>
      <c r="CU1" s="143"/>
      <c r="CV1" s="143"/>
      <c r="CW1" s="143"/>
      <c r="CY1" s="143" t="s">
        <v>506</v>
      </c>
      <c r="CZ1" s="143"/>
      <c r="DA1" s="143"/>
      <c r="DB1" s="143"/>
      <c r="DC1" s="143"/>
      <c r="DD1" s="143"/>
      <c r="DE1" s="143"/>
      <c r="DF1" s="143"/>
      <c r="DH1" s="143" t="s">
        <v>508</v>
      </c>
      <c r="DI1" s="143"/>
      <c r="DJ1" s="143"/>
      <c r="DK1" s="143"/>
      <c r="DL1" s="143"/>
      <c r="DM1" s="143"/>
      <c r="DN1" s="143"/>
      <c r="DO1" s="143"/>
      <c r="DQ1" s="143" t="s">
        <v>511</v>
      </c>
      <c r="DR1" s="143"/>
      <c r="DS1" s="143"/>
      <c r="DT1" s="143"/>
      <c r="DU1" s="143"/>
      <c r="DV1" s="143"/>
      <c r="DW1" s="143"/>
      <c r="DX1" s="143"/>
      <c r="DZ1" s="143" t="s">
        <v>514</v>
      </c>
      <c r="EA1" s="143"/>
      <c r="EB1" s="143"/>
      <c r="EC1" s="143"/>
      <c r="ED1" s="143"/>
      <c r="EE1" s="143"/>
      <c r="EF1" s="143"/>
      <c r="EG1" s="143"/>
    </row>
    <row r="2" spans="1:137" ht="15.75" thickTop="1">
      <c r="A2" s="1" t="s">
        <v>10</v>
      </c>
      <c r="B2" t="s">
        <v>92</v>
      </c>
      <c r="D2" s="142" t="s">
        <v>428</v>
      </c>
      <c r="E2" s="142"/>
      <c r="F2" s="142"/>
      <c r="G2" s="142"/>
      <c r="H2" s="142"/>
      <c r="I2" s="142"/>
      <c r="J2" s="142"/>
      <c r="K2" s="142"/>
      <c r="M2" s="142" t="s">
        <v>469</v>
      </c>
      <c r="N2" s="142"/>
      <c r="O2" s="142"/>
      <c r="P2" s="142"/>
      <c r="Q2" s="142"/>
      <c r="R2" s="142"/>
      <c r="S2" s="142"/>
      <c r="T2" s="142"/>
      <c r="V2" s="142" t="s">
        <v>471</v>
      </c>
      <c r="W2" s="142"/>
      <c r="X2" s="142"/>
      <c r="Y2" s="142"/>
      <c r="Z2" s="142"/>
      <c r="AA2" s="142"/>
      <c r="AB2" s="142"/>
      <c r="AC2" s="142"/>
      <c r="AE2" s="142" t="s">
        <v>474</v>
      </c>
      <c r="AF2" s="142"/>
      <c r="AG2" s="142"/>
      <c r="AH2" s="142"/>
      <c r="AI2" s="142"/>
      <c r="AJ2" s="142"/>
      <c r="AK2" s="142"/>
      <c r="AL2" s="142"/>
      <c r="AN2" s="142" t="s">
        <v>478</v>
      </c>
      <c r="AO2" s="142"/>
      <c r="AP2" s="142"/>
      <c r="AQ2" s="142"/>
      <c r="AR2" s="142"/>
      <c r="AS2" s="142"/>
      <c r="AT2" s="142"/>
      <c r="AU2" s="142"/>
      <c r="AW2" s="142" t="s">
        <v>482</v>
      </c>
      <c r="AX2" s="142"/>
      <c r="AY2" s="142"/>
      <c r="AZ2" s="142"/>
      <c r="BA2" s="142"/>
      <c r="BB2" s="142"/>
      <c r="BC2" s="142"/>
      <c r="BD2" s="142"/>
      <c r="BF2" s="142" t="s">
        <v>488</v>
      </c>
      <c r="BG2" s="142"/>
      <c r="BH2" s="142"/>
      <c r="BI2" s="142"/>
      <c r="BJ2" s="142"/>
      <c r="BK2" s="142"/>
      <c r="BL2" s="142"/>
      <c r="BM2" s="142"/>
      <c r="BO2" s="142" t="s">
        <v>492</v>
      </c>
      <c r="BP2" s="142"/>
      <c r="BQ2" s="142"/>
      <c r="BR2" s="142"/>
      <c r="BS2" s="142"/>
      <c r="BT2" s="142"/>
      <c r="BU2" s="142"/>
      <c r="BV2" s="142"/>
      <c r="BX2" s="148" t="s">
        <v>496</v>
      </c>
      <c r="BY2" s="149"/>
      <c r="BZ2" s="149"/>
      <c r="CA2" s="149"/>
      <c r="CB2" s="149"/>
      <c r="CC2" s="149"/>
      <c r="CD2" s="149"/>
      <c r="CE2" s="150"/>
      <c r="CG2" s="148" t="s">
        <v>500</v>
      </c>
      <c r="CH2" s="149"/>
      <c r="CI2" s="149"/>
      <c r="CJ2" s="149"/>
      <c r="CK2" s="149"/>
      <c r="CL2" s="149"/>
      <c r="CM2" s="149"/>
      <c r="CN2" s="150"/>
      <c r="CP2" s="148" t="s">
        <v>503</v>
      </c>
      <c r="CQ2" s="149"/>
      <c r="CR2" s="149"/>
      <c r="CS2" s="149"/>
      <c r="CT2" s="149"/>
      <c r="CU2" s="149"/>
      <c r="CV2" s="149"/>
      <c r="CW2" s="150"/>
      <c r="CY2" s="148" t="s">
        <v>507</v>
      </c>
      <c r="CZ2" s="149"/>
      <c r="DA2" s="149"/>
      <c r="DB2" s="149"/>
      <c r="DC2" s="149"/>
      <c r="DD2" s="149"/>
      <c r="DE2" s="149"/>
      <c r="DF2" s="150"/>
      <c r="DH2" s="148" t="s">
        <v>509</v>
      </c>
      <c r="DI2" s="149"/>
      <c r="DJ2" s="149"/>
      <c r="DK2" s="149"/>
      <c r="DL2" s="149"/>
      <c r="DM2" s="149"/>
      <c r="DN2" s="149"/>
      <c r="DO2" s="150"/>
      <c r="DQ2" s="148" t="s">
        <v>512</v>
      </c>
      <c r="DR2" s="149"/>
      <c r="DS2" s="149"/>
      <c r="DT2" s="149"/>
      <c r="DU2" s="149"/>
      <c r="DV2" s="149"/>
      <c r="DW2" s="149"/>
      <c r="DX2" s="150"/>
      <c r="DZ2" s="148" t="s">
        <v>515</v>
      </c>
      <c r="EA2" s="149"/>
      <c r="EB2" s="149"/>
      <c r="EC2" s="149"/>
      <c r="ED2" s="149"/>
      <c r="EE2" s="149"/>
      <c r="EF2" s="149"/>
      <c r="EG2" s="150"/>
    </row>
    <row r="3" spans="1:137">
      <c r="D3" s="141" t="s">
        <v>429</v>
      </c>
      <c r="E3" s="141"/>
      <c r="F3" s="141"/>
      <c r="G3" s="141"/>
      <c r="H3" s="141"/>
      <c r="I3" s="141"/>
      <c r="J3" s="141"/>
      <c r="K3" s="141"/>
      <c r="M3" s="141" t="s">
        <v>464</v>
      </c>
      <c r="N3" s="141"/>
      <c r="O3" s="141"/>
      <c r="P3" s="141"/>
      <c r="Q3" s="141"/>
      <c r="R3" s="141"/>
      <c r="S3" s="141"/>
      <c r="T3" s="141"/>
      <c r="V3" s="141" t="s">
        <v>472</v>
      </c>
      <c r="W3" s="141"/>
      <c r="X3" s="141"/>
      <c r="Y3" s="141"/>
      <c r="Z3" s="141"/>
      <c r="AA3" s="141"/>
      <c r="AB3" s="141"/>
      <c r="AC3" s="141"/>
      <c r="AE3" s="141" t="s">
        <v>475</v>
      </c>
      <c r="AF3" s="141"/>
      <c r="AG3" s="141"/>
      <c r="AH3" s="141"/>
      <c r="AI3" s="141"/>
      <c r="AJ3" s="141"/>
      <c r="AK3" s="141"/>
      <c r="AL3" s="141"/>
      <c r="AN3" s="141" t="s">
        <v>479</v>
      </c>
      <c r="AO3" s="141"/>
      <c r="AP3" s="141"/>
      <c r="AQ3" s="141"/>
      <c r="AR3" s="141"/>
      <c r="AS3" s="141"/>
      <c r="AT3" s="141"/>
      <c r="AU3" s="141"/>
      <c r="AW3" s="141" t="s">
        <v>483</v>
      </c>
      <c r="AX3" s="141"/>
      <c r="AY3" s="141"/>
      <c r="AZ3" s="141"/>
      <c r="BA3" s="141"/>
      <c r="BB3" s="141"/>
      <c r="BC3" s="141"/>
      <c r="BD3" s="141"/>
      <c r="BF3" s="141" t="s">
        <v>489</v>
      </c>
      <c r="BG3" s="141"/>
      <c r="BH3" s="141"/>
      <c r="BI3" s="141"/>
      <c r="BJ3" s="141"/>
      <c r="BK3" s="141"/>
      <c r="BL3" s="141"/>
      <c r="BM3" s="141"/>
      <c r="BO3" s="141" t="s">
        <v>493</v>
      </c>
      <c r="BP3" s="141"/>
      <c r="BQ3" s="141"/>
      <c r="BR3" s="141"/>
      <c r="BS3" s="141"/>
      <c r="BT3" s="141"/>
      <c r="BU3" s="141"/>
      <c r="BV3" s="141"/>
      <c r="BX3" s="145" t="s">
        <v>497</v>
      </c>
      <c r="BY3" s="146"/>
      <c r="BZ3" s="146"/>
      <c r="CA3" s="146"/>
      <c r="CB3" s="146"/>
      <c r="CC3" s="146"/>
      <c r="CD3" s="146"/>
      <c r="CE3" s="147"/>
      <c r="CG3" s="145" t="s">
        <v>501</v>
      </c>
      <c r="CH3" s="146"/>
      <c r="CI3" s="146"/>
      <c r="CJ3" s="146"/>
      <c r="CK3" s="146"/>
      <c r="CL3" s="146"/>
      <c r="CM3" s="146"/>
      <c r="CN3" s="147"/>
      <c r="CP3" s="145" t="s">
        <v>504</v>
      </c>
      <c r="CQ3" s="146"/>
      <c r="CR3" s="146"/>
      <c r="CS3" s="146"/>
      <c r="CT3" s="146"/>
      <c r="CU3" s="146"/>
      <c r="CV3" s="146"/>
      <c r="CW3" s="147"/>
      <c r="CY3" s="145" t="s">
        <v>507</v>
      </c>
      <c r="CZ3" s="146"/>
      <c r="DA3" s="146"/>
      <c r="DB3" s="146"/>
      <c r="DC3" s="146"/>
      <c r="DD3" s="146"/>
      <c r="DE3" s="146"/>
      <c r="DF3" s="147"/>
      <c r="DH3" s="145" t="s">
        <v>510</v>
      </c>
      <c r="DI3" s="146"/>
      <c r="DJ3" s="146"/>
      <c r="DK3" s="146"/>
      <c r="DL3" s="146"/>
      <c r="DM3" s="146"/>
      <c r="DN3" s="146"/>
      <c r="DO3" s="147"/>
      <c r="DQ3" s="145" t="s">
        <v>513</v>
      </c>
      <c r="DR3" s="146"/>
      <c r="DS3" s="146"/>
      <c r="DT3" s="146"/>
      <c r="DU3" s="146"/>
      <c r="DV3" s="146"/>
      <c r="DW3" s="146"/>
      <c r="DX3" s="147"/>
      <c r="DZ3" s="145" t="s">
        <v>145</v>
      </c>
      <c r="EA3" s="146"/>
      <c r="EB3" s="146"/>
      <c r="EC3" s="146"/>
      <c r="ED3" s="146"/>
      <c r="EE3" s="146"/>
      <c r="EF3" s="146"/>
      <c r="EG3" s="147"/>
    </row>
    <row r="4" spans="1:137">
      <c r="D4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98</v>
      </c>
      <c r="J4" s="3" t="s">
        <v>99</v>
      </c>
      <c r="K4" s="8" t="s">
        <v>100</v>
      </c>
      <c r="M4" t="s">
        <v>93</v>
      </c>
      <c r="N4" s="3" t="s">
        <v>94</v>
      </c>
      <c r="O4" s="3" t="s">
        <v>95</v>
      </c>
      <c r="P4" s="3" t="s">
        <v>96</v>
      </c>
      <c r="Q4" s="3" t="s">
        <v>97</v>
      </c>
      <c r="R4" s="3" t="s">
        <v>98</v>
      </c>
      <c r="S4" s="3" t="s">
        <v>99</v>
      </c>
      <c r="T4" s="8" t="s">
        <v>100</v>
      </c>
      <c r="V4" t="s">
        <v>93</v>
      </c>
      <c r="W4" s="3" t="s">
        <v>94</v>
      </c>
      <c r="X4" s="3" t="s">
        <v>95</v>
      </c>
      <c r="Y4" s="3" t="s">
        <v>96</v>
      </c>
      <c r="Z4" s="3" t="s">
        <v>97</v>
      </c>
      <c r="AA4" s="3" t="s">
        <v>98</v>
      </c>
      <c r="AB4" s="3" t="s">
        <v>99</v>
      </c>
      <c r="AC4" s="8" t="s">
        <v>100</v>
      </c>
      <c r="AE4" t="s">
        <v>93</v>
      </c>
      <c r="AF4" s="3" t="s">
        <v>94</v>
      </c>
      <c r="AG4" s="3" t="s">
        <v>95</v>
      </c>
      <c r="AH4" s="3" t="s">
        <v>96</v>
      </c>
      <c r="AI4" s="3" t="s">
        <v>97</v>
      </c>
      <c r="AJ4" s="3" t="s">
        <v>98</v>
      </c>
      <c r="AK4" s="3" t="s">
        <v>99</v>
      </c>
      <c r="AL4" s="8" t="s">
        <v>100</v>
      </c>
      <c r="AN4" t="s">
        <v>93</v>
      </c>
      <c r="AO4" s="3" t="s">
        <v>94</v>
      </c>
      <c r="AP4" s="3" t="s">
        <v>95</v>
      </c>
      <c r="AQ4" s="3" t="s">
        <v>96</v>
      </c>
      <c r="AR4" s="3" t="s">
        <v>97</v>
      </c>
      <c r="AS4" s="3" t="s">
        <v>98</v>
      </c>
      <c r="AT4" s="3" t="s">
        <v>99</v>
      </c>
      <c r="AU4" s="8" t="s">
        <v>100</v>
      </c>
      <c r="AW4" t="s">
        <v>93</v>
      </c>
      <c r="AX4" s="3" t="s">
        <v>94</v>
      </c>
      <c r="AY4" s="3" t="s">
        <v>95</v>
      </c>
      <c r="AZ4" s="3" t="s">
        <v>96</v>
      </c>
      <c r="BA4" s="3" t="s">
        <v>97</v>
      </c>
      <c r="BB4" s="3" t="s">
        <v>98</v>
      </c>
      <c r="BC4" s="3" t="s">
        <v>99</v>
      </c>
      <c r="BD4" s="8" t="s">
        <v>100</v>
      </c>
      <c r="BF4" t="s">
        <v>93</v>
      </c>
      <c r="BG4" s="3" t="s">
        <v>94</v>
      </c>
      <c r="BH4" s="3" t="s">
        <v>95</v>
      </c>
      <c r="BI4" s="3" t="s">
        <v>96</v>
      </c>
      <c r="BJ4" s="3" t="s">
        <v>97</v>
      </c>
      <c r="BK4" s="3" t="s">
        <v>98</v>
      </c>
      <c r="BL4" s="3" t="s">
        <v>99</v>
      </c>
      <c r="BM4" s="8" t="s">
        <v>100</v>
      </c>
      <c r="BO4" t="s">
        <v>93</v>
      </c>
      <c r="BP4" s="3" t="s">
        <v>94</v>
      </c>
      <c r="BQ4" s="3" t="s">
        <v>95</v>
      </c>
      <c r="BR4" s="3" t="s">
        <v>96</v>
      </c>
      <c r="BS4" s="3" t="s">
        <v>97</v>
      </c>
      <c r="BT4" s="3" t="s">
        <v>98</v>
      </c>
      <c r="BU4" s="3" t="s">
        <v>99</v>
      </c>
      <c r="BV4" s="8" t="s">
        <v>100</v>
      </c>
      <c r="BX4" t="s">
        <v>93</v>
      </c>
      <c r="BY4" s="3" t="s">
        <v>94</v>
      </c>
      <c r="BZ4" s="3" t="s">
        <v>95</v>
      </c>
      <c r="CA4" s="3" t="s">
        <v>96</v>
      </c>
      <c r="CB4" s="3" t="s">
        <v>97</v>
      </c>
      <c r="CC4" s="3" t="s">
        <v>98</v>
      </c>
      <c r="CD4" s="3" t="s">
        <v>99</v>
      </c>
      <c r="CE4" s="8" t="s">
        <v>100</v>
      </c>
      <c r="CG4" t="s">
        <v>93</v>
      </c>
      <c r="CH4" s="3" t="s">
        <v>94</v>
      </c>
      <c r="CI4" s="3" t="s">
        <v>95</v>
      </c>
      <c r="CJ4" s="3" t="s">
        <v>96</v>
      </c>
      <c r="CK4" s="3" t="s">
        <v>97</v>
      </c>
      <c r="CL4" s="3" t="s">
        <v>98</v>
      </c>
      <c r="CM4" s="3" t="s">
        <v>99</v>
      </c>
      <c r="CN4" s="8" t="s">
        <v>100</v>
      </c>
      <c r="CP4" t="s">
        <v>93</v>
      </c>
      <c r="CQ4" s="3" t="s">
        <v>94</v>
      </c>
      <c r="CR4" s="3" t="s">
        <v>95</v>
      </c>
      <c r="CS4" s="3" t="s">
        <v>96</v>
      </c>
      <c r="CT4" s="3" t="s">
        <v>97</v>
      </c>
      <c r="CU4" s="3" t="s">
        <v>98</v>
      </c>
      <c r="CV4" s="3" t="s">
        <v>99</v>
      </c>
      <c r="CW4" s="8" t="s">
        <v>100</v>
      </c>
      <c r="CY4" t="s">
        <v>93</v>
      </c>
      <c r="CZ4" s="3" t="s">
        <v>94</v>
      </c>
      <c r="DA4" s="3" t="s">
        <v>95</v>
      </c>
      <c r="DB4" s="3" t="s">
        <v>96</v>
      </c>
      <c r="DC4" s="3" t="s">
        <v>97</v>
      </c>
      <c r="DD4" s="3" t="s">
        <v>98</v>
      </c>
      <c r="DE4" s="3" t="s">
        <v>99</v>
      </c>
      <c r="DF4" s="8" t="s">
        <v>100</v>
      </c>
      <c r="DH4" t="s">
        <v>93</v>
      </c>
      <c r="DI4" s="3" t="s">
        <v>94</v>
      </c>
      <c r="DJ4" s="3" t="s">
        <v>95</v>
      </c>
      <c r="DK4" s="3" t="s">
        <v>96</v>
      </c>
      <c r="DL4" s="3" t="s">
        <v>97</v>
      </c>
      <c r="DM4" s="3" t="s">
        <v>98</v>
      </c>
      <c r="DN4" s="3" t="s">
        <v>99</v>
      </c>
      <c r="DO4" s="8" t="s">
        <v>100</v>
      </c>
      <c r="DQ4" t="s">
        <v>93</v>
      </c>
      <c r="DR4" s="3" t="s">
        <v>94</v>
      </c>
      <c r="DS4" s="3" t="s">
        <v>95</v>
      </c>
      <c r="DT4" s="3" t="s">
        <v>96</v>
      </c>
      <c r="DU4" s="3" t="s">
        <v>97</v>
      </c>
      <c r="DV4" s="3" t="s">
        <v>98</v>
      </c>
      <c r="DW4" s="3" t="s">
        <v>99</v>
      </c>
      <c r="DX4" s="8" t="s">
        <v>100</v>
      </c>
      <c r="DZ4" t="s">
        <v>93</v>
      </c>
      <c r="EA4" s="3" t="s">
        <v>94</v>
      </c>
      <c r="EB4" s="3" t="s">
        <v>95</v>
      </c>
      <c r="EC4" s="3" t="s">
        <v>96</v>
      </c>
      <c r="ED4" s="3" t="s">
        <v>97</v>
      </c>
      <c r="EE4" s="3" t="s">
        <v>98</v>
      </c>
      <c r="EF4" s="3" t="s">
        <v>99</v>
      </c>
      <c r="EG4" s="8" t="s">
        <v>100</v>
      </c>
    </row>
    <row r="5" spans="1:137">
      <c r="D5" s="4" t="s">
        <v>272</v>
      </c>
      <c r="E5" s="3">
        <f>IF($B$2="(Todas)",COUNTIF(BASE[CODCIE10],GUIA_NACIONAL_2022_1[[#This Row],[CIE-10]]),COUNTIFS(BASE[Cod.Establecimiento],$B$2,BASE[CODCIE10],GUIA_NACIONAL_2022_1[[#This Row],[CIE-10]]))</f>
        <v>0</v>
      </c>
      <c r="F5" s="3">
        <f>IF($B$2="(Todas)",COUNTIF(BASE[CODCIE102],GUIA_NACIONAL_2022_1[[#This Row],[CIE-10]]),COUNTIFS(BASE[Cod.Establecimiento],$B$2,BASE[CODCIE102],GUIA_NACIONAL_2022_1[[#This Row],[CIE-10]]))</f>
        <v>0</v>
      </c>
      <c r="G5" s="3">
        <f>IF($B$2="(Todas)",COUNTIF(BASE[CODCIE104],GUIA_NACIONAL_2022_1[[#This Row],[CIE-10]]),COUNTIFS(BASE[Cod.Establecimiento],$B$2,BASE[CODCIE104],GUIA_NACIONAL_2022_1[[#This Row],[CIE-10]]))</f>
        <v>0</v>
      </c>
      <c r="H5" s="3">
        <f>IF($B$2="(Todas)",COUNTIF(BASE[CODCIE106],GUIA_NACIONAL_2022_1[[#This Row],[CIE-10]]),COUNTIFS(BASE[Cod.Establecimiento],$B$2,BASE[CODCIE106],GUIA_NACIONAL_2022_1[[#This Row],[CIE-10]]))</f>
        <v>0</v>
      </c>
      <c r="I5" s="3">
        <f>IF($B$2="(Todas)",COUNTIF(BASE[CODCIE108],GUIA_NACIONAL_2022_1[[#This Row],[CIE-10]]),COUNTIFS(BASE[Cod.Establecimiento],$B$2,BASE[CODCIE108],GUIA_NACIONAL_2022_1[[#This Row],[CIE-10]]))</f>
        <v>0</v>
      </c>
      <c r="J5" s="3">
        <f>IF($B$2="(Todas)",COUNTIF(BASE[CODCIE1010],GUIA_NACIONAL_2022_1[[#This Row],[CIE-10]]),COUNTIFS(BASE[Cod.Establecimiento],$B$2,BASE[CODCIE1010],GUIA_NACIONAL_2022_1[[#This Row],[CIE-10]]))</f>
        <v>0</v>
      </c>
      <c r="K5" s="9">
        <f>SUM(GUIA_NACIONAL_2022_1[[#This Row],[D1]:[D6]])</f>
        <v>0</v>
      </c>
      <c r="M5" s="4" t="s">
        <v>465</v>
      </c>
      <c r="N5" s="3">
        <f>IF($B$2="(Todas)",COUNTIF(BASE[CODCIE10],GUIA_NACIONAL_2022_1106[[#This Row],[CIE-10]]),COUNTIFS(BASE[Cod.Establecimiento],$B$2,BASE[CODCIE10],GUIA_NACIONAL_2022_1106[[#This Row],[CIE-10]]))</f>
        <v>0</v>
      </c>
      <c r="O5" s="3">
        <f>IF($B$2="(Todas)",COUNTIF(BASE[CODCIE102],GUIA_NACIONAL_2022_1106[[#This Row],[CIE-10]]),COUNTIFS(BASE[Cod.Establecimiento],$B$2,BASE[CODCIE102],GUIA_NACIONAL_2022_1106[[#This Row],[CIE-10]]))</f>
        <v>0</v>
      </c>
      <c r="P5" s="3">
        <f>IF($B$2="(Todas)",COUNTIF(BASE[CODCIE104],GUIA_NACIONAL_2022_1106[[#This Row],[CIE-10]]),COUNTIFS(BASE[Cod.Establecimiento],$B$2,BASE[CODCIE104],GUIA_NACIONAL_2022_1106[[#This Row],[CIE-10]]))</f>
        <v>0</v>
      </c>
      <c r="Q5" s="3">
        <f>IF($B$2="(Todas)",COUNTIF(BASE[CODCIE106],GUIA_NACIONAL_2022_1106[[#This Row],[CIE-10]]),COUNTIFS(BASE[Cod.Establecimiento],$B$2,BASE[CODCIE106],GUIA_NACIONAL_2022_1106[[#This Row],[CIE-10]]))</f>
        <v>0</v>
      </c>
      <c r="R5" s="3">
        <f>IF($B$2="(Todas)",COUNTIF(BASE[CODCIE108],GUIA_NACIONAL_2022_1106[[#This Row],[CIE-10]]),COUNTIFS(BASE[Cod.Establecimiento],$B$2,BASE[CODCIE108],GUIA_NACIONAL_2022_1106[[#This Row],[CIE-10]]))</f>
        <v>0</v>
      </c>
      <c r="S5" s="3">
        <f>IF($B$2="(Todas)",COUNTIF(BASE[CODCIE1010],GUIA_NACIONAL_2022_1106[[#This Row],[CIE-10]]),COUNTIFS(BASE[Cod.Establecimiento],$B$2,BASE[CODCIE1010],GUIA_NACIONAL_2022_1106[[#This Row],[CIE-10]]))</f>
        <v>0</v>
      </c>
      <c r="T5" s="9">
        <f>SUM(GUIA_NACIONAL_2022_1106[[#This Row],[D1]:[D6]])</f>
        <v>0</v>
      </c>
      <c r="V5" s="4" t="s">
        <v>129</v>
      </c>
      <c r="W5" s="3">
        <f>IF($B$2="(Todas)",COUNTIF(BASE[CODCIE10],GUIA_NACIONAL_2022_1106128[[#This Row],[CIE-10]]),COUNTIFS(BASE[Cod.Establecimiento],$B$2,BASE[CODCIE10],GUIA_NACIONAL_2022_1106128[[#This Row],[CIE-10]]))</f>
        <v>0</v>
      </c>
      <c r="X5" s="3">
        <f>IF($B$2="(Todas)",COUNTIF(BASE[CODCIE102],GUIA_NACIONAL_2022_1106128[[#This Row],[CIE-10]]),COUNTIFS(BASE[Cod.Establecimiento],$B$2,BASE[CODCIE102],GUIA_NACIONAL_2022_1106128[[#This Row],[CIE-10]]))</f>
        <v>0</v>
      </c>
      <c r="Y5" s="3">
        <f>IF($B$2="(Todas)",COUNTIF(BASE[CODCIE104],GUIA_NACIONAL_2022_1106128[[#This Row],[CIE-10]]),COUNTIFS(BASE[Cod.Establecimiento],$B$2,BASE[CODCIE104],GUIA_NACIONAL_2022_1106128[[#This Row],[CIE-10]]))</f>
        <v>0</v>
      </c>
      <c r="Z5" s="3">
        <f>IF($B$2="(Todas)",COUNTIF(BASE[CODCIE106],GUIA_NACIONAL_2022_1106128[[#This Row],[CIE-10]]),COUNTIFS(BASE[Cod.Establecimiento],$B$2,BASE[CODCIE106],GUIA_NACIONAL_2022_1106128[[#This Row],[CIE-10]]))</f>
        <v>0</v>
      </c>
      <c r="AA5" s="3">
        <f>IF($B$2="(Todas)",COUNTIF(BASE[CODCIE108],GUIA_NACIONAL_2022_1106128[[#This Row],[CIE-10]]),COUNTIFS(BASE[Cod.Establecimiento],$B$2,BASE[CODCIE108],GUIA_NACIONAL_2022_1106128[[#This Row],[CIE-10]]))</f>
        <v>0</v>
      </c>
      <c r="AB5" s="3">
        <f>IF($B$2="(Todas)",COUNTIF(BASE[CODCIE1010],GUIA_NACIONAL_2022_1106128[[#This Row],[CIE-10]]),COUNTIFS(BASE[Cod.Establecimiento],$B$2,BASE[CODCIE1010],GUIA_NACIONAL_2022_1106128[[#This Row],[CIE-10]]))</f>
        <v>0</v>
      </c>
      <c r="AC5" s="9">
        <f>SUM(GUIA_NACIONAL_2022_1106128[[#This Row],[D1]:[D6]])</f>
        <v>0</v>
      </c>
      <c r="AE5" s="4" t="s">
        <v>476</v>
      </c>
      <c r="AF5" s="3">
        <f>IF($B$2="(Todas)",COUNTIF(BASE[CODCIE10],GUIA_NACIONAL_2022_1106128105[[#This Row],[CIE-10]]),COUNTIFS(BASE[Cod.Establecimiento],$B$2,BASE[CODCIE10],GUIA_NACIONAL_2022_1106128105[[#This Row],[CIE-10]]))</f>
        <v>0</v>
      </c>
      <c r="AG5" s="3">
        <f>IF($B$2="(Todas)",COUNTIF(BASE[CODCIE102],GUIA_NACIONAL_2022_1106128105[[#This Row],[CIE-10]]),COUNTIFS(BASE[Cod.Establecimiento],$B$2,BASE[CODCIE102],GUIA_NACIONAL_2022_1106128105[[#This Row],[CIE-10]]))</f>
        <v>0</v>
      </c>
      <c r="AH5" s="3">
        <f>IF($B$2="(Todas)",COUNTIF(BASE[CODCIE104],GUIA_NACIONAL_2022_1106128105[[#This Row],[CIE-10]]),COUNTIFS(BASE[Cod.Establecimiento],$B$2,BASE[CODCIE104],GUIA_NACIONAL_2022_1106128105[[#This Row],[CIE-10]]))</f>
        <v>0</v>
      </c>
      <c r="AI5" s="3">
        <f>IF($B$2="(Todas)",COUNTIF(BASE[CODCIE106],GUIA_NACIONAL_2022_1106128105[[#This Row],[CIE-10]]),COUNTIFS(BASE[Cod.Establecimiento],$B$2,BASE[CODCIE106],GUIA_NACIONAL_2022_1106128105[[#This Row],[CIE-10]]))</f>
        <v>0</v>
      </c>
      <c r="AJ5" s="3">
        <f>IF($B$2="(Todas)",COUNTIF(BASE[CODCIE108],GUIA_NACIONAL_2022_1106128105[[#This Row],[CIE-10]]),COUNTIFS(BASE[Cod.Establecimiento],$B$2,BASE[CODCIE108],GUIA_NACIONAL_2022_1106128105[[#This Row],[CIE-10]]))</f>
        <v>0</v>
      </c>
      <c r="AK5" s="3">
        <f>IF($B$2="(Todas)",COUNTIF(BASE[CODCIE1010],GUIA_NACIONAL_2022_1106128105[[#This Row],[CIE-10]]),COUNTIFS(BASE[Cod.Establecimiento],$B$2,BASE[CODCIE1010],GUIA_NACIONAL_2022_1106128105[[#This Row],[CIE-10]]))</f>
        <v>0</v>
      </c>
      <c r="AL5" s="9">
        <f>SUM(GUIA_NACIONAL_2022_1106128105[[#This Row],[D1]:[D6]])</f>
        <v>0</v>
      </c>
      <c r="AN5" s="4" t="s">
        <v>480</v>
      </c>
      <c r="AO5" s="3">
        <f>IF($B$2="(Todas)",COUNTIF(BASE[CODCIE10],GUIA_NACIONAL_2022_1106128105107[[#This Row],[CIE-10]]),COUNTIFS(BASE[Cod.Establecimiento],$B$2,BASE[CODCIE10],GUIA_NACIONAL_2022_1106128105107[[#This Row],[CIE-10]]))</f>
        <v>0</v>
      </c>
      <c r="AP5" s="3">
        <f>IF($B$2="(Todas)",COUNTIF(BASE[CODCIE102],GUIA_NACIONAL_2022_1106128105107[[#This Row],[CIE-10]]),COUNTIFS(BASE[Cod.Establecimiento],$B$2,BASE[CODCIE102],GUIA_NACIONAL_2022_1106128105107[[#This Row],[CIE-10]]))</f>
        <v>0</v>
      </c>
      <c r="AQ5" s="3">
        <f>IF($B$2="(Todas)",COUNTIF(BASE[CODCIE104],GUIA_NACIONAL_2022_1106128105107[[#This Row],[CIE-10]]),COUNTIFS(BASE[Cod.Establecimiento],$B$2,BASE[CODCIE104],GUIA_NACIONAL_2022_1106128105107[[#This Row],[CIE-10]]))</f>
        <v>0</v>
      </c>
      <c r="AR5" s="3">
        <f>IF($B$2="(Todas)",COUNTIF(BASE[CODCIE106],GUIA_NACIONAL_2022_1106128105107[[#This Row],[CIE-10]]),COUNTIFS(BASE[Cod.Establecimiento],$B$2,BASE[CODCIE106],GUIA_NACIONAL_2022_1106128105107[[#This Row],[CIE-10]]))</f>
        <v>0</v>
      </c>
      <c r="AS5" s="3">
        <f>IF($B$2="(Todas)",COUNTIF(BASE[CODCIE108],GUIA_NACIONAL_2022_1106128105107[[#This Row],[CIE-10]]),COUNTIFS(BASE[Cod.Establecimiento],$B$2,BASE[CODCIE108],GUIA_NACIONAL_2022_1106128105107[[#This Row],[CIE-10]]))</f>
        <v>0</v>
      </c>
      <c r="AT5" s="3">
        <f>IF($B$2="(Todas)",COUNTIF(BASE[CODCIE1010],GUIA_NACIONAL_2022_1106128105107[[#This Row],[CIE-10]]),COUNTIFS(BASE[Cod.Establecimiento],$B$2,BASE[CODCIE1010],GUIA_NACIONAL_2022_1106128105107[[#This Row],[CIE-10]]))</f>
        <v>0</v>
      </c>
      <c r="AU5" s="9">
        <f>SUM(GUIA_NACIONAL_2022_1106128105107[[#This Row],[D1]:[D6]])</f>
        <v>0</v>
      </c>
      <c r="AW5" s="4" t="s">
        <v>484</v>
      </c>
      <c r="AX5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5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5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5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5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5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5" s="9">
        <f>SUM(GUIA_NACIONAL_2022_1106128105107110[[#This Row],[D1]:[D6]])</f>
        <v>0</v>
      </c>
      <c r="BF5" s="4" t="s">
        <v>490</v>
      </c>
      <c r="BG5" s="3">
        <f>IF($B$2="(Todas)",COUNTIF(BASE[CODCIE10],GUIA_NACIONAL_2022_1106128105107111[[#This Row],[CIE-10]]),COUNTIFS(BASE[Cod.Establecimiento],$B$2,BASE[CODCIE10],GUIA_NACIONAL_2022_1106128105107111[[#This Row],[CIE-10]]))</f>
        <v>0</v>
      </c>
      <c r="BH5" s="3">
        <f>IF($B$2="(Todas)",COUNTIF(BASE[CODCIE102],GUIA_NACIONAL_2022_1106128105107111[[#This Row],[CIE-10]]),COUNTIFS(BASE[Cod.Establecimiento],$B$2,BASE[CODCIE102],GUIA_NACIONAL_2022_1106128105107111[[#This Row],[CIE-10]]))</f>
        <v>0</v>
      </c>
      <c r="BI5" s="3">
        <f>IF($B$2="(Todas)",COUNTIF(BASE[CODCIE104],GUIA_NACIONAL_2022_1106128105107111[[#This Row],[CIE-10]]),COUNTIFS(BASE[Cod.Establecimiento],$B$2,BASE[CODCIE104],GUIA_NACIONAL_2022_1106128105107111[[#This Row],[CIE-10]]))</f>
        <v>0</v>
      </c>
      <c r="BJ5" s="3">
        <f>IF($B$2="(Todas)",COUNTIF(BASE[CODCIE106],GUIA_NACIONAL_2022_1106128105107111[[#This Row],[CIE-10]]),COUNTIFS(BASE[Cod.Establecimiento],$B$2,BASE[CODCIE106],GUIA_NACIONAL_2022_1106128105107111[[#This Row],[CIE-10]]))</f>
        <v>0</v>
      </c>
      <c r="BK5" s="3">
        <f>IF($B$2="(Todas)",COUNTIF(BASE[CODCIE108],GUIA_NACIONAL_2022_1106128105107111[[#This Row],[CIE-10]]),COUNTIFS(BASE[Cod.Establecimiento],$B$2,BASE[CODCIE108],GUIA_NACIONAL_2022_1106128105107111[[#This Row],[CIE-10]]))</f>
        <v>0</v>
      </c>
      <c r="BL5" s="3">
        <f>IF($B$2="(Todas)",COUNTIF(BASE[CODCIE1010],GUIA_NACIONAL_2022_1106128105107111[[#This Row],[CIE-10]]),COUNTIFS(BASE[Cod.Establecimiento],$B$2,BASE[CODCIE1010],GUIA_NACIONAL_2022_1106128105107111[[#This Row],[CIE-10]]))</f>
        <v>0</v>
      </c>
      <c r="BM5" s="9">
        <f>SUM(GUIA_NACIONAL_2022_1106128105107111[[#This Row],[D1]:[D6]])</f>
        <v>0</v>
      </c>
      <c r="BO5" s="4" t="s">
        <v>494</v>
      </c>
      <c r="BP5" s="3">
        <f>IF($B$2="(Todas)",COUNTIF(BASE[CODCIE10],GUIA_NACIONAL_2022_1106128105107111115[[#This Row],[CIE-10]]),COUNTIFS(BASE[Cod.Establecimiento],$B$2,BASE[CODCIE10],GUIA_NACIONAL_2022_1106128105107111115[[#This Row],[CIE-10]]))</f>
        <v>0</v>
      </c>
      <c r="BQ5" s="3">
        <f>IF($B$2="(Todas)",COUNTIF(BASE[CODCIE102],GUIA_NACIONAL_2022_1106128105107111115[[#This Row],[CIE-10]]),COUNTIFS(BASE[Cod.Establecimiento],$B$2,BASE[CODCIE102],GUIA_NACIONAL_2022_1106128105107111115[[#This Row],[CIE-10]]))</f>
        <v>0</v>
      </c>
      <c r="BR5" s="3">
        <f>IF($B$2="(Todas)",COUNTIF(BASE[CODCIE104],GUIA_NACIONAL_2022_1106128105107111115[[#This Row],[CIE-10]]),COUNTIFS(BASE[Cod.Establecimiento],$B$2,BASE[CODCIE104],GUIA_NACIONAL_2022_1106128105107111115[[#This Row],[CIE-10]]))</f>
        <v>0</v>
      </c>
      <c r="BS5" s="3">
        <f>IF($B$2="(Todas)",COUNTIF(BASE[CODCIE106],GUIA_NACIONAL_2022_1106128105107111115[[#This Row],[CIE-10]]),COUNTIFS(BASE[Cod.Establecimiento],$B$2,BASE[CODCIE106],GUIA_NACIONAL_2022_1106128105107111115[[#This Row],[CIE-10]]))</f>
        <v>0</v>
      </c>
      <c r="BT5" s="3">
        <f>IF($B$2="(Todas)",COUNTIF(BASE[CODCIE108],GUIA_NACIONAL_2022_1106128105107111115[[#This Row],[CIE-10]]),COUNTIFS(BASE[Cod.Establecimiento],$B$2,BASE[CODCIE108],GUIA_NACIONAL_2022_1106128105107111115[[#This Row],[CIE-10]]))</f>
        <v>0</v>
      </c>
      <c r="BU5" s="3">
        <f>IF($B$2="(Todas)",COUNTIF(BASE[CODCIE1010],GUIA_NACIONAL_2022_1106128105107111115[[#This Row],[CIE-10]]),COUNTIFS(BASE[Cod.Establecimiento],$B$2,BASE[CODCIE1010],GUIA_NACIONAL_2022_1106128105107111115[[#This Row],[CIE-10]]))</f>
        <v>0</v>
      </c>
      <c r="BV5" s="9">
        <f>SUM(GUIA_NACIONAL_2022_1106128105107111115[[#This Row],[D1]:[D6]])</f>
        <v>0</v>
      </c>
      <c r="BX5" s="4" t="s">
        <v>498</v>
      </c>
      <c r="BY5" s="3">
        <f>IF($B$2="(Todas)",COUNTIF(BASE[CODCIE10],GUIA_NACIONAL_2022_1106128105107111115129[[#This Row],[CIE-10]]),COUNTIFS(BASE[Cod.Establecimiento],$B$2,BASE[CODCIE10],GUIA_NACIONAL_2022_1106128105107111115129[[#This Row],[CIE-10]]))</f>
        <v>0</v>
      </c>
      <c r="BZ5" s="3">
        <f>IF($B$2="(Todas)",COUNTIF(BASE[CODCIE102],GUIA_NACIONAL_2022_1106128105107111115129[[#This Row],[CIE-10]]),COUNTIFS(BASE[Cod.Establecimiento],$B$2,BASE[CODCIE102],GUIA_NACIONAL_2022_1106128105107111115129[[#This Row],[CIE-10]]))</f>
        <v>0</v>
      </c>
      <c r="CA5" s="3">
        <f>IF($B$2="(Todas)",COUNTIF(BASE[CODCIE104],GUIA_NACIONAL_2022_1106128105107111115129[[#This Row],[CIE-10]]),COUNTIFS(BASE[Cod.Establecimiento],$B$2,BASE[CODCIE104],GUIA_NACIONAL_2022_1106128105107111115129[[#This Row],[CIE-10]]))</f>
        <v>0</v>
      </c>
      <c r="CB5" s="3">
        <f>IF($B$2="(Todas)",COUNTIF(BASE[CODCIE106],GUIA_NACIONAL_2022_1106128105107111115129[[#This Row],[CIE-10]]),COUNTIFS(BASE[Cod.Establecimiento],$B$2,BASE[CODCIE106],GUIA_NACIONAL_2022_1106128105107111115129[[#This Row],[CIE-10]]))</f>
        <v>0</v>
      </c>
      <c r="CC5" s="3">
        <f>IF($B$2="(Todas)",COUNTIF(BASE[CODCIE108],GUIA_NACIONAL_2022_1106128105107111115129[[#This Row],[CIE-10]]),COUNTIFS(BASE[Cod.Establecimiento],$B$2,BASE[CODCIE108],GUIA_NACIONAL_2022_1106128105107111115129[[#This Row],[CIE-10]]))</f>
        <v>0</v>
      </c>
      <c r="CD5" s="3">
        <f>IF($B$2="(Todas)",COUNTIF(BASE[CODCIE1010],GUIA_NACIONAL_2022_1106128105107111115129[[#This Row],[CIE-10]]),COUNTIFS(BASE[Cod.Establecimiento],$B$2,BASE[CODCIE1010],GUIA_NACIONAL_2022_1106128105107111115129[[#This Row],[CIE-10]]))</f>
        <v>0</v>
      </c>
      <c r="CE5" s="9">
        <f>SUM(GUIA_NACIONAL_2022_1106128105107111115129[[#This Row],[D1]:[D6]])</f>
        <v>0</v>
      </c>
      <c r="CG5" s="4" t="s">
        <v>498</v>
      </c>
      <c r="CH5" s="3">
        <f>IF($B$2="(Todas)",COUNTIF(BASE[CODCIE10],GUIA_NACIONAL_2022_1106128105107111115129130[[#This Row],[CIE-10]]),COUNTIFS(BASE[Cod.Establecimiento],$B$2,BASE[CODCIE10],GUIA_NACIONAL_2022_1106128105107111115129130[[#This Row],[CIE-10]]))</f>
        <v>0</v>
      </c>
      <c r="CI5" s="3">
        <f>IF($B$2="(Todas)",COUNTIF(BASE[CODCIE102],GUIA_NACIONAL_2022_1106128105107111115129130[[#This Row],[CIE-10]]),COUNTIFS(BASE[Cod.Establecimiento],$B$2,BASE[CODCIE102],GUIA_NACIONAL_2022_1106128105107111115129130[[#This Row],[CIE-10]]))</f>
        <v>0</v>
      </c>
      <c r="CJ5" s="3">
        <f>IF($B$2="(Todas)",COUNTIF(BASE[CODCIE104],GUIA_NACIONAL_2022_1106128105107111115129130[[#This Row],[CIE-10]]),COUNTIFS(BASE[Cod.Establecimiento],$B$2,BASE[CODCIE104],GUIA_NACIONAL_2022_1106128105107111115129130[[#This Row],[CIE-10]]))</f>
        <v>0</v>
      </c>
      <c r="CK5" s="3">
        <f>IF($B$2="(Todas)",COUNTIF(BASE[CODCIE106],GUIA_NACIONAL_2022_1106128105107111115129130[[#This Row],[CIE-10]]),COUNTIFS(BASE[Cod.Establecimiento],$B$2,BASE[CODCIE106],GUIA_NACIONAL_2022_1106128105107111115129130[[#This Row],[CIE-10]]))</f>
        <v>0</v>
      </c>
      <c r="CL5" s="3">
        <f>IF($B$2="(Todas)",COUNTIF(BASE[CODCIE108],GUIA_NACIONAL_2022_1106128105107111115129130[[#This Row],[CIE-10]]),COUNTIFS(BASE[Cod.Establecimiento],$B$2,BASE[CODCIE108],GUIA_NACIONAL_2022_1106128105107111115129130[[#This Row],[CIE-10]]))</f>
        <v>0</v>
      </c>
      <c r="CM5" s="3">
        <f>IF($B$2="(Todas)",COUNTIF(BASE[CODCIE1010],GUIA_NACIONAL_2022_1106128105107111115129130[[#This Row],[CIE-10]]),COUNTIFS(BASE[Cod.Establecimiento],$B$2,BASE[CODCIE1010],GUIA_NACIONAL_2022_1106128105107111115129130[[#This Row],[CIE-10]]))</f>
        <v>0</v>
      </c>
      <c r="CN5" s="9">
        <f>SUM(GUIA_NACIONAL_2022_1106128105107111115129130[[#This Row],[D1]:[D6]])</f>
        <v>0</v>
      </c>
      <c r="CP5" s="4" t="s">
        <v>505</v>
      </c>
      <c r="CQ5" s="3">
        <f>IF($B$2="(Todas)",COUNTIF(BASE[CODCIE10],GUIA_NACIONAL_2022_1106128105107111115129130131[[#This Row],[CIE-10]]),COUNTIFS(BASE[Cod.Establecimiento],$B$2,BASE[CODCIE10],GUIA_NACIONAL_2022_1106128105107111115129130131[[#This Row],[CIE-10]]))</f>
        <v>0</v>
      </c>
      <c r="CR5" s="3">
        <f>IF($B$2="(Todas)",COUNTIF(BASE[CODCIE102],GUIA_NACIONAL_2022_1106128105107111115129130131[[#This Row],[CIE-10]]),COUNTIFS(BASE[Cod.Establecimiento],$B$2,BASE[CODCIE102],GUIA_NACIONAL_2022_1106128105107111115129130131[[#This Row],[CIE-10]]))</f>
        <v>0</v>
      </c>
      <c r="CS5" s="3">
        <f>IF($B$2="(Todas)",COUNTIF(BASE[CODCIE104],GUIA_NACIONAL_2022_1106128105107111115129130131[[#This Row],[CIE-10]]),COUNTIFS(BASE[Cod.Establecimiento],$B$2,BASE[CODCIE104],GUIA_NACIONAL_2022_1106128105107111115129130131[[#This Row],[CIE-10]]))</f>
        <v>0</v>
      </c>
      <c r="CT5" s="3">
        <f>IF($B$2="(Todas)",COUNTIF(BASE[CODCIE106],GUIA_NACIONAL_2022_1106128105107111115129130131[[#This Row],[CIE-10]]),COUNTIFS(BASE[Cod.Establecimiento],$B$2,BASE[CODCIE106],GUIA_NACIONAL_2022_1106128105107111115129130131[[#This Row],[CIE-10]]))</f>
        <v>0</v>
      </c>
      <c r="CU5" s="3">
        <f>IF($B$2="(Todas)",COUNTIF(BASE[CODCIE108],GUIA_NACIONAL_2022_1106128105107111115129130131[[#This Row],[CIE-10]]),COUNTIFS(BASE[Cod.Establecimiento],$B$2,BASE[CODCIE108],GUIA_NACIONAL_2022_1106128105107111115129130131[[#This Row],[CIE-10]]))</f>
        <v>0</v>
      </c>
      <c r="CV5" s="3">
        <f>IF($B$2="(Todas)",COUNTIF(BASE[CODCIE1010],GUIA_NACIONAL_2022_1106128105107111115129130131[[#This Row],[CIE-10]]),COUNTIFS(BASE[Cod.Establecimiento],$B$2,BASE[CODCIE1010],GUIA_NACIONAL_2022_1106128105107111115129130131[[#This Row],[CIE-10]]))</f>
        <v>0</v>
      </c>
      <c r="CW5" s="9">
        <f>SUM(GUIA_NACIONAL_2022_1106128105107111115129130131[[#This Row],[D1]:[D6]])</f>
        <v>0</v>
      </c>
      <c r="CY5" s="4"/>
      <c r="CZ5" s="3">
        <f>IF($B$2="(Todas)",COUNTIF(BASE[CODCIE10],GUIA_NACIONAL_2022_1106128105107111115129130131132[[#This Row],[CIE-10]]),COUNTIFS(BASE[Cod.Establecimiento],$B$2,BASE[CODCIE10],GUIA_NACIONAL_2022_1106128105107111115129130131132[[#This Row],[CIE-10]]))</f>
        <v>0</v>
      </c>
      <c r="DA5" s="3">
        <f>IF($B$2="(Todas)",COUNTIF(BASE[CODCIE102],GUIA_NACIONAL_2022_1106128105107111115129130131132[[#This Row],[CIE-10]]),COUNTIFS(BASE[Cod.Establecimiento],$B$2,BASE[CODCIE102],GUIA_NACIONAL_2022_1106128105107111115129130131132[[#This Row],[CIE-10]]))</f>
        <v>0</v>
      </c>
      <c r="DB5" s="3">
        <f>IF($B$2="(Todas)",COUNTIF(BASE[CODCIE104],GUIA_NACIONAL_2022_1106128105107111115129130131132[[#This Row],[CIE-10]]),COUNTIFS(BASE[Cod.Establecimiento],$B$2,BASE[CODCIE104],GUIA_NACIONAL_2022_1106128105107111115129130131132[[#This Row],[CIE-10]]))</f>
        <v>0</v>
      </c>
      <c r="DC5" s="3">
        <f>IF($B$2="(Todas)",COUNTIF(BASE[CODCIE106],GUIA_NACIONAL_2022_1106128105107111115129130131132[[#This Row],[CIE-10]]),COUNTIFS(BASE[Cod.Establecimiento],$B$2,BASE[CODCIE106],GUIA_NACIONAL_2022_1106128105107111115129130131132[[#This Row],[CIE-10]]))</f>
        <v>0</v>
      </c>
      <c r="DD5" s="3">
        <f>IF($B$2="(Todas)",COUNTIF(BASE[CODCIE108],GUIA_NACIONAL_2022_1106128105107111115129130131132[[#This Row],[CIE-10]]),COUNTIFS(BASE[Cod.Establecimiento],$B$2,BASE[CODCIE108],GUIA_NACIONAL_2022_1106128105107111115129130131132[[#This Row],[CIE-10]]))</f>
        <v>0</v>
      </c>
      <c r="DE5" s="3">
        <f>IF($B$2="(Todas)",COUNTIF(BASE[CODCIE1010],GUIA_NACIONAL_2022_1106128105107111115129130131132[[#This Row],[CIE-10]]),COUNTIFS(BASE[Cod.Establecimiento],$B$2,BASE[CODCIE1010],GUIA_NACIONAL_2022_1106128105107111115129130131132[[#This Row],[CIE-10]]))</f>
        <v>0</v>
      </c>
      <c r="DF5" s="9">
        <f>SUM(GUIA_NACIONAL_2022_1106128105107111115129130131132[[#This Row],[D1]:[D6]])</f>
        <v>0</v>
      </c>
      <c r="DH5" s="4" t="s">
        <v>365</v>
      </c>
      <c r="DI5" s="3">
        <f>IF($B$2="(Todas)",COUNTIF(BASE[CODCIE10],GUIA_NACIONAL_2022_1106128105107111115129130131132133[[#This Row],[CIE-10]]),COUNTIFS(BASE[Cod.Establecimiento],$B$2,BASE[CODCIE10],GUIA_NACIONAL_2022_1106128105107111115129130131132133[[#This Row],[CIE-10]]))</f>
        <v>0</v>
      </c>
      <c r="DJ5" s="3">
        <f>IF($B$2="(Todas)",COUNTIF(BASE[CODCIE102],GUIA_NACIONAL_2022_1106128105107111115129130131132133[[#This Row],[CIE-10]]),COUNTIFS(BASE[Cod.Establecimiento],$B$2,BASE[CODCIE102],GUIA_NACIONAL_2022_1106128105107111115129130131132133[[#This Row],[CIE-10]]))</f>
        <v>0</v>
      </c>
      <c r="DK5" s="3">
        <f>IF($B$2="(Todas)",COUNTIF(BASE[CODCIE104],GUIA_NACIONAL_2022_1106128105107111115129130131132133[[#This Row],[CIE-10]]),COUNTIFS(BASE[Cod.Establecimiento],$B$2,BASE[CODCIE104],GUIA_NACIONAL_2022_1106128105107111115129130131132133[[#This Row],[CIE-10]]))</f>
        <v>0</v>
      </c>
      <c r="DL5" s="3">
        <f>IF($B$2="(Todas)",COUNTIF(BASE[CODCIE106],GUIA_NACIONAL_2022_1106128105107111115129130131132133[[#This Row],[CIE-10]]),COUNTIFS(BASE[Cod.Establecimiento],$B$2,BASE[CODCIE106],GUIA_NACIONAL_2022_1106128105107111115129130131132133[[#This Row],[CIE-10]]))</f>
        <v>0</v>
      </c>
      <c r="DM5" s="3">
        <f>IF($B$2="(Todas)",COUNTIF(BASE[CODCIE108],GUIA_NACIONAL_2022_1106128105107111115129130131132133[[#This Row],[CIE-10]]),COUNTIFS(BASE[Cod.Establecimiento],$B$2,BASE[CODCIE108],GUIA_NACIONAL_2022_1106128105107111115129130131132133[[#This Row],[CIE-10]]))</f>
        <v>0</v>
      </c>
      <c r="DN5" s="3">
        <f>IF($B$2="(Todas)",COUNTIF(BASE[CODCIE1010],GUIA_NACIONAL_2022_1106128105107111115129130131132133[[#This Row],[CIE-10]]),COUNTIFS(BASE[Cod.Establecimiento],$B$2,BASE[CODCIE1010],GUIA_NACIONAL_2022_1106128105107111115129130131132133[[#This Row],[CIE-10]]))</f>
        <v>0</v>
      </c>
      <c r="DO5" s="9">
        <f>SUM(GUIA_NACIONAL_2022_1106128105107111115129130131132133[[#This Row],[D1]:[D6]])</f>
        <v>0</v>
      </c>
      <c r="DQ5" s="4"/>
      <c r="DR5" s="3">
        <f>IF($B$2="(Todas)",COUNTIF(BASE[CODCIE10],GUIA_NACIONAL_2022_1106128105107111115129130131132133134[[#This Row],[CIE-10]]),COUNTIFS(BASE[Cod.Establecimiento],$B$2,BASE[CODCIE10],GUIA_NACIONAL_2022_1106128105107111115129130131132133134[[#This Row],[CIE-10]]))</f>
        <v>0</v>
      </c>
      <c r="DS5" s="3">
        <f>IF($B$2="(Todas)",COUNTIF(BASE[CODCIE102],GUIA_NACIONAL_2022_1106128105107111115129130131132133134[[#This Row],[CIE-10]]),COUNTIFS(BASE[Cod.Establecimiento],$B$2,BASE[CODCIE102],GUIA_NACIONAL_2022_1106128105107111115129130131132133134[[#This Row],[CIE-10]]))</f>
        <v>0</v>
      </c>
      <c r="DT5" s="3">
        <f>IF($B$2="(Todas)",COUNTIF(BASE[CODCIE104],GUIA_NACIONAL_2022_1106128105107111115129130131132133134[[#This Row],[CIE-10]]),COUNTIFS(BASE[Cod.Establecimiento],$B$2,BASE[CODCIE104],GUIA_NACIONAL_2022_1106128105107111115129130131132133134[[#This Row],[CIE-10]]))</f>
        <v>0</v>
      </c>
      <c r="DU5" s="3">
        <f>IF($B$2="(Todas)",COUNTIF(BASE[CODCIE106],GUIA_NACIONAL_2022_1106128105107111115129130131132133134[[#This Row],[CIE-10]]),COUNTIFS(BASE[Cod.Establecimiento],$B$2,BASE[CODCIE106],GUIA_NACIONAL_2022_1106128105107111115129130131132133134[[#This Row],[CIE-10]]))</f>
        <v>0</v>
      </c>
      <c r="DV5" s="3">
        <f>IF($B$2="(Todas)",COUNTIF(BASE[CODCIE108],GUIA_NACIONAL_2022_1106128105107111115129130131132133134[[#This Row],[CIE-10]]),COUNTIFS(BASE[Cod.Establecimiento],$B$2,BASE[CODCIE108],GUIA_NACIONAL_2022_1106128105107111115129130131132133134[[#This Row],[CIE-10]]))</f>
        <v>0</v>
      </c>
      <c r="DW5" s="3">
        <f>IF($B$2="(Todas)",COUNTIF(BASE[CODCIE1010],GUIA_NACIONAL_2022_1106128105107111115129130131132133134[[#This Row],[CIE-10]]),COUNTIFS(BASE[Cod.Establecimiento],$B$2,BASE[CODCIE1010],GUIA_NACIONAL_2022_1106128105107111115129130131132133134[[#This Row],[CIE-10]]))</f>
        <v>0</v>
      </c>
      <c r="DX5" s="9">
        <f>SUM(GUIA_NACIONAL_2022_1106128105107111115129130131132133134[[#This Row],[D1]:[D6]])</f>
        <v>0</v>
      </c>
      <c r="DZ5" s="4"/>
      <c r="EA5" s="3">
        <f>IF($B$2="(Todas)",COUNTIF(BASE[CODCIE10],GUIA_NACIONAL_2022_1106128105107111115129130131132133134135[[#This Row],[CIE-10]]),COUNTIFS(BASE[Cod.Establecimiento],$B$2,BASE[CODCIE10],GUIA_NACIONAL_2022_1106128105107111115129130131132133134135[[#This Row],[CIE-10]]))</f>
        <v>0</v>
      </c>
      <c r="EB5" s="3">
        <f>IF($B$2="(Todas)",COUNTIF(BASE[CODCIE102],GUIA_NACIONAL_2022_1106128105107111115129130131132133134135[[#This Row],[CIE-10]]),COUNTIFS(BASE[Cod.Establecimiento],$B$2,BASE[CODCIE102],GUIA_NACIONAL_2022_1106128105107111115129130131132133134135[[#This Row],[CIE-10]]))</f>
        <v>0</v>
      </c>
      <c r="EC5" s="3">
        <f>IF($B$2="(Todas)",COUNTIF(BASE[CODCIE104],GUIA_NACIONAL_2022_1106128105107111115129130131132133134135[[#This Row],[CIE-10]]),COUNTIFS(BASE[Cod.Establecimiento],$B$2,BASE[CODCIE104],GUIA_NACIONAL_2022_1106128105107111115129130131132133134135[[#This Row],[CIE-10]]))</f>
        <v>0</v>
      </c>
      <c r="ED5" s="3">
        <f>IF($B$2="(Todas)",COUNTIF(BASE[CODCIE106],GUIA_NACIONAL_2022_1106128105107111115129130131132133134135[[#This Row],[CIE-10]]),COUNTIFS(BASE[Cod.Establecimiento],$B$2,BASE[CODCIE106],GUIA_NACIONAL_2022_1106128105107111115129130131132133134135[[#This Row],[CIE-10]]))</f>
        <v>0</v>
      </c>
      <c r="EE5" s="3">
        <f>IF($B$2="(Todas)",COUNTIF(BASE[CODCIE108],GUIA_NACIONAL_2022_1106128105107111115129130131132133134135[[#This Row],[CIE-10]]),COUNTIFS(BASE[Cod.Establecimiento],$B$2,BASE[CODCIE108],GUIA_NACIONAL_2022_1106128105107111115129130131132133134135[[#This Row],[CIE-10]]))</f>
        <v>0</v>
      </c>
      <c r="EF5" s="3">
        <f>IF($B$2="(Todas)",COUNTIF(BASE[CODCIE1010],GUIA_NACIONAL_2022_1106128105107111115129130131132133134135[[#This Row],[CIE-10]]),COUNTIFS(BASE[Cod.Establecimiento],$B$2,BASE[CODCIE1010],GUIA_NACIONAL_2022_1106128105107111115129130131132133134135[[#This Row],[CIE-10]]))</f>
        <v>0</v>
      </c>
      <c r="EG5" s="9">
        <f>SUM(GUIA_NACIONAL_2022_1106128105107111115129130131132133134135[[#This Row],[D1]:[D6]])</f>
        <v>0</v>
      </c>
    </row>
    <row r="6" spans="1:137">
      <c r="D6" s="32" t="s">
        <v>430</v>
      </c>
      <c r="E6" s="3">
        <f>IF($B$2="(Todas)",COUNTIF(BASE[CODCIE10],GUIA_NACIONAL_2022_1[[#This Row],[CIE-10]]),COUNTIFS(BASE[Cod.Establecimiento],$B$2,BASE[CODCIE10],GUIA_NACIONAL_2022_1[[#This Row],[CIE-10]]))</f>
        <v>0</v>
      </c>
      <c r="F6" s="3">
        <f>IF($B$2="(Todas)",COUNTIF(BASE[CODCIE102],GUIA_NACIONAL_2022_1[[#This Row],[CIE-10]]),COUNTIFS(BASE[Cod.Establecimiento],$B$2,BASE[CODCIE102],GUIA_NACIONAL_2022_1[[#This Row],[CIE-10]]))</f>
        <v>0</v>
      </c>
      <c r="G6" s="3">
        <f>IF($B$2="(Todas)",COUNTIF(BASE[CODCIE104],GUIA_NACIONAL_2022_1[[#This Row],[CIE-10]]),COUNTIFS(BASE[Cod.Establecimiento],$B$2,BASE[CODCIE104],GUIA_NACIONAL_2022_1[[#This Row],[CIE-10]]))</f>
        <v>0</v>
      </c>
      <c r="H6" s="3">
        <f>IF($B$2="(Todas)",COUNTIF(BASE[CODCIE106],GUIA_NACIONAL_2022_1[[#This Row],[CIE-10]]),COUNTIFS(BASE[Cod.Establecimiento],$B$2,BASE[CODCIE106],GUIA_NACIONAL_2022_1[[#This Row],[CIE-10]]))</f>
        <v>0</v>
      </c>
      <c r="I6" s="3">
        <f>IF($B$2="(Todas)",COUNTIF(BASE[CODCIE108],GUIA_NACIONAL_2022_1[[#This Row],[CIE-10]]),COUNTIFS(BASE[Cod.Establecimiento],$B$2,BASE[CODCIE108],GUIA_NACIONAL_2022_1[[#This Row],[CIE-10]]))</f>
        <v>0</v>
      </c>
      <c r="J6" s="3">
        <f>IF($B$2="(Todas)",COUNTIF(BASE[CODCIE1010],GUIA_NACIONAL_2022_1[[#This Row],[CIE-10]]),COUNTIFS(BASE[Cod.Establecimiento],$B$2,BASE[CODCIE1010],GUIA_NACIONAL_2022_1[[#This Row],[CIE-10]]))</f>
        <v>0</v>
      </c>
      <c r="K6" s="9">
        <f>SUM(GUIA_NACIONAL_2022_1[[#This Row],[D1]:[D6]])</f>
        <v>0</v>
      </c>
      <c r="M6" s="32" t="s">
        <v>395</v>
      </c>
      <c r="N6" s="3">
        <f>IF($B$2="(Todas)",COUNTIF(BASE[CODCIE10],GUIA_NACIONAL_2022_1106[[#This Row],[CIE-10]]),COUNTIFS(BASE[Cod.Establecimiento],$B$2,BASE[CODCIE10],GUIA_NACIONAL_2022_1106[[#This Row],[CIE-10]]))</f>
        <v>0</v>
      </c>
      <c r="O6" s="3">
        <f>IF($B$2="(Todas)",COUNTIF(BASE[CODCIE102],GUIA_NACIONAL_2022_1106[[#This Row],[CIE-10]]),COUNTIFS(BASE[Cod.Establecimiento],$B$2,BASE[CODCIE102],GUIA_NACIONAL_2022_1106[[#This Row],[CIE-10]]))</f>
        <v>0</v>
      </c>
      <c r="P6" s="3">
        <f>IF($B$2="(Todas)",COUNTIF(BASE[CODCIE104],GUIA_NACIONAL_2022_1106[[#This Row],[CIE-10]]),COUNTIFS(BASE[Cod.Establecimiento],$B$2,BASE[CODCIE104],GUIA_NACIONAL_2022_1106[[#This Row],[CIE-10]]))</f>
        <v>0</v>
      </c>
      <c r="Q6" s="3">
        <f>IF($B$2="(Todas)",COUNTIF(BASE[CODCIE106],GUIA_NACIONAL_2022_1106[[#This Row],[CIE-10]]),COUNTIFS(BASE[Cod.Establecimiento],$B$2,BASE[CODCIE106],GUIA_NACIONAL_2022_1106[[#This Row],[CIE-10]]))</f>
        <v>0</v>
      </c>
      <c r="R6" s="3">
        <f>IF($B$2="(Todas)",COUNTIF(BASE[CODCIE108],GUIA_NACIONAL_2022_1106[[#This Row],[CIE-10]]),COUNTIFS(BASE[Cod.Establecimiento],$B$2,BASE[CODCIE108],GUIA_NACIONAL_2022_1106[[#This Row],[CIE-10]]))</f>
        <v>0</v>
      </c>
      <c r="S6" s="3">
        <f>IF($B$2="(Todas)",COUNTIF(BASE[CODCIE1010],GUIA_NACIONAL_2022_1106[[#This Row],[CIE-10]]),COUNTIFS(BASE[Cod.Establecimiento],$B$2,BASE[CODCIE1010],GUIA_NACIONAL_2022_1106[[#This Row],[CIE-10]]))</f>
        <v>0</v>
      </c>
      <c r="T6" s="9">
        <f>SUM(GUIA_NACIONAL_2022_1106[[#This Row],[D1]:[D6]])</f>
        <v>0</v>
      </c>
      <c r="V6" s="141" t="s">
        <v>532</v>
      </c>
      <c r="W6" s="141"/>
      <c r="X6" s="141"/>
      <c r="Y6" s="141"/>
      <c r="Z6" s="141"/>
      <c r="AA6" s="141"/>
      <c r="AB6" s="141"/>
      <c r="AC6" s="141"/>
      <c r="AW6" s="32" t="s">
        <v>485</v>
      </c>
      <c r="AX6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6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6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6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6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6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6" s="9">
        <f>SUM(GUIA_NACIONAL_2022_1106128105107110[[#This Row],[D1]:[D6]])</f>
        <v>0</v>
      </c>
    </row>
    <row r="7" spans="1:137" ht="15" customHeight="1">
      <c r="A7" s="139" t="s">
        <v>142</v>
      </c>
      <c r="B7" s="139"/>
      <c r="D7" s="32" t="s">
        <v>308</v>
      </c>
      <c r="E7" s="3">
        <f>IF($B$2="(Todas)",COUNTIF(BASE[CODCIE10],GUIA_NACIONAL_2022_1[[#This Row],[CIE-10]]),COUNTIFS(BASE[Cod.Establecimiento],$B$2,BASE[CODCIE10],GUIA_NACIONAL_2022_1[[#This Row],[CIE-10]]))</f>
        <v>0</v>
      </c>
      <c r="F7" s="3">
        <f>IF($B$2="(Todas)",COUNTIF(BASE[CODCIE102],GUIA_NACIONAL_2022_1[[#This Row],[CIE-10]]),COUNTIFS(BASE[Cod.Establecimiento],$B$2,BASE[CODCIE102],GUIA_NACIONAL_2022_1[[#This Row],[CIE-10]]))</f>
        <v>0</v>
      </c>
      <c r="G7" s="3">
        <f>IF($B$2="(Todas)",COUNTIF(BASE[CODCIE104],GUIA_NACIONAL_2022_1[[#This Row],[CIE-10]]),COUNTIFS(BASE[Cod.Establecimiento],$B$2,BASE[CODCIE104],GUIA_NACIONAL_2022_1[[#This Row],[CIE-10]]))</f>
        <v>0</v>
      </c>
      <c r="H7" s="3">
        <f>IF($B$2="(Todas)",COUNTIF(BASE[CODCIE106],GUIA_NACIONAL_2022_1[[#This Row],[CIE-10]]),COUNTIFS(BASE[Cod.Establecimiento],$B$2,BASE[CODCIE106],GUIA_NACIONAL_2022_1[[#This Row],[CIE-10]]))</f>
        <v>0</v>
      </c>
      <c r="I7" s="3">
        <f>IF($B$2="(Todas)",COUNTIF(BASE[CODCIE108],GUIA_NACIONAL_2022_1[[#This Row],[CIE-10]]),COUNTIFS(BASE[Cod.Establecimiento],$B$2,BASE[CODCIE108],GUIA_NACIONAL_2022_1[[#This Row],[CIE-10]]))</f>
        <v>0</v>
      </c>
      <c r="J7" s="3">
        <f>IF($B$2="(Todas)",COUNTIF(BASE[CODCIE1010],GUIA_NACIONAL_2022_1[[#This Row],[CIE-10]]),COUNTIFS(BASE[Cod.Establecimiento],$B$2,BASE[CODCIE1010],GUIA_NACIONAL_2022_1[[#This Row],[CIE-10]]))</f>
        <v>0</v>
      </c>
      <c r="K7" s="9">
        <f>SUM(GUIA_NACIONAL_2022_1[[#This Row],[D1]:[D6]])</f>
        <v>0</v>
      </c>
      <c r="M7" s="141" t="s">
        <v>467</v>
      </c>
      <c r="N7" s="141"/>
      <c r="O7" s="141"/>
      <c r="P7" s="141"/>
      <c r="Q7" s="141"/>
      <c r="R7" s="141"/>
      <c r="S7" s="141"/>
      <c r="T7" s="141"/>
      <c r="V7" t="s">
        <v>93</v>
      </c>
      <c r="W7" s="3" t="s">
        <v>94</v>
      </c>
      <c r="X7" s="3" t="s">
        <v>95</v>
      </c>
      <c r="Y7" s="3" t="s">
        <v>96</v>
      </c>
      <c r="Z7" s="3" t="s">
        <v>97</v>
      </c>
      <c r="AA7" s="3" t="s">
        <v>98</v>
      </c>
      <c r="AB7" s="3" t="s">
        <v>99</v>
      </c>
      <c r="AC7" s="8" t="s">
        <v>100</v>
      </c>
      <c r="AW7" s="32" t="s">
        <v>486</v>
      </c>
      <c r="AX7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7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7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7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7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7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7" s="9">
        <f>SUM(GUIA_NACIONAL_2022_1106128105107110[[#This Row],[D1]:[D6]])</f>
        <v>0</v>
      </c>
    </row>
    <row r="8" spans="1:137" ht="15" customHeight="1">
      <c r="A8" s="139"/>
      <c r="B8" s="139"/>
      <c r="D8" s="32" t="s">
        <v>310</v>
      </c>
      <c r="E8" s="3">
        <f>IF($B$2="(Todas)",COUNTIF(BASE[CODCIE10],GUIA_NACIONAL_2022_1[[#This Row],[CIE-10]]),COUNTIFS(BASE[Cod.Establecimiento],$B$2,BASE[CODCIE10],GUIA_NACIONAL_2022_1[[#This Row],[CIE-10]]))</f>
        <v>0</v>
      </c>
      <c r="F8" s="3">
        <f>IF($B$2="(Todas)",COUNTIF(BASE[CODCIE102],GUIA_NACIONAL_2022_1[[#This Row],[CIE-10]]),COUNTIFS(BASE[Cod.Establecimiento],$B$2,BASE[CODCIE102],GUIA_NACIONAL_2022_1[[#This Row],[CIE-10]]))</f>
        <v>0</v>
      </c>
      <c r="G8" s="3">
        <f>IF($B$2="(Todas)",COUNTIF(BASE[CODCIE104],GUIA_NACIONAL_2022_1[[#This Row],[CIE-10]]),COUNTIFS(BASE[Cod.Establecimiento],$B$2,BASE[CODCIE104],GUIA_NACIONAL_2022_1[[#This Row],[CIE-10]]))</f>
        <v>0</v>
      </c>
      <c r="H8" s="3">
        <f>IF($B$2="(Todas)",COUNTIF(BASE[CODCIE106],GUIA_NACIONAL_2022_1[[#This Row],[CIE-10]]),COUNTIFS(BASE[Cod.Establecimiento],$B$2,BASE[CODCIE106],GUIA_NACIONAL_2022_1[[#This Row],[CIE-10]]))</f>
        <v>0</v>
      </c>
      <c r="I8" s="3">
        <f>IF($B$2="(Todas)",COUNTIF(BASE[CODCIE108],GUIA_NACIONAL_2022_1[[#This Row],[CIE-10]]),COUNTIFS(BASE[Cod.Establecimiento],$B$2,BASE[CODCIE108],GUIA_NACIONAL_2022_1[[#This Row],[CIE-10]]))</f>
        <v>0</v>
      </c>
      <c r="J8" s="3">
        <f>IF($B$2="(Todas)",COUNTIF(BASE[CODCIE1010],GUIA_NACIONAL_2022_1[[#This Row],[CIE-10]]),COUNTIFS(BASE[Cod.Establecimiento],$B$2,BASE[CODCIE1010],GUIA_NACIONAL_2022_1[[#This Row],[CIE-10]]))</f>
        <v>0</v>
      </c>
      <c r="K8" s="9">
        <f>SUM(GUIA_NACIONAL_2022_1[[#This Row],[D1]:[D6]])</f>
        <v>0</v>
      </c>
      <c r="M8" t="s">
        <v>93</v>
      </c>
      <c r="N8" s="3" t="s">
        <v>94</v>
      </c>
      <c r="O8" s="3" t="s">
        <v>95</v>
      </c>
      <c r="P8" s="3" t="s">
        <v>96</v>
      </c>
      <c r="Q8" s="3" t="s">
        <v>97</v>
      </c>
      <c r="R8" s="3" t="s">
        <v>98</v>
      </c>
      <c r="S8" s="3" t="s">
        <v>99</v>
      </c>
      <c r="T8" s="8" t="s">
        <v>100</v>
      </c>
      <c r="V8" s="4" t="s">
        <v>129</v>
      </c>
      <c r="W8" s="3">
        <f>IF($B$2="(Todas)",COUNTIF(BASE[CODCIE10],GUIA_NACIONAL_2022_1106128143[[#This Row],[CIE-10]]),COUNTIFS(BASE[Cod.Establecimiento],$B$2,BASE[CODCIE10],GUIA_NACIONAL_2022_1106128143[[#This Row],[CIE-10]]))</f>
        <v>0</v>
      </c>
      <c r="X8" s="3">
        <f>IF($B$2="(Todas)",COUNTIF(BASE[CODCIE102],GUIA_NACIONAL_2022_1106128143[[#This Row],[CIE-10]]),COUNTIFS(BASE[Cod.Establecimiento],$B$2,BASE[CODCIE102],GUIA_NACIONAL_2022_1106128143[[#This Row],[CIE-10]]))</f>
        <v>0</v>
      </c>
      <c r="Y8" s="3">
        <f>IF($B$2="(Todas)",COUNTIF(BASE[CODCIE104],GUIA_NACIONAL_2022_1106128143[[#This Row],[CIE-10]]),COUNTIFS(BASE[Cod.Establecimiento],$B$2,BASE[CODCIE104],GUIA_NACIONAL_2022_1106128143[[#This Row],[CIE-10]]))</f>
        <v>0</v>
      </c>
      <c r="Z8" s="3">
        <f>IF($B$2="(Todas)",COUNTIF(BASE[CODCIE106],GUIA_NACIONAL_2022_1106128143[[#This Row],[CIE-10]]),COUNTIFS(BASE[Cod.Establecimiento],$B$2,BASE[CODCIE106],GUIA_NACIONAL_2022_1106128143[[#This Row],[CIE-10]]))</f>
        <v>0</v>
      </c>
      <c r="AA8" s="3">
        <f>IF($B$2="(Todas)",COUNTIF(BASE[CODCIE108],GUIA_NACIONAL_2022_1106128143[[#This Row],[CIE-10]]),COUNTIFS(BASE[Cod.Establecimiento],$B$2,BASE[CODCIE108],GUIA_NACIONAL_2022_1106128143[[#This Row],[CIE-10]]))</f>
        <v>0</v>
      </c>
      <c r="AB8" s="3">
        <f>IF($B$2="(Todas)",COUNTIF(BASE[CODCIE1010],GUIA_NACIONAL_2022_1106128143[[#This Row],[CIE-10]]),COUNTIFS(BASE[Cod.Establecimiento],$B$2,BASE[CODCIE1010],GUIA_NACIONAL_2022_1106128143[[#This Row],[CIE-10]]))</f>
        <v>0</v>
      </c>
      <c r="AC8" s="9">
        <f>SUM(GUIA_NACIONAL_2022_1106128143[[#This Row],[D1]:[D6]])</f>
        <v>0</v>
      </c>
    </row>
    <row r="9" spans="1:137" ht="15" customHeight="1">
      <c r="A9" s="139"/>
      <c r="B9" s="139"/>
      <c r="D9" s="32" t="s">
        <v>431</v>
      </c>
      <c r="E9" s="3">
        <f>IF($B$2="(Todas)",COUNTIF(BASE[CODCIE10],GUIA_NACIONAL_2022_1[[#This Row],[CIE-10]]),COUNTIFS(BASE[Cod.Establecimiento],$B$2,BASE[CODCIE10],GUIA_NACIONAL_2022_1[[#This Row],[CIE-10]]))</f>
        <v>0</v>
      </c>
      <c r="F9" s="3">
        <f>IF($B$2="(Todas)",COUNTIF(BASE[CODCIE102],GUIA_NACIONAL_2022_1[[#This Row],[CIE-10]]),COUNTIFS(BASE[Cod.Establecimiento],$B$2,BASE[CODCIE102],GUIA_NACIONAL_2022_1[[#This Row],[CIE-10]]))</f>
        <v>0</v>
      </c>
      <c r="G9" s="3">
        <f>IF($B$2="(Todas)",COUNTIF(BASE[CODCIE104],GUIA_NACIONAL_2022_1[[#This Row],[CIE-10]]),COUNTIFS(BASE[Cod.Establecimiento],$B$2,BASE[CODCIE104],GUIA_NACIONAL_2022_1[[#This Row],[CIE-10]]))</f>
        <v>0</v>
      </c>
      <c r="H9" s="3">
        <f>IF($B$2="(Todas)",COUNTIF(BASE[CODCIE106],GUIA_NACIONAL_2022_1[[#This Row],[CIE-10]]),COUNTIFS(BASE[Cod.Establecimiento],$B$2,BASE[CODCIE106],GUIA_NACIONAL_2022_1[[#This Row],[CIE-10]]))</f>
        <v>0</v>
      </c>
      <c r="I9" s="3">
        <f>IF($B$2="(Todas)",COUNTIF(BASE[CODCIE108],GUIA_NACIONAL_2022_1[[#This Row],[CIE-10]]),COUNTIFS(BASE[Cod.Establecimiento],$B$2,BASE[CODCIE108],GUIA_NACIONAL_2022_1[[#This Row],[CIE-10]]))</f>
        <v>0</v>
      </c>
      <c r="J9" s="3">
        <f>IF($B$2="(Todas)",COUNTIF(BASE[CODCIE1010],GUIA_NACIONAL_2022_1[[#This Row],[CIE-10]]),COUNTIFS(BASE[Cod.Establecimiento],$B$2,BASE[CODCIE1010],GUIA_NACIONAL_2022_1[[#This Row],[CIE-10]]))</f>
        <v>0</v>
      </c>
      <c r="K9" s="9">
        <f>SUM(GUIA_NACIONAL_2022_1[[#This Row],[D1]:[D6]])</f>
        <v>0</v>
      </c>
      <c r="M9" s="4" t="s">
        <v>465</v>
      </c>
      <c r="N9" s="3">
        <f>IF($B$2="(Todas)",COUNTIF(BASE[CODCIE10],GUIA_NACIONAL_2022_1106127[[#This Row],[CIE-10]]),COUNTIFS(BASE[Cod.Establecimiento],$B$2,BASE[CODCIE10],GUIA_NACIONAL_2022_1106127[[#This Row],[CIE-10]]))</f>
        <v>0</v>
      </c>
      <c r="O9" s="3">
        <f>IF($B$2="(Todas)",COUNTIF(BASE[CODCIE102],GUIA_NACIONAL_2022_1106127[[#This Row],[CIE-10]]),COUNTIFS(BASE[Cod.Establecimiento],$B$2,BASE[CODCIE102],GUIA_NACIONAL_2022_1106127[[#This Row],[CIE-10]]))</f>
        <v>0</v>
      </c>
      <c r="P9" s="3">
        <f>IF($B$2="(Todas)",COUNTIF(BASE[CODCIE104],GUIA_NACIONAL_2022_1106127[[#This Row],[CIE-10]]),COUNTIFS(BASE[Cod.Establecimiento],$B$2,BASE[CODCIE104],GUIA_NACIONAL_2022_1106127[[#This Row],[CIE-10]]))</f>
        <v>0</v>
      </c>
      <c r="Q9" s="3">
        <f>IF($B$2="(Todas)",COUNTIF(BASE[CODCIE106],GUIA_NACIONAL_2022_1106127[[#This Row],[CIE-10]]),COUNTIFS(BASE[Cod.Establecimiento],$B$2,BASE[CODCIE106],GUIA_NACIONAL_2022_1106127[[#This Row],[CIE-10]]))</f>
        <v>0</v>
      </c>
      <c r="R9" s="3">
        <f>IF($B$2="(Todas)",COUNTIF(BASE[CODCIE108],GUIA_NACIONAL_2022_1106127[[#This Row],[CIE-10]]),COUNTIFS(BASE[Cod.Establecimiento],$B$2,BASE[CODCIE108],GUIA_NACIONAL_2022_1106127[[#This Row],[CIE-10]]))</f>
        <v>0</v>
      </c>
      <c r="S9" s="3">
        <f>IF($B$2="(Todas)",COUNTIF(BASE[CODCIE1010],GUIA_NACIONAL_2022_1106127[[#This Row],[CIE-10]]),COUNTIFS(BASE[Cod.Establecimiento],$B$2,BASE[CODCIE1010],GUIA_NACIONAL_2022_1106127[[#This Row],[CIE-10]]))</f>
        <v>0</v>
      </c>
      <c r="T9" s="9">
        <f>SUM(GUIA_NACIONAL_2022_1106127[[#This Row],[D1]:[D6]])</f>
        <v>0</v>
      </c>
      <c r="V9" s="141" t="s">
        <v>533</v>
      </c>
      <c r="W9" s="141"/>
      <c r="X9" s="141"/>
      <c r="Y9" s="141"/>
      <c r="Z9" s="141"/>
      <c r="AA9" s="141"/>
      <c r="AB9" s="141"/>
      <c r="AC9" s="141"/>
    </row>
    <row r="10" spans="1:137" ht="15" customHeight="1">
      <c r="A10" s="139"/>
      <c r="B10" s="139"/>
      <c r="D10" s="32" t="s">
        <v>432</v>
      </c>
      <c r="E10" s="3">
        <f>IF($B$2="(Todas)",COUNTIF(BASE[CODCIE10],GUIA_NACIONAL_2022_1[[#This Row],[CIE-10]]),COUNTIFS(BASE[Cod.Establecimiento],$B$2,BASE[CODCIE10],GUIA_NACIONAL_2022_1[[#This Row],[CIE-10]]))</f>
        <v>0</v>
      </c>
      <c r="F10" s="3">
        <f>IF($B$2="(Todas)",COUNTIF(BASE[CODCIE102],GUIA_NACIONAL_2022_1[[#This Row],[CIE-10]]),COUNTIFS(BASE[Cod.Establecimiento],$B$2,BASE[CODCIE102],GUIA_NACIONAL_2022_1[[#This Row],[CIE-10]]))</f>
        <v>0</v>
      </c>
      <c r="G10" s="3">
        <f>IF($B$2="(Todas)",COUNTIF(BASE[CODCIE104],GUIA_NACIONAL_2022_1[[#This Row],[CIE-10]]),COUNTIFS(BASE[Cod.Establecimiento],$B$2,BASE[CODCIE104],GUIA_NACIONAL_2022_1[[#This Row],[CIE-10]]))</f>
        <v>0</v>
      </c>
      <c r="H10" s="3">
        <f>IF($B$2="(Todas)",COUNTIF(BASE[CODCIE106],GUIA_NACIONAL_2022_1[[#This Row],[CIE-10]]),COUNTIFS(BASE[Cod.Establecimiento],$B$2,BASE[CODCIE106],GUIA_NACIONAL_2022_1[[#This Row],[CIE-10]]))</f>
        <v>0</v>
      </c>
      <c r="I10" s="3">
        <f>IF($B$2="(Todas)",COUNTIF(BASE[CODCIE108],GUIA_NACIONAL_2022_1[[#This Row],[CIE-10]]),COUNTIFS(BASE[Cod.Establecimiento],$B$2,BASE[CODCIE108],GUIA_NACIONAL_2022_1[[#This Row],[CIE-10]]))</f>
        <v>0</v>
      </c>
      <c r="J10" s="3">
        <f>IF($B$2="(Todas)",COUNTIF(BASE[CODCIE1010],GUIA_NACIONAL_2022_1[[#This Row],[CIE-10]]),COUNTIFS(BASE[Cod.Establecimiento],$B$2,BASE[CODCIE1010],GUIA_NACIONAL_2022_1[[#This Row],[CIE-10]]))</f>
        <v>0</v>
      </c>
      <c r="K10" s="9">
        <f>SUM(GUIA_NACIONAL_2022_1[[#This Row],[D1]:[D6]])</f>
        <v>0</v>
      </c>
      <c r="M10" s="32" t="s">
        <v>466</v>
      </c>
      <c r="N10" s="3">
        <f>IF($B$2="(Todas)",COUNTIF(BASE[CODCIE10],GUIA_NACIONAL_2022_1106127[[#This Row],[CIE-10]]),COUNTIFS(BASE[Cod.Establecimiento],$B$2,BASE[CODCIE10],GUIA_NACIONAL_2022_1106127[[#This Row],[CIE-10]]))</f>
        <v>0</v>
      </c>
      <c r="O10" s="3">
        <f>IF($B$2="(Todas)",COUNTIF(BASE[CODCIE102],GUIA_NACIONAL_2022_1106127[[#This Row],[CIE-10]]),COUNTIFS(BASE[Cod.Establecimiento],$B$2,BASE[CODCIE102],GUIA_NACIONAL_2022_1106127[[#This Row],[CIE-10]]))</f>
        <v>0</v>
      </c>
      <c r="P10" s="3">
        <f>IF($B$2="(Todas)",COUNTIF(BASE[CODCIE104],GUIA_NACIONAL_2022_1106127[[#This Row],[CIE-10]]),COUNTIFS(BASE[Cod.Establecimiento],$B$2,BASE[CODCIE104],GUIA_NACIONAL_2022_1106127[[#This Row],[CIE-10]]))</f>
        <v>0</v>
      </c>
      <c r="Q10" s="3">
        <f>IF($B$2="(Todas)",COUNTIF(BASE[CODCIE106],GUIA_NACIONAL_2022_1106127[[#This Row],[CIE-10]]),COUNTIFS(BASE[Cod.Establecimiento],$B$2,BASE[CODCIE106],GUIA_NACIONAL_2022_1106127[[#This Row],[CIE-10]]))</f>
        <v>0</v>
      </c>
      <c r="R10" s="3">
        <f>IF($B$2="(Todas)",COUNTIF(BASE[CODCIE108],GUIA_NACIONAL_2022_1106127[[#This Row],[CIE-10]]),COUNTIFS(BASE[Cod.Establecimiento],$B$2,BASE[CODCIE108],GUIA_NACIONAL_2022_1106127[[#This Row],[CIE-10]]))</f>
        <v>0</v>
      </c>
      <c r="S10" s="3">
        <f>IF($B$2="(Todas)",COUNTIF(BASE[CODCIE1010],GUIA_NACIONAL_2022_1106127[[#This Row],[CIE-10]]),COUNTIFS(BASE[Cod.Establecimiento],$B$2,BASE[CODCIE1010],GUIA_NACIONAL_2022_1106127[[#This Row],[CIE-10]]))</f>
        <v>0</v>
      </c>
      <c r="T10" s="9">
        <f>SUM(GUIA_NACIONAL_2022_1106127[[#This Row],[D1]:[D6]])</f>
        <v>0</v>
      </c>
      <c r="V10" t="s">
        <v>93</v>
      </c>
      <c r="W10" s="3" t="s">
        <v>94</v>
      </c>
      <c r="X10" s="3" t="s">
        <v>95</v>
      </c>
      <c r="Y10" s="3" t="s">
        <v>96</v>
      </c>
      <c r="Z10" s="3" t="s">
        <v>97</v>
      </c>
      <c r="AA10" s="3" t="s">
        <v>98</v>
      </c>
      <c r="AB10" s="3" t="s">
        <v>99</v>
      </c>
      <c r="AC10" s="8" t="s">
        <v>100</v>
      </c>
    </row>
    <row r="11" spans="1:137" ht="15" customHeight="1">
      <c r="A11" s="139"/>
      <c r="B11" s="139"/>
      <c r="D11" s="141" t="s">
        <v>439</v>
      </c>
      <c r="E11" s="141"/>
      <c r="F11" s="141"/>
      <c r="G11" s="141"/>
      <c r="H11" s="141"/>
      <c r="I11" s="141"/>
      <c r="J11" s="141"/>
      <c r="K11" s="141"/>
      <c r="M11" s="140" t="s">
        <v>517</v>
      </c>
      <c r="N11" s="141"/>
      <c r="O11" s="141"/>
      <c r="P11" s="141"/>
      <c r="Q11" s="141"/>
      <c r="R11" s="141"/>
      <c r="S11" s="141"/>
      <c r="T11" s="141"/>
      <c r="V11" s="4" t="s">
        <v>133</v>
      </c>
      <c r="W11" s="3">
        <f>IF($B$2="(Todas)",COUNTIF(BASE[CODCIE10],GUIA_NACIONAL_2022_1106128143144[[#This Row],[CIE-10]]),COUNTIFS(BASE[Cod.Establecimiento],$B$2,BASE[CODCIE10],GUIA_NACIONAL_2022_1106128143144[[#This Row],[CIE-10]]))</f>
        <v>0</v>
      </c>
      <c r="X11" s="3">
        <f>IF($B$2="(Todas)",COUNTIF(BASE[CODCIE102],GUIA_NACIONAL_2022_1106128143144[[#This Row],[CIE-10]]),COUNTIFS(BASE[Cod.Establecimiento],$B$2,BASE[CODCIE102],GUIA_NACIONAL_2022_1106128143144[[#This Row],[CIE-10]]))</f>
        <v>0</v>
      </c>
      <c r="Y11" s="3">
        <f>IF($B$2="(Todas)",COUNTIF(BASE[CODCIE104],GUIA_NACIONAL_2022_1106128143144[[#This Row],[CIE-10]]),COUNTIFS(BASE[Cod.Establecimiento],$B$2,BASE[CODCIE104],GUIA_NACIONAL_2022_1106128143144[[#This Row],[CIE-10]]))</f>
        <v>0</v>
      </c>
      <c r="Z11" s="3">
        <f>IF($B$2="(Todas)",COUNTIF(BASE[CODCIE106],GUIA_NACIONAL_2022_1106128143144[[#This Row],[CIE-10]]),COUNTIFS(BASE[Cod.Establecimiento],$B$2,BASE[CODCIE106],GUIA_NACIONAL_2022_1106128143144[[#This Row],[CIE-10]]))</f>
        <v>0</v>
      </c>
      <c r="AA11" s="3">
        <f>IF($B$2="(Todas)",COUNTIF(BASE[CODCIE108],GUIA_NACIONAL_2022_1106128143144[[#This Row],[CIE-10]]),COUNTIFS(BASE[Cod.Establecimiento],$B$2,BASE[CODCIE108],GUIA_NACIONAL_2022_1106128143144[[#This Row],[CIE-10]]))</f>
        <v>0</v>
      </c>
      <c r="AB11" s="3">
        <f>IF($B$2="(Todas)",COUNTIF(BASE[CODCIE1010],GUIA_NACIONAL_2022_1106128143144[[#This Row],[CIE-10]]),COUNTIFS(BASE[Cod.Establecimiento],$B$2,BASE[CODCIE1010],GUIA_NACIONAL_2022_1106128143144[[#This Row],[CIE-10]]))</f>
        <v>0</v>
      </c>
      <c r="AC11" s="9">
        <f>SUM(GUIA_NACIONAL_2022_1106128143144[[#This Row],[D1]:[D6]])</f>
        <v>0</v>
      </c>
    </row>
    <row r="12" spans="1:137" ht="15" customHeight="1">
      <c r="A12" s="139"/>
      <c r="B12" s="139"/>
      <c r="D12" t="s">
        <v>93</v>
      </c>
      <c r="E12" s="3" t="s">
        <v>94</v>
      </c>
      <c r="F12" s="3" t="s">
        <v>95</v>
      </c>
      <c r="G12" s="3" t="s">
        <v>96</v>
      </c>
      <c r="H12" s="3" t="s">
        <v>97</v>
      </c>
      <c r="I12" s="3" t="s">
        <v>98</v>
      </c>
      <c r="J12" s="3" t="s">
        <v>99</v>
      </c>
      <c r="K12" s="8" t="s">
        <v>100</v>
      </c>
      <c r="M12" t="s">
        <v>93</v>
      </c>
      <c r="N12" s="3" t="s">
        <v>94</v>
      </c>
      <c r="O12" s="3" t="s">
        <v>95</v>
      </c>
      <c r="P12" s="3" t="s">
        <v>96</v>
      </c>
      <c r="Q12" s="3" t="s">
        <v>97</v>
      </c>
      <c r="R12" s="3" t="s">
        <v>98</v>
      </c>
      <c r="S12" s="3" t="s">
        <v>99</v>
      </c>
      <c r="T12" s="8" t="s">
        <v>100</v>
      </c>
      <c r="V12" s="32" t="s">
        <v>136</v>
      </c>
      <c r="W12" s="3">
        <f>IF($B$2="(Todas)",COUNTIF(BASE[CODCIE10],GUIA_NACIONAL_2022_1106128143144[[#This Row],[CIE-10]]),COUNTIFS(BASE[Cod.Establecimiento],$B$2,BASE[CODCIE10],GUIA_NACIONAL_2022_1106128143144[[#This Row],[CIE-10]]))</f>
        <v>0</v>
      </c>
      <c r="X12" s="3">
        <f>IF($B$2="(Todas)",COUNTIF(BASE[CODCIE102],GUIA_NACIONAL_2022_1106128143144[[#This Row],[CIE-10]]),COUNTIFS(BASE[Cod.Establecimiento],$B$2,BASE[CODCIE102],GUIA_NACIONAL_2022_1106128143144[[#This Row],[CIE-10]]))</f>
        <v>0</v>
      </c>
      <c r="Y12" s="3">
        <f>IF($B$2="(Todas)",COUNTIF(BASE[CODCIE104],GUIA_NACIONAL_2022_1106128143144[[#This Row],[CIE-10]]),COUNTIFS(BASE[Cod.Establecimiento],$B$2,BASE[CODCIE104],GUIA_NACIONAL_2022_1106128143144[[#This Row],[CIE-10]]))</f>
        <v>0</v>
      </c>
      <c r="Z12" s="3">
        <f>IF($B$2="(Todas)",COUNTIF(BASE[CODCIE106],GUIA_NACIONAL_2022_1106128143144[[#This Row],[CIE-10]]),COUNTIFS(BASE[Cod.Establecimiento],$B$2,BASE[CODCIE106],GUIA_NACIONAL_2022_1106128143144[[#This Row],[CIE-10]]))</f>
        <v>0</v>
      </c>
      <c r="AA12" s="3">
        <f>IF($B$2="(Todas)",COUNTIF(BASE[CODCIE108],GUIA_NACIONAL_2022_1106128143144[[#This Row],[CIE-10]]),COUNTIFS(BASE[Cod.Establecimiento],$B$2,BASE[CODCIE108],GUIA_NACIONAL_2022_1106128143144[[#This Row],[CIE-10]]))</f>
        <v>0</v>
      </c>
      <c r="AB12" s="3">
        <f>IF($B$2="(Todas)",COUNTIF(BASE[CODCIE1010],GUIA_NACIONAL_2022_1106128143144[[#This Row],[CIE-10]]),COUNTIFS(BASE[Cod.Establecimiento],$B$2,BASE[CODCIE1010],GUIA_NACIONAL_2022_1106128143144[[#This Row],[CIE-10]]))</f>
        <v>0</v>
      </c>
      <c r="AC12" s="9">
        <f>SUM(GUIA_NACIONAL_2022_1106128143144[[#This Row],[D1]:[D6]])</f>
        <v>0</v>
      </c>
    </row>
    <row r="13" spans="1:137" ht="15" customHeight="1">
      <c r="A13" s="139"/>
      <c r="B13" s="139"/>
      <c r="D13" s="4" t="s">
        <v>433</v>
      </c>
      <c r="E13" s="3">
        <f>IF($B$2="(Todas)",COUNTIF(BASE[CODCIE10],GUIA_NACIONAL_2022_1106108[[#This Row],[CIE-10]]),COUNTIFS(BASE[Cod.Establecimiento],$B$2,BASE[CODCIE10],GUIA_NACIONAL_2022_1106108[[#This Row],[CIE-10]]))</f>
        <v>0</v>
      </c>
      <c r="F13" s="3">
        <f>IF($B$2="(Todas)",COUNTIF(BASE[CODCIE102],GUIA_NACIONAL_2022_1106108[[#This Row],[CIE-10]]),COUNTIFS(BASE[Cod.Establecimiento],$B$2,BASE[CODCIE102],GUIA_NACIONAL_2022_1106108[[#This Row],[CIE-10]]))</f>
        <v>0</v>
      </c>
      <c r="G13" s="3">
        <f>IF($B$2="(Todas)",COUNTIF(BASE[CODCIE104],GUIA_NACIONAL_2022_1106108[[#This Row],[CIE-10]]),COUNTIFS(BASE[Cod.Establecimiento],$B$2,BASE[CODCIE104],GUIA_NACIONAL_2022_1106108[[#This Row],[CIE-10]]))</f>
        <v>0</v>
      </c>
      <c r="H13" s="3">
        <f>IF($B$2="(Todas)",COUNTIF(BASE[CODCIE106],GUIA_NACIONAL_2022_1106108[[#This Row],[CIE-10]]),COUNTIFS(BASE[Cod.Establecimiento],$B$2,BASE[CODCIE106],GUIA_NACIONAL_2022_1106108[[#This Row],[CIE-10]]))</f>
        <v>0</v>
      </c>
      <c r="I13" s="3">
        <f>IF($B$2="(Todas)",COUNTIF(BASE[CODCIE108],GUIA_NACIONAL_2022_1106108[[#This Row],[CIE-10]]),COUNTIFS(BASE[Cod.Establecimiento],$B$2,BASE[CODCIE108],GUIA_NACIONAL_2022_1106108[[#This Row],[CIE-10]]))</f>
        <v>0</v>
      </c>
      <c r="J13" s="3">
        <f>IF($B$2="(Todas)",COUNTIF(BASE[CODCIE1010],GUIA_NACIONAL_2022_1106108[[#This Row],[CIE-10]]),COUNTIFS(BASE[Cod.Establecimiento],$B$2,BASE[CODCIE1010],GUIA_NACIONAL_2022_1106108[[#This Row],[CIE-10]]))</f>
        <v>0</v>
      </c>
      <c r="K13" s="9">
        <f>SUM(GUIA_NACIONAL_2022_1106108[[#This Row],[D1]:[D6]])</f>
        <v>0</v>
      </c>
      <c r="M13" s="4" t="s">
        <v>516</v>
      </c>
      <c r="N13" s="3">
        <f>IF($B$2="(Todas)",COUNTIF(BASE[CODCIE10],GUIA_NACIONAL_2022_1106127136[[#This Row],[CIE-10]]),COUNTIFS(BASE[Cod.Establecimiento],$B$2,BASE[CODCIE10],GUIA_NACIONAL_2022_1106127136[[#This Row],[CIE-10]]))</f>
        <v>0</v>
      </c>
      <c r="O13" s="3">
        <f>IF($B$2="(Todas)",COUNTIF(BASE[CODCIE102],GUIA_NACIONAL_2022_1106127136[[#This Row],[CIE-10]]),COUNTIFS(BASE[Cod.Establecimiento],$B$2,BASE[CODCIE102],GUIA_NACIONAL_2022_1106127136[[#This Row],[CIE-10]]))</f>
        <v>0</v>
      </c>
      <c r="P13" s="3">
        <f>IF($B$2="(Todas)",COUNTIF(BASE[CODCIE104],GUIA_NACIONAL_2022_1106127136[[#This Row],[CIE-10]]),COUNTIFS(BASE[Cod.Establecimiento],$B$2,BASE[CODCIE104],GUIA_NACIONAL_2022_1106127136[[#This Row],[CIE-10]]))</f>
        <v>0</v>
      </c>
      <c r="Q13" s="3">
        <f>IF($B$2="(Todas)",COUNTIF(BASE[CODCIE106],GUIA_NACIONAL_2022_1106127136[[#This Row],[CIE-10]]),COUNTIFS(BASE[Cod.Establecimiento],$B$2,BASE[CODCIE106],GUIA_NACIONAL_2022_1106127136[[#This Row],[CIE-10]]))</f>
        <v>0</v>
      </c>
      <c r="R13" s="3">
        <f>IF($B$2="(Todas)",COUNTIF(BASE[CODCIE108],GUIA_NACIONAL_2022_1106127136[[#This Row],[CIE-10]]),COUNTIFS(BASE[Cod.Establecimiento],$B$2,BASE[CODCIE108],GUIA_NACIONAL_2022_1106127136[[#This Row],[CIE-10]]))</f>
        <v>0</v>
      </c>
      <c r="S13" s="3">
        <f>IF($B$2="(Todas)",COUNTIF(BASE[CODCIE1010],GUIA_NACIONAL_2022_1106127136[[#This Row],[CIE-10]]),COUNTIFS(BASE[Cod.Establecimiento],$B$2,BASE[CODCIE1010],GUIA_NACIONAL_2022_1106127136[[#This Row],[CIE-10]]))</f>
        <v>0</v>
      </c>
      <c r="T13" s="9">
        <f>SUM(GUIA_NACIONAL_2022_1106127136[[#This Row],[D1]:[D6]])</f>
        <v>0</v>
      </c>
      <c r="V13" s="32" t="s">
        <v>138</v>
      </c>
      <c r="W13" s="3">
        <f>IF($B$2="(Todas)",COUNTIF(BASE[CODCIE10],GUIA_NACIONAL_2022_1106128143144[[#This Row],[CIE-10]]),COUNTIFS(BASE[Cod.Establecimiento],$B$2,BASE[CODCIE10],GUIA_NACIONAL_2022_1106128143144[[#This Row],[CIE-10]]))</f>
        <v>0</v>
      </c>
      <c r="X13" s="3">
        <f>IF($B$2="(Todas)",COUNTIF(BASE[CODCIE102],GUIA_NACIONAL_2022_1106128143144[[#This Row],[CIE-10]]),COUNTIFS(BASE[Cod.Establecimiento],$B$2,BASE[CODCIE102],GUIA_NACIONAL_2022_1106128143144[[#This Row],[CIE-10]]))</f>
        <v>0</v>
      </c>
      <c r="Y13" s="3">
        <f>IF($B$2="(Todas)",COUNTIF(BASE[CODCIE104],GUIA_NACIONAL_2022_1106128143144[[#This Row],[CIE-10]]),COUNTIFS(BASE[Cod.Establecimiento],$B$2,BASE[CODCIE104],GUIA_NACIONAL_2022_1106128143144[[#This Row],[CIE-10]]))</f>
        <v>0</v>
      </c>
      <c r="Z13" s="3">
        <f>IF($B$2="(Todas)",COUNTIF(BASE[CODCIE106],GUIA_NACIONAL_2022_1106128143144[[#This Row],[CIE-10]]),COUNTIFS(BASE[Cod.Establecimiento],$B$2,BASE[CODCIE106],GUIA_NACIONAL_2022_1106128143144[[#This Row],[CIE-10]]))</f>
        <v>0</v>
      </c>
      <c r="AA13" s="3">
        <f>IF($B$2="(Todas)",COUNTIF(BASE[CODCIE108],GUIA_NACIONAL_2022_1106128143144[[#This Row],[CIE-10]]),COUNTIFS(BASE[Cod.Establecimiento],$B$2,BASE[CODCIE108],GUIA_NACIONAL_2022_1106128143144[[#This Row],[CIE-10]]))</f>
        <v>0</v>
      </c>
      <c r="AB13" s="3">
        <f>IF($B$2="(Todas)",COUNTIF(BASE[CODCIE1010],GUIA_NACIONAL_2022_1106128143144[[#This Row],[CIE-10]]),COUNTIFS(BASE[Cod.Establecimiento],$B$2,BASE[CODCIE1010],GUIA_NACIONAL_2022_1106128143144[[#This Row],[CIE-10]]))</f>
        <v>0</v>
      </c>
      <c r="AC13" s="9">
        <f>SUM(GUIA_NACIONAL_2022_1106128143144[[#This Row],[D1]:[D6]])</f>
        <v>0</v>
      </c>
    </row>
    <row r="14" spans="1:137" ht="15" customHeight="1">
      <c r="A14" s="139"/>
      <c r="B14" s="139"/>
      <c r="D14" s="32" t="s">
        <v>434</v>
      </c>
      <c r="E14" s="3">
        <f>IF($B$2="(Todas)",COUNTIF(BASE[CODCIE10],GUIA_NACIONAL_2022_1106108[[#This Row],[CIE-10]]),COUNTIFS(BASE[Cod.Establecimiento],$B$2,BASE[CODCIE10],GUIA_NACIONAL_2022_1106108[[#This Row],[CIE-10]]))</f>
        <v>0</v>
      </c>
      <c r="F14" s="3">
        <f>IF($B$2="(Todas)",COUNTIF(BASE[CODCIE102],GUIA_NACIONAL_2022_1106108[[#This Row],[CIE-10]]),COUNTIFS(BASE[Cod.Establecimiento],$B$2,BASE[CODCIE102],GUIA_NACIONAL_2022_1106108[[#This Row],[CIE-10]]))</f>
        <v>0</v>
      </c>
      <c r="G14" s="3">
        <f>IF($B$2="(Todas)",COUNTIF(BASE[CODCIE104],GUIA_NACIONAL_2022_1106108[[#This Row],[CIE-10]]),COUNTIFS(BASE[Cod.Establecimiento],$B$2,BASE[CODCIE104],GUIA_NACIONAL_2022_1106108[[#This Row],[CIE-10]]))</f>
        <v>0</v>
      </c>
      <c r="H14" s="3">
        <f>IF($B$2="(Todas)",COUNTIF(BASE[CODCIE106],GUIA_NACIONAL_2022_1106108[[#This Row],[CIE-10]]),COUNTIFS(BASE[Cod.Establecimiento],$B$2,BASE[CODCIE106],GUIA_NACIONAL_2022_1106108[[#This Row],[CIE-10]]))</f>
        <v>0</v>
      </c>
      <c r="I14" s="3">
        <f>IF($B$2="(Todas)",COUNTIF(BASE[CODCIE108],GUIA_NACIONAL_2022_1106108[[#This Row],[CIE-10]]),COUNTIFS(BASE[Cod.Establecimiento],$B$2,BASE[CODCIE108],GUIA_NACIONAL_2022_1106108[[#This Row],[CIE-10]]))</f>
        <v>0</v>
      </c>
      <c r="J14" s="3">
        <f>IF($B$2="(Todas)",COUNTIF(BASE[CODCIE1010],GUIA_NACIONAL_2022_1106108[[#This Row],[CIE-10]]),COUNTIFS(BASE[Cod.Establecimiento],$B$2,BASE[CODCIE1010],GUIA_NACIONAL_2022_1106108[[#This Row],[CIE-10]]))</f>
        <v>0</v>
      </c>
      <c r="K14" s="9">
        <f>SUM(GUIA_NACIONAL_2022_1106108[[#This Row],[D1]:[D6]])</f>
        <v>0</v>
      </c>
      <c r="M14" s="140" t="s">
        <v>518</v>
      </c>
      <c r="N14" s="141"/>
      <c r="O14" s="141"/>
      <c r="P14" s="141"/>
      <c r="Q14" s="141"/>
      <c r="R14" s="141"/>
      <c r="S14" s="141"/>
      <c r="T14" s="141"/>
      <c r="V14" s="142" t="s">
        <v>535</v>
      </c>
      <c r="W14" s="142"/>
      <c r="X14" s="142"/>
      <c r="Y14" s="142"/>
      <c r="Z14" s="142"/>
      <c r="AA14" s="142"/>
      <c r="AB14" s="142"/>
      <c r="AC14" s="142"/>
    </row>
    <row r="15" spans="1:137" ht="15" customHeight="1">
      <c r="A15" s="139"/>
      <c r="B15" s="139"/>
      <c r="D15" s="32" t="s">
        <v>435</v>
      </c>
      <c r="E15" s="3">
        <f>IF($B$2="(Todas)",COUNTIF(BASE[CODCIE10],GUIA_NACIONAL_2022_1106108[[#This Row],[CIE-10]]),COUNTIFS(BASE[Cod.Establecimiento],$B$2,BASE[CODCIE10],GUIA_NACIONAL_2022_1106108[[#This Row],[CIE-10]]))</f>
        <v>0</v>
      </c>
      <c r="F15" s="3">
        <f>IF($B$2="(Todas)",COUNTIF(BASE[CODCIE102],GUIA_NACIONAL_2022_1106108[[#This Row],[CIE-10]]),COUNTIFS(BASE[Cod.Establecimiento],$B$2,BASE[CODCIE102],GUIA_NACIONAL_2022_1106108[[#This Row],[CIE-10]]))</f>
        <v>0</v>
      </c>
      <c r="G15" s="3">
        <f>IF($B$2="(Todas)",COUNTIF(BASE[CODCIE104],GUIA_NACIONAL_2022_1106108[[#This Row],[CIE-10]]),COUNTIFS(BASE[Cod.Establecimiento],$B$2,BASE[CODCIE104],GUIA_NACIONAL_2022_1106108[[#This Row],[CIE-10]]))</f>
        <v>0</v>
      </c>
      <c r="H15" s="3">
        <f>IF($B$2="(Todas)",COUNTIF(BASE[CODCIE106],GUIA_NACIONAL_2022_1106108[[#This Row],[CIE-10]]),COUNTIFS(BASE[Cod.Establecimiento],$B$2,BASE[CODCIE106],GUIA_NACIONAL_2022_1106108[[#This Row],[CIE-10]]))</f>
        <v>0</v>
      </c>
      <c r="I15" s="3">
        <f>IF($B$2="(Todas)",COUNTIF(BASE[CODCIE108],GUIA_NACIONAL_2022_1106108[[#This Row],[CIE-10]]),COUNTIFS(BASE[Cod.Establecimiento],$B$2,BASE[CODCIE108],GUIA_NACIONAL_2022_1106108[[#This Row],[CIE-10]]))</f>
        <v>0</v>
      </c>
      <c r="J15" s="3">
        <f>IF($B$2="(Todas)",COUNTIF(BASE[CODCIE1010],GUIA_NACIONAL_2022_1106108[[#This Row],[CIE-10]]),COUNTIFS(BASE[Cod.Establecimiento],$B$2,BASE[CODCIE1010],GUIA_NACIONAL_2022_1106108[[#This Row],[CIE-10]]))</f>
        <v>0</v>
      </c>
      <c r="K15" s="9">
        <f>SUM(GUIA_NACIONAL_2022_1106108[[#This Row],[D1]:[D6]])</f>
        <v>0</v>
      </c>
      <c r="M15" t="s">
        <v>93</v>
      </c>
      <c r="N15" s="3" t="s">
        <v>94</v>
      </c>
      <c r="O15" s="3" t="s">
        <v>95</v>
      </c>
      <c r="P15" s="3" t="s">
        <v>96</v>
      </c>
      <c r="Q15" s="3" t="s">
        <v>97</v>
      </c>
      <c r="R15" s="3" t="s">
        <v>98</v>
      </c>
      <c r="S15" s="3" t="s">
        <v>99</v>
      </c>
      <c r="T15" s="8" t="s">
        <v>100</v>
      </c>
      <c r="V15" s="140" t="s">
        <v>534</v>
      </c>
      <c r="W15" s="141"/>
      <c r="X15" s="141"/>
      <c r="Y15" s="141"/>
      <c r="Z15" s="141"/>
      <c r="AA15" s="141"/>
      <c r="AB15" s="141"/>
      <c r="AC15" s="141"/>
    </row>
    <row r="16" spans="1:137" ht="15" customHeight="1">
      <c r="A16" s="139"/>
      <c r="B16" s="139"/>
      <c r="D16" s="32" t="s">
        <v>314</v>
      </c>
      <c r="E16" s="3">
        <f>IF($B$2="(Todas)",COUNTIF(BASE[CODCIE10],GUIA_NACIONAL_2022_1106108[[#This Row],[CIE-10]]),COUNTIFS(BASE[Cod.Establecimiento],$B$2,BASE[CODCIE10],GUIA_NACIONAL_2022_1106108[[#This Row],[CIE-10]]))</f>
        <v>0</v>
      </c>
      <c r="F16" s="3">
        <f>IF($B$2="(Todas)",COUNTIF(BASE[CODCIE102],GUIA_NACIONAL_2022_1106108[[#This Row],[CIE-10]]),COUNTIFS(BASE[Cod.Establecimiento],$B$2,BASE[CODCIE102],GUIA_NACIONAL_2022_1106108[[#This Row],[CIE-10]]))</f>
        <v>0</v>
      </c>
      <c r="G16" s="3">
        <f>IF($B$2="(Todas)",COUNTIF(BASE[CODCIE104],GUIA_NACIONAL_2022_1106108[[#This Row],[CIE-10]]),COUNTIFS(BASE[Cod.Establecimiento],$B$2,BASE[CODCIE104],GUIA_NACIONAL_2022_1106108[[#This Row],[CIE-10]]))</f>
        <v>0</v>
      </c>
      <c r="H16" s="3">
        <f>IF($B$2="(Todas)",COUNTIF(BASE[CODCIE106],GUIA_NACIONAL_2022_1106108[[#This Row],[CIE-10]]),COUNTIFS(BASE[Cod.Establecimiento],$B$2,BASE[CODCIE106],GUIA_NACIONAL_2022_1106108[[#This Row],[CIE-10]]))</f>
        <v>0</v>
      </c>
      <c r="I16" s="3">
        <f>IF($B$2="(Todas)",COUNTIF(BASE[CODCIE108],GUIA_NACIONAL_2022_1106108[[#This Row],[CIE-10]]),COUNTIFS(BASE[Cod.Establecimiento],$B$2,BASE[CODCIE108],GUIA_NACIONAL_2022_1106108[[#This Row],[CIE-10]]))</f>
        <v>0</v>
      </c>
      <c r="J16" s="3">
        <f>IF($B$2="(Todas)",COUNTIF(BASE[CODCIE1010],GUIA_NACIONAL_2022_1106108[[#This Row],[CIE-10]]),COUNTIFS(BASE[Cod.Establecimiento],$B$2,BASE[CODCIE1010],GUIA_NACIONAL_2022_1106108[[#This Row],[CIE-10]]))</f>
        <v>0</v>
      </c>
      <c r="K16" s="9">
        <f>SUM(GUIA_NACIONAL_2022_1106108[[#This Row],[D1]:[D6]])</f>
        <v>0</v>
      </c>
      <c r="M16" s="4" t="s">
        <v>519</v>
      </c>
      <c r="N16" s="3">
        <f>IF($B$2="(Todas)",COUNTIF(BASE[CODCIE10],GUIA_NACIONAL_2022_1106127136137[[#This Row],[CIE-10]]),COUNTIFS(BASE[Cod.Establecimiento],$B$2,BASE[CODCIE10],GUIA_NACIONAL_2022_1106127136137[[#This Row],[CIE-10]]))</f>
        <v>0</v>
      </c>
      <c r="O16" s="3">
        <f>IF($B$2="(Todas)",COUNTIF(BASE[CODCIE102],GUIA_NACIONAL_2022_1106127136137[[#This Row],[CIE-10]]),COUNTIFS(BASE[Cod.Establecimiento],$B$2,BASE[CODCIE102],GUIA_NACIONAL_2022_1106127136137[[#This Row],[CIE-10]]))</f>
        <v>0</v>
      </c>
      <c r="P16" s="3">
        <f>IF($B$2="(Todas)",COUNTIF(BASE[CODCIE104],GUIA_NACIONAL_2022_1106127136137[[#This Row],[CIE-10]]),COUNTIFS(BASE[Cod.Establecimiento],$B$2,BASE[CODCIE104],GUIA_NACIONAL_2022_1106127136137[[#This Row],[CIE-10]]))</f>
        <v>0</v>
      </c>
      <c r="Q16" s="3">
        <f>IF($B$2="(Todas)",COUNTIF(BASE[CODCIE106],GUIA_NACIONAL_2022_1106127136137[[#This Row],[CIE-10]]),COUNTIFS(BASE[Cod.Establecimiento],$B$2,BASE[CODCIE106],GUIA_NACIONAL_2022_1106127136137[[#This Row],[CIE-10]]))</f>
        <v>0</v>
      </c>
      <c r="R16" s="3">
        <f>IF($B$2="(Todas)",COUNTIF(BASE[CODCIE108],GUIA_NACIONAL_2022_1106127136137[[#This Row],[CIE-10]]),COUNTIFS(BASE[Cod.Establecimiento],$B$2,BASE[CODCIE108],GUIA_NACIONAL_2022_1106127136137[[#This Row],[CIE-10]]))</f>
        <v>0</v>
      </c>
      <c r="S16" s="3">
        <f>IF($B$2="(Todas)",COUNTIF(BASE[CODCIE1010],GUIA_NACIONAL_2022_1106127136137[[#This Row],[CIE-10]]),COUNTIFS(BASE[Cod.Establecimiento],$B$2,BASE[CODCIE1010],GUIA_NACIONAL_2022_1106127136137[[#This Row],[CIE-10]]))</f>
        <v>0</v>
      </c>
      <c r="T16" s="9">
        <f>SUM(GUIA_NACIONAL_2022_1106127136137[[#This Row],[D1]:[D6]])</f>
        <v>0</v>
      </c>
      <c r="V16" t="s">
        <v>93</v>
      </c>
      <c r="W16" s="3" t="s">
        <v>94</v>
      </c>
      <c r="X16" s="3" t="s">
        <v>95</v>
      </c>
      <c r="Y16" s="3" t="s">
        <v>96</v>
      </c>
      <c r="Z16" s="3" t="s">
        <v>97</v>
      </c>
      <c r="AA16" s="3" t="s">
        <v>98</v>
      </c>
      <c r="AB16" s="3" t="s">
        <v>99</v>
      </c>
      <c r="AC16" s="8" t="s">
        <v>100</v>
      </c>
    </row>
    <row r="17" spans="1:29" ht="15" customHeight="1">
      <c r="A17" s="139"/>
      <c r="B17" s="139"/>
      <c r="D17" s="32" t="s">
        <v>315</v>
      </c>
      <c r="E17" s="3">
        <f>IF($B$2="(Todas)",COUNTIF(BASE[CODCIE10],GUIA_NACIONAL_2022_1106108[[#This Row],[CIE-10]]),COUNTIFS(BASE[Cod.Establecimiento],$B$2,BASE[CODCIE10],GUIA_NACIONAL_2022_1106108[[#This Row],[CIE-10]]))</f>
        <v>0</v>
      </c>
      <c r="F17" s="3">
        <f>IF($B$2="(Todas)",COUNTIF(BASE[CODCIE102],GUIA_NACIONAL_2022_1106108[[#This Row],[CIE-10]]),COUNTIFS(BASE[Cod.Establecimiento],$B$2,BASE[CODCIE102],GUIA_NACIONAL_2022_1106108[[#This Row],[CIE-10]]))</f>
        <v>0</v>
      </c>
      <c r="G17" s="3">
        <f>IF($B$2="(Todas)",COUNTIF(BASE[CODCIE104],GUIA_NACIONAL_2022_1106108[[#This Row],[CIE-10]]),COUNTIFS(BASE[Cod.Establecimiento],$B$2,BASE[CODCIE104],GUIA_NACIONAL_2022_1106108[[#This Row],[CIE-10]]))</f>
        <v>0</v>
      </c>
      <c r="H17" s="3">
        <f>IF($B$2="(Todas)",COUNTIF(BASE[CODCIE106],GUIA_NACIONAL_2022_1106108[[#This Row],[CIE-10]]),COUNTIFS(BASE[Cod.Establecimiento],$B$2,BASE[CODCIE106],GUIA_NACIONAL_2022_1106108[[#This Row],[CIE-10]]))</f>
        <v>0</v>
      </c>
      <c r="I17" s="3">
        <f>IF($B$2="(Todas)",COUNTIF(BASE[CODCIE108],GUIA_NACIONAL_2022_1106108[[#This Row],[CIE-10]]),COUNTIFS(BASE[Cod.Establecimiento],$B$2,BASE[CODCIE108],GUIA_NACIONAL_2022_1106108[[#This Row],[CIE-10]]))</f>
        <v>0</v>
      </c>
      <c r="J17" s="3">
        <f>IF($B$2="(Todas)",COUNTIF(BASE[CODCIE1010],GUIA_NACIONAL_2022_1106108[[#This Row],[CIE-10]]),COUNTIFS(BASE[Cod.Establecimiento],$B$2,BASE[CODCIE1010],GUIA_NACIONAL_2022_1106108[[#This Row],[CIE-10]]))</f>
        <v>0</v>
      </c>
      <c r="K17" s="9">
        <f>SUM(GUIA_NACIONAL_2022_1106108[[#This Row],[D1]:[D6]])</f>
        <v>0</v>
      </c>
      <c r="M17" s="140" t="s">
        <v>520</v>
      </c>
      <c r="N17" s="141"/>
      <c r="O17" s="141"/>
      <c r="P17" s="141"/>
      <c r="Q17" s="141"/>
      <c r="R17" s="141"/>
      <c r="S17" s="141"/>
      <c r="T17" s="141"/>
      <c r="V17" s="4"/>
      <c r="W17" s="3">
        <f>IF($B$2="(Todas)",COUNTIF(BASE[CODCIE10],GUIA_NACIONAL_2022_1106128143146[[#This Row],[CIE-10]]),COUNTIFS(BASE[Cod.Establecimiento],$B$2,BASE[CODCIE10],GUIA_NACIONAL_2022_1106128143146[[#This Row],[CIE-10]]))</f>
        <v>0</v>
      </c>
      <c r="X17" s="3">
        <f>IF($B$2="(Todas)",COUNTIF(BASE[CODCIE102],GUIA_NACIONAL_2022_1106128143146[[#This Row],[CIE-10]]),COUNTIFS(BASE[Cod.Establecimiento],$B$2,BASE[CODCIE102],GUIA_NACIONAL_2022_1106128143146[[#This Row],[CIE-10]]))</f>
        <v>0</v>
      </c>
      <c r="Y17" s="3">
        <f>IF($B$2="(Todas)",COUNTIF(BASE[CODCIE104],GUIA_NACIONAL_2022_1106128143146[[#This Row],[CIE-10]]),COUNTIFS(BASE[Cod.Establecimiento],$B$2,BASE[CODCIE104],GUIA_NACIONAL_2022_1106128143146[[#This Row],[CIE-10]]))</f>
        <v>0</v>
      </c>
      <c r="Z17" s="3">
        <f>IF($B$2="(Todas)",COUNTIF(BASE[CODCIE106],GUIA_NACIONAL_2022_1106128143146[[#This Row],[CIE-10]]),COUNTIFS(BASE[Cod.Establecimiento],$B$2,BASE[CODCIE106],GUIA_NACIONAL_2022_1106128143146[[#This Row],[CIE-10]]))</f>
        <v>0</v>
      </c>
      <c r="AA17" s="3">
        <f>IF($B$2="(Todas)",COUNTIF(BASE[CODCIE108],GUIA_NACIONAL_2022_1106128143146[[#This Row],[CIE-10]]),COUNTIFS(BASE[Cod.Establecimiento],$B$2,BASE[CODCIE108],GUIA_NACIONAL_2022_1106128143146[[#This Row],[CIE-10]]))</f>
        <v>0</v>
      </c>
      <c r="AB17" s="3">
        <f>IF($B$2="(Todas)",COUNTIF(BASE[CODCIE1010],GUIA_NACIONAL_2022_1106128143146[[#This Row],[CIE-10]]),COUNTIFS(BASE[Cod.Establecimiento],$B$2,BASE[CODCIE1010],GUIA_NACIONAL_2022_1106128143146[[#This Row],[CIE-10]]))</f>
        <v>0</v>
      </c>
      <c r="AC17" s="9">
        <f>SUM(GUIA_NACIONAL_2022_1106128143146[[#This Row],[D1]:[D6]])</f>
        <v>0</v>
      </c>
    </row>
    <row r="18" spans="1:29" ht="15" customHeight="1">
      <c r="A18" s="139"/>
      <c r="B18" s="139"/>
      <c r="D18" s="32" t="s">
        <v>316</v>
      </c>
      <c r="E18" s="3">
        <f>IF($B$2="(Todas)",COUNTIF(BASE[CODCIE10],GUIA_NACIONAL_2022_1106108[[#This Row],[CIE-10]]),COUNTIFS(BASE[Cod.Establecimiento],$B$2,BASE[CODCIE10],GUIA_NACIONAL_2022_1106108[[#This Row],[CIE-10]]))</f>
        <v>0</v>
      </c>
      <c r="F18" s="3">
        <f>IF($B$2="(Todas)",COUNTIF(BASE[CODCIE102],GUIA_NACIONAL_2022_1106108[[#This Row],[CIE-10]]),COUNTIFS(BASE[Cod.Establecimiento],$B$2,BASE[CODCIE102],GUIA_NACIONAL_2022_1106108[[#This Row],[CIE-10]]))</f>
        <v>0</v>
      </c>
      <c r="G18" s="3">
        <f>IF($B$2="(Todas)",COUNTIF(BASE[CODCIE104],GUIA_NACIONAL_2022_1106108[[#This Row],[CIE-10]]),COUNTIFS(BASE[Cod.Establecimiento],$B$2,BASE[CODCIE104],GUIA_NACIONAL_2022_1106108[[#This Row],[CIE-10]]))</f>
        <v>0</v>
      </c>
      <c r="H18" s="3">
        <f>IF($B$2="(Todas)",COUNTIF(BASE[CODCIE106],GUIA_NACIONAL_2022_1106108[[#This Row],[CIE-10]]),COUNTIFS(BASE[Cod.Establecimiento],$B$2,BASE[CODCIE106],GUIA_NACIONAL_2022_1106108[[#This Row],[CIE-10]]))</f>
        <v>0</v>
      </c>
      <c r="I18" s="3">
        <f>IF($B$2="(Todas)",COUNTIF(BASE[CODCIE108],GUIA_NACIONAL_2022_1106108[[#This Row],[CIE-10]]),COUNTIFS(BASE[Cod.Establecimiento],$B$2,BASE[CODCIE108],GUIA_NACIONAL_2022_1106108[[#This Row],[CIE-10]]))</f>
        <v>0</v>
      </c>
      <c r="J18" s="3">
        <f>IF($B$2="(Todas)",COUNTIF(BASE[CODCIE1010],GUIA_NACIONAL_2022_1106108[[#This Row],[CIE-10]]),COUNTIFS(BASE[Cod.Establecimiento],$B$2,BASE[CODCIE1010],GUIA_NACIONAL_2022_1106108[[#This Row],[CIE-10]]))</f>
        <v>0</v>
      </c>
      <c r="K18" s="9">
        <f>SUM(GUIA_NACIONAL_2022_1106108[[#This Row],[D1]:[D6]])</f>
        <v>0</v>
      </c>
      <c r="M18" t="s">
        <v>93</v>
      </c>
      <c r="N18" s="3" t="s">
        <v>94</v>
      </c>
      <c r="O18" s="3" t="s">
        <v>95</v>
      </c>
      <c r="P18" s="3" t="s">
        <v>96</v>
      </c>
      <c r="Q18" s="3" t="s">
        <v>97</v>
      </c>
      <c r="R18" s="3" t="s">
        <v>98</v>
      </c>
      <c r="S18" s="3" t="s">
        <v>99</v>
      </c>
      <c r="T18" s="8" t="s">
        <v>100</v>
      </c>
      <c r="V18" s="140" t="s">
        <v>536</v>
      </c>
      <c r="W18" s="141"/>
      <c r="X18" s="141"/>
      <c r="Y18" s="141"/>
      <c r="Z18" s="141"/>
      <c r="AA18" s="141"/>
      <c r="AB18" s="141"/>
      <c r="AC18" s="141"/>
    </row>
    <row r="19" spans="1:29" ht="15" customHeight="1">
      <c r="A19" s="139"/>
      <c r="B19" s="139"/>
      <c r="D19" s="32" t="s">
        <v>317</v>
      </c>
      <c r="E19" s="3">
        <f>IF($B$2="(Todas)",COUNTIF(BASE[CODCIE10],GUIA_NACIONAL_2022_1106108[[#This Row],[CIE-10]]),COUNTIFS(BASE[Cod.Establecimiento],$B$2,BASE[CODCIE10],GUIA_NACIONAL_2022_1106108[[#This Row],[CIE-10]]))</f>
        <v>0</v>
      </c>
      <c r="F19" s="3">
        <f>IF($B$2="(Todas)",COUNTIF(BASE[CODCIE102],GUIA_NACIONAL_2022_1106108[[#This Row],[CIE-10]]),COUNTIFS(BASE[Cod.Establecimiento],$B$2,BASE[CODCIE102],GUIA_NACIONAL_2022_1106108[[#This Row],[CIE-10]]))</f>
        <v>0</v>
      </c>
      <c r="G19" s="3">
        <f>IF($B$2="(Todas)",COUNTIF(BASE[CODCIE104],GUIA_NACIONAL_2022_1106108[[#This Row],[CIE-10]]),COUNTIFS(BASE[Cod.Establecimiento],$B$2,BASE[CODCIE104],GUIA_NACIONAL_2022_1106108[[#This Row],[CIE-10]]))</f>
        <v>0</v>
      </c>
      <c r="H19" s="3">
        <f>IF($B$2="(Todas)",COUNTIF(BASE[CODCIE106],GUIA_NACIONAL_2022_1106108[[#This Row],[CIE-10]]),COUNTIFS(BASE[Cod.Establecimiento],$B$2,BASE[CODCIE106],GUIA_NACIONAL_2022_1106108[[#This Row],[CIE-10]]))</f>
        <v>0</v>
      </c>
      <c r="I19" s="3">
        <f>IF($B$2="(Todas)",COUNTIF(BASE[CODCIE108],GUIA_NACIONAL_2022_1106108[[#This Row],[CIE-10]]),COUNTIFS(BASE[Cod.Establecimiento],$B$2,BASE[CODCIE108],GUIA_NACIONAL_2022_1106108[[#This Row],[CIE-10]]))</f>
        <v>0</v>
      </c>
      <c r="J19" s="3">
        <f>IF($B$2="(Todas)",COUNTIF(BASE[CODCIE1010],GUIA_NACIONAL_2022_1106108[[#This Row],[CIE-10]]),COUNTIFS(BASE[Cod.Establecimiento],$B$2,BASE[CODCIE1010],GUIA_NACIONAL_2022_1106108[[#This Row],[CIE-10]]))</f>
        <v>0</v>
      </c>
      <c r="K19" s="9">
        <f>SUM(GUIA_NACIONAL_2022_1106108[[#This Row],[D1]:[D6]])</f>
        <v>0</v>
      </c>
      <c r="M19" s="4" t="s">
        <v>392</v>
      </c>
      <c r="N19" s="3">
        <f>IF($B$2="(Todas)",COUNTIF(BASE[CODCIE10],GUIA_NACIONAL_2022_1106127136137138[[#This Row],[CIE-10]]),COUNTIFS(BASE[Cod.Establecimiento],$B$2,BASE[CODCIE10],GUIA_NACIONAL_2022_1106127136137138[[#This Row],[CIE-10]]))</f>
        <v>0</v>
      </c>
      <c r="O19" s="3">
        <f>IF($B$2="(Todas)",COUNTIF(BASE[CODCIE102],GUIA_NACIONAL_2022_1106127136137138[[#This Row],[CIE-10]]),COUNTIFS(BASE[Cod.Establecimiento],$B$2,BASE[CODCIE102],GUIA_NACIONAL_2022_1106127136137138[[#This Row],[CIE-10]]))</f>
        <v>0</v>
      </c>
      <c r="P19" s="3">
        <f>IF($B$2="(Todas)",COUNTIF(BASE[CODCIE104],GUIA_NACIONAL_2022_1106127136137138[[#This Row],[CIE-10]]),COUNTIFS(BASE[Cod.Establecimiento],$B$2,BASE[CODCIE104],GUIA_NACIONAL_2022_1106127136137138[[#This Row],[CIE-10]]))</f>
        <v>0</v>
      </c>
      <c r="Q19" s="3">
        <f>IF($B$2="(Todas)",COUNTIF(BASE[CODCIE106],GUIA_NACIONAL_2022_1106127136137138[[#This Row],[CIE-10]]),COUNTIFS(BASE[Cod.Establecimiento],$B$2,BASE[CODCIE106],GUIA_NACIONAL_2022_1106127136137138[[#This Row],[CIE-10]]))</f>
        <v>0</v>
      </c>
      <c r="R19" s="3">
        <f>IF($B$2="(Todas)",COUNTIF(BASE[CODCIE108],GUIA_NACIONAL_2022_1106127136137138[[#This Row],[CIE-10]]),COUNTIFS(BASE[Cod.Establecimiento],$B$2,BASE[CODCIE108],GUIA_NACIONAL_2022_1106127136137138[[#This Row],[CIE-10]]))</f>
        <v>0</v>
      </c>
      <c r="S19" s="3">
        <f>IF($B$2="(Todas)",COUNTIF(BASE[CODCIE1010],GUIA_NACIONAL_2022_1106127136137138[[#This Row],[CIE-10]]),COUNTIFS(BASE[Cod.Establecimiento],$B$2,BASE[CODCIE1010],GUIA_NACIONAL_2022_1106127136137138[[#This Row],[CIE-10]]))</f>
        <v>0</v>
      </c>
      <c r="T19" s="9">
        <f>SUM(GUIA_NACIONAL_2022_1106127136137138[[#This Row],[D1]:[D6]])</f>
        <v>0</v>
      </c>
      <c r="V19" t="s">
        <v>93</v>
      </c>
      <c r="W19" s="3" t="s">
        <v>94</v>
      </c>
      <c r="X19" s="3" t="s">
        <v>95</v>
      </c>
      <c r="Y19" s="3" t="s">
        <v>96</v>
      </c>
      <c r="Z19" s="3" t="s">
        <v>97</v>
      </c>
      <c r="AA19" s="3" t="s">
        <v>98</v>
      </c>
      <c r="AB19" s="3" t="s">
        <v>99</v>
      </c>
      <c r="AC19" s="8" t="s">
        <v>100</v>
      </c>
    </row>
    <row r="20" spans="1:29" ht="15" customHeight="1">
      <c r="A20" s="139"/>
      <c r="B20" s="139"/>
      <c r="D20" s="32" t="s">
        <v>318</v>
      </c>
      <c r="E20" s="3">
        <f>IF($B$2="(Todas)",COUNTIF(BASE[CODCIE10],GUIA_NACIONAL_2022_1106108[[#This Row],[CIE-10]]),COUNTIFS(BASE[Cod.Establecimiento],$B$2,BASE[CODCIE10],GUIA_NACIONAL_2022_1106108[[#This Row],[CIE-10]]))</f>
        <v>0</v>
      </c>
      <c r="F20" s="3">
        <f>IF($B$2="(Todas)",COUNTIF(BASE[CODCIE102],GUIA_NACIONAL_2022_1106108[[#This Row],[CIE-10]]),COUNTIFS(BASE[Cod.Establecimiento],$B$2,BASE[CODCIE102],GUIA_NACIONAL_2022_1106108[[#This Row],[CIE-10]]))</f>
        <v>0</v>
      </c>
      <c r="G20" s="3">
        <f>IF($B$2="(Todas)",COUNTIF(BASE[CODCIE104],GUIA_NACIONAL_2022_1106108[[#This Row],[CIE-10]]),COUNTIFS(BASE[Cod.Establecimiento],$B$2,BASE[CODCIE104],GUIA_NACIONAL_2022_1106108[[#This Row],[CIE-10]]))</f>
        <v>0</v>
      </c>
      <c r="H20" s="3">
        <f>IF($B$2="(Todas)",COUNTIF(BASE[CODCIE106],GUIA_NACIONAL_2022_1106108[[#This Row],[CIE-10]]),COUNTIFS(BASE[Cod.Establecimiento],$B$2,BASE[CODCIE106],GUIA_NACIONAL_2022_1106108[[#This Row],[CIE-10]]))</f>
        <v>0</v>
      </c>
      <c r="I20" s="3">
        <f>IF($B$2="(Todas)",COUNTIF(BASE[CODCIE108],GUIA_NACIONAL_2022_1106108[[#This Row],[CIE-10]]),COUNTIFS(BASE[Cod.Establecimiento],$B$2,BASE[CODCIE108],GUIA_NACIONAL_2022_1106108[[#This Row],[CIE-10]]))</f>
        <v>0</v>
      </c>
      <c r="J20" s="3">
        <f>IF($B$2="(Todas)",COUNTIF(BASE[CODCIE1010],GUIA_NACIONAL_2022_1106108[[#This Row],[CIE-10]]),COUNTIFS(BASE[Cod.Establecimiento],$B$2,BASE[CODCIE1010],GUIA_NACIONAL_2022_1106108[[#This Row],[CIE-10]]))</f>
        <v>0</v>
      </c>
      <c r="K20" s="9">
        <f>SUM(GUIA_NACIONAL_2022_1106108[[#This Row],[D1]:[D6]])</f>
        <v>0</v>
      </c>
      <c r="M20" s="140" t="s">
        <v>521</v>
      </c>
      <c r="N20" s="141"/>
      <c r="O20" s="141"/>
      <c r="P20" s="141"/>
      <c r="Q20" s="141"/>
      <c r="R20" s="141"/>
      <c r="S20" s="141"/>
      <c r="T20" s="141"/>
      <c r="V20" s="4" t="s">
        <v>306</v>
      </c>
      <c r="W20" s="3">
        <f>IF($B$2="(Todas)",COUNTIF(BASE[CODCIE10],GUIA_NACIONAL_2022_1106128143146147[[#This Row],[CIE-10]]),COUNTIFS(BASE[Cod.Establecimiento],$B$2,BASE[CODCIE10],GUIA_NACIONAL_2022_1106128143146147[[#This Row],[CIE-10]]))</f>
        <v>0</v>
      </c>
      <c r="X20" s="3">
        <f>IF($B$2="(Todas)",COUNTIF(BASE[CODCIE102],GUIA_NACIONAL_2022_1106128143146147[[#This Row],[CIE-10]]),COUNTIFS(BASE[Cod.Establecimiento],$B$2,BASE[CODCIE102],GUIA_NACIONAL_2022_1106128143146147[[#This Row],[CIE-10]]))</f>
        <v>0</v>
      </c>
      <c r="Y20" s="3">
        <f>IF($B$2="(Todas)",COUNTIF(BASE[CODCIE104],GUIA_NACIONAL_2022_1106128143146147[[#This Row],[CIE-10]]),COUNTIFS(BASE[Cod.Establecimiento],$B$2,BASE[CODCIE104],GUIA_NACIONAL_2022_1106128143146147[[#This Row],[CIE-10]]))</f>
        <v>0</v>
      </c>
      <c r="Z20" s="3">
        <f>IF($B$2="(Todas)",COUNTIF(BASE[CODCIE106],GUIA_NACIONAL_2022_1106128143146147[[#This Row],[CIE-10]]),COUNTIFS(BASE[Cod.Establecimiento],$B$2,BASE[CODCIE106],GUIA_NACIONAL_2022_1106128143146147[[#This Row],[CIE-10]]))</f>
        <v>0</v>
      </c>
      <c r="AA20" s="3">
        <f>IF($B$2="(Todas)",COUNTIF(BASE[CODCIE108],GUIA_NACIONAL_2022_1106128143146147[[#This Row],[CIE-10]]),COUNTIFS(BASE[Cod.Establecimiento],$B$2,BASE[CODCIE108],GUIA_NACIONAL_2022_1106128143146147[[#This Row],[CIE-10]]))</f>
        <v>0</v>
      </c>
      <c r="AB20" s="3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0" s="9">
        <f>SUM(GUIA_NACIONAL_2022_1106128143146147[[#This Row],[D1]:[D6]])</f>
        <v>0</v>
      </c>
    </row>
    <row r="21" spans="1:29" ht="15" customHeight="1">
      <c r="A21" s="139"/>
      <c r="B21" s="139"/>
      <c r="D21" s="32" t="s">
        <v>319</v>
      </c>
      <c r="E21" s="3">
        <f>IF($B$2="(Todas)",COUNTIF(BASE[CODCIE10],GUIA_NACIONAL_2022_1106108[[#This Row],[CIE-10]]),COUNTIFS(BASE[Cod.Establecimiento],$B$2,BASE[CODCIE10],GUIA_NACIONAL_2022_1106108[[#This Row],[CIE-10]]))</f>
        <v>0</v>
      </c>
      <c r="F21" s="3">
        <f>IF($B$2="(Todas)",COUNTIF(BASE[CODCIE102],GUIA_NACIONAL_2022_1106108[[#This Row],[CIE-10]]),COUNTIFS(BASE[Cod.Establecimiento],$B$2,BASE[CODCIE102],GUIA_NACIONAL_2022_1106108[[#This Row],[CIE-10]]))</f>
        <v>0</v>
      </c>
      <c r="G21" s="3">
        <f>IF($B$2="(Todas)",COUNTIF(BASE[CODCIE104],GUIA_NACIONAL_2022_1106108[[#This Row],[CIE-10]]),COUNTIFS(BASE[Cod.Establecimiento],$B$2,BASE[CODCIE104],GUIA_NACIONAL_2022_1106108[[#This Row],[CIE-10]]))</f>
        <v>0</v>
      </c>
      <c r="H21" s="3">
        <f>IF($B$2="(Todas)",COUNTIF(BASE[CODCIE106],GUIA_NACIONAL_2022_1106108[[#This Row],[CIE-10]]),COUNTIFS(BASE[Cod.Establecimiento],$B$2,BASE[CODCIE106],GUIA_NACIONAL_2022_1106108[[#This Row],[CIE-10]]))</f>
        <v>0</v>
      </c>
      <c r="I21" s="3">
        <f>IF($B$2="(Todas)",COUNTIF(BASE[CODCIE108],GUIA_NACIONAL_2022_1106108[[#This Row],[CIE-10]]),COUNTIFS(BASE[Cod.Establecimiento],$B$2,BASE[CODCIE108],GUIA_NACIONAL_2022_1106108[[#This Row],[CIE-10]]))</f>
        <v>0</v>
      </c>
      <c r="J21" s="3">
        <f>IF($B$2="(Todas)",COUNTIF(BASE[CODCIE1010],GUIA_NACIONAL_2022_1106108[[#This Row],[CIE-10]]),COUNTIFS(BASE[Cod.Establecimiento],$B$2,BASE[CODCIE1010],GUIA_NACIONAL_2022_1106108[[#This Row],[CIE-10]]))</f>
        <v>0</v>
      </c>
      <c r="K21" s="9">
        <f>SUM(GUIA_NACIONAL_2022_1106108[[#This Row],[D1]:[D6]])</f>
        <v>0</v>
      </c>
      <c r="M21" t="s">
        <v>93</v>
      </c>
      <c r="N21" s="3" t="s">
        <v>94</v>
      </c>
      <c r="O21" s="3" t="s">
        <v>95</v>
      </c>
      <c r="P21" s="3" t="s">
        <v>96</v>
      </c>
      <c r="Q21" s="3" t="s">
        <v>97</v>
      </c>
      <c r="R21" s="3" t="s">
        <v>98</v>
      </c>
      <c r="S21" s="3" t="s">
        <v>99</v>
      </c>
      <c r="T21" s="8" t="s">
        <v>100</v>
      </c>
      <c r="V21" s="32" t="s">
        <v>307</v>
      </c>
      <c r="W21" s="3">
        <f>IF($B$2="(Todas)",COUNTIF(BASE[CODCIE10],GUIA_NACIONAL_2022_1106128143146147[[#This Row],[CIE-10]]),COUNTIFS(BASE[Cod.Establecimiento],$B$2,BASE[CODCIE10],GUIA_NACIONAL_2022_1106128143146147[[#This Row],[CIE-10]]))</f>
        <v>0</v>
      </c>
      <c r="X21" s="3">
        <f>IF($B$2="(Todas)",COUNTIF(BASE[CODCIE102],GUIA_NACIONAL_2022_1106128143146147[[#This Row],[CIE-10]]),COUNTIFS(BASE[Cod.Establecimiento],$B$2,BASE[CODCIE102],GUIA_NACIONAL_2022_1106128143146147[[#This Row],[CIE-10]]))</f>
        <v>0</v>
      </c>
      <c r="Y21" s="3">
        <f>IF($B$2="(Todas)",COUNTIF(BASE[CODCIE104],GUIA_NACIONAL_2022_1106128143146147[[#This Row],[CIE-10]]),COUNTIFS(BASE[Cod.Establecimiento],$B$2,BASE[CODCIE104],GUIA_NACIONAL_2022_1106128143146147[[#This Row],[CIE-10]]))</f>
        <v>0</v>
      </c>
      <c r="Z21" s="3">
        <f>IF($B$2="(Todas)",COUNTIF(BASE[CODCIE106],GUIA_NACIONAL_2022_1106128143146147[[#This Row],[CIE-10]]),COUNTIFS(BASE[Cod.Establecimiento],$B$2,BASE[CODCIE106],GUIA_NACIONAL_2022_1106128143146147[[#This Row],[CIE-10]]))</f>
        <v>0</v>
      </c>
      <c r="AA21" s="3">
        <f>IF($B$2="(Todas)",COUNTIF(BASE[CODCIE108],GUIA_NACIONAL_2022_1106128143146147[[#This Row],[CIE-10]]),COUNTIFS(BASE[Cod.Establecimiento],$B$2,BASE[CODCIE108],GUIA_NACIONAL_2022_1106128143146147[[#This Row],[CIE-10]]))</f>
        <v>0</v>
      </c>
      <c r="AB21" s="3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1" s="9">
        <f>SUM(GUIA_NACIONAL_2022_1106128143146147[[#This Row],[D1]:[D6]])</f>
        <v>0</v>
      </c>
    </row>
    <row r="22" spans="1:29" ht="15" customHeight="1">
      <c r="A22" s="139"/>
      <c r="B22" s="139"/>
      <c r="D22" s="32" t="s">
        <v>320</v>
      </c>
      <c r="E22" s="3">
        <f>IF($B$2="(Todas)",COUNTIF(BASE[CODCIE10],GUIA_NACIONAL_2022_1106108[[#This Row],[CIE-10]]),COUNTIFS(BASE[Cod.Establecimiento],$B$2,BASE[CODCIE10],GUIA_NACIONAL_2022_1106108[[#This Row],[CIE-10]]))</f>
        <v>0</v>
      </c>
      <c r="F22" s="3">
        <f>IF($B$2="(Todas)",COUNTIF(BASE[CODCIE102],GUIA_NACIONAL_2022_1106108[[#This Row],[CIE-10]]),COUNTIFS(BASE[Cod.Establecimiento],$B$2,BASE[CODCIE102],GUIA_NACIONAL_2022_1106108[[#This Row],[CIE-10]]))</f>
        <v>0</v>
      </c>
      <c r="G22" s="3">
        <f>IF($B$2="(Todas)",COUNTIF(BASE[CODCIE104],GUIA_NACIONAL_2022_1106108[[#This Row],[CIE-10]]),COUNTIFS(BASE[Cod.Establecimiento],$B$2,BASE[CODCIE104],GUIA_NACIONAL_2022_1106108[[#This Row],[CIE-10]]))</f>
        <v>0</v>
      </c>
      <c r="H22" s="3">
        <f>IF($B$2="(Todas)",COUNTIF(BASE[CODCIE106],GUIA_NACIONAL_2022_1106108[[#This Row],[CIE-10]]),COUNTIFS(BASE[Cod.Establecimiento],$B$2,BASE[CODCIE106],GUIA_NACIONAL_2022_1106108[[#This Row],[CIE-10]]))</f>
        <v>0</v>
      </c>
      <c r="I22" s="3">
        <f>IF($B$2="(Todas)",COUNTIF(BASE[CODCIE108],GUIA_NACIONAL_2022_1106108[[#This Row],[CIE-10]]),COUNTIFS(BASE[Cod.Establecimiento],$B$2,BASE[CODCIE108],GUIA_NACIONAL_2022_1106108[[#This Row],[CIE-10]]))</f>
        <v>0</v>
      </c>
      <c r="J22" s="3">
        <f>IF($B$2="(Todas)",COUNTIF(BASE[CODCIE1010],GUIA_NACIONAL_2022_1106108[[#This Row],[CIE-10]]),COUNTIFS(BASE[Cod.Establecimiento],$B$2,BASE[CODCIE1010],GUIA_NACIONAL_2022_1106108[[#This Row],[CIE-10]]))</f>
        <v>0</v>
      </c>
      <c r="K22" s="9">
        <f>SUM(GUIA_NACIONAL_2022_1106108[[#This Row],[D1]:[D6]])</f>
        <v>0</v>
      </c>
      <c r="M22" s="4" t="s">
        <v>522</v>
      </c>
      <c r="N22" s="3">
        <f>IF($B$2="(Todas)",COUNTIF(BASE[CODCIE10],GUIA_NACIONAL_2022_1106127136137138139[[#This Row],[CIE-10]]),COUNTIFS(BASE[Cod.Establecimiento],$B$2,BASE[CODCIE10],GUIA_NACIONAL_2022_1106127136137138139[[#This Row],[CIE-10]]))</f>
        <v>0</v>
      </c>
      <c r="O22" s="3">
        <f>IF($B$2="(Todas)",COUNTIF(BASE[CODCIE102],GUIA_NACIONAL_2022_1106127136137138139[[#This Row],[CIE-10]]),COUNTIFS(BASE[Cod.Establecimiento],$B$2,BASE[CODCIE102],GUIA_NACIONAL_2022_1106127136137138139[[#This Row],[CIE-10]]))</f>
        <v>0</v>
      </c>
      <c r="P22" s="3">
        <f>IF($B$2="(Todas)",COUNTIF(BASE[CODCIE104],GUIA_NACIONAL_2022_1106127136137138139[[#This Row],[CIE-10]]),COUNTIFS(BASE[Cod.Establecimiento],$B$2,BASE[CODCIE104],GUIA_NACIONAL_2022_1106127136137138139[[#This Row],[CIE-10]]))</f>
        <v>0</v>
      </c>
      <c r="Q22" s="3">
        <f>IF($B$2="(Todas)",COUNTIF(BASE[CODCIE106],GUIA_NACIONAL_2022_1106127136137138139[[#This Row],[CIE-10]]),COUNTIFS(BASE[Cod.Establecimiento],$B$2,BASE[CODCIE106],GUIA_NACIONAL_2022_1106127136137138139[[#This Row],[CIE-10]]))</f>
        <v>0</v>
      </c>
      <c r="R22" s="3">
        <f>IF($B$2="(Todas)",COUNTIF(BASE[CODCIE108],GUIA_NACIONAL_2022_1106127136137138139[[#This Row],[CIE-10]]),COUNTIFS(BASE[Cod.Establecimiento],$B$2,BASE[CODCIE108],GUIA_NACIONAL_2022_1106127136137138139[[#This Row],[CIE-10]]))</f>
        <v>0</v>
      </c>
      <c r="S22" s="3">
        <f>IF($B$2="(Todas)",COUNTIF(BASE[CODCIE1010],GUIA_NACIONAL_2022_1106127136137138139[[#This Row],[CIE-10]]),COUNTIFS(BASE[Cod.Establecimiento],$B$2,BASE[CODCIE1010],GUIA_NACIONAL_2022_1106127136137138139[[#This Row],[CIE-10]]))</f>
        <v>0</v>
      </c>
      <c r="T22" s="9">
        <f>SUM(GUIA_NACIONAL_2022_1106127136137138139[[#This Row],[D1]:[D6]])</f>
        <v>0</v>
      </c>
      <c r="V22" s="32" t="s">
        <v>308</v>
      </c>
      <c r="W22" s="3">
        <f>IF($B$2="(Todas)",COUNTIF(BASE[CODCIE10],GUIA_NACIONAL_2022_1106128143146147[[#This Row],[CIE-10]]),COUNTIFS(BASE[Cod.Establecimiento],$B$2,BASE[CODCIE10],GUIA_NACIONAL_2022_1106128143146147[[#This Row],[CIE-10]]))</f>
        <v>0</v>
      </c>
      <c r="X22" s="3">
        <f>IF($B$2="(Todas)",COUNTIF(BASE[CODCIE102],GUIA_NACIONAL_2022_1106128143146147[[#This Row],[CIE-10]]),COUNTIFS(BASE[Cod.Establecimiento],$B$2,BASE[CODCIE102],GUIA_NACIONAL_2022_1106128143146147[[#This Row],[CIE-10]]))</f>
        <v>0</v>
      </c>
      <c r="Y22" s="3">
        <f>IF($B$2="(Todas)",COUNTIF(BASE[CODCIE104],GUIA_NACIONAL_2022_1106128143146147[[#This Row],[CIE-10]]),COUNTIFS(BASE[Cod.Establecimiento],$B$2,BASE[CODCIE104],GUIA_NACIONAL_2022_1106128143146147[[#This Row],[CIE-10]]))</f>
        <v>0</v>
      </c>
      <c r="Z22" s="3">
        <f>IF($B$2="(Todas)",COUNTIF(BASE[CODCIE106],GUIA_NACIONAL_2022_1106128143146147[[#This Row],[CIE-10]]),COUNTIFS(BASE[Cod.Establecimiento],$B$2,BASE[CODCIE106],GUIA_NACIONAL_2022_1106128143146147[[#This Row],[CIE-10]]))</f>
        <v>0</v>
      </c>
      <c r="AA22" s="3">
        <f>IF($B$2="(Todas)",COUNTIF(BASE[CODCIE108],GUIA_NACIONAL_2022_1106128143146147[[#This Row],[CIE-10]]),COUNTIFS(BASE[Cod.Establecimiento],$B$2,BASE[CODCIE108],GUIA_NACIONAL_2022_1106128143146147[[#This Row],[CIE-10]]))</f>
        <v>0</v>
      </c>
      <c r="AB22" s="3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2" s="9">
        <f>SUM(GUIA_NACIONAL_2022_1106128143146147[[#This Row],[D1]:[D6]])</f>
        <v>0</v>
      </c>
    </row>
    <row r="23" spans="1:29" ht="15" customHeight="1">
      <c r="A23" s="139"/>
      <c r="B23" s="139"/>
      <c r="D23" s="32" t="s">
        <v>436</v>
      </c>
      <c r="E23" s="3">
        <f>IF($B$2="(Todas)",COUNTIF(BASE[CODCIE10],GUIA_NACIONAL_2022_1106108[[#This Row],[CIE-10]]),COUNTIFS(BASE[Cod.Establecimiento],$B$2,BASE[CODCIE10],GUIA_NACIONAL_2022_1106108[[#This Row],[CIE-10]]))</f>
        <v>0</v>
      </c>
      <c r="F23" s="3">
        <f>IF($B$2="(Todas)",COUNTIF(BASE[CODCIE102],GUIA_NACIONAL_2022_1106108[[#This Row],[CIE-10]]),COUNTIFS(BASE[Cod.Establecimiento],$B$2,BASE[CODCIE102],GUIA_NACIONAL_2022_1106108[[#This Row],[CIE-10]]))</f>
        <v>0</v>
      </c>
      <c r="G23" s="3">
        <f>IF($B$2="(Todas)",COUNTIF(BASE[CODCIE104],GUIA_NACIONAL_2022_1106108[[#This Row],[CIE-10]]),COUNTIFS(BASE[Cod.Establecimiento],$B$2,BASE[CODCIE104],GUIA_NACIONAL_2022_1106108[[#This Row],[CIE-10]]))</f>
        <v>0</v>
      </c>
      <c r="H23" s="3">
        <f>IF($B$2="(Todas)",COUNTIF(BASE[CODCIE106],GUIA_NACIONAL_2022_1106108[[#This Row],[CIE-10]]),COUNTIFS(BASE[Cod.Establecimiento],$B$2,BASE[CODCIE106],GUIA_NACIONAL_2022_1106108[[#This Row],[CIE-10]]))</f>
        <v>0</v>
      </c>
      <c r="I23" s="3">
        <f>IF($B$2="(Todas)",COUNTIF(BASE[CODCIE108],GUIA_NACIONAL_2022_1106108[[#This Row],[CIE-10]]),COUNTIFS(BASE[Cod.Establecimiento],$B$2,BASE[CODCIE108],GUIA_NACIONAL_2022_1106108[[#This Row],[CIE-10]]))</f>
        <v>0</v>
      </c>
      <c r="J23" s="3">
        <f>IF($B$2="(Todas)",COUNTIF(BASE[CODCIE1010],GUIA_NACIONAL_2022_1106108[[#This Row],[CIE-10]]),COUNTIFS(BASE[Cod.Establecimiento],$B$2,BASE[CODCIE1010],GUIA_NACIONAL_2022_1106108[[#This Row],[CIE-10]]))</f>
        <v>0</v>
      </c>
      <c r="K23" s="9">
        <f>SUM(GUIA_NACIONAL_2022_1106108[[#This Row],[D1]:[D6]])</f>
        <v>0</v>
      </c>
      <c r="M23" s="140" t="s">
        <v>525</v>
      </c>
      <c r="N23" s="141"/>
      <c r="O23" s="141"/>
      <c r="P23" s="141"/>
      <c r="Q23" s="141"/>
      <c r="R23" s="141"/>
      <c r="S23" s="141"/>
      <c r="T23" s="141"/>
      <c r="V23" s="140" t="s">
        <v>537</v>
      </c>
      <c r="W23" s="141"/>
      <c r="X23" s="141"/>
      <c r="Y23" s="141"/>
      <c r="Z23" s="141"/>
      <c r="AA23" s="141"/>
      <c r="AB23" s="141"/>
      <c r="AC23" s="141"/>
    </row>
    <row r="24" spans="1:29" ht="15" customHeight="1">
      <c r="A24" s="139"/>
      <c r="B24" s="139"/>
      <c r="D24" s="32" t="s">
        <v>311</v>
      </c>
      <c r="E24" s="3">
        <f>IF($B$2="(Todas)",COUNTIF(BASE[CODCIE10],GUIA_NACIONAL_2022_1106108[[#This Row],[CIE-10]]),COUNTIFS(BASE[Cod.Establecimiento],$B$2,BASE[CODCIE10],GUIA_NACIONAL_2022_1106108[[#This Row],[CIE-10]]))</f>
        <v>0</v>
      </c>
      <c r="F24" s="3">
        <f>IF($B$2="(Todas)",COUNTIF(BASE[CODCIE102],GUIA_NACIONAL_2022_1106108[[#This Row],[CIE-10]]),COUNTIFS(BASE[Cod.Establecimiento],$B$2,BASE[CODCIE102],GUIA_NACIONAL_2022_1106108[[#This Row],[CIE-10]]))</f>
        <v>0</v>
      </c>
      <c r="G24" s="3">
        <f>IF($B$2="(Todas)",COUNTIF(BASE[CODCIE104],GUIA_NACIONAL_2022_1106108[[#This Row],[CIE-10]]),COUNTIFS(BASE[Cod.Establecimiento],$B$2,BASE[CODCIE104],GUIA_NACIONAL_2022_1106108[[#This Row],[CIE-10]]))</f>
        <v>0</v>
      </c>
      <c r="H24" s="3">
        <f>IF($B$2="(Todas)",COUNTIF(BASE[CODCIE106],GUIA_NACIONAL_2022_1106108[[#This Row],[CIE-10]]),COUNTIFS(BASE[Cod.Establecimiento],$B$2,BASE[CODCIE106],GUIA_NACIONAL_2022_1106108[[#This Row],[CIE-10]]))</f>
        <v>0</v>
      </c>
      <c r="I24" s="3">
        <f>IF($B$2="(Todas)",COUNTIF(BASE[CODCIE108],GUIA_NACIONAL_2022_1106108[[#This Row],[CIE-10]]),COUNTIFS(BASE[Cod.Establecimiento],$B$2,BASE[CODCIE108],GUIA_NACIONAL_2022_1106108[[#This Row],[CIE-10]]))</f>
        <v>0</v>
      </c>
      <c r="J24" s="3">
        <f>IF($B$2="(Todas)",COUNTIF(BASE[CODCIE1010],GUIA_NACIONAL_2022_1106108[[#This Row],[CIE-10]]),COUNTIFS(BASE[Cod.Establecimiento],$B$2,BASE[CODCIE1010],GUIA_NACIONAL_2022_1106108[[#This Row],[CIE-10]]))</f>
        <v>0</v>
      </c>
      <c r="K24" s="9">
        <f>SUM(GUIA_NACIONAL_2022_1106108[[#This Row],[D1]:[D6]])</f>
        <v>0</v>
      </c>
      <c r="M24" t="s">
        <v>93</v>
      </c>
      <c r="N24" s="3" t="s">
        <v>94</v>
      </c>
      <c r="O24" s="3" t="s">
        <v>95</v>
      </c>
      <c r="P24" s="3" t="s">
        <v>96</v>
      </c>
      <c r="Q24" s="3" t="s">
        <v>97</v>
      </c>
      <c r="R24" s="3" t="s">
        <v>98</v>
      </c>
      <c r="S24" s="3" t="s">
        <v>99</v>
      </c>
      <c r="T24" s="8" t="s">
        <v>100</v>
      </c>
      <c r="V24" t="s">
        <v>93</v>
      </c>
      <c r="W24" s="3" t="s">
        <v>94</v>
      </c>
      <c r="X24" s="3" t="s">
        <v>95</v>
      </c>
      <c r="Y24" s="3" t="s">
        <v>96</v>
      </c>
      <c r="Z24" s="3" t="s">
        <v>97</v>
      </c>
      <c r="AA24" s="3" t="s">
        <v>98</v>
      </c>
      <c r="AB24" s="3" t="s">
        <v>99</v>
      </c>
      <c r="AC24" s="8" t="s">
        <v>100</v>
      </c>
    </row>
    <row r="25" spans="1:29" ht="15" customHeight="1">
      <c r="A25" s="139"/>
      <c r="B25" s="139"/>
      <c r="D25" s="32" t="s">
        <v>312</v>
      </c>
      <c r="E25" s="3">
        <f>IF($B$2="(Todas)",COUNTIF(BASE[CODCIE10],GUIA_NACIONAL_2022_1106108[[#This Row],[CIE-10]]),COUNTIFS(BASE[Cod.Establecimiento],$B$2,BASE[CODCIE10],GUIA_NACIONAL_2022_1106108[[#This Row],[CIE-10]]))</f>
        <v>0</v>
      </c>
      <c r="F25" s="3">
        <f>IF($B$2="(Todas)",COUNTIF(BASE[CODCIE102],GUIA_NACIONAL_2022_1106108[[#This Row],[CIE-10]]),COUNTIFS(BASE[Cod.Establecimiento],$B$2,BASE[CODCIE102],GUIA_NACIONAL_2022_1106108[[#This Row],[CIE-10]]))</f>
        <v>0</v>
      </c>
      <c r="G25" s="3">
        <f>IF($B$2="(Todas)",COUNTIF(BASE[CODCIE104],GUIA_NACIONAL_2022_1106108[[#This Row],[CIE-10]]),COUNTIFS(BASE[Cod.Establecimiento],$B$2,BASE[CODCIE104],GUIA_NACIONAL_2022_1106108[[#This Row],[CIE-10]]))</f>
        <v>0</v>
      </c>
      <c r="H25" s="3">
        <f>IF($B$2="(Todas)",COUNTIF(BASE[CODCIE106],GUIA_NACIONAL_2022_1106108[[#This Row],[CIE-10]]),COUNTIFS(BASE[Cod.Establecimiento],$B$2,BASE[CODCIE106],GUIA_NACIONAL_2022_1106108[[#This Row],[CIE-10]]))</f>
        <v>0</v>
      </c>
      <c r="I25" s="3">
        <f>IF($B$2="(Todas)",COUNTIF(BASE[CODCIE108],GUIA_NACIONAL_2022_1106108[[#This Row],[CIE-10]]),COUNTIFS(BASE[Cod.Establecimiento],$B$2,BASE[CODCIE108],GUIA_NACIONAL_2022_1106108[[#This Row],[CIE-10]]))</f>
        <v>0</v>
      </c>
      <c r="J25" s="3">
        <f>IF($B$2="(Todas)",COUNTIF(BASE[CODCIE1010],GUIA_NACIONAL_2022_1106108[[#This Row],[CIE-10]]),COUNTIFS(BASE[Cod.Establecimiento],$B$2,BASE[CODCIE1010],GUIA_NACIONAL_2022_1106108[[#This Row],[CIE-10]]))</f>
        <v>0</v>
      </c>
      <c r="K25" s="9">
        <f>SUM(GUIA_NACIONAL_2022_1106108[[#This Row],[D1]:[D6]])</f>
        <v>0</v>
      </c>
      <c r="M25" s="4" t="s">
        <v>523</v>
      </c>
      <c r="N25" s="3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5" s="3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5" s="3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5" s="3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5" s="3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5" s="3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5" s="9">
        <f>SUM(GUIA_NACIONAL_2022_1106127136137138139140[[#This Row],[D1]:[D6]])</f>
        <v>0</v>
      </c>
      <c r="V25" s="4" t="s">
        <v>108</v>
      </c>
      <c r="W25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5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5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5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5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5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5" s="9">
        <f>SUM(GUIA_NACIONAL_2022_1106128143146147148[[#This Row],[D1]:[D6]])</f>
        <v>0</v>
      </c>
    </row>
    <row r="26" spans="1:29" ht="15" customHeight="1">
      <c r="A26" s="139"/>
      <c r="B26" s="139"/>
      <c r="D26" s="32" t="s">
        <v>313</v>
      </c>
      <c r="E26" s="3">
        <f>IF($B$2="(Todas)",COUNTIF(BASE[CODCIE10],GUIA_NACIONAL_2022_1106108[[#This Row],[CIE-10]]),COUNTIFS(BASE[Cod.Establecimiento],$B$2,BASE[CODCIE10],GUIA_NACIONAL_2022_1106108[[#This Row],[CIE-10]]))</f>
        <v>0</v>
      </c>
      <c r="F26" s="3">
        <f>IF($B$2="(Todas)",COUNTIF(BASE[CODCIE102],GUIA_NACIONAL_2022_1106108[[#This Row],[CIE-10]]),COUNTIFS(BASE[Cod.Establecimiento],$B$2,BASE[CODCIE102],GUIA_NACIONAL_2022_1106108[[#This Row],[CIE-10]]))</f>
        <v>0</v>
      </c>
      <c r="G26" s="3">
        <f>IF($B$2="(Todas)",COUNTIF(BASE[CODCIE104],GUIA_NACIONAL_2022_1106108[[#This Row],[CIE-10]]),COUNTIFS(BASE[Cod.Establecimiento],$B$2,BASE[CODCIE104],GUIA_NACIONAL_2022_1106108[[#This Row],[CIE-10]]))</f>
        <v>0</v>
      </c>
      <c r="H26" s="3">
        <f>IF($B$2="(Todas)",COUNTIF(BASE[CODCIE106],GUIA_NACIONAL_2022_1106108[[#This Row],[CIE-10]]),COUNTIFS(BASE[Cod.Establecimiento],$B$2,BASE[CODCIE106],GUIA_NACIONAL_2022_1106108[[#This Row],[CIE-10]]))</f>
        <v>0</v>
      </c>
      <c r="I26" s="3">
        <f>IF($B$2="(Todas)",COUNTIF(BASE[CODCIE108],GUIA_NACIONAL_2022_1106108[[#This Row],[CIE-10]]),COUNTIFS(BASE[Cod.Establecimiento],$B$2,BASE[CODCIE108],GUIA_NACIONAL_2022_1106108[[#This Row],[CIE-10]]))</f>
        <v>0</v>
      </c>
      <c r="J26" s="3">
        <f>IF($B$2="(Todas)",COUNTIF(BASE[CODCIE1010],GUIA_NACIONAL_2022_1106108[[#This Row],[CIE-10]]),COUNTIFS(BASE[Cod.Establecimiento],$B$2,BASE[CODCIE1010],GUIA_NACIONAL_2022_1106108[[#This Row],[CIE-10]]))</f>
        <v>0</v>
      </c>
      <c r="K26" s="9">
        <f>SUM(GUIA_NACIONAL_2022_1106108[[#This Row],[D1]:[D6]])</f>
        <v>0</v>
      </c>
      <c r="M26" s="32" t="s">
        <v>524</v>
      </c>
      <c r="N26" s="3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6" s="3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6" s="3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6" s="3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6" s="3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6" s="3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6" s="9">
        <f>SUM(GUIA_NACIONAL_2022_1106127136137138139140[[#This Row],[D1]:[D6]])</f>
        <v>0</v>
      </c>
      <c r="V26" s="32" t="s">
        <v>111</v>
      </c>
      <c r="W26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6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6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6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6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6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6" s="9">
        <f>SUM(GUIA_NACIONAL_2022_1106128143146147148[[#This Row],[D1]:[D6]])</f>
        <v>0</v>
      </c>
    </row>
    <row r="27" spans="1:29" ht="15" customHeight="1">
      <c r="A27" s="139"/>
      <c r="B27" s="139"/>
      <c r="D27" s="32" t="s">
        <v>437</v>
      </c>
      <c r="E27" s="3">
        <f>IF($B$2="(Todas)",COUNTIF(BASE[CODCIE10],GUIA_NACIONAL_2022_1106108[[#This Row],[CIE-10]]),COUNTIFS(BASE[Cod.Establecimiento],$B$2,BASE[CODCIE10],GUIA_NACIONAL_2022_1106108[[#This Row],[CIE-10]]))</f>
        <v>0</v>
      </c>
      <c r="F27" s="3">
        <f>IF($B$2="(Todas)",COUNTIF(BASE[CODCIE102],GUIA_NACIONAL_2022_1106108[[#This Row],[CIE-10]]),COUNTIFS(BASE[Cod.Establecimiento],$B$2,BASE[CODCIE102],GUIA_NACIONAL_2022_1106108[[#This Row],[CIE-10]]))</f>
        <v>0</v>
      </c>
      <c r="G27" s="3">
        <f>IF($B$2="(Todas)",COUNTIF(BASE[CODCIE104],GUIA_NACIONAL_2022_1106108[[#This Row],[CIE-10]]),COUNTIFS(BASE[Cod.Establecimiento],$B$2,BASE[CODCIE104],GUIA_NACIONAL_2022_1106108[[#This Row],[CIE-10]]))</f>
        <v>0</v>
      </c>
      <c r="H27" s="3">
        <f>IF($B$2="(Todas)",COUNTIF(BASE[CODCIE106],GUIA_NACIONAL_2022_1106108[[#This Row],[CIE-10]]),COUNTIFS(BASE[Cod.Establecimiento],$B$2,BASE[CODCIE106],GUIA_NACIONAL_2022_1106108[[#This Row],[CIE-10]]))</f>
        <v>0</v>
      </c>
      <c r="I27" s="3">
        <f>IF($B$2="(Todas)",COUNTIF(BASE[CODCIE108],GUIA_NACIONAL_2022_1106108[[#This Row],[CIE-10]]),COUNTIFS(BASE[Cod.Establecimiento],$B$2,BASE[CODCIE108],GUIA_NACIONAL_2022_1106108[[#This Row],[CIE-10]]))</f>
        <v>0</v>
      </c>
      <c r="J27" s="3">
        <f>IF($B$2="(Todas)",COUNTIF(BASE[CODCIE1010],GUIA_NACIONAL_2022_1106108[[#This Row],[CIE-10]]),COUNTIFS(BASE[Cod.Establecimiento],$B$2,BASE[CODCIE1010],GUIA_NACIONAL_2022_1106108[[#This Row],[CIE-10]]))</f>
        <v>0</v>
      </c>
      <c r="K27" s="9">
        <f>SUM(GUIA_NACIONAL_2022_1106108[[#This Row],[D1]:[D6]])</f>
        <v>0</v>
      </c>
      <c r="M27" s="32" t="s">
        <v>395</v>
      </c>
      <c r="N27" s="3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7" s="3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7" s="3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7" s="3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7" s="3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7" s="3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7" s="9">
        <f>SUM(GUIA_NACIONAL_2022_1106127136137138139140[[#This Row],[D1]:[D6]])</f>
        <v>0</v>
      </c>
      <c r="V27" s="32" t="s">
        <v>114</v>
      </c>
      <c r="W27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7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7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7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7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7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7" s="9">
        <f>SUM(GUIA_NACIONAL_2022_1106128143146147148[[#This Row],[D1]:[D6]])</f>
        <v>0</v>
      </c>
    </row>
    <row r="28" spans="1:29" ht="15" customHeight="1">
      <c r="A28" s="139"/>
      <c r="B28" s="139"/>
      <c r="D28" s="141" t="s">
        <v>438</v>
      </c>
      <c r="E28" s="141"/>
      <c r="F28" s="141"/>
      <c r="G28" s="141"/>
      <c r="H28" s="141"/>
      <c r="I28" s="141"/>
      <c r="J28" s="141"/>
      <c r="K28" s="141"/>
      <c r="M28" s="140" t="s">
        <v>526</v>
      </c>
      <c r="N28" s="141"/>
      <c r="O28" s="141"/>
      <c r="P28" s="141"/>
      <c r="Q28" s="141"/>
      <c r="R28" s="141"/>
      <c r="S28" s="141"/>
      <c r="T28" s="141"/>
      <c r="V28" s="32" t="s">
        <v>117</v>
      </c>
      <c r="W28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8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8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8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8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8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8" s="9">
        <f>SUM(GUIA_NACIONAL_2022_1106128143146147148[[#This Row],[D1]:[D6]])</f>
        <v>0</v>
      </c>
    </row>
    <row r="29" spans="1:29" ht="15" customHeight="1">
      <c r="A29" s="139"/>
      <c r="B29" s="139"/>
      <c r="D29" t="s">
        <v>93</v>
      </c>
      <c r="E29" s="3" t="s">
        <v>94</v>
      </c>
      <c r="F29" s="3" t="s">
        <v>95</v>
      </c>
      <c r="G29" s="3" t="s">
        <v>96</v>
      </c>
      <c r="H29" s="3" t="s">
        <v>97</v>
      </c>
      <c r="I29" s="3" t="s">
        <v>98</v>
      </c>
      <c r="J29" s="3" t="s">
        <v>99</v>
      </c>
      <c r="K29" s="8" t="s">
        <v>100</v>
      </c>
      <c r="M29" t="s">
        <v>93</v>
      </c>
      <c r="N29" s="3" t="s">
        <v>94</v>
      </c>
      <c r="O29" s="3" t="s">
        <v>95</v>
      </c>
      <c r="P29" s="3" t="s">
        <v>96</v>
      </c>
      <c r="Q29" s="3" t="s">
        <v>97</v>
      </c>
      <c r="R29" s="3" t="s">
        <v>98</v>
      </c>
      <c r="S29" s="3" t="s">
        <v>99</v>
      </c>
      <c r="T29" s="8" t="s">
        <v>100</v>
      </c>
      <c r="V29" s="32" t="s">
        <v>119</v>
      </c>
      <c r="W29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9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9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9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9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9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9" s="9">
        <f>SUM(GUIA_NACIONAL_2022_1106128143146147148[[#This Row],[D1]:[D6]])</f>
        <v>0</v>
      </c>
    </row>
    <row r="30" spans="1:29" ht="15" customHeight="1">
      <c r="A30" s="139"/>
      <c r="B30" s="139"/>
      <c r="D30" s="4" t="s">
        <v>272</v>
      </c>
      <c r="E30" s="3">
        <f>IF($B$2="(Todas)",COUNTIF(BASE[CODCIE10],GUIA_NACIONAL_2022_1106109[[#This Row],[CIE-10]]),COUNTIFS(BASE[Cod.Establecimiento],$B$2,BASE[CODCIE10],GUIA_NACIONAL_2022_1106109[[#This Row],[CIE-10]]))</f>
        <v>0</v>
      </c>
      <c r="F30" s="3">
        <f>IF($B$2="(Todas)",COUNTIF(BASE[CODCIE102],GUIA_NACIONAL_2022_1106109[[#This Row],[CIE-10]]),COUNTIFS(BASE[Cod.Establecimiento],$B$2,BASE[CODCIE102],GUIA_NACIONAL_2022_1106109[[#This Row],[CIE-10]]))</f>
        <v>0</v>
      </c>
      <c r="G30" s="3">
        <f>IF($B$2="(Todas)",COUNTIF(BASE[CODCIE104],GUIA_NACIONAL_2022_1106109[[#This Row],[CIE-10]]),COUNTIFS(BASE[Cod.Establecimiento],$B$2,BASE[CODCIE104],GUIA_NACIONAL_2022_1106109[[#This Row],[CIE-10]]))</f>
        <v>0</v>
      </c>
      <c r="H30" s="3">
        <f>IF($B$2="(Todas)",COUNTIF(BASE[CODCIE106],GUIA_NACIONAL_2022_1106109[[#This Row],[CIE-10]]),COUNTIFS(BASE[Cod.Establecimiento],$B$2,BASE[CODCIE106],GUIA_NACIONAL_2022_1106109[[#This Row],[CIE-10]]))</f>
        <v>0</v>
      </c>
      <c r="I30" s="3">
        <f>IF($B$2="(Todas)",COUNTIF(BASE[CODCIE108],GUIA_NACIONAL_2022_1106109[[#This Row],[CIE-10]]),COUNTIFS(BASE[Cod.Establecimiento],$B$2,BASE[CODCIE108],GUIA_NACIONAL_2022_1106109[[#This Row],[CIE-10]]))</f>
        <v>0</v>
      </c>
      <c r="J30" s="3">
        <f>IF($B$2="(Todas)",COUNTIF(BASE[CODCIE1010],GUIA_NACIONAL_2022_1106109[[#This Row],[CIE-10]]),COUNTIFS(BASE[Cod.Establecimiento],$B$2,BASE[CODCIE1010],GUIA_NACIONAL_2022_1106109[[#This Row],[CIE-10]]))</f>
        <v>0</v>
      </c>
      <c r="K30" s="9">
        <f>SUM(GUIA_NACIONAL_2022_1106109[[#This Row],[D1]:[D6]])</f>
        <v>0</v>
      </c>
      <c r="M30" s="4" t="s">
        <v>527</v>
      </c>
      <c r="N30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0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0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0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0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0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0" s="9">
        <f>SUM(GUIA_NACIONAL_2022_1106127136137138139140141[[#This Row],[D1]:[D6]])</f>
        <v>0</v>
      </c>
      <c r="V30" s="140" t="s">
        <v>538</v>
      </c>
      <c r="W30" s="141"/>
      <c r="X30" s="141"/>
      <c r="Y30" s="141"/>
      <c r="Z30" s="141"/>
      <c r="AA30" s="141"/>
      <c r="AB30" s="141"/>
      <c r="AC30" s="141"/>
    </row>
    <row r="31" spans="1:29" ht="15" customHeight="1">
      <c r="A31" s="139"/>
      <c r="B31" s="139"/>
      <c r="D31" s="32" t="s">
        <v>430</v>
      </c>
      <c r="E31" s="3">
        <f>IF($B$2="(Todas)",COUNTIF(BASE[CODCIE10],GUIA_NACIONAL_2022_1106109[[#This Row],[CIE-10]]),COUNTIFS(BASE[Cod.Establecimiento],$B$2,BASE[CODCIE10],GUIA_NACIONAL_2022_1106109[[#This Row],[CIE-10]]))</f>
        <v>0</v>
      </c>
      <c r="F31" s="3">
        <f>IF($B$2="(Todas)",COUNTIF(BASE[CODCIE102],GUIA_NACIONAL_2022_1106109[[#This Row],[CIE-10]]),COUNTIFS(BASE[Cod.Establecimiento],$B$2,BASE[CODCIE102],GUIA_NACIONAL_2022_1106109[[#This Row],[CIE-10]]))</f>
        <v>0</v>
      </c>
      <c r="G31" s="3">
        <f>IF($B$2="(Todas)",COUNTIF(BASE[CODCIE104],GUIA_NACIONAL_2022_1106109[[#This Row],[CIE-10]]),COUNTIFS(BASE[Cod.Establecimiento],$B$2,BASE[CODCIE104],GUIA_NACIONAL_2022_1106109[[#This Row],[CIE-10]]))</f>
        <v>0</v>
      </c>
      <c r="H31" s="3">
        <f>IF($B$2="(Todas)",COUNTIF(BASE[CODCIE106],GUIA_NACIONAL_2022_1106109[[#This Row],[CIE-10]]),COUNTIFS(BASE[Cod.Establecimiento],$B$2,BASE[CODCIE106],GUIA_NACIONAL_2022_1106109[[#This Row],[CIE-10]]))</f>
        <v>0</v>
      </c>
      <c r="I31" s="3">
        <f>IF($B$2="(Todas)",COUNTIF(BASE[CODCIE108],GUIA_NACIONAL_2022_1106109[[#This Row],[CIE-10]]),COUNTIFS(BASE[Cod.Establecimiento],$B$2,BASE[CODCIE108],GUIA_NACIONAL_2022_1106109[[#This Row],[CIE-10]]))</f>
        <v>0</v>
      </c>
      <c r="J31" s="3">
        <f>IF($B$2="(Todas)",COUNTIF(BASE[CODCIE1010],GUIA_NACIONAL_2022_1106109[[#This Row],[CIE-10]]),COUNTIFS(BASE[Cod.Establecimiento],$B$2,BASE[CODCIE1010],GUIA_NACIONAL_2022_1106109[[#This Row],[CIE-10]]))</f>
        <v>0</v>
      </c>
      <c r="K31" s="9">
        <f>SUM(GUIA_NACIONAL_2022_1106109[[#This Row],[D1]:[D6]])</f>
        <v>0</v>
      </c>
      <c r="M31" s="32" t="s">
        <v>528</v>
      </c>
      <c r="N31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1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1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1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1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1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1" s="9">
        <f>SUM(GUIA_NACIONAL_2022_1106127136137138139140141[[#This Row],[D1]:[D6]])</f>
        <v>0</v>
      </c>
      <c r="V31" t="s">
        <v>93</v>
      </c>
      <c r="W31" s="3" t="s">
        <v>94</v>
      </c>
      <c r="X31" s="3" t="s">
        <v>95</v>
      </c>
      <c r="Y31" s="3" t="s">
        <v>96</v>
      </c>
      <c r="Z31" s="3" t="s">
        <v>97</v>
      </c>
      <c r="AA31" s="3" t="s">
        <v>98</v>
      </c>
      <c r="AB31" s="3" t="s">
        <v>99</v>
      </c>
      <c r="AC31" s="8" t="s">
        <v>100</v>
      </c>
    </row>
    <row r="32" spans="1:29" ht="15" customHeight="1">
      <c r="A32" s="139"/>
      <c r="B32" s="139"/>
      <c r="D32" s="32" t="s">
        <v>308</v>
      </c>
      <c r="E32" s="3">
        <f>IF($B$2="(Todas)",COUNTIF(BASE[CODCIE10],GUIA_NACIONAL_2022_1106109[[#This Row],[CIE-10]]),COUNTIFS(BASE[Cod.Establecimiento],$B$2,BASE[CODCIE10],GUIA_NACIONAL_2022_1106109[[#This Row],[CIE-10]]))</f>
        <v>0</v>
      </c>
      <c r="F32" s="3">
        <f>IF($B$2="(Todas)",COUNTIF(BASE[CODCIE102],GUIA_NACIONAL_2022_1106109[[#This Row],[CIE-10]]),COUNTIFS(BASE[Cod.Establecimiento],$B$2,BASE[CODCIE102],GUIA_NACIONAL_2022_1106109[[#This Row],[CIE-10]]))</f>
        <v>0</v>
      </c>
      <c r="G32" s="3">
        <f>IF($B$2="(Todas)",COUNTIF(BASE[CODCIE104],GUIA_NACIONAL_2022_1106109[[#This Row],[CIE-10]]),COUNTIFS(BASE[Cod.Establecimiento],$B$2,BASE[CODCIE104],GUIA_NACIONAL_2022_1106109[[#This Row],[CIE-10]]))</f>
        <v>0</v>
      </c>
      <c r="H32" s="3">
        <f>IF($B$2="(Todas)",COUNTIF(BASE[CODCIE106],GUIA_NACIONAL_2022_1106109[[#This Row],[CIE-10]]),COUNTIFS(BASE[Cod.Establecimiento],$B$2,BASE[CODCIE106],GUIA_NACIONAL_2022_1106109[[#This Row],[CIE-10]]))</f>
        <v>0</v>
      </c>
      <c r="I32" s="3">
        <f>IF($B$2="(Todas)",COUNTIF(BASE[CODCIE108],GUIA_NACIONAL_2022_1106109[[#This Row],[CIE-10]]),COUNTIFS(BASE[Cod.Establecimiento],$B$2,BASE[CODCIE108],GUIA_NACIONAL_2022_1106109[[#This Row],[CIE-10]]))</f>
        <v>0</v>
      </c>
      <c r="J32" s="3">
        <f>IF($B$2="(Todas)",COUNTIF(BASE[CODCIE1010],GUIA_NACIONAL_2022_1106109[[#This Row],[CIE-10]]),COUNTIFS(BASE[Cod.Establecimiento],$B$2,BASE[CODCIE1010],GUIA_NACIONAL_2022_1106109[[#This Row],[CIE-10]]))</f>
        <v>0</v>
      </c>
      <c r="K32" s="9">
        <f>SUM(GUIA_NACIONAL_2022_1106109[[#This Row],[D1]:[D6]])</f>
        <v>0</v>
      </c>
      <c r="M32" s="32" t="s">
        <v>529</v>
      </c>
      <c r="N32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2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2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2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2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2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2" s="9">
        <f>SUM(GUIA_NACIONAL_2022_1106127136137138139140141[[#This Row],[D1]:[D6]])</f>
        <v>0</v>
      </c>
      <c r="V32" s="4" t="s">
        <v>122</v>
      </c>
      <c r="W32" s="3">
        <f>IF($B$2="(Todas)",COUNTIF(BASE[CODCIE10],GUIA_NACIONAL_2022_1106128143146149[[#This Row],[CIE-10]]),COUNTIFS(BASE[Cod.Establecimiento],$B$2,BASE[CODCIE10],GUIA_NACIONAL_2022_1106128143146149[[#This Row],[CIE-10]]))</f>
        <v>0</v>
      </c>
      <c r="X32" s="3">
        <f>IF($B$2="(Todas)",COUNTIF(BASE[CODCIE102],GUIA_NACIONAL_2022_1106128143146149[[#This Row],[CIE-10]]),COUNTIFS(BASE[Cod.Establecimiento],$B$2,BASE[CODCIE102],GUIA_NACIONAL_2022_1106128143146149[[#This Row],[CIE-10]]))</f>
        <v>0</v>
      </c>
      <c r="Y32" s="3">
        <f>IF($B$2="(Todas)",COUNTIF(BASE[CODCIE104],GUIA_NACIONAL_2022_1106128143146149[[#This Row],[CIE-10]]),COUNTIFS(BASE[Cod.Establecimiento],$B$2,BASE[CODCIE104],GUIA_NACIONAL_2022_1106128143146149[[#This Row],[CIE-10]]))</f>
        <v>0</v>
      </c>
      <c r="Z32" s="3">
        <f>IF($B$2="(Todas)",COUNTIF(BASE[CODCIE106],GUIA_NACIONAL_2022_1106128143146149[[#This Row],[CIE-10]]),COUNTIFS(BASE[Cod.Establecimiento],$B$2,BASE[CODCIE106],GUIA_NACIONAL_2022_1106128143146149[[#This Row],[CIE-10]]))</f>
        <v>0</v>
      </c>
      <c r="AA32" s="3">
        <f>IF($B$2="(Todas)",COUNTIF(BASE[CODCIE108],GUIA_NACIONAL_2022_1106128143146149[[#This Row],[CIE-10]]),COUNTIFS(BASE[Cod.Establecimiento],$B$2,BASE[CODCIE108],GUIA_NACIONAL_2022_1106128143146149[[#This Row],[CIE-10]]))</f>
        <v>0</v>
      </c>
      <c r="AB32" s="3">
        <f>IF($B$2="(Todas)",COUNTIF(BASE[CODCIE1010],GUIA_NACIONAL_2022_1106128143146149[[#This Row],[CIE-10]]),COUNTIFS(BASE[Cod.Establecimiento],$B$2,BASE[CODCIE1010],GUIA_NACIONAL_2022_1106128143146149[[#This Row],[CIE-10]]))</f>
        <v>0</v>
      </c>
      <c r="AC32" s="9">
        <f>SUM(GUIA_NACIONAL_2022_1106128143146149[[#This Row],[D1]:[D6]])</f>
        <v>0</v>
      </c>
    </row>
    <row r="33" spans="1:29" ht="15" customHeight="1">
      <c r="A33" s="139"/>
      <c r="B33" s="139"/>
      <c r="D33" s="32" t="s">
        <v>310</v>
      </c>
      <c r="E33" s="3">
        <f>IF($B$2="(Todas)",COUNTIF(BASE[CODCIE10],GUIA_NACIONAL_2022_1106109[[#This Row],[CIE-10]]),COUNTIFS(BASE[Cod.Establecimiento],$B$2,BASE[CODCIE10],GUIA_NACIONAL_2022_1106109[[#This Row],[CIE-10]]))</f>
        <v>0</v>
      </c>
      <c r="F33" s="3">
        <f>IF($B$2="(Todas)",COUNTIF(BASE[CODCIE102],GUIA_NACIONAL_2022_1106109[[#This Row],[CIE-10]]),COUNTIFS(BASE[Cod.Establecimiento],$B$2,BASE[CODCIE102],GUIA_NACIONAL_2022_1106109[[#This Row],[CIE-10]]))</f>
        <v>0</v>
      </c>
      <c r="G33" s="3">
        <f>IF($B$2="(Todas)",COUNTIF(BASE[CODCIE104],GUIA_NACIONAL_2022_1106109[[#This Row],[CIE-10]]),COUNTIFS(BASE[Cod.Establecimiento],$B$2,BASE[CODCIE104],GUIA_NACIONAL_2022_1106109[[#This Row],[CIE-10]]))</f>
        <v>0</v>
      </c>
      <c r="H33" s="3">
        <f>IF($B$2="(Todas)",COUNTIF(BASE[CODCIE106],GUIA_NACIONAL_2022_1106109[[#This Row],[CIE-10]]),COUNTIFS(BASE[Cod.Establecimiento],$B$2,BASE[CODCIE106],GUIA_NACIONAL_2022_1106109[[#This Row],[CIE-10]]))</f>
        <v>0</v>
      </c>
      <c r="I33" s="3">
        <f>IF($B$2="(Todas)",COUNTIF(BASE[CODCIE108],GUIA_NACIONAL_2022_1106109[[#This Row],[CIE-10]]),COUNTIFS(BASE[Cod.Establecimiento],$B$2,BASE[CODCIE108],GUIA_NACIONAL_2022_1106109[[#This Row],[CIE-10]]))</f>
        <v>0</v>
      </c>
      <c r="J33" s="3">
        <f>IF($B$2="(Todas)",COUNTIF(BASE[CODCIE1010],GUIA_NACIONAL_2022_1106109[[#This Row],[CIE-10]]),COUNTIFS(BASE[Cod.Establecimiento],$B$2,BASE[CODCIE1010],GUIA_NACIONAL_2022_1106109[[#This Row],[CIE-10]]))</f>
        <v>0</v>
      </c>
      <c r="K33" s="9">
        <f>SUM(GUIA_NACIONAL_2022_1106109[[#This Row],[D1]:[D6]])</f>
        <v>0</v>
      </c>
      <c r="M33" s="32" t="s">
        <v>396</v>
      </c>
      <c r="N33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3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3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3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3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3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3" s="9">
        <f>SUM(GUIA_NACIONAL_2022_1106127136137138139140141[[#This Row],[D1]:[D6]])</f>
        <v>0</v>
      </c>
      <c r="V33" s="142" t="s">
        <v>539</v>
      </c>
      <c r="W33" s="142"/>
      <c r="X33" s="142"/>
      <c r="Y33" s="142"/>
      <c r="Z33" s="142"/>
      <c r="AA33" s="142"/>
      <c r="AB33" s="142"/>
      <c r="AC33" s="142"/>
    </row>
    <row r="34" spans="1:29" ht="15" customHeight="1">
      <c r="A34" s="139"/>
      <c r="B34" s="139"/>
      <c r="D34" s="32" t="s">
        <v>431</v>
      </c>
      <c r="E34" s="3">
        <f>IF($B$2="(Todas)",COUNTIF(BASE[CODCIE10],GUIA_NACIONAL_2022_1106109[[#This Row],[CIE-10]]),COUNTIFS(BASE[Cod.Establecimiento],$B$2,BASE[CODCIE10],GUIA_NACIONAL_2022_1106109[[#This Row],[CIE-10]]))</f>
        <v>0</v>
      </c>
      <c r="F34" s="3">
        <f>IF($B$2="(Todas)",COUNTIF(BASE[CODCIE102],GUIA_NACIONAL_2022_1106109[[#This Row],[CIE-10]]),COUNTIFS(BASE[Cod.Establecimiento],$B$2,BASE[CODCIE102],GUIA_NACIONAL_2022_1106109[[#This Row],[CIE-10]]))</f>
        <v>0</v>
      </c>
      <c r="G34" s="3">
        <f>IF($B$2="(Todas)",COUNTIF(BASE[CODCIE104],GUIA_NACIONAL_2022_1106109[[#This Row],[CIE-10]]),COUNTIFS(BASE[Cod.Establecimiento],$B$2,BASE[CODCIE104],GUIA_NACIONAL_2022_1106109[[#This Row],[CIE-10]]))</f>
        <v>0</v>
      </c>
      <c r="H34" s="3">
        <f>IF($B$2="(Todas)",COUNTIF(BASE[CODCIE106],GUIA_NACIONAL_2022_1106109[[#This Row],[CIE-10]]),COUNTIFS(BASE[Cod.Establecimiento],$B$2,BASE[CODCIE106],GUIA_NACIONAL_2022_1106109[[#This Row],[CIE-10]]))</f>
        <v>0</v>
      </c>
      <c r="I34" s="3">
        <f>IF($B$2="(Todas)",COUNTIF(BASE[CODCIE108],GUIA_NACIONAL_2022_1106109[[#This Row],[CIE-10]]),COUNTIFS(BASE[Cod.Establecimiento],$B$2,BASE[CODCIE108],GUIA_NACIONAL_2022_1106109[[#This Row],[CIE-10]]))</f>
        <v>0</v>
      </c>
      <c r="J34" s="3">
        <f>IF($B$2="(Todas)",COUNTIF(BASE[CODCIE1010],GUIA_NACIONAL_2022_1106109[[#This Row],[CIE-10]]),COUNTIFS(BASE[Cod.Establecimiento],$B$2,BASE[CODCIE1010],GUIA_NACIONAL_2022_1106109[[#This Row],[CIE-10]]))</f>
        <v>0</v>
      </c>
      <c r="K34" s="9">
        <f>SUM(GUIA_NACIONAL_2022_1106109[[#This Row],[D1]:[D6]])</f>
        <v>0</v>
      </c>
      <c r="M34" s="140" t="s">
        <v>530</v>
      </c>
      <c r="N34" s="141"/>
      <c r="O34" s="141"/>
      <c r="P34" s="141"/>
      <c r="Q34" s="141"/>
      <c r="R34" s="141"/>
      <c r="S34" s="141"/>
      <c r="T34" s="141"/>
      <c r="V34" s="140" t="s">
        <v>540</v>
      </c>
      <c r="W34" s="141"/>
      <c r="X34" s="141"/>
      <c r="Y34" s="141"/>
      <c r="Z34" s="141"/>
      <c r="AA34" s="141"/>
      <c r="AB34" s="141"/>
      <c r="AC34" s="141"/>
    </row>
    <row r="35" spans="1:29" ht="15" customHeight="1">
      <c r="A35" s="139"/>
      <c r="B35" s="139"/>
      <c r="D35" s="32" t="s">
        <v>432</v>
      </c>
      <c r="E35" s="3">
        <f>IF($B$2="(Todas)",COUNTIF(BASE[CODCIE10],GUIA_NACIONAL_2022_1106109[[#This Row],[CIE-10]]),COUNTIFS(BASE[Cod.Establecimiento],$B$2,BASE[CODCIE10],GUIA_NACIONAL_2022_1106109[[#This Row],[CIE-10]]))</f>
        <v>0</v>
      </c>
      <c r="F35" s="3">
        <f>IF($B$2="(Todas)",COUNTIF(BASE[CODCIE102],GUIA_NACIONAL_2022_1106109[[#This Row],[CIE-10]]),COUNTIFS(BASE[Cod.Establecimiento],$B$2,BASE[CODCIE102],GUIA_NACIONAL_2022_1106109[[#This Row],[CIE-10]]))</f>
        <v>0</v>
      </c>
      <c r="G35" s="3">
        <f>IF($B$2="(Todas)",COUNTIF(BASE[CODCIE104],GUIA_NACIONAL_2022_1106109[[#This Row],[CIE-10]]),COUNTIFS(BASE[Cod.Establecimiento],$B$2,BASE[CODCIE104],GUIA_NACIONAL_2022_1106109[[#This Row],[CIE-10]]))</f>
        <v>0</v>
      </c>
      <c r="H35" s="3">
        <f>IF($B$2="(Todas)",COUNTIF(BASE[CODCIE106],GUIA_NACIONAL_2022_1106109[[#This Row],[CIE-10]]),COUNTIFS(BASE[Cod.Establecimiento],$B$2,BASE[CODCIE106],GUIA_NACIONAL_2022_1106109[[#This Row],[CIE-10]]))</f>
        <v>0</v>
      </c>
      <c r="I35" s="3">
        <f>IF($B$2="(Todas)",COUNTIF(BASE[CODCIE108],GUIA_NACIONAL_2022_1106109[[#This Row],[CIE-10]]),COUNTIFS(BASE[Cod.Establecimiento],$B$2,BASE[CODCIE108],GUIA_NACIONAL_2022_1106109[[#This Row],[CIE-10]]))</f>
        <v>0</v>
      </c>
      <c r="J35" s="3">
        <f>IF($B$2="(Todas)",COUNTIF(BASE[CODCIE1010],GUIA_NACIONAL_2022_1106109[[#This Row],[CIE-10]]),COUNTIFS(BASE[Cod.Establecimiento],$B$2,BASE[CODCIE1010],GUIA_NACIONAL_2022_1106109[[#This Row],[CIE-10]]))</f>
        <v>0</v>
      </c>
      <c r="K35" s="9">
        <f>SUM(GUIA_NACIONAL_2022_1106109[[#This Row],[D1]:[D6]])</f>
        <v>0</v>
      </c>
      <c r="M35" t="s">
        <v>93</v>
      </c>
      <c r="N35" s="3" t="s">
        <v>94</v>
      </c>
      <c r="O35" s="3" t="s">
        <v>95</v>
      </c>
      <c r="P35" s="3" t="s">
        <v>96</v>
      </c>
      <c r="Q35" s="3" t="s">
        <v>97</v>
      </c>
      <c r="R35" s="3" t="s">
        <v>98</v>
      </c>
      <c r="S35" s="3" t="s">
        <v>99</v>
      </c>
      <c r="T35" s="8" t="s">
        <v>100</v>
      </c>
      <c r="V35" t="s">
        <v>93</v>
      </c>
      <c r="W35" s="3" t="s">
        <v>94</v>
      </c>
      <c r="X35" s="3" t="s">
        <v>95</v>
      </c>
      <c r="Y35" s="3" t="s">
        <v>96</v>
      </c>
      <c r="Z35" s="3" t="s">
        <v>97</v>
      </c>
      <c r="AA35" s="3" t="s">
        <v>98</v>
      </c>
      <c r="AB35" s="3" t="s">
        <v>99</v>
      </c>
      <c r="AC35" s="8" t="s">
        <v>100</v>
      </c>
    </row>
    <row r="36" spans="1:29">
      <c r="D36" s="141" t="s">
        <v>440</v>
      </c>
      <c r="E36" s="141"/>
      <c r="F36" s="141"/>
      <c r="G36" s="141"/>
      <c r="H36" s="141"/>
      <c r="I36" s="141"/>
      <c r="J36" s="141"/>
      <c r="K36" s="141"/>
      <c r="M36" s="4" t="s">
        <v>531</v>
      </c>
      <c r="N36" s="3">
        <f>IF($B$2="(Todas)",COUNTIF(BASE[CODCIE10],GUIA_NACIONAL_2022_1106127136137138139142[[#This Row],[CIE-10]]),COUNTIFS(BASE[Cod.Establecimiento],$B$2,BASE[CODCIE10],GUIA_NACIONAL_2022_1106127136137138139142[[#This Row],[CIE-10]]))</f>
        <v>0</v>
      </c>
      <c r="O36" s="3">
        <f>IF($B$2="(Todas)",COUNTIF(BASE[CODCIE102],GUIA_NACIONAL_2022_1106127136137138139142[[#This Row],[CIE-10]]),COUNTIFS(BASE[Cod.Establecimiento],$B$2,BASE[CODCIE102],GUIA_NACIONAL_2022_1106127136137138139142[[#This Row],[CIE-10]]))</f>
        <v>0</v>
      </c>
      <c r="P36" s="3">
        <f>IF($B$2="(Todas)",COUNTIF(BASE[CODCIE104],GUIA_NACIONAL_2022_1106127136137138139142[[#This Row],[CIE-10]]),COUNTIFS(BASE[Cod.Establecimiento],$B$2,BASE[CODCIE104],GUIA_NACIONAL_2022_1106127136137138139142[[#This Row],[CIE-10]]))</f>
        <v>0</v>
      </c>
      <c r="Q36" s="3">
        <f>IF($B$2="(Todas)",COUNTIF(BASE[CODCIE106],GUIA_NACIONAL_2022_1106127136137138139142[[#This Row],[CIE-10]]),COUNTIFS(BASE[Cod.Establecimiento],$B$2,BASE[CODCIE106],GUIA_NACIONAL_2022_1106127136137138139142[[#This Row],[CIE-10]]))</f>
        <v>0</v>
      </c>
      <c r="R36" s="3">
        <f>IF($B$2="(Todas)",COUNTIF(BASE[CODCIE108],GUIA_NACIONAL_2022_1106127136137138139142[[#This Row],[CIE-10]]),COUNTIFS(BASE[Cod.Establecimiento],$B$2,BASE[CODCIE108],GUIA_NACIONAL_2022_1106127136137138139142[[#This Row],[CIE-10]]))</f>
        <v>0</v>
      </c>
      <c r="S36" s="3">
        <f>IF($B$2="(Todas)",COUNTIF(BASE[CODCIE1010],GUIA_NACIONAL_2022_1106127136137138139142[[#This Row],[CIE-10]]),COUNTIFS(BASE[Cod.Establecimiento],$B$2,BASE[CODCIE1010],GUIA_NACIONAL_2022_1106127136137138139142[[#This Row],[CIE-10]]))</f>
        <v>0</v>
      </c>
      <c r="T36" s="9">
        <f>SUM(GUIA_NACIONAL_2022_1106127136137138139142[[#This Row],[D1]:[D6]])</f>
        <v>0</v>
      </c>
      <c r="V36" s="4" t="s">
        <v>134</v>
      </c>
      <c r="W36" s="3">
        <f>IF($B$2="(Todas)",COUNTIF(BASE[CODCIE10],GUIA_NACIONAL_2022_1106128143146150[[#This Row],[CIE-10]]),COUNTIFS(BASE[Cod.Establecimiento],$B$2,BASE[CODCIE10],GUIA_NACIONAL_2022_1106128143146150[[#This Row],[CIE-10]]))</f>
        <v>0</v>
      </c>
      <c r="X36" s="3">
        <f>IF($B$2="(Todas)",COUNTIF(BASE[CODCIE102],GUIA_NACIONAL_2022_1106128143146150[[#This Row],[CIE-10]]),COUNTIFS(BASE[Cod.Establecimiento],$B$2,BASE[CODCIE102],GUIA_NACIONAL_2022_1106128143146150[[#This Row],[CIE-10]]))</f>
        <v>0</v>
      </c>
      <c r="Y36" s="3">
        <f>IF($B$2="(Todas)",COUNTIF(BASE[CODCIE104],GUIA_NACIONAL_2022_1106128143146150[[#This Row],[CIE-10]]),COUNTIFS(BASE[Cod.Establecimiento],$B$2,BASE[CODCIE104],GUIA_NACIONAL_2022_1106128143146150[[#This Row],[CIE-10]]))</f>
        <v>0</v>
      </c>
      <c r="Z36" s="3">
        <f>IF($B$2="(Todas)",COUNTIF(BASE[CODCIE106],GUIA_NACIONAL_2022_1106128143146150[[#This Row],[CIE-10]]),COUNTIFS(BASE[Cod.Establecimiento],$B$2,BASE[CODCIE106],GUIA_NACIONAL_2022_1106128143146150[[#This Row],[CIE-10]]))</f>
        <v>0</v>
      </c>
      <c r="AA36" s="3">
        <f>IF($B$2="(Todas)",COUNTIF(BASE[CODCIE108],GUIA_NACIONAL_2022_1106128143146150[[#This Row],[CIE-10]]),COUNTIFS(BASE[Cod.Establecimiento],$B$2,BASE[CODCIE108],GUIA_NACIONAL_2022_1106128143146150[[#This Row],[CIE-10]]))</f>
        <v>0</v>
      </c>
      <c r="AB36" s="3">
        <f>IF($B$2="(Todas)",COUNTIF(BASE[CODCIE1010],GUIA_NACIONAL_2022_1106128143146150[[#This Row],[CIE-10]]),COUNTIFS(BASE[Cod.Establecimiento],$B$2,BASE[CODCIE1010],GUIA_NACIONAL_2022_1106128143146150[[#This Row],[CIE-10]]))</f>
        <v>0</v>
      </c>
      <c r="AC36" s="9">
        <f>SUM(GUIA_NACIONAL_2022_1106128143146150[[#This Row],[D1]:[D6]])</f>
        <v>0</v>
      </c>
    </row>
    <row r="37" spans="1:29">
      <c r="D37" t="s">
        <v>93</v>
      </c>
      <c r="E37" s="3" t="s">
        <v>94</v>
      </c>
      <c r="F37" s="3" t="s">
        <v>95</v>
      </c>
      <c r="G37" s="3" t="s">
        <v>96</v>
      </c>
      <c r="H37" s="3" t="s">
        <v>97</v>
      </c>
      <c r="I37" s="3" t="s">
        <v>98</v>
      </c>
      <c r="J37" s="3" t="s">
        <v>99</v>
      </c>
      <c r="K37" s="8" t="s">
        <v>100</v>
      </c>
      <c r="V37" s="140" t="s">
        <v>541</v>
      </c>
      <c r="W37" s="141"/>
      <c r="X37" s="141"/>
      <c r="Y37" s="141"/>
      <c r="Z37" s="141"/>
      <c r="AA37" s="141"/>
      <c r="AB37" s="141"/>
      <c r="AC37" s="141"/>
    </row>
    <row r="38" spans="1:29">
      <c r="D38" s="4" t="s">
        <v>410</v>
      </c>
      <c r="E38" s="3">
        <f>IF($B$2="(Todas)",COUNTIF(BASE[CODCIE10],GUIA_NACIONAL_2022_1106112[[#This Row],[CIE-10]]),COUNTIFS(BASE[Cod.Establecimiento],$B$2,BASE[CODCIE10],GUIA_NACIONAL_2022_1106112[[#This Row],[CIE-10]]))</f>
        <v>0</v>
      </c>
      <c r="F38" s="3">
        <f>IF($B$2="(Todas)",COUNTIF(BASE[CODCIE102],GUIA_NACIONAL_2022_1106112[[#This Row],[CIE-10]]),COUNTIFS(BASE[Cod.Establecimiento],$B$2,BASE[CODCIE102],GUIA_NACIONAL_2022_1106112[[#This Row],[CIE-10]]))</f>
        <v>0</v>
      </c>
      <c r="G38" s="3">
        <f>IF($B$2="(Todas)",COUNTIF(BASE[CODCIE104],GUIA_NACIONAL_2022_1106112[[#This Row],[CIE-10]]),COUNTIFS(BASE[Cod.Establecimiento],$B$2,BASE[CODCIE104],GUIA_NACIONAL_2022_1106112[[#This Row],[CIE-10]]))</f>
        <v>0</v>
      </c>
      <c r="H38" s="3">
        <f>IF($B$2="(Todas)",COUNTIF(BASE[CODCIE106],GUIA_NACIONAL_2022_1106112[[#This Row],[CIE-10]]),COUNTIFS(BASE[Cod.Establecimiento],$B$2,BASE[CODCIE106],GUIA_NACIONAL_2022_1106112[[#This Row],[CIE-10]]))</f>
        <v>0</v>
      </c>
      <c r="I38" s="3">
        <f>IF($B$2="(Todas)",COUNTIF(BASE[CODCIE108],GUIA_NACIONAL_2022_1106112[[#This Row],[CIE-10]]),COUNTIFS(BASE[Cod.Establecimiento],$B$2,BASE[CODCIE108],GUIA_NACIONAL_2022_1106112[[#This Row],[CIE-10]]))</f>
        <v>0</v>
      </c>
      <c r="J38" s="3">
        <f>IF($B$2="(Todas)",COUNTIF(BASE[CODCIE1010],GUIA_NACIONAL_2022_1106112[[#This Row],[CIE-10]]),COUNTIFS(BASE[Cod.Establecimiento],$B$2,BASE[CODCIE1010],GUIA_NACIONAL_2022_1106112[[#This Row],[CIE-10]]))</f>
        <v>0</v>
      </c>
      <c r="K38" s="9">
        <f>SUM(GUIA_NACIONAL_2022_1106112[[#This Row],[D1]:[D6]])</f>
        <v>0</v>
      </c>
      <c r="V38" t="s">
        <v>93</v>
      </c>
      <c r="W38" s="3" t="s">
        <v>94</v>
      </c>
      <c r="X38" s="3" t="s">
        <v>95</v>
      </c>
      <c r="Y38" s="3" t="s">
        <v>96</v>
      </c>
      <c r="Z38" s="3" t="s">
        <v>97</v>
      </c>
      <c r="AA38" s="3" t="s">
        <v>98</v>
      </c>
      <c r="AB38" s="3" t="s">
        <v>99</v>
      </c>
      <c r="AC38" s="8" t="s">
        <v>100</v>
      </c>
    </row>
    <row r="39" spans="1:29">
      <c r="D39" s="141" t="s">
        <v>441</v>
      </c>
      <c r="E39" s="141"/>
      <c r="F39" s="141"/>
      <c r="G39" s="141"/>
      <c r="H39" s="141"/>
      <c r="I39" s="141"/>
      <c r="J39" s="141"/>
      <c r="K39" s="141"/>
      <c r="V39" s="4" t="s">
        <v>137</v>
      </c>
      <c r="W39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39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39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39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39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39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39" s="9">
        <f>SUM(GUIA_NACIONAL_2022_1106128143146150151[[#This Row],[D1]:[D6]])</f>
        <v>0</v>
      </c>
    </row>
    <row r="40" spans="1:29">
      <c r="D40" t="s">
        <v>93</v>
      </c>
      <c r="E40" s="3" t="s">
        <v>94</v>
      </c>
      <c r="F40" s="3" t="s">
        <v>95</v>
      </c>
      <c r="G40" s="3" t="s">
        <v>96</v>
      </c>
      <c r="H40" s="3" t="s">
        <v>97</v>
      </c>
      <c r="I40" s="3" t="s">
        <v>98</v>
      </c>
      <c r="J40" s="3" t="s">
        <v>99</v>
      </c>
      <c r="K40" s="8" t="s">
        <v>100</v>
      </c>
      <c r="V40" s="32" t="s">
        <v>139</v>
      </c>
      <c r="W40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0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0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0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0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0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0" s="9">
        <f>SUM(GUIA_NACIONAL_2022_1106128143146150151[[#This Row],[D1]:[D6]])</f>
        <v>0</v>
      </c>
    </row>
    <row r="41" spans="1:29">
      <c r="D41" s="4" t="s">
        <v>442</v>
      </c>
      <c r="E41" s="3">
        <f>IF($B$2="(Todas)",COUNTIF(BASE[CODCIE10],GUIA_NACIONAL_2022_1106112113[[#This Row],[CIE-10]]),COUNTIFS(BASE[Cod.Establecimiento],$B$2,BASE[CODCIE10],GUIA_NACIONAL_2022_1106112113[[#This Row],[CIE-10]]))</f>
        <v>0</v>
      </c>
      <c r="F41" s="3">
        <f>IF($B$2="(Todas)",COUNTIF(BASE[CODCIE102],GUIA_NACIONAL_2022_1106112113[[#This Row],[CIE-10]]),COUNTIFS(BASE[Cod.Establecimiento],$B$2,BASE[CODCIE102],GUIA_NACIONAL_2022_1106112113[[#This Row],[CIE-10]]))</f>
        <v>0</v>
      </c>
      <c r="G41" s="3">
        <f>IF($B$2="(Todas)",COUNTIF(BASE[CODCIE104],GUIA_NACIONAL_2022_1106112113[[#This Row],[CIE-10]]),COUNTIFS(BASE[Cod.Establecimiento],$B$2,BASE[CODCIE104],GUIA_NACIONAL_2022_1106112113[[#This Row],[CIE-10]]))</f>
        <v>0</v>
      </c>
      <c r="H41" s="3">
        <f>IF($B$2="(Todas)",COUNTIF(BASE[CODCIE106],GUIA_NACIONAL_2022_1106112113[[#This Row],[CIE-10]]),COUNTIFS(BASE[Cod.Establecimiento],$B$2,BASE[CODCIE106],GUIA_NACIONAL_2022_1106112113[[#This Row],[CIE-10]]))</f>
        <v>0</v>
      </c>
      <c r="I41" s="3">
        <f>IF($B$2="(Todas)",COUNTIF(BASE[CODCIE108],GUIA_NACIONAL_2022_1106112113[[#This Row],[CIE-10]]),COUNTIFS(BASE[Cod.Establecimiento],$B$2,BASE[CODCIE108],GUIA_NACIONAL_2022_1106112113[[#This Row],[CIE-10]]))</f>
        <v>0</v>
      </c>
      <c r="J41" s="3">
        <f>IF($B$2="(Todas)",COUNTIF(BASE[CODCIE1010],GUIA_NACIONAL_2022_1106112113[[#This Row],[CIE-10]]),COUNTIFS(BASE[Cod.Establecimiento],$B$2,BASE[CODCIE1010],GUIA_NACIONAL_2022_1106112113[[#This Row],[CIE-10]]))</f>
        <v>0</v>
      </c>
      <c r="K41" s="9">
        <f>SUM(GUIA_NACIONAL_2022_1106112113[[#This Row],[D1]:[D6]])</f>
        <v>0</v>
      </c>
      <c r="V41" s="32" t="s">
        <v>140</v>
      </c>
      <c r="W41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1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1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1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1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1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1" s="9">
        <f>SUM(GUIA_NACIONAL_2022_1106128143146150151[[#This Row],[D1]:[D6]])</f>
        <v>0</v>
      </c>
    </row>
    <row r="42" spans="1:29">
      <c r="D42" s="141" t="s">
        <v>443</v>
      </c>
      <c r="E42" s="141"/>
      <c r="F42" s="141"/>
      <c r="G42" s="141"/>
      <c r="H42" s="141"/>
      <c r="I42" s="141"/>
      <c r="J42" s="141"/>
      <c r="K42" s="141"/>
      <c r="V42" s="32" t="s">
        <v>141</v>
      </c>
      <c r="W42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2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2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2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2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2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2" s="9">
        <f>SUM(GUIA_NACIONAL_2022_1106128143146150151[[#This Row],[D1]:[D6]])</f>
        <v>0</v>
      </c>
    </row>
    <row r="43" spans="1:29">
      <c r="D43" t="s">
        <v>93</v>
      </c>
      <c r="E43" s="3" t="s">
        <v>94</v>
      </c>
      <c r="F43" s="3" t="s">
        <v>95</v>
      </c>
      <c r="G43" s="3" t="s">
        <v>96</v>
      </c>
      <c r="H43" s="3" t="s">
        <v>97</v>
      </c>
      <c r="I43" s="3" t="s">
        <v>98</v>
      </c>
      <c r="J43" s="3" t="s">
        <v>99</v>
      </c>
      <c r="K43" s="8" t="s">
        <v>100</v>
      </c>
      <c r="V43" s="32" t="s">
        <v>143</v>
      </c>
      <c r="W43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3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3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3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3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3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3" s="9">
        <f>SUM(GUIA_NACIONAL_2022_1106128143146150151[[#This Row],[D1]:[D6]])</f>
        <v>0</v>
      </c>
    </row>
    <row r="44" spans="1:29">
      <c r="D44" s="4" t="s">
        <v>444</v>
      </c>
      <c r="E44" s="3">
        <f>IF($B$2="(Todas)",COUNTIF(BASE[CODCIE10],GUIA_NACIONAL_2022_1106112113114[[#This Row],[CIE-10]]),COUNTIFS(BASE[Cod.Establecimiento],$B$2,BASE[CODCIE10],GUIA_NACIONAL_2022_1106112113114[[#This Row],[CIE-10]]))</f>
        <v>0</v>
      </c>
      <c r="F44" s="3">
        <f>IF($B$2="(Todas)",COUNTIF(BASE[CODCIE102],GUIA_NACIONAL_2022_1106112113114[[#This Row],[CIE-10]]),COUNTIFS(BASE[Cod.Establecimiento],$B$2,BASE[CODCIE102],GUIA_NACIONAL_2022_1106112113114[[#This Row],[CIE-10]]))</f>
        <v>0</v>
      </c>
      <c r="G44" s="3">
        <f>IF($B$2="(Todas)",COUNTIF(BASE[CODCIE104],GUIA_NACIONAL_2022_1106112113114[[#This Row],[CIE-10]]),COUNTIFS(BASE[Cod.Establecimiento],$B$2,BASE[CODCIE104],GUIA_NACIONAL_2022_1106112113114[[#This Row],[CIE-10]]))</f>
        <v>0</v>
      </c>
      <c r="H44" s="3">
        <f>IF($B$2="(Todas)",COUNTIF(BASE[CODCIE106],GUIA_NACIONAL_2022_1106112113114[[#This Row],[CIE-10]]),COUNTIFS(BASE[Cod.Establecimiento],$B$2,BASE[CODCIE106],GUIA_NACIONAL_2022_1106112113114[[#This Row],[CIE-10]]))</f>
        <v>0</v>
      </c>
      <c r="I44" s="3">
        <f>IF($B$2="(Todas)",COUNTIF(BASE[CODCIE108],GUIA_NACIONAL_2022_1106112113114[[#This Row],[CIE-10]]),COUNTIFS(BASE[Cod.Establecimiento],$B$2,BASE[CODCIE108],GUIA_NACIONAL_2022_1106112113114[[#This Row],[CIE-10]]))</f>
        <v>0</v>
      </c>
      <c r="J44" s="3">
        <f>IF($B$2="(Todas)",COUNTIF(BASE[CODCIE1010],GUIA_NACIONAL_2022_1106112113114[[#This Row],[CIE-10]]),COUNTIFS(BASE[Cod.Establecimiento],$B$2,BASE[CODCIE1010],GUIA_NACIONAL_2022_1106112113114[[#This Row],[CIE-10]]))</f>
        <v>0</v>
      </c>
      <c r="K44" s="9">
        <f>SUM(GUIA_NACIONAL_2022_1106112113114[[#This Row],[D1]:[D6]])</f>
        <v>0</v>
      </c>
      <c r="V44" s="142" t="s">
        <v>542</v>
      </c>
      <c r="W44" s="142"/>
      <c r="X44" s="142"/>
      <c r="Y44" s="142"/>
      <c r="Z44" s="142"/>
      <c r="AA44" s="142"/>
      <c r="AB44" s="142"/>
      <c r="AC44" s="142"/>
    </row>
    <row r="45" spans="1:29">
      <c r="D45" s="32" t="s">
        <v>445</v>
      </c>
      <c r="E45" s="3">
        <f>IF($B$2="(Todas)",COUNTIF(BASE[CODCIE10],GUIA_NACIONAL_2022_1106112113114[[#This Row],[CIE-10]]),COUNTIFS(BASE[Cod.Establecimiento],$B$2,BASE[CODCIE10],GUIA_NACIONAL_2022_1106112113114[[#This Row],[CIE-10]]))</f>
        <v>0</v>
      </c>
      <c r="F45" s="3">
        <f>IF($B$2="(Todas)",COUNTIF(BASE[CODCIE102],GUIA_NACIONAL_2022_1106112113114[[#This Row],[CIE-10]]),COUNTIFS(BASE[Cod.Establecimiento],$B$2,BASE[CODCIE102],GUIA_NACIONAL_2022_1106112113114[[#This Row],[CIE-10]]))</f>
        <v>0</v>
      </c>
      <c r="G45" s="3">
        <f>IF($B$2="(Todas)",COUNTIF(BASE[CODCIE104],GUIA_NACIONAL_2022_1106112113114[[#This Row],[CIE-10]]),COUNTIFS(BASE[Cod.Establecimiento],$B$2,BASE[CODCIE104],GUIA_NACIONAL_2022_1106112113114[[#This Row],[CIE-10]]))</f>
        <v>0</v>
      </c>
      <c r="H45" s="3">
        <f>IF($B$2="(Todas)",COUNTIF(BASE[CODCIE106],GUIA_NACIONAL_2022_1106112113114[[#This Row],[CIE-10]]),COUNTIFS(BASE[Cod.Establecimiento],$B$2,BASE[CODCIE106],GUIA_NACIONAL_2022_1106112113114[[#This Row],[CIE-10]]))</f>
        <v>0</v>
      </c>
      <c r="I45" s="3">
        <f>IF($B$2="(Todas)",COUNTIF(BASE[CODCIE108],GUIA_NACIONAL_2022_1106112113114[[#This Row],[CIE-10]]),COUNTIFS(BASE[Cod.Establecimiento],$B$2,BASE[CODCIE108],GUIA_NACIONAL_2022_1106112113114[[#This Row],[CIE-10]]))</f>
        <v>0</v>
      </c>
      <c r="J45" s="3">
        <f>IF($B$2="(Todas)",COUNTIF(BASE[CODCIE1010],GUIA_NACIONAL_2022_1106112113114[[#This Row],[CIE-10]]),COUNTIFS(BASE[Cod.Establecimiento],$B$2,BASE[CODCIE1010],GUIA_NACIONAL_2022_1106112113114[[#This Row],[CIE-10]]))</f>
        <v>0</v>
      </c>
      <c r="K45" s="9">
        <f>SUM(GUIA_NACIONAL_2022_1106112113114[[#This Row],[D1]:[D6]])</f>
        <v>0</v>
      </c>
      <c r="V45" s="140" t="s">
        <v>543</v>
      </c>
      <c r="W45" s="141"/>
      <c r="X45" s="141"/>
      <c r="Y45" s="141"/>
      <c r="Z45" s="141"/>
      <c r="AA45" s="141"/>
      <c r="AB45" s="141"/>
      <c r="AC45" s="141"/>
    </row>
    <row r="46" spans="1:29">
      <c r="D46" s="144" t="s">
        <v>446</v>
      </c>
      <c r="E46" s="144"/>
      <c r="F46" s="144"/>
      <c r="G46" s="144"/>
      <c r="H46" s="144"/>
      <c r="I46" s="144"/>
      <c r="J46" s="144"/>
      <c r="K46" s="144"/>
      <c r="V46" t="s">
        <v>93</v>
      </c>
      <c r="W46" s="3" t="s">
        <v>94</v>
      </c>
      <c r="X46" s="3" t="s">
        <v>95</v>
      </c>
      <c r="Y46" s="3" t="s">
        <v>96</v>
      </c>
      <c r="Z46" s="3" t="s">
        <v>97</v>
      </c>
      <c r="AA46" s="3" t="s">
        <v>98</v>
      </c>
      <c r="AB46" s="3" t="s">
        <v>99</v>
      </c>
      <c r="AC46" s="8" t="s">
        <v>100</v>
      </c>
    </row>
    <row r="47" spans="1:29">
      <c r="D47" s="141" t="s">
        <v>447</v>
      </c>
      <c r="E47" s="141"/>
      <c r="F47" s="141"/>
      <c r="G47" s="141"/>
      <c r="H47" s="141"/>
      <c r="I47" s="141"/>
      <c r="J47" s="141"/>
      <c r="K47" s="141"/>
      <c r="V47" s="4" t="s">
        <v>101</v>
      </c>
      <c r="W47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7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7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7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7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7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7" s="9">
        <f>SUM(GUIA_NACIONAL_2022_1106128143146150152[[#This Row],[D1]:[D6]])</f>
        <v>0</v>
      </c>
    </row>
    <row r="48" spans="1:29">
      <c r="D48" t="s">
        <v>93</v>
      </c>
      <c r="E48" s="3" t="s">
        <v>94</v>
      </c>
      <c r="F48" s="3" t="s">
        <v>95</v>
      </c>
      <c r="G48" s="3" t="s">
        <v>96</v>
      </c>
      <c r="H48" s="3" t="s">
        <v>97</v>
      </c>
      <c r="I48" s="3" t="s">
        <v>98</v>
      </c>
      <c r="J48" s="3" t="s">
        <v>99</v>
      </c>
      <c r="K48" s="8" t="s">
        <v>100</v>
      </c>
      <c r="V48" s="32" t="s">
        <v>103</v>
      </c>
      <c r="W48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8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8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8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8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8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8" s="9">
        <f>SUM(GUIA_NACIONAL_2022_1106128143146150152[[#This Row],[D1]:[D6]])</f>
        <v>0</v>
      </c>
    </row>
    <row r="49" spans="4:29">
      <c r="D49" s="4" t="s">
        <v>448</v>
      </c>
      <c r="E49" s="3">
        <f>IF($B$2="(Todas)",COUNTIF(BASE[CODCIE10],GUIA_NACIONAL_2022_1106112113116[[#This Row],[CIE-10]]),COUNTIFS(BASE[Cod.Establecimiento],$B$2,BASE[CODCIE10],GUIA_NACIONAL_2022_1106112113116[[#This Row],[CIE-10]]))</f>
        <v>0</v>
      </c>
      <c r="F49" s="3">
        <f>IF($B$2="(Todas)",COUNTIF(BASE[CODCIE102],GUIA_NACIONAL_2022_1106112113116[[#This Row],[CIE-10]]),COUNTIFS(BASE[Cod.Establecimiento],$B$2,BASE[CODCIE102],GUIA_NACIONAL_2022_1106112113116[[#This Row],[CIE-10]]))</f>
        <v>0</v>
      </c>
      <c r="G49" s="3">
        <f>IF($B$2="(Todas)",COUNTIF(BASE[CODCIE104],GUIA_NACIONAL_2022_1106112113116[[#This Row],[CIE-10]]),COUNTIFS(BASE[Cod.Establecimiento],$B$2,BASE[CODCIE104],GUIA_NACIONAL_2022_1106112113116[[#This Row],[CIE-10]]))</f>
        <v>0</v>
      </c>
      <c r="H49" s="3">
        <f>IF($B$2="(Todas)",COUNTIF(BASE[CODCIE106],GUIA_NACIONAL_2022_1106112113116[[#This Row],[CIE-10]]),COUNTIFS(BASE[Cod.Establecimiento],$B$2,BASE[CODCIE106],GUIA_NACIONAL_2022_1106112113116[[#This Row],[CIE-10]]))</f>
        <v>0</v>
      </c>
      <c r="I49" s="3">
        <f>IF($B$2="(Todas)",COUNTIF(BASE[CODCIE108],GUIA_NACIONAL_2022_1106112113116[[#This Row],[CIE-10]]),COUNTIFS(BASE[Cod.Establecimiento],$B$2,BASE[CODCIE108],GUIA_NACIONAL_2022_1106112113116[[#This Row],[CIE-10]]))</f>
        <v>0</v>
      </c>
      <c r="J49" s="3">
        <f>IF($B$2="(Todas)",COUNTIF(BASE[CODCIE1010],GUIA_NACIONAL_2022_1106112113116[[#This Row],[CIE-10]]),COUNTIFS(BASE[Cod.Establecimiento],$B$2,BASE[CODCIE1010],GUIA_NACIONAL_2022_1106112113116[[#This Row],[CIE-10]]))</f>
        <v>0</v>
      </c>
      <c r="K49" s="9">
        <f>SUM(GUIA_NACIONAL_2022_1106112113116[[#This Row],[D1]:[D6]])</f>
        <v>0</v>
      </c>
      <c r="V49" s="32" t="s">
        <v>105</v>
      </c>
      <c r="W49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9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9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9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9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9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9" s="9">
        <f>SUM(GUIA_NACIONAL_2022_1106128143146150152[[#This Row],[D1]:[D6]])</f>
        <v>0</v>
      </c>
    </row>
    <row r="50" spans="4:29">
      <c r="D50" s="141" t="s">
        <v>449</v>
      </c>
      <c r="E50" s="141"/>
      <c r="F50" s="141"/>
      <c r="G50" s="141"/>
      <c r="H50" s="141"/>
      <c r="I50" s="141"/>
      <c r="J50" s="141"/>
      <c r="K50" s="141"/>
      <c r="V50" s="32" t="s">
        <v>107</v>
      </c>
      <c r="W50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0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0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0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0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0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0" s="9">
        <f>SUM(GUIA_NACIONAL_2022_1106128143146150152[[#This Row],[D1]:[D6]])</f>
        <v>0</v>
      </c>
    </row>
    <row r="51" spans="4:29">
      <c r="D51" t="s">
        <v>93</v>
      </c>
      <c r="E51" s="3" t="s">
        <v>94</v>
      </c>
      <c r="F51" s="3" t="s">
        <v>95</v>
      </c>
      <c r="G51" s="3" t="s">
        <v>96</v>
      </c>
      <c r="H51" s="3" t="s">
        <v>97</v>
      </c>
      <c r="I51" s="3" t="s">
        <v>98</v>
      </c>
      <c r="J51" s="3" t="s">
        <v>99</v>
      </c>
      <c r="K51" s="8" t="s">
        <v>100</v>
      </c>
      <c r="V51" s="32" t="s">
        <v>109</v>
      </c>
      <c r="W51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1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1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1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1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1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1" s="9">
        <f>SUM(GUIA_NACIONAL_2022_1106128143146150152[[#This Row],[D1]:[D6]])</f>
        <v>0</v>
      </c>
    </row>
    <row r="52" spans="4:29">
      <c r="D52" s="4" t="s">
        <v>450</v>
      </c>
      <c r="E52" s="3">
        <f>IF($B$2="(Todas)",COUNTIF(BASE[CODCIE10],GUIA_NACIONAL_2022_1106112113116117[[#This Row],[CIE-10]]),COUNTIFS(BASE[Cod.Establecimiento],$B$2,BASE[CODCIE10],GUIA_NACIONAL_2022_1106112113116117[[#This Row],[CIE-10]]))</f>
        <v>0</v>
      </c>
      <c r="F52" s="3">
        <f>IF($B$2="(Todas)",COUNTIF(BASE[CODCIE102],GUIA_NACIONAL_2022_1106112113116117[[#This Row],[CIE-10]]),COUNTIFS(BASE[Cod.Establecimiento],$B$2,BASE[CODCIE102],GUIA_NACIONAL_2022_1106112113116117[[#This Row],[CIE-10]]))</f>
        <v>0</v>
      </c>
      <c r="G52" s="3">
        <f>IF($B$2="(Todas)",COUNTIF(BASE[CODCIE104],GUIA_NACIONAL_2022_1106112113116117[[#This Row],[CIE-10]]),COUNTIFS(BASE[Cod.Establecimiento],$B$2,BASE[CODCIE104],GUIA_NACIONAL_2022_1106112113116117[[#This Row],[CIE-10]]))</f>
        <v>0</v>
      </c>
      <c r="H52" s="3">
        <f>IF($B$2="(Todas)",COUNTIF(BASE[CODCIE106],GUIA_NACIONAL_2022_1106112113116117[[#This Row],[CIE-10]]),COUNTIFS(BASE[Cod.Establecimiento],$B$2,BASE[CODCIE106],GUIA_NACIONAL_2022_1106112113116117[[#This Row],[CIE-10]]))</f>
        <v>0</v>
      </c>
      <c r="I52" s="3">
        <f>IF($B$2="(Todas)",COUNTIF(BASE[CODCIE108],GUIA_NACIONAL_2022_1106112113116117[[#This Row],[CIE-10]]),COUNTIFS(BASE[Cod.Establecimiento],$B$2,BASE[CODCIE108],GUIA_NACIONAL_2022_1106112113116117[[#This Row],[CIE-10]]))</f>
        <v>0</v>
      </c>
      <c r="J52" s="3">
        <f>IF($B$2="(Todas)",COUNTIF(BASE[CODCIE1010],GUIA_NACIONAL_2022_1106112113116117[[#This Row],[CIE-10]]),COUNTIFS(BASE[Cod.Establecimiento],$B$2,BASE[CODCIE1010],GUIA_NACIONAL_2022_1106112113116117[[#This Row],[CIE-10]]))</f>
        <v>0</v>
      </c>
      <c r="K52" s="9">
        <f>SUM(GUIA_NACIONAL_2022_1106112113116117[[#This Row],[D1]:[D6]])</f>
        <v>0</v>
      </c>
      <c r="V52" s="32" t="s">
        <v>112</v>
      </c>
      <c r="W52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2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2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2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2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2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2" s="9">
        <f>SUM(GUIA_NACIONAL_2022_1106128143146150152[[#This Row],[D1]:[D6]])</f>
        <v>0</v>
      </c>
    </row>
    <row r="53" spans="4:29">
      <c r="D53" s="141" t="s">
        <v>451</v>
      </c>
      <c r="E53" s="141"/>
      <c r="F53" s="141"/>
      <c r="G53" s="141"/>
      <c r="H53" s="141"/>
      <c r="I53" s="141"/>
      <c r="J53" s="141"/>
      <c r="K53" s="141"/>
      <c r="V53" s="140" t="s">
        <v>544</v>
      </c>
      <c r="W53" s="141"/>
      <c r="X53" s="141"/>
      <c r="Y53" s="141"/>
      <c r="Z53" s="141"/>
      <c r="AA53" s="141"/>
      <c r="AB53" s="141"/>
      <c r="AC53" s="141"/>
    </row>
    <row r="54" spans="4:29">
      <c r="D54" t="s">
        <v>93</v>
      </c>
      <c r="E54" s="3" t="s">
        <v>94</v>
      </c>
      <c r="F54" s="3" t="s">
        <v>95</v>
      </c>
      <c r="G54" s="3" t="s">
        <v>96</v>
      </c>
      <c r="H54" s="3" t="s">
        <v>97</v>
      </c>
      <c r="I54" s="3" t="s">
        <v>98</v>
      </c>
      <c r="J54" s="3" t="s">
        <v>99</v>
      </c>
      <c r="K54" s="8" t="s">
        <v>100</v>
      </c>
      <c r="V54" t="s">
        <v>93</v>
      </c>
      <c r="W54" s="3" t="s">
        <v>94</v>
      </c>
      <c r="X54" s="3" t="s">
        <v>95</v>
      </c>
      <c r="Y54" s="3" t="s">
        <v>96</v>
      </c>
      <c r="Z54" s="3" t="s">
        <v>97</v>
      </c>
      <c r="AA54" s="3" t="s">
        <v>98</v>
      </c>
      <c r="AB54" s="3" t="s">
        <v>99</v>
      </c>
      <c r="AC54" s="8" t="s">
        <v>100</v>
      </c>
    </row>
    <row r="55" spans="4:29">
      <c r="D55" s="4" t="s">
        <v>416</v>
      </c>
      <c r="E55" s="3">
        <f>IF($B$2="(Todas)",COUNTIF(BASE[CODCIE10],GUIA_NACIONAL_2022_1106112113116117118[[#This Row],[CIE-10]]),COUNTIFS(BASE[Cod.Establecimiento],$B$2,BASE[CODCIE10],GUIA_NACIONAL_2022_1106112113116117118[[#This Row],[CIE-10]]))</f>
        <v>0</v>
      </c>
      <c r="F55" s="3">
        <f>IF($B$2="(Todas)",COUNTIF(BASE[CODCIE102],GUIA_NACIONAL_2022_1106112113116117118[[#This Row],[CIE-10]]),COUNTIFS(BASE[Cod.Establecimiento],$B$2,BASE[CODCIE102],GUIA_NACIONAL_2022_1106112113116117118[[#This Row],[CIE-10]]))</f>
        <v>0</v>
      </c>
      <c r="G55" s="3">
        <f>IF($B$2="(Todas)",COUNTIF(BASE[CODCIE104],GUIA_NACIONAL_2022_1106112113116117118[[#This Row],[CIE-10]]),COUNTIFS(BASE[Cod.Establecimiento],$B$2,BASE[CODCIE104],GUIA_NACIONAL_2022_1106112113116117118[[#This Row],[CIE-10]]))</f>
        <v>0</v>
      </c>
      <c r="H55" s="3">
        <f>IF($B$2="(Todas)",COUNTIF(BASE[CODCIE106],GUIA_NACIONAL_2022_1106112113116117118[[#This Row],[CIE-10]]),COUNTIFS(BASE[Cod.Establecimiento],$B$2,BASE[CODCIE106],GUIA_NACIONAL_2022_1106112113116117118[[#This Row],[CIE-10]]))</f>
        <v>0</v>
      </c>
      <c r="I55" s="3">
        <f>IF($B$2="(Todas)",COUNTIF(BASE[CODCIE108],GUIA_NACIONAL_2022_1106112113116117118[[#This Row],[CIE-10]]),COUNTIFS(BASE[Cod.Establecimiento],$B$2,BASE[CODCIE108],GUIA_NACIONAL_2022_1106112113116117118[[#This Row],[CIE-10]]))</f>
        <v>0</v>
      </c>
      <c r="J55" s="3">
        <f>IF($B$2="(Todas)",COUNTIF(BASE[CODCIE1010],GUIA_NACIONAL_2022_1106112113116117118[[#This Row],[CIE-10]]),COUNTIFS(BASE[Cod.Establecimiento],$B$2,BASE[CODCIE1010],GUIA_NACIONAL_2022_1106112113116117118[[#This Row],[CIE-10]]))</f>
        <v>0</v>
      </c>
      <c r="K55" s="9">
        <f>SUM(GUIA_NACIONAL_2022_1106112113116117118[[#This Row],[D1]:[D6]])</f>
        <v>0</v>
      </c>
      <c r="V55" s="4" t="s">
        <v>115</v>
      </c>
      <c r="W55" s="3">
        <f>IF($B$2="(Todas)",COUNTIF(BASE[CODCIE10],GUIA_NACIONAL_2022_1106128143146150153[[#This Row],[CIE-10]]),COUNTIFS(BASE[Cod.Establecimiento],$B$2,BASE[CODCIE10],GUIA_NACIONAL_2022_1106128143146150153[[#This Row],[CIE-10]]))</f>
        <v>0</v>
      </c>
      <c r="X55" s="3">
        <f>IF($B$2="(Todas)",COUNTIF(BASE[CODCIE102],GUIA_NACIONAL_2022_1106128143146150153[[#This Row],[CIE-10]]),COUNTIFS(BASE[Cod.Establecimiento],$B$2,BASE[CODCIE102],GUIA_NACIONAL_2022_1106128143146150153[[#This Row],[CIE-10]]))</f>
        <v>0</v>
      </c>
      <c r="Y55" s="3">
        <f>IF($B$2="(Todas)",COUNTIF(BASE[CODCIE104],GUIA_NACIONAL_2022_1106128143146150153[[#This Row],[CIE-10]]),COUNTIFS(BASE[Cod.Establecimiento],$B$2,BASE[CODCIE104],GUIA_NACIONAL_2022_1106128143146150153[[#This Row],[CIE-10]]))</f>
        <v>0</v>
      </c>
      <c r="Z55" s="3">
        <f>IF($B$2="(Todas)",COUNTIF(BASE[CODCIE106],GUIA_NACIONAL_2022_1106128143146150153[[#This Row],[CIE-10]]),COUNTIFS(BASE[Cod.Establecimiento],$B$2,BASE[CODCIE106],GUIA_NACIONAL_2022_1106128143146150153[[#This Row],[CIE-10]]))</f>
        <v>0</v>
      </c>
      <c r="AA55" s="3">
        <f>IF($B$2="(Todas)",COUNTIF(BASE[CODCIE108],GUIA_NACIONAL_2022_1106128143146150153[[#This Row],[CIE-10]]),COUNTIFS(BASE[Cod.Establecimiento],$B$2,BASE[CODCIE108],GUIA_NACIONAL_2022_1106128143146150153[[#This Row],[CIE-10]]))</f>
        <v>0</v>
      </c>
      <c r="AB55" s="3">
        <f>IF($B$2="(Todas)",COUNTIF(BASE[CODCIE1010],GUIA_NACIONAL_2022_1106128143146150153[[#This Row],[CIE-10]]),COUNTIFS(BASE[Cod.Establecimiento],$B$2,BASE[CODCIE1010],GUIA_NACIONAL_2022_1106128143146150153[[#This Row],[CIE-10]]))</f>
        <v>0</v>
      </c>
      <c r="AC55" s="9">
        <f>SUM(GUIA_NACIONAL_2022_1106128143146150153[[#This Row],[D1]:[D6]])</f>
        <v>0</v>
      </c>
    </row>
    <row r="56" spans="4:29">
      <c r="D56" s="141" t="s">
        <v>452</v>
      </c>
      <c r="E56" s="141"/>
      <c r="F56" s="141"/>
      <c r="G56" s="141"/>
      <c r="H56" s="141"/>
      <c r="I56" s="141"/>
      <c r="J56" s="141"/>
      <c r="K56" s="141"/>
      <c r="V56" s="142" t="s">
        <v>545</v>
      </c>
      <c r="W56" s="142"/>
      <c r="X56" s="142"/>
      <c r="Y56" s="142"/>
      <c r="Z56" s="142"/>
      <c r="AA56" s="142"/>
      <c r="AB56" s="142"/>
      <c r="AC56" s="142"/>
    </row>
    <row r="57" spans="4:29">
      <c r="D57" t="s">
        <v>93</v>
      </c>
      <c r="E57" s="3" t="s">
        <v>94</v>
      </c>
      <c r="F57" s="3" t="s">
        <v>95</v>
      </c>
      <c r="G57" s="3" t="s">
        <v>96</v>
      </c>
      <c r="H57" s="3" t="s">
        <v>97</v>
      </c>
      <c r="I57" s="3" t="s">
        <v>98</v>
      </c>
      <c r="J57" s="3" t="s">
        <v>99</v>
      </c>
      <c r="K57" s="8" t="s">
        <v>100</v>
      </c>
      <c r="V57" s="140" t="s">
        <v>546</v>
      </c>
      <c r="W57" s="141"/>
      <c r="X57" s="141"/>
      <c r="Y57" s="141"/>
      <c r="Z57" s="141"/>
      <c r="AA57" s="141"/>
      <c r="AB57" s="141"/>
      <c r="AC57" s="141"/>
    </row>
    <row r="58" spans="4:29">
      <c r="D58" s="4" t="s">
        <v>417</v>
      </c>
      <c r="E58" s="3">
        <f>IF($B$2="(Todas)",COUNTIF(BASE[CODCIE10],GUIA_NACIONAL_2022_1106112113116117118119[[#This Row],[CIE-10]]),COUNTIFS(BASE[Cod.Establecimiento],$B$2,BASE[CODCIE10],GUIA_NACIONAL_2022_1106112113116117118119[[#This Row],[CIE-10]]))</f>
        <v>0</v>
      </c>
      <c r="F58" s="3">
        <f>IF($B$2="(Todas)",COUNTIF(BASE[CODCIE102],GUIA_NACIONAL_2022_1106112113116117118119[[#This Row],[CIE-10]]),COUNTIFS(BASE[Cod.Establecimiento],$B$2,BASE[CODCIE102],GUIA_NACIONAL_2022_1106112113116117118119[[#This Row],[CIE-10]]))</f>
        <v>0</v>
      </c>
      <c r="G58" s="3">
        <f>IF($B$2="(Todas)",COUNTIF(BASE[CODCIE104],GUIA_NACIONAL_2022_1106112113116117118119[[#This Row],[CIE-10]]),COUNTIFS(BASE[Cod.Establecimiento],$B$2,BASE[CODCIE104],GUIA_NACIONAL_2022_1106112113116117118119[[#This Row],[CIE-10]]))</f>
        <v>0</v>
      </c>
      <c r="H58" s="3">
        <f>IF($B$2="(Todas)",COUNTIF(BASE[CODCIE106],GUIA_NACIONAL_2022_1106112113116117118119[[#This Row],[CIE-10]]),COUNTIFS(BASE[Cod.Establecimiento],$B$2,BASE[CODCIE106],GUIA_NACIONAL_2022_1106112113116117118119[[#This Row],[CIE-10]]))</f>
        <v>0</v>
      </c>
      <c r="I58" s="3">
        <f>IF($B$2="(Todas)",COUNTIF(BASE[CODCIE108],GUIA_NACIONAL_2022_1106112113116117118119[[#This Row],[CIE-10]]),COUNTIFS(BASE[Cod.Establecimiento],$B$2,BASE[CODCIE108],GUIA_NACIONAL_2022_1106112113116117118119[[#This Row],[CIE-10]]))</f>
        <v>0</v>
      </c>
      <c r="J58" s="3">
        <f>IF($B$2="(Todas)",COUNTIF(BASE[CODCIE1010],GUIA_NACIONAL_2022_1106112113116117118119[[#This Row],[CIE-10]]),COUNTIFS(BASE[Cod.Establecimiento],$B$2,BASE[CODCIE1010],GUIA_NACIONAL_2022_1106112113116117118119[[#This Row],[CIE-10]]))</f>
        <v>0</v>
      </c>
      <c r="K58" s="9">
        <f>SUM(GUIA_NACIONAL_2022_1106112113116117118119[[#This Row],[D1]:[D6]])</f>
        <v>0</v>
      </c>
      <c r="V58" t="s">
        <v>93</v>
      </c>
      <c r="W58" s="3" t="s">
        <v>94</v>
      </c>
      <c r="X58" s="3" t="s">
        <v>95</v>
      </c>
      <c r="Y58" s="3" t="s">
        <v>96</v>
      </c>
      <c r="Z58" s="3" t="s">
        <v>97</v>
      </c>
      <c r="AA58" s="3" t="s">
        <v>98</v>
      </c>
      <c r="AB58" s="3" t="s">
        <v>99</v>
      </c>
      <c r="AC58" s="8" t="s">
        <v>100</v>
      </c>
    </row>
    <row r="59" spans="4:29">
      <c r="D59" s="141" t="s">
        <v>453</v>
      </c>
      <c r="E59" s="141"/>
      <c r="F59" s="141"/>
      <c r="G59" s="141"/>
      <c r="H59" s="141"/>
      <c r="I59" s="141"/>
      <c r="J59" s="141"/>
      <c r="K59" s="141"/>
      <c r="V59" s="4" t="s">
        <v>102</v>
      </c>
      <c r="W59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59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59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59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59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59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59" s="9">
        <f>SUM(GUIA_NACIONAL_2022_1106128143146150152154[[#This Row],[D1]:[D6]])</f>
        <v>0</v>
      </c>
    </row>
    <row r="60" spans="4:29">
      <c r="D60" t="s">
        <v>93</v>
      </c>
      <c r="E60" s="3" t="s">
        <v>94</v>
      </c>
      <c r="F60" s="3" t="s">
        <v>95</v>
      </c>
      <c r="G60" s="3" t="s">
        <v>96</v>
      </c>
      <c r="H60" s="3" t="s">
        <v>97</v>
      </c>
      <c r="I60" s="3" t="s">
        <v>98</v>
      </c>
      <c r="J60" s="3" t="s">
        <v>99</v>
      </c>
      <c r="K60" s="8" t="s">
        <v>100</v>
      </c>
      <c r="V60" s="32" t="s">
        <v>104</v>
      </c>
      <c r="W60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0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0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0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0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0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0" s="9">
        <f>SUM(GUIA_NACIONAL_2022_1106128143146150152154[[#This Row],[D1]:[D6]])</f>
        <v>0</v>
      </c>
    </row>
    <row r="61" spans="4:29">
      <c r="D61" s="4" t="s">
        <v>418</v>
      </c>
      <c r="E61" s="3">
        <f>IF($B$2="(Todas)",COUNTIF(BASE[CODCIE10],GUIA_NACIONAL_2022_1106112113116117118119120[[#This Row],[CIE-10]]),COUNTIFS(BASE[Cod.Establecimiento],$B$2,BASE[CODCIE10],GUIA_NACIONAL_2022_1106112113116117118119120[[#This Row],[CIE-10]]))</f>
        <v>0</v>
      </c>
      <c r="F61" s="3">
        <f>IF($B$2="(Todas)",COUNTIF(BASE[CODCIE102],GUIA_NACIONAL_2022_1106112113116117118119120[[#This Row],[CIE-10]]),COUNTIFS(BASE[Cod.Establecimiento],$B$2,BASE[CODCIE102],GUIA_NACIONAL_2022_1106112113116117118119120[[#This Row],[CIE-10]]))</f>
        <v>0</v>
      </c>
      <c r="G61" s="3">
        <f>IF($B$2="(Todas)",COUNTIF(BASE[CODCIE104],GUIA_NACIONAL_2022_1106112113116117118119120[[#This Row],[CIE-10]]),COUNTIFS(BASE[Cod.Establecimiento],$B$2,BASE[CODCIE104],GUIA_NACIONAL_2022_1106112113116117118119120[[#This Row],[CIE-10]]))</f>
        <v>0</v>
      </c>
      <c r="H61" s="3">
        <f>IF($B$2="(Todas)",COUNTIF(BASE[CODCIE106],GUIA_NACIONAL_2022_1106112113116117118119120[[#This Row],[CIE-10]]),COUNTIFS(BASE[Cod.Establecimiento],$B$2,BASE[CODCIE106],GUIA_NACIONAL_2022_1106112113116117118119120[[#This Row],[CIE-10]]))</f>
        <v>0</v>
      </c>
      <c r="I61" s="3">
        <f>IF($B$2="(Todas)",COUNTIF(BASE[CODCIE108],GUIA_NACIONAL_2022_1106112113116117118119120[[#This Row],[CIE-10]]),COUNTIFS(BASE[Cod.Establecimiento],$B$2,BASE[CODCIE108],GUIA_NACIONAL_2022_1106112113116117118119120[[#This Row],[CIE-10]]))</f>
        <v>0</v>
      </c>
      <c r="J61" s="3">
        <f>IF($B$2="(Todas)",COUNTIF(BASE[CODCIE1010],GUIA_NACIONAL_2022_1106112113116117118119120[[#This Row],[CIE-10]]),COUNTIFS(BASE[Cod.Establecimiento],$B$2,BASE[CODCIE1010],GUIA_NACIONAL_2022_1106112113116117118119120[[#This Row],[CIE-10]]))</f>
        <v>0</v>
      </c>
      <c r="K61" s="9">
        <f>SUM(GUIA_NACIONAL_2022_1106112113116117118119120[[#This Row],[D1]:[D6]])</f>
        <v>0</v>
      </c>
      <c r="V61" s="32" t="s">
        <v>106</v>
      </c>
      <c r="W61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1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1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1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1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1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1" s="9">
        <f>SUM(GUIA_NACIONAL_2022_1106128143146150152154[[#This Row],[D1]:[D6]])</f>
        <v>0</v>
      </c>
    </row>
    <row r="62" spans="4:29">
      <c r="D62" s="141" t="s">
        <v>454</v>
      </c>
      <c r="E62" s="141"/>
      <c r="F62" s="141"/>
      <c r="G62" s="141"/>
      <c r="H62" s="141"/>
      <c r="I62" s="141"/>
      <c r="J62" s="141"/>
      <c r="K62" s="141"/>
      <c r="V62" s="32" t="s">
        <v>84</v>
      </c>
      <c r="W62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2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2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2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2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2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2" s="9">
        <f>SUM(GUIA_NACIONAL_2022_1106128143146150152154[[#This Row],[D1]:[D6]])</f>
        <v>0</v>
      </c>
    </row>
    <row r="63" spans="4:29">
      <c r="D63" t="s">
        <v>93</v>
      </c>
      <c r="E63" s="3" t="s">
        <v>94</v>
      </c>
      <c r="F63" s="3" t="s">
        <v>95</v>
      </c>
      <c r="G63" s="3" t="s">
        <v>96</v>
      </c>
      <c r="H63" s="3" t="s">
        <v>97</v>
      </c>
      <c r="I63" s="3" t="s">
        <v>98</v>
      </c>
      <c r="J63" s="3" t="s">
        <v>99</v>
      </c>
      <c r="K63" s="8" t="s">
        <v>100</v>
      </c>
      <c r="V63" s="32" t="s">
        <v>110</v>
      </c>
      <c r="W63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3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3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3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3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3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3" s="9">
        <f>SUM(GUIA_NACIONAL_2022_1106128143146150152154[[#This Row],[D1]:[D6]])</f>
        <v>0</v>
      </c>
    </row>
    <row r="64" spans="4:29">
      <c r="D64" s="4" t="s">
        <v>419</v>
      </c>
      <c r="E64" s="3">
        <f>IF($B$2="(Todas)",COUNTIF(BASE[CODCIE10],GUIA_NACIONAL_2022_1106112113116117118119120121[[#This Row],[CIE-10]]),COUNTIFS(BASE[Cod.Establecimiento],$B$2,BASE[CODCIE10],GUIA_NACIONAL_2022_1106112113116117118119120121[[#This Row],[CIE-10]]))</f>
        <v>0</v>
      </c>
      <c r="F64" s="3">
        <f>IF($B$2="(Todas)",COUNTIF(BASE[CODCIE102],GUIA_NACIONAL_2022_1106112113116117118119120121[[#This Row],[CIE-10]]),COUNTIFS(BASE[Cod.Establecimiento],$B$2,BASE[CODCIE102],GUIA_NACIONAL_2022_1106112113116117118119120121[[#This Row],[CIE-10]]))</f>
        <v>0</v>
      </c>
      <c r="G64" s="3">
        <f>IF($B$2="(Todas)",COUNTIF(BASE[CODCIE104],GUIA_NACIONAL_2022_1106112113116117118119120121[[#This Row],[CIE-10]]),COUNTIFS(BASE[Cod.Establecimiento],$B$2,BASE[CODCIE104],GUIA_NACIONAL_2022_1106112113116117118119120121[[#This Row],[CIE-10]]))</f>
        <v>0</v>
      </c>
      <c r="H64" s="3">
        <f>IF($B$2="(Todas)",COUNTIF(BASE[CODCIE106],GUIA_NACIONAL_2022_1106112113116117118119120121[[#This Row],[CIE-10]]),COUNTIFS(BASE[Cod.Establecimiento],$B$2,BASE[CODCIE106],GUIA_NACIONAL_2022_1106112113116117118119120121[[#This Row],[CIE-10]]))</f>
        <v>0</v>
      </c>
      <c r="I64" s="3">
        <f>IF($B$2="(Todas)",COUNTIF(BASE[CODCIE108],GUIA_NACIONAL_2022_1106112113116117118119120121[[#This Row],[CIE-10]]),COUNTIFS(BASE[Cod.Establecimiento],$B$2,BASE[CODCIE108],GUIA_NACIONAL_2022_1106112113116117118119120121[[#This Row],[CIE-10]]))</f>
        <v>0</v>
      </c>
      <c r="J64" s="3">
        <f>IF($B$2="(Todas)",COUNTIF(BASE[CODCIE1010],GUIA_NACIONAL_2022_1106112113116117118119120121[[#This Row],[CIE-10]]),COUNTIFS(BASE[Cod.Establecimiento],$B$2,BASE[CODCIE1010],GUIA_NACIONAL_2022_1106112113116117118119120121[[#This Row],[CIE-10]]))</f>
        <v>0</v>
      </c>
      <c r="K64" s="9">
        <f>SUM(GUIA_NACIONAL_2022_1106112113116117118119120121[[#This Row],[D1]:[D6]])</f>
        <v>0</v>
      </c>
      <c r="V64" s="32" t="s">
        <v>113</v>
      </c>
      <c r="W64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4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4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4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4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4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4" s="9">
        <f>SUM(GUIA_NACIONAL_2022_1106128143146150152154[[#This Row],[D1]:[D6]])</f>
        <v>0</v>
      </c>
    </row>
    <row r="65" spans="4:29">
      <c r="D65" s="141" t="s">
        <v>455</v>
      </c>
      <c r="E65" s="141"/>
      <c r="F65" s="141"/>
      <c r="G65" s="141"/>
      <c r="H65" s="141"/>
      <c r="I65" s="141"/>
      <c r="J65" s="141"/>
      <c r="K65" s="141"/>
      <c r="V65" s="32" t="s">
        <v>116</v>
      </c>
      <c r="W65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5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5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5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5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5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5" s="9">
        <f>SUM(GUIA_NACIONAL_2022_1106128143146150152154[[#This Row],[D1]:[D6]])</f>
        <v>0</v>
      </c>
    </row>
    <row r="66" spans="4:29">
      <c r="D66" t="s">
        <v>93</v>
      </c>
      <c r="E66" s="3" t="s">
        <v>94</v>
      </c>
      <c r="F66" s="3" t="s">
        <v>95</v>
      </c>
      <c r="G66" s="3" t="s">
        <v>96</v>
      </c>
      <c r="H66" s="3" t="s">
        <v>97</v>
      </c>
      <c r="I66" s="3" t="s">
        <v>98</v>
      </c>
      <c r="J66" s="3" t="s">
        <v>99</v>
      </c>
      <c r="K66" s="8" t="s">
        <v>100</v>
      </c>
      <c r="V66" s="32" t="s">
        <v>118</v>
      </c>
      <c r="W66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6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6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6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6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6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6" s="9">
        <f>SUM(GUIA_NACIONAL_2022_1106128143146150152154[[#This Row],[D1]:[D6]])</f>
        <v>0</v>
      </c>
    </row>
    <row r="67" spans="4:29">
      <c r="D67" s="4" t="s">
        <v>420</v>
      </c>
      <c r="E67" s="3">
        <f>IF($B$2="(Todas)",COUNTIF(BASE[CODCIE10],GUIA_NACIONAL_2022_1106112113116117118119120121122[[#This Row],[CIE-10]]),COUNTIFS(BASE[Cod.Establecimiento],$B$2,BASE[CODCIE10],GUIA_NACIONAL_2022_1106112113116117118119120121122[[#This Row],[CIE-10]]))</f>
        <v>0</v>
      </c>
      <c r="F67" s="3">
        <f>IF($B$2="(Todas)",COUNTIF(BASE[CODCIE102],GUIA_NACIONAL_2022_1106112113116117118119120121122[[#This Row],[CIE-10]]),COUNTIFS(BASE[Cod.Establecimiento],$B$2,BASE[CODCIE102],GUIA_NACIONAL_2022_1106112113116117118119120121122[[#This Row],[CIE-10]]))</f>
        <v>0</v>
      </c>
      <c r="G67" s="3">
        <f>IF($B$2="(Todas)",COUNTIF(BASE[CODCIE104],GUIA_NACIONAL_2022_1106112113116117118119120121122[[#This Row],[CIE-10]]),COUNTIFS(BASE[Cod.Establecimiento],$B$2,BASE[CODCIE104],GUIA_NACIONAL_2022_1106112113116117118119120121122[[#This Row],[CIE-10]]))</f>
        <v>0</v>
      </c>
      <c r="H67" s="3">
        <f>IF($B$2="(Todas)",COUNTIF(BASE[CODCIE106],GUIA_NACIONAL_2022_1106112113116117118119120121122[[#This Row],[CIE-10]]),COUNTIFS(BASE[Cod.Establecimiento],$B$2,BASE[CODCIE106],GUIA_NACIONAL_2022_1106112113116117118119120121122[[#This Row],[CIE-10]]))</f>
        <v>0</v>
      </c>
      <c r="I67" s="3">
        <f>IF($B$2="(Todas)",COUNTIF(BASE[CODCIE108],GUIA_NACIONAL_2022_1106112113116117118119120121122[[#This Row],[CIE-10]]),COUNTIFS(BASE[Cod.Establecimiento],$B$2,BASE[CODCIE108],GUIA_NACIONAL_2022_1106112113116117118119120121122[[#This Row],[CIE-10]]))</f>
        <v>0</v>
      </c>
      <c r="J67" s="3">
        <f>IF($B$2="(Todas)",COUNTIF(BASE[CODCIE1010],GUIA_NACIONAL_2022_1106112113116117118119120121122[[#This Row],[CIE-10]]),COUNTIFS(BASE[Cod.Establecimiento],$B$2,BASE[CODCIE1010],GUIA_NACIONAL_2022_1106112113116117118119120121122[[#This Row],[CIE-10]]))</f>
        <v>0</v>
      </c>
      <c r="K67" s="9">
        <f>SUM(GUIA_NACIONAL_2022_1106112113116117118119120121122[[#This Row],[D1]:[D6]])</f>
        <v>0</v>
      </c>
      <c r="V67" s="140" t="s">
        <v>547</v>
      </c>
      <c r="W67" s="141"/>
      <c r="X67" s="141"/>
      <c r="Y67" s="141"/>
      <c r="Z67" s="141"/>
      <c r="AA67" s="141"/>
      <c r="AB67" s="141"/>
      <c r="AC67" s="141"/>
    </row>
    <row r="68" spans="4:29">
      <c r="D68" s="141" t="s">
        <v>456</v>
      </c>
      <c r="E68" s="141"/>
      <c r="F68" s="141"/>
      <c r="G68" s="141"/>
      <c r="H68" s="141"/>
      <c r="I68" s="141"/>
      <c r="J68" s="141"/>
      <c r="K68" s="141"/>
      <c r="V68" t="s">
        <v>93</v>
      </c>
      <c r="W68" s="3" t="s">
        <v>94</v>
      </c>
      <c r="X68" s="3" t="s">
        <v>95</v>
      </c>
      <c r="Y68" s="3" t="s">
        <v>96</v>
      </c>
      <c r="Z68" s="3" t="s">
        <v>97</v>
      </c>
      <c r="AA68" s="3" t="s">
        <v>98</v>
      </c>
      <c r="AB68" s="3" t="s">
        <v>99</v>
      </c>
      <c r="AC68" s="8" t="s">
        <v>100</v>
      </c>
    </row>
    <row r="69" spans="4:29">
      <c r="D69" t="s">
        <v>93</v>
      </c>
      <c r="E69" s="3" t="s">
        <v>94</v>
      </c>
      <c r="F69" s="3" t="s">
        <v>95</v>
      </c>
      <c r="G69" s="3" t="s">
        <v>96</v>
      </c>
      <c r="H69" s="3" t="s">
        <v>97</v>
      </c>
      <c r="I69" s="3" t="s">
        <v>98</v>
      </c>
      <c r="J69" s="3" t="s">
        <v>99</v>
      </c>
      <c r="K69" s="8" t="s">
        <v>100</v>
      </c>
      <c r="V69" s="4" t="s">
        <v>120</v>
      </c>
      <c r="W69" s="3">
        <f>IF($B$2="(Todas)",COUNTIF(BASE[CODCIE10],GUIA_NACIONAL_2022_1106128143146150152154155[[#This Row],[CIE-10]]),COUNTIFS(BASE[Cod.Establecimiento],$B$2,BASE[CODCIE10],GUIA_NACIONAL_2022_1106128143146150152154155[[#This Row],[CIE-10]]))</f>
        <v>0</v>
      </c>
      <c r="X69" s="3">
        <f>IF($B$2="(Todas)",COUNTIF(BASE[CODCIE102],GUIA_NACIONAL_2022_1106128143146150152154155[[#This Row],[CIE-10]]),COUNTIFS(BASE[Cod.Establecimiento],$B$2,BASE[CODCIE102],GUIA_NACIONAL_2022_1106128143146150152154155[[#This Row],[CIE-10]]))</f>
        <v>0</v>
      </c>
      <c r="Y69" s="3">
        <f>IF($B$2="(Todas)",COUNTIF(BASE[CODCIE104],GUIA_NACIONAL_2022_1106128143146150152154155[[#This Row],[CIE-10]]),COUNTIFS(BASE[Cod.Establecimiento],$B$2,BASE[CODCIE104],GUIA_NACIONAL_2022_1106128143146150152154155[[#This Row],[CIE-10]]))</f>
        <v>0</v>
      </c>
      <c r="Z69" s="3">
        <f>IF($B$2="(Todas)",COUNTIF(BASE[CODCIE106],GUIA_NACIONAL_2022_1106128143146150152154155[[#This Row],[CIE-10]]),COUNTIFS(BASE[Cod.Establecimiento],$B$2,BASE[CODCIE106],GUIA_NACIONAL_2022_1106128143146150152154155[[#This Row],[CIE-10]]))</f>
        <v>0</v>
      </c>
      <c r="AA69" s="3">
        <f>IF($B$2="(Todas)",COUNTIF(BASE[CODCIE108],GUIA_NACIONAL_2022_1106128143146150152154155[[#This Row],[CIE-10]]),COUNTIFS(BASE[Cod.Establecimiento],$B$2,BASE[CODCIE108],GUIA_NACIONAL_2022_1106128143146150152154155[[#This Row],[CIE-10]]))</f>
        <v>0</v>
      </c>
      <c r="AB69" s="3">
        <f>IF($B$2="(Todas)",COUNTIF(BASE[CODCIE1010],GUIA_NACIONAL_2022_1106128143146150152154155[[#This Row],[CIE-10]]),COUNTIFS(BASE[Cod.Establecimiento],$B$2,BASE[CODCIE1010],GUIA_NACIONAL_2022_1106128143146150152154155[[#This Row],[CIE-10]]))</f>
        <v>0</v>
      </c>
      <c r="AC69" s="9">
        <f>SUM(GUIA_NACIONAL_2022_1106128143146150152154155[[#This Row],[D1]:[D6]])</f>
        <v>0</v>
      </c>
    </row>
    <row r="70" spans="4:29">
      <c r="D70" s="4" t="s">
        <v>457</v>
      </c>
      <c r="E70" s="3">
        <f>IF($B$2="(Todas)",COUNTIF(BASE[CODCIE10],GUIA_NACIONAL_2022_1106112113116117118119120121122123[[#This Row],[CIE-10]]),COUNTIFS(BASE[Cod.Establecimiento],$B$2,BASE[CODCIE10],GUIA_NACIONAL_2022_1106112113116117118119120121122123[[#This Row],[CIE-10]]))</f>
        <v>0</v>
      </c>
      <c r="F70" s="3">
        <f>IF($B$2="(Todas)",COUNTIF(BASE[CODCIE102],GUIA_NACIONAL_2022_1106112113116117118119120121122123[[#This Row],[CIE-10]]),COUNTIFS(BASE[Cod.Establecimiento],$B$2,BASE[CODCIE102],GUIA_NACIONAL_2022_1106112113116117118119120121122123[[#This Row],[CIE-10]]))</f>
        <v>0</v>
      </c>
      <c r="G70" s="3">
        <f>IF($B$2="(Todas)",COUNTIF(BASE[CODCIE104],GUIA_NACIONAL_2022_1106112113116117118119120121122123[[#This Row],[CIE-10]]),COUNTIFS(BASE[Cod.Establecimiento],$B$2,BASE[CODCIE104],GUIA_NACIONAL_2022_1106112113116117118119120121122123[[#This Row],[CIE-10]]))</f>
        <v>0</v>
      </c>
      <c r="H70" s="3">
        <f>IF($B$2="(Todas)",COUNTIF(BASE[CODCIE106],GUIA_NACIONAL_2022_1106112113116117118119120121122123[[#This Row],[CIE-10]]),COUNTIFS(BASE[Cod.Establecimiento],$B$2,BASE[CODCIE106],GUIA_NACIONAL_2022_1106112113116117118119120121122123[[#This Row],[CIE-10]]))</f>
        <v>0</v>
      </c>
      <c r="I70" s="3">
        <f>IF($B$2="(Todas)",COUNTIF(BASE[CODCIE108],GUIA_NACIONAL_2022_1106112113116117118119120121122123[[#This Row],[CIE-10]]),COUNTIFS(BASE[Cod.Establecimiento],$B$2,BASE[CODCIE108],GUIA_NACIONAL_2022_1106112113116117118119120121122123[[#This Row],[CIE-10]]))</f>
        <v>0</v>
      </c>
      <c r="J70" s="3">
        <f>IF($B$2="(Todas)",COUNTIF(BASE[CODCIE1010],GUIA_NACIONAL_2022_1106112113116117118119120121122123[[#This Row],[CIE-10]]),COUNTIFS(BASE[Cod.Establecimiento],$B$2,BASE[CODCIE1010],GUIA_NACIONAL_2022_1106112113116117118119120121122123[[#This Row],[CIE-10]]))</f>
        <v>0</v>
      </c>
      <c r="K70" s="9">
        <f>SUM(GUIA_NACIONAL_2022_1106112113116117118119120121122123[[#This Row],[D1]:[D6]])</f>
        <v>0</v>
      </c>
      <c r="V70" s="140" t="s">
        <v>548</v>
      </c>
      <c r="W70" s="141"/>
      <c r="X70" s="141"/>
      <c r="Y70" s="141"/>
      <c r="Z70" s="141"/>
      <c r="AA70" s="141"/>
      <c r="AB70" s="141"/>
      <c r="AC70" s="141"/>
    </row>
    <row r="71" spans="4:29">
      <c r="D71" s="141" t="s">
        <v>458</v>
      </c>
      <c r="E71" s="141"/>
      <c r="F71" s="141"/>
      <c r="G71" s="141"/>
      <c r="H71" s="141"/>
      <c r="I71" s="141"/>
      <c r="J71" s="141"/>
      <c r="K71" s="141"/>
      <c r="V71" t="s">
        <v>93</v>
      </c>
      <c r="W71" s="3" t="s">
        <v>94</v>
      </c>
      <c r="X71" s="3" t="s">
        <v>95</v>
      </c>
      <c r="Y71" s="3" t="s">
        <v>96</v>
      </c>
      <c r="Z71" s="3" t="s">
        <v>97</v>
      </c>
      <c r="AA71" s="3" t="s">
        <v>98</v>
      </c>
      <c r="AB71" s="3" t="s">
        <v>99</v>
      </c>
      <c r="AC71" s="8" t="s">
        <v>100</v>
      </c>
    </row>
    <row r="72" spans="4:29">
      <c r="D72" t="s">
        <v>93</v>
      </c>
      <c r="E72" s="3" t="s">
        <v>94</v>
      </c>
      <c r="F72" s="3" t="s">
        <v>95</v>
      </c>
      <c r="G72" s="3" t="s">
        <v>96</v>
      </c>
      <c r="H72" s="3" t="s">
        <v>97</v>
      </c>
      <c r="I72" s="3" t="s">
        <v>98</v>
      </c>
      <c r="J72" s="3" t="s">
        <v>99</v>
      </c>
      <c r="K72" s="8" t="s">
        <v>100</v>
      </c>
      <c r="V72" s="4" t="s">
        <v>120</v>
      </c>
      <c r="W72" s="3">
        <f>IF($B$2="(Todas)",COUNTIF(BASE[CODCIE10],GUIA_NACIONAL_2022_1106128143146150153156[[#This Row],[CIE-10]]),COUNTIFS(BASE[Cod.Establecimiento],$B$2,BASE[CODCIE10],GUIA_NACIONAL_2022_1106128143146150153156[[#This Row],[CIE-10]]))</f>
        <v>0</v>
      </c>
      <c r="X72" s="3">
        <f>IF($B$2="(Todas)",COUNTIF(BASE[CODCIE102],GUIA_NACIONAL_2022_1106128143146150153156[[#This Row],[CIE-10]]),COUNTIFS(BASE[Cod.Establecimiento],$B$2,BASE[CODCIE102],GUIA_NACIONAL_2022_1106128143146150153156[[#This Row],[CIE-10]]))</f>
        <v>0</v>
      </c>
      <c r="Y72" s="3">
        <f>IF($B$2="(Todas)",COUNTIF(BASE[CODCIE104],GUIA_NACIONAL_2022_1106128143146150153156[[#This Row],[CIE-10]]),COUNTIFS(BASE[Cod.Establecimiento],$B$2,BASE[CODCIE104],GUIA_NACIONAL_2022_1106128143146150153156[[#This Row],[CIE-10]]))</f>
        <v>0</v>
      </c>
      <c r="Z72" s="3">
        <f>IF($B$2="(Todas)",COUNTIF(BASE[CODCIE106],GUIA_NACIONAL_2022_1106128143146150153156[[#This Row],[CIE-10]]),COUNTIFS(BASE[Cod.Establecimiento],$B$2,BASE[CODCIE106],GUIA_NACIONAL_2022_1106128143146150153156[[#This Row],[CIE-10]]))</f>
        <v>0</v>
      </c>
      <c r="AA72" s="3">
        <f>IF($B$2="(Todas)",COUNTIF(BASE[CODCIE108],GUIA_NACIONAL_2022_1106128143146150153156[[#This Row],[CIE-10]]),COUNTIFS(BASE[Cod.Establecimiento],$B$2,BASE[CODCIE108],GUIA_NACIONAL_2022_1106128143146150153156[[#This Row],[CIE-10]]))</f>
        <v>0</v>
      </c>
      <c r="AB72" s="3">
        <f>IF($B$2="(Todas)",COUNTIF(BASE[CODCIE1010],GUIA_NACIONAL_2022_1106128143146150153156[[#This Row],[CIE-10]]),COUNTIFS(BASE[Cod.Establecimiento],$B$2,BASE[CODCIE1010],GUIA_NACIONAL_2022_1106128143146150153156[[#This Row],[CIE-10]]))</f>
        <v>0</v>
      </c>
      <c r="AC72" s="9">
        <f>SUM(GUIA_NACIONAL_2022_1106128143146150153156[[#This Row],[D1]:[D6]])</f>
        <v>0</v>
      </c>
    </row>
    <row r="73" spans="4:29">
      <c r="D73" s="4" t="s">
        <v>459</v>
      </c>
      <c r="E73" s="3">
        <f>IF($B$2="(Todas)",COUNTIF(BASE[CODCIE10],GUIA_NACIONAL_2022_1106112113116117118119120121122123124[[#This Row],[CIE-10]]),COUNTIFS(BASE[Cod.Establecimiento],$B$2,BASE[CODCIE10],GUIA_NACIONAL_2022_1106112113116117118119120121122123124[[#This Row],[CIE-10]]))</f>
        <v>0</v>
      </c>
      <c r="F73" s="3">
        <f>IF($B$2="(Todas)",COUNTIF(BASE[CODCIE102],GUIA_NACIONAL_2022_1106112113116117118119120121122123124[[#This Row],[CIE-10]]),COUNTIFS(BASE[Cod.Establecimiento],$B$2,BASE[CODCIE102],GUIA_NACIONAL_2022_1106112113116117118119120121122123124[[#This Row],[CIE-10]]))</f>
        <v>0</v>
      </c>
      <c r="G73" s="3">
        <f>IF($B$2="(Todas)",COUNTIF(BASE[CODCIE104],GUIA_NACIONAL_2022_1106112113116117118119120121122123124[[#This Row],[CIE-10]]),COUNTIFS(BASE[Cod.Establecimiento],$B$2,BASE[CODCIE104],GUIA_NACIONAL_2022_1106112113116117118119120121122123124[[#This Row],[CIE-10]]))</f>
        <v>0</v>
      </c>
      <c r="H73" s="3">
        <f>IF($B$2="(Todas)",COUNTIF(BASE[CODCIE106],GUIA_NACIONAL_2022_1106112113116117118119120121122123124[[#This Row],[CIE-10]]),COUNTIFS(BASE[Cod.Establecimiento],$B$2,BASE[CODCIE106],GUIA_NACIONAL_2022_1106112113116117118119120121122123124[[#This Row],[CIE-10]]))</f>
        <v>0</v>
      </c>
      <c r="I73" s="3">
        <f>IF($B$2="(Todas)",COUNTIF(BASE[CODCIE108],GUIA_NACIONAL_2022_1106112113116117118119120121122123124[[#This Row],[CIE-10]]),COUNTIFS(BASE[Cod.Establecimiento],$B$2,BASE[CODCIE108],GUIA_NACIONAL_2022_1106112113116117118119120121122123124[[#This Row],[CIE-10]]))</f>
        <v>0</v>
      </c>
      <c r="J73" s="3">
        <f>IF($B$2="(Todas)",COUNTIF(BASE[CODCIE1010],GUIA_NACIONAL_2022_1106112113116117118119120121122123124[[#This Row],[CIE-10]]),COUNTIFS(BASE[Cod.Establecimiento],$B$2,BASE[CODCIE1010],GUIA_NACIONAL_2022_1106112113116117118119120121122123124[[#This Row],[CIE-10]]))</f>
        <v>0</v>
      </c>
      <c r="K73" s="9">
        <f>SUM(GUIA_NACIONAL_2022_1106112113116117118119120121122123124[[#This Row],[D1]:[D6]])</f>
        <v>0</v>
      </c>
    </row>
    <row r="74" spans="4:29">
      <c r="D74" s="141" t="s">
        <v>460</v>
      </c>
      <c r="E74" s="141"/>
      <c r="F74" s="141"/>
      <c r="G74" s="141"/>
      <c r="H74" s="141"/>
      <c r="I74" s="141"/>
      <c r="J74" s="141"/>
      <c r="K74" s="141"/>
    </row>
    <row r="75" spans="4:29">
      <c r="D75" t="s">
        <v>93</v>
      </c>
      <c r="E75" s="3" t="s">
        <v>94</v>
      </c>
      <c r="F75" s="3" t="s">
        <v>95</v>
      </c>
      <c r="G75" s="3" t="s">
        <v>96</v>
      </c>
      <c r="H75" s="3" t="s">
        <v>97</v>
      </c>
      <c r="I75" s="3" t="s">
        <v>98</v>
      </c>
      <c r="J75" s="3" t="s">
        <v>99</v>
      </c>
      <c r="K75" s="8" t="s">
        <v>100</v>
      </c>
    </row>
    <row r="76" spans="4:29">
      <c r="D76" s="4" t="s">
        <v>461</v>
      </c>
      <c r="E76" s="3">
        <f>IF($B$2="(Todas)",COUNTIF(BASE[CODCIE10],GUIA_NACIONAL_2022_1106112113116117118119120121122123124125[[#This Row],[CIE-10]]),COUNTIFS(BASE[Cod.Establecimiento],$B$2,BASE[CODCIE10],GUIA_NACIONAL_2022_1106112113116117118119120121122123124125[[#This Row],[CIE-10]]))</f>
        <v>0</v>
      </c>
      <c r="F76" s="3">
        <f>IF($B$2="(Todas)",COUNTIF(BASE[CODCIE102],GUIA_NACIONAL_2022_1106112113116117118119120121122123124125[[#This Row],[CIE-10]]),COUNTIFS(BASE[Cod.Establecimiento],$B$2,BASE[CODCIE102],GUIA_NACIONAL_2022_1106112113116117118119120121122123124125[[#This Row],[CIE-10]]))</f>
        <v>0</v>
      </c>
      <c r="G76" s="3">
        <f>IF($B$2="(Todas)",COUNTIF(BASE[CODCIE104],GUIA_NACIONAL_2022_1106112113116117118119120121122123124125[[#This Row],[CIE-10]]),COUNTIFS(BASE[Cod.Establecimiento],$B$2,BASE[CODCIE104],GUIA_NACIONAL_2022_1106112113116117118119120121122123124125[[#This Row],[CIE-10]]))</f>
        <v>0</v>
      </c>
      <c r="H76" s="3">
        <f>IF($B$2="(Todas)",COUNTIF(BASE[CODCIE106],GUIA_NACIONAL_2022_1106112113116117118119120121122123124125[[#This Row],[CIE-10]]),COUNTIFS(BASE[Cod.Establecimiento],$B$2,BASE[CODCIE106],GUIA_NACIONAL_2022_1106112113116117118119120121122123124125[[#This Row],[CIE-10]]))</f>
        <v>0</v>
      </c>
      <c r="I76" s="3">
        <f>IF($B$2="(Todas)",COUNTIF(BASE[CODCIE108],GUIA_NACIONAL_2022_1106112113116117118119120121122123124125[[#This Row],[CIE-10]]),COUNTIFS(BASE[Cod.Establecimiento],$B$2,BASE[CODCIE108],GUIA_NACIONAL_2022_1106112113116117118119120121122123124125[[#This Row],[CIE-10]]))</f>
        <v>0</v>
      </c>
      <c r="J76" s="3">
        <f>IF($B$2="(Todas)",COUNTIF(BASE[CODCIE1010],GUIA_NACIONAL_2022_1106112113116117118119120121122123124125[[#This Row],[CIE-10]]),COUNTIFS(BASE[Cod.Establecimiento],$B$2,BASE[CODCIE1010],GUIA_NACIONAL_2022_1106112113116117118119120121122123124125[[#This Row],[CIE-10]]))</f>
        <v>0</v>
      </c>
      <c r="K76" s="9">
        <f>SUM(GUIA_NACIONAL_2022_1106112113116117118119120121122123124125[[#This Row],[D1]:[D6]])</f>
        <v>0</v>
      </c>
    </row>
    <row r="77" spans="4:29">
      <c r="D77" s="141" t="s">
        <v>462</v>
      </c>
      <c r="E77" s="141"/>
      <c r="F77" s="141"/>
      <c r="G77" s="141"/>
      <c r="H77" s="141"/>
      <c r="I77" s="141"/>
      <c r="J77" s="141"/>
      <c r="K77" s="141"/>
    </row>
    <row r="78" spans="4:29">
      <c r="D78" t="s">
        <v>93</v>
      </c>
      <c r="E78" s="3" t="s">
        <v>94</v>
      </c>
      <c r="F78" s="3" t="s">
        <v>95</v>
      </c>
      <c r="G78" s="3" t="s">
        <v>96</v>
      </c>
      <c r="H78" s="3" t="s">
        <v>97</v>
      </c>
      <c r="I78" s="3" t="s">
        <v>98</v>
      </c>
      <c r="J78" s="3" t="s">
        <v>99</v>
      </c>
      <c r="K78" s="8" t="s">
        <v>100</v>
      </c>
    </row>
    <row r="79" spans="4:29">
      <c r="D79" s="4" t="s">
        <v>463</v>
      </c>
      <c r="E79" s="3">
        <f>IF($B$2="(Todas)",COUNTIF(BASE[CODCIE10],GUIA_NACIONAL_2022_1106112113116117118119120121122123124125126[[#This Row],[CIE-10]]),COUNTIFS(BASE[Cod.Establecimiento],$B$2,BASE[CODCIE10],GUIA_NACIONAL_2022_1106112113116117118119120121122123124125126[[#This Row],[CIE-10]]))</f>
        <v>0</v>
      </c>
      <c r="F79" s="3">
        <f>IF($B$2="(Todas)",COUNTIF(BASE[CODCIE102],GUIA_NACIONAL_2022_1106112113116117118119120121122123124125126[[#This Row],[CIE-10]]),COUNTIFS(BASE[Cod.Establecimiento],$B$2,BASE[CODCIE102],GUIA_NACIONAL_2022_1106112113116117118119120121122123124125126[[#This Row],[CIE-10]]))</f>
        <v>0</v>
      </c>
      <c r="G79" s="3">
        <f>IF($B$2="(Todas)",COUNTIF(BASE[CODCIE104],GUIA_NACIONAL_2022_1106112113116117118119120121122123124125126[[#This Row],[CIE-10]]),COUNTIFS(BASE[Cod.Establecimiento],$B$2,BASE[CODCIE104],GUIA_NACIONAL_2022_1106112113116117118119120121122123124125126[[#This Row],[CIE-10]]))</f>
        <v>0</v>
      </c>
      <c r="H79" s="3">
        <f>IF($B$2="(Todas)",COUNTIF(BASE[CODCIE106],GUIA_NACIONAL_2022_1106112113116117118119120121122123124125126[[#This Row],[CIE-10]]),COUNTIFS(BASE[Cod.Establecimiento],$B$2,BASE[CODCIE106],GUIA_NACIONAL_2022_1106112113116117118119120121122123124125126[[#This Row],[CIE-10]]))</f>
        <v>0</v>
      </c>
      <c r="I79" s="3">
        <f>IF($B$2="(Todas)",COUNTIF(BASE[CODCIE108],GUIA_NACIONAL_2022_1106112113116117118119120121122123124125126[[#This Row],[CIE-10]]),COUNTIFS(BASE[Cod.Establecimiento],$B$2,BASE[CODCIE108],GUIA_NACIONAL_2022_1106112113116117118119120121122123124125126[[#This Row],[CIE-10]]))</f>
        <v>0</v>
      </c>
      <c r="J79" s="3">
        <f>IF($B$2="(Todas)",COUNTIF(BASE[CODCIE1010],GUIA_NACIONAL_2022_1106112113116117118119120121122123124125126[[#This Row],[CIE-10]]),COUNTIFS(BASE[Cod.Establecimiento],$B$2,BASE[CODCIE1010],GUIA_NACIONAL_2022_1106112113116117118119120121122123124125126[[#This Row],[CIE-10]]))</f>
        <v>0</v>
      </c>
      <c r="K79" s="9">
        <f>SUM(GUIA_NACIONAL_2022_1106112113116117118119120121122123124125126[[#This Row],[D1]:[D6]])</f>
        <v>0</v>
      </c>
    </row>
  </sheetData>
  <mergeCells count="89">
    <mergeCell ref="DZ1:EG1"/>
    <mergeCell ref="DZ2:EG2"/>
    <mergeCell ref="DZ3:EG3"/>
    <mergeCell ref="DH1:DO1"/>
    <mergeCell ref="DH2:DO2"/>
    <mergeCell ref="DH3:DO3"/>
    <mergeCell ref="DQ1:DX1"/>
    <mergeCell ref="DQ2:DX2"/>
    <mergeCell ref="DQ3:DX3"/>
    <mergeCell ref="CP1:CW1"/>
    <mergeCell ref="CP2:CW2"/>
    <mergeCell ref="CP3:CW3"/>
    <mergeCell ref="CY1:DF1"/>
    <mergeCell ref="CY2:DF2"/>
    <mergeCell ref="CY3:DF3"/>
    <mergeCell ref="BX3:CE3"/>
    <mergeCell ref="BX2:CE2"/>
    <mergeCell ref="BX1:CE1"/>
    <mergeCell ref="CG1:CN1"/>
    <mergeCell ref="CG2:CN2"/>
    <mergeCell ref="CG3:CN3"/>
    <mergeCell ref="BO1:BV1"/>
    <mergeCell ref="BO2:BV2"/>
    <mergeCell ref="BO3:BV3"/>
    <mergeCell ref="AW1:BD1"/>
    <mergeCell ref="AW2:BD2"/>
    <mergeCell ref="AW3:BD3"/>
    <mergeCell ref="BF1:BM1"/>
    <mergeCell ref="BF2:BM2"/>
    <mergeCell ref="BF3:BM3"/>
    <mergeCell ref="AE1:AL1"/>
    <mergeCell ref="AE2:AL2"/>
    <mergeCell ref="AE3:AL3"/>
    <mergeCell ref="AN1:AU1"/>
    <mergeCell ref="AN2:AU2"/>
    <mergeCell ref="AN3:AU3"/>
    <mergeCell ref="A7:B35"/>
    <mergeCell ref="D11:K11"/>
    <mergeCell ref="D28:K28"/>
    <mergeCell ref="D36:K36"/>
    <mergeCell ref="A1:B1"/>
    <mergeCell ref="D3:K3"/>
    <mergeCell ref="D1:K1"/>
    <mergeCell ref="D2:K2"/>
    <mergeCell ref="V1:AC1"/>
    <mergeCell ref="V2:AC2"/>
    <mergeCell ref="V3:AC3"/>
    <mergeCell ref="D56:K56"/>
    <mergeCell ref="D59:K59"/>
    <mergeCell ref="D53:K53"/>
    <mergeCell ref="D39:K39"/>
    <mergeCell ref="D42:K42"/>
    <mergeCell ref="D46:K46"/>
    <mergeCell ref="D47:K47"/>
    <mergeCell ref="D50:K50"/>
    <mergeCell ref="M3:T3"/>
    <mergeCell ref="V6:AC6"/>
    <mergeCell ref="V9:AC9"/>
    <mergeCell ref="V14:AC14"/>
    <mergeCell ref="V15:AC15"/>
    <mergeCell ref="D74:K74"/>
    <mergeCell ref="D77:K77"/>
    <mergeCell ref="M1:T1"/>
    <mergeCell ref="M2:T2"/>
    <mergeCell ref="M7:T7"/>
    <mergeCell ref="D62:K62"/>
    <mergeCell ref="D65:K65"/>
    <mergeCell ref="D68:K68"/>
    <mergeCell ref="D71:K71"/>
    <mergeCell ref="M11:T11"/>
    <mergeCell ref="M14:T14"/>
    <mergeCell ref="M17:T17"/>
    <mergeCell ref="M20:T20"/>
    <mergeCell ref="M23:T23"/>
    <mergeCell ref="M28:T28"/>
    <mergeCell ref="M34:T34"/>
    <mergeCell ref="V18:AC18"/>
    <mergeCell ref="V23:AC23"/>
    <mergeCell ref="V30:AC30"/>
    <mergeCell ref="V33:AC33"/>
    <mergeCell ref="V34:AC34"/>
    <mergeCell ref="V57:AC57"/>
    <mergeCell ref="V67:AC67"/>
    <mergeCell ref="V70:AC70"/>
    <mergeCell ref="V37:AC37"/>
    <mergeCell ref="V44:AC44"/>
    <mergeCell ref="V45:AC45"/>
    <mergeCell ref="V53:AC53"/>
    <mergeCell ref="V56:AC56"/>
  </mergeCells>
  <phoneticPr fontId="29" type="noConversion"/>
  <conditionalFormatting sqref="A3">
    <cfRule type="cellIs" dxfId="36" priority="55" operator="greaterThan">
      <formula>0</formula>
    </cfRule>
  </conditionalFormatting>
  <conditionalFormatting sqref="E5:K10 E13:K27 E30:K35 E38:K38 E41:K41 E44:K45 E49:K49 E52:K52 E55:K55 E58:K58 E61:K61 E64:K64 E67:K67 E70:K70 E73:K73 E76:K76 E79:K79">
    <cfRule type="cellIs" dxfId="35" priority="36" operator="greaterThan">
      <formula>0</formula>
    </cfRule>
  </conditionalFormatting>
  <conditionalFormatting sqref="N5:T6">
    <cfRule type="cellIs" dxfId="34" priority="53" operator="greaterThan">
      <formula>0</formula>
    </cfRule>
  </conditionalFormatting>
  <conditionalFormatting sqref="N9:T10">
    <cfRule type="cellIs" dxfId="33" priority="35" operator="greaterThan">
      <formula>0</formula>
    </cfRule>
  </conditionalFormatting>
  <conditionalFormatting sqref="N13:T13">
    <cfRule type="cellIs" dxfId="32" priority="21" operator="greaterThan">
      <formula>0</formula>
    </cfRule>
  </conditionalFormatting>
  <conditionalFormatting sqref="N16:T16">
    <cfRule type="cellIs" dxfId="31" priority="20" operator="greaterThan">
      <formula>0</formula>
    </cfRule>
  </conditionalFormatting>
  <conditionalFormatting sqref="N19:T19">
    <cfRule type="cellIs" dxfId="30" priority="19" operator="greaterThan">
      <formula>0</formula>
    </cfRule>
  </conditionalFormatting>
  <conditionalFormatting sqref="N22:T22">
    <cfRule type="cellIs" dxfId="29" priority="18" operator="greaterThan">
      <formula>0</formula>
    </cfRule>
  </conditionalFormatting>
  <conditionalFormatting sqref="N25:T27">
    <cfRule type="cellIs" dxfId="28" priority="17" operator="greaterThan">
      <formula>0</formula>
    </cfRule>
  </conditionalFormatting>
  <conditionalFormatting sqref="N30:T33">
    <cfRule type="cellIs" dxfId="27" priority="16" operator="greaterThan">
      <formula>0</formula>
    </cfRule>
  </conditionalFormatting>
  <conditionalFormatting sqref="N36:T36">
    <cfRule type="cellIs" dxfId="26" priority="15" operator="greaterThan">
      <formula>0</formula>
    </cfRule>
  </conditionalFormatting>
  <conditionalFormatting sqref="W5:AC5">
    <cfRule type="cellIs" dxfId="25" priority="34" operator="greaterThan">
      <formula>0</formula>
    </cfRule>
  </conditionalFormatting>
  <conditionalFormatting sqref="W8:AC8">
    <cfRule type="cellIs" dxfId="24" priority="14" operator="greaterThan">
      <formula>0</formula>
    </cfRule>
  </conditionalFormatting>
  <conditionalFormatting sqref="W11:AC13">
    <cfRule type="cellIs" dxfId="23" priority="13" operator="greaterThan">
      <formula>0</formula>
    </cfRule>
  </conditionalFormatting>
  <conditionalFormatting sqref="W17:AC17">
    <cfRule type="cellIs" dxfId="22" priority="11" operator="greaterThan">
      <formula>0</formula>
    </cfRule>
  </conditionalFormatting>
  <conditionalFormatting sqref="W20:AC22">
    <cfRule type="cellIs" dxfId="21" priority="10" operator="greaterThan">
      <formula>0</formula>
    </cfRule>
  </conditionalFormatting>
  <conditionalFormatting sqref="W25:AC29">
    <cfRule type="cellIs" dxfId="20" priority="9" operator="greaterThan">
      <formula>0</formula>
    </cfRule>
  </conditionalFormatting>
  <conditionalFormatting sqref="W32:AC32">
    <cfRule type="cellIs" dxfId="19" priority="8" operator="greaterThan">
      <formula>0</formula>
    </cfRule>
  </conditionalFormatting>
  <conditionalFormatting sqref="W36:AC36">
    <cfRule type="cellIs" dxfId="18" priority="7" operator="greaterThan">
      <formula>0</formula>
    </cfRule>
  </conditionalFormatting>
  <conditionalFormatting sqref="W39:AC43">
    <cfRule type="cellIs" dxfId="17" priority="6" operator="greaterThan">
      <formula>0</formula>
    </cfRule>
  </conditionalFormatting>
  <conditionalFormatting sqref="W47:AC52">
    <cfRule type="cellIs" dxfId="16" priority="5" operator="greaterThan">
      <formula>0</formula>
    </cfRule>
  </conditionalFormatting>
  <conditionalFormatting sqref="W55:AC55">
    <cfRule type="cellIs" dxfId="15" priority="4" operator="greaterThan">
      <formula>0</formula>
    </cfRule>
  </conditionalFormatting>
  <conditionalFormatting sqref="W59:AC66">
    <cfRule type="cellIs" dxfId="14" priority="3" operator="greaterThan">
      <formula>0</formula>
    </cfRule>
  </conditionalFormatting>
  <conditionalFormatting sqref="W69:AC69">
    <cfRule type="cellIs" dxfId="13" priority="2" operator="greaterThan">
      <formula>0</formula>
    </cfRule>
  </conditionalFormatting>
  <conditionalFormatting sqref="W72:AC72">
    <cfRule type="cellIs" dxfId="12" priority="1" operator="greaterThan">
      <formula>0</formula>
    </cfRule>
  </conditionalFormatting>
  <conditionalFormatting sqref="AF5:AL5">
    <cfRule type="cellIs" dxfId="11" priority="33" operator="greaterThan">
      <formula>0</formula>
    </cfRule>
  </conditionalFormatting>
  <conditionalFormatting sqref="AO5:AU5">
    <cfRule type="cellIs" dxfId="10" priority="32" operator="greaterThan">
      <formula>0</formula>
    </cfRule>
  </conditionalFormatting>
  <conditionalFormatting sqref="AX5:BD7">
    <cfRule type="cellIs" dxfId="9" priority="31" operator="greaterThan">
      <formula>0</formula>
    </cfRule>
  </conditionalFormatting>
  <conditionalFormatting sqref="BG5:BM5">
    <cfRule type="cellIs" dxfId="8" priority="30" operator="greaterThan">
      <formula>0</formula>
    </cfRule>
  </conditionalFormatting>
  <conditionalFormatting sqref="BP5:BV5">
    <cfRule type="cellIs" dxfId="7" priority="29" operator="greaterThan">
      <formula>0</formula>
    </cfRule>
  </conditionalFormatting>
  <conditionalFormatting sqref="BY5:CE5">
    <cfRule type="cellIs" dxfId="6" priority="28" operator="greaterThan">
      <formula>0</formula>
    </cfRule>
  </conditionalFormatting>
  <conditionalFormatting sqref="CH5:CN5">
    <cfRule type="cellIs" dxfId="5" priority="27" operator="greaterThan">
      <formula>0</formula>
    </cfRule>
  </conditionalFormatting>
  <conditionalFormatting sqref="CQ5:CW5">
    <cfRule type="cellIs" dxfId="4" priority="26" operator="greaterThan">
      <formula>0</formula>
    </cfRule>
  </conditionalFormatting>
  <conditionalFormatting sqref="CZ5:DF5">
    <cfRule type="cellIs" dxfId="3" priority="25" operator="greaterThan">
      <formula>0</formula>
    </cfRule>
  </conditionalFormatting>
  <conditionalFormatting sqref="DI5:DO5">
    <cfRule type="cellIs" dxfId="2" priority="24" operator="greaterThan">
      <formula>0</formula>
    </cfRule>
  </conditionalFormatting>
  <conditionalFormatting sqref="DR5:DX5">
    <cfRule type="cellIs" dxfId="1" priority="23" operator="greaterThan">
      <formula>0</formula>
    </cfRule>
  </conditionalFormatting>
  <conditionalFormatting sqref="EA5:EG5">
    <cfRule type="cellIs" dxfId="0" priority="22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52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</vt:lpstr>
      <vt:lpstr>EPV</vt:lpstr>
      <vt:lpstr>ENOS</vt:lpstr>
      <vt:lpstr>GUÍA NACIONAL DE VIGILANCIA2015</vt:lpstr>
      <vt:lpstr>GUÍA NACIONAL DE VIGILANCIA2022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Elieser Aguilar</cp:lastModifiedBy>
  <dcterms:created xsi:type="dcterms:W3CDTF">2024-02-09T13:22:46Z</dcterms:created>
  <dcterms:modified xsi:type="dcterms:W3CDTF">2024-08-19T15:32:39Z</dcterms:modified>
</cp:coreProperties>
</file>