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_inventariosMinsal\data\"/>
    </mc:Choice>
  </mc:AlternateContent>
  <xr:revisionPtr revIDLastSave="0" documentId="13_ncr:1_{82E9AFF5-A635-4367-AE90-5B72D5A9BC02}" xr6:coauthVersionLast="47" xr6:coauthVersionMax="47" xr10:uidLastSave="{00000000-0000-0000-0000-000000000000}"/>
  <bookViews>
    <workbookView xWindow="36" yWindow="1884" windowWidth="17280" windowHeight="8880" activeTab="3" xr2:uid="{33EF6376-3F5A-46D1-9B87-DA96CC38AB62}"/>
  </bookViews>
  <sheets>
    <sheet name="Catálogo" sheetId="1" r:id="rId1"/>
    <sheet name="Inventario_Lotes" sheetId="2" r:id="rId2"/>
    <sheet name="Libro_Compras" sheetId="3" r:id="rId3"/>
    <sheet name="Libro_Salidas" sheetId="4" r:id="rId4"/>
    <sheet name="Libro_Diario" sheetId="5" r:id="rId5"/>
    <sheet name="Libro_Mayor" sheetId="6" r:id="rId6"/>
    <sheet name="Alertas" sheetId="7" r:id="rId7"/>
    <sheet name="Proveedor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" i="3"/>
  <c r="I11" i="1"/>
  <c r="B11" i="7" s="1" a="1"/>
  <c r="B11" i="7" s="1"/>
  <c r="C11" i="7" s="1"/>
  <c r="I12" i="1"/>
  <c r="I13" i="1"/>
  <c r="B13" i="7" s="1" a="1"/>
  <c r="B13" i="7" s="1"/>
  <c r="E13" i="7" s="1"/>
  <c r="I14" i="1"/>
  <c r="B14" i="7" s="1" a="1"/>
  <c r="B14" i="7" s="1"/>
  <c r="I15" i="1"/>
  <c r="B15" i="7" s="1" a="1"/>
  <c r="B15" i="7" s="1"/>
  <c r="I16" i="1"/>
  <c r="B16" i="7" s="1" a="1"/>
  <c r="B16" i="7" s="1"/>
  <c r="C16" i="7" s="1"/>
  <c r="I17" i="1"/>
  <c r="B17" i="7" s="1" a="1"/>
  <c r="B17" i="7" s="1"/>
  <c r="E17" i="7" s="1"/>
  <c r="I18" i="1"/>
  <c r="B18" i="7" s="1" a="1"/>
  <c r="B18" i="7" s="1"/>
  <c r="D19" i="7" s="1"/>
  <c r="I19" i="1"/>
  <c r="I20" i="1"/>
  <c r="I21" i="1"/>
  <c r="B21" i="7" s="1" a="1"/>
  <c r="B21" i="7" s="1"/>
  <c r="C21" i="7" s="1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5" i="3"/>
  <c r="E6" i="3"/>
  <c r="E7" i="3"/>
  <c r="J11" i="2"/>
  <c r="G11" i="3" s="1"/>
  <c r="J12" i="2"/>
  <c r="G12" i="3" s="1"/>
  <c r="J13" i="2"/>
  <c r="G13" i="3" s="1"/>
  <c r="J14" i="2"/>
  <c r="G14" i="3" s="1"/>
  <c r="J15" i="2"/>
  <c r="G15" i="3" s="1"/>
  <c r="J16" i="2"/>
  <c r="G16" i="3" s="1"/>
  <c r="J17" i="2"/>
  <c r="G17" i="3" s="1"/>
  <c r="J18" i="2"/>
  <c r="G18" i="3" s="1"/>
  <c r="J19" i="2"/>
  <c r="G19" i="3" s="1"/>
  <c r="J20" i="2"/>
  <c r="G20" i="3" s="1"/>
  <c r="J21" i="2"/>
  <c r="G21" i="3" s="1"/>
  <c r="I21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3" i="2"/>
  <c r="I2" i="2"/>
  <c r="H2" i="4" s="1"/>
  <c r="I2" i="4" s="1"/>
  <c r="C11" i="2"/>
  <c r="C12" i="2"/>
  <c r="C13" i="2"/>
  <c r="C14" i="2"/>
  <c r="C15" i="2"/>
  <c r="C16" i="2"/>
  <c r="C17" i="2"/>
  <c r="C18" i="2"/>
  <c r="C19" i="2"/>
  <c r="C20" i="2"/>
  <c r="C21" i="2"/>
  <c r="I10" i="1"/>
  <c r="B10" i="7" s="1" a="1"/>
  <c r="B10" i="7" s="1"/>
  <c r="C10" i="7" s="1"/>
  <c r="J10" i="2"/>
  <c r="G10" i="3" s="1"/>
  <c r="C10" i="2"/>
  <c r="I3" i="1"/>
  <c r="B3" i="7" s="1" a="1"/>
  <c r="B3" i="7" s="1"/>
  <c r="E3" i="7" s="1"/>
  <c r="I4" i="1"/>
  <c r="B4" i="7" s="1" a="1"/>
  <c r="B4" i="7" s="1"/>
  <c r="E4" i="7" s="1"/>
  <c r="I5" i="1"/>
  <c r="B5" i="7" s="1" a="1"/>
  <c r="B5" i="7" s="1"/>
  <c r="E5" i="7" s="1"/>
  <c r="I6" i="1"/>
  <c r="B6" i="7" s="1" a="1"/>
  <c r="B6" i="7" s="1"/>
  <c r="E6" i="7" s="1"/>
  <c r="I7" i="1"/>
  <c r="B7" i="7" s="1" a="1"/>
  <c r="B7" i="7" s="1"/>
  <c r="E7" i="7" s="1"/>
  <c r="I8" i="1"/>
  <c r="B8" i="7" s="1" a="1"/>
  <c r="B8" i="7" s="1"/>
  <c r="I9" i="1"/>
  <c r="B9" i="7" s="1" a="1"/>
  <c r="B9" i="7" s="1"/>
  <c r="J9" i="2"/>
  <c r="G9" i="3" s="1"/>
  <c r="J8" i="2"/>
  <c r="G8" i="3" s="1"/>
  <c r="J7" i="2"/>
  <c r="G7" i="3" s="1"/>
  <c r="C7" i="2"/>
  <c r="C8" i="2"/>
  <c r="C9" i="2"/>
  <c r="B37" i="7"/>
  <c r="E37" i="7" s="1"/>
  <c r="B38" i="7"/>
  <c r="C38" i="7" s="1"/>
  <c r="B39" i="7"/>
  <c r="C39" i="7" s="1"/>
  <c r="B40" i="7"/>
  <c r="B41" i="7"/>
  <c r="C41" i="7" s="1"/>
  <c r="B42" i="7"/>
  <c r="C42" i="7" s="1"/>
  <c r="B43" i="7"/>
  <c r="C43" i="7" s="1"/>
  <c r="B44" i="7"/>
  <c r="C44" i="7" s="1"/>
  <c r="B45" i="7"/>
  <c r="C45" i="7" s="1"/>
  <c r="B46" i="7"/>
  <c r="C46" i="7" s="1"/>
  <c r="B47" i="7"/>
  <c r="C47" i="7" s="1"/>
  <c r="B48" i="7"/>
  <c r="C48" i="7" s="1"/>
  <c r="B49" i="7"/>
  <c r="C49" i="7" s="1"/>
  <c r="B50" i="7"/>
  <c r="C50" i="7" s="1"/>
  <c r="B36" i="7"/>
  <c r="J6" i="2"/>
  <c r="G6" i="3" s="1"/>
  <c r="C6" i="2"/>
  <c r="B12" i="7" a="1"/>
  <c r="B12" i="7" s="1"/>
  <c r="E12" i="7" s="1"/>
  <c r="B19" i="7" a="1"/>
  <c r="B19" i="7" s="1"/>
  <c r="E19" i="7" s="1"/>
  <c r="B20" i="7" a="1"/>
  <c r="B20" i="7" s="1"/>
  <c r="E20" i="7" s="1"/>
  <c r="B22" i="7" a="1"/>
  <c r="B22" i="7" s="1"/>
  <c r="D23" i="7" s="1"/>
  <c r="B23" i="7" a="1"/>
  <c r="B23" i="7" s="1"/>
  <c r="D24" i="7" s="1"/>
  <c r="B24" i="7" a="1"/>
  <c r="B24" i="7" s="1"/>
  <c r="E24" i="7" s="1"/>
  <c r="B25" i="7" a="1"/>
  <c r="B25" i="7" s="1"/>
  <c r="E25" i="7" s="1"/>
  <c r="B26" i="7" a="1"/>
  <c r="B26" i="7" s="1"/>
  <c r="E26" i="7" s="1"/>
  <c r="B27" i="7" a="1"/>
  <c r="B27" i="7" s="1"/>
  <c r="D28" i="7" s="1"/>
  <c r="B28" i="7" a="1"/>
  <c r="B28" i="7" s="1"/>
  <c r="D29" i="7" s="1"/>
  <c r="B29" i="7" a="1"/>
  <c r="B29" i="7" s="1"/>
  <c r="C29" i="7" s="1"/>
  <c r="B30" i="7" a="1"/>
  <c r="B30" i="7" s="1"/>
  <c r="B31" i="7" a="1"/>
  <c r="B31" i="7" s="1"/>
  <c r="E31" i="7" s="1"/>
  <c r="E4" i="6"/>
  <c r="E3" i="6"/>
  <c r="D4" i="6"/>
  <c r="E2" i="4"/>
  <c r="F3" i="3"/>
  <c r="F4" i="3"/>
  <c r="F2" i="3"/>
  <c r="K4" i="3"/>
  <c r="K3" i="3"/>
  <c r="K2" i="3"/>
  <c r="E3" i="3"/>
  <c r="E4" i="3"/>
  <c r="E2" i="3"/>
  <c r="J3" i="2"/>
  <c r="G3" i="3" s="1"/>
  <c r="J2" i="2"/>
  <c r="G2" i="3" s="1"/>
  <c r="I2" i="1"/>
  <c r="B2" i="7" s="1" a="1"/>
  <c r="B2" i="7" s="1"/>
  <c r="E2" i="7" s="1"/>
  <c r="J5" i="2"/>
  <c r="G5" i="3" s="1"/>
  <c r="J4" i="2"/>
  <c r="G4" i="3" s="1"/>
  <c r="C3" i="2"/>
  <c r="C4" i="2"/>
  <c r="C5" i="2"/>
  <c r="C2" i="2"/>
  <c r="L9" i="3" l="1"/>
  <c r="M9" i="3" s="1"/>
  <c r="N9" i="3" s="1"/>
  <c r="L18" i="3"/>
  <c r="M18" i="3" s="1"/>
  <c r="N18" i="3" s="1"/>
  <c r="L14" i="3"/>
  <c r="M14" i="3" s="1"/>
  <c r="N14" i="3" s="1"/>
  <c r="L12" i="3"/>
  <c r="M12" i="3" s="1"/>
  <c r="N12" i="3" s="1"/>
  <c r="L10" i="3"/>
  <c r="M10" i="3" s="1"/>
  <c r="N10" i="3" s="1"/>
  <c r="L8" i="3"/>
  <c r="M8" i="3" s="1"/>
  <c r="N8" i="3" s="1"/>
  <c r="L6" i="3"/>
  <c r="M6" i="3" s="1"/>
  <c r="N6" i="3" s="1"/>
  <c r="L17" i="3"/>
  <c r="M17" i="3" s="1"/>
  <c r="N17" i="3" s="1"/>
  <c r="L15" i="3"/>
  <c r="M15" i="3" s="1"/>
  <c r="N15" i="3" s="1"/>
  <c r="L16" i="3"/>
  <c r="L4" i="3"/>
  <c r="L13" i="3"/>
  <c r="L11" i="3"/>
  <c r="L21" i="3"/>
  <c r="L20" i="3"/>
  <c r="L19" i="3"/>
  <c r="L7" i="3"/>
  <c r="L5" i="3"/>
  <c r="G3" i="5"/>
  <c r="C4" i="6"/>
  <c r="C40" i="7"/>
  <c r="C36" i="7"/>
  <c r="C14" i="7"/>
  <c r="E14" i="7"/>
  <c r="D9" i="7"/>
  <c r="E8" i="7"/>
  <c r="C9" i="7"/>
  <c r="E9" i="7"/>
  <c r="C30" i="7"/>
  <c r="E30" i="7"/>
  <c r="D16" i="7"/>
  <c r="E15" i="7"/>
  <c r="C31" i="7"/>
  <c r="E23" i="7"/>
  <c r="E11" i="7"/>
  <c r="E22" i="7"/>
  <c r="E10" i="7"/>
  <c r="E21" i="7"/>
  <c r="E18" i="7"/>
  <c r="E29" i="7"/>
  <c r="E28" i="7"/>
  <c r="E16" i="7"/>
  <c r="E27" i="7"/>
  <c r="C37" i="7"/>
  <c r="E49" i="7"/>
  <c r="E38" i="7"/>
  <c r="E50" i="7"/>
  <c r="E45" i="7"/>
  <c r="E42" i="7"/>
  <c r="E48" i="7"/>
  <c r="E46" i="7"/>
  <c r="E44" i="7"/>
  <c r="E41" i="7"/>
  <c r="E40" i="7"/>
  <c r="E47" i="7"/>
  <c r="E43" i="7"/>
  <c r="E39" i="7"/>
  <c r="D48" i="7"/>
  <c r="D47" i="7"/>
  <c r="E36" i="7"/>
  <c r="D45" i="7"/>
  <c r="D44" i="7"/>
  <c r="D42" i="7"/>
  <c r="D41" i="7"/>
  <c r="D40" i="7"/>
  <c r="D46" i="7"/>
  <c r="D43" i="7"/>
  <c r="D39" i="7"/>
  <c r="D50" i="7"/>
  <c r="D38" i="7"/>
  <c r="D49" i="7"/>
  <c r="D37" i="7"/>
  <c r="D36" i="7"/>
  <c r="C26" i="7"/>
  <c r="D27" i="7"/>
  <c r="D15" i="7"/>
  <c r="C18" i="7"/>
  <c r="C8" i="7"/>
  <c r="D12" i="7"/>
  <c r="D11" i="7"/>
  <c r="G11" i="5"/>
  <c r="E5" i="6"/>
  <c r="C5" i="6" s="1"/>
  <c r="F10" i="5"/>
  <c r="D8" i="7"/>
  <c r="C7" i="7"/>
  <c r="C19" i="7"/>
  <c r="D20" i="7"/>
  <c r="C17" i="7"/>
  <c r="D18" i="7"/>
  <c r="D26" i="7"/>
  <c r="C25" i="7"/>
  <c r="D4" i="7"/>
  <c r="C3" i="7"/>
  <c r="C24" i="7"/>
  <c r="D25" i="7"/>
  <c r="D6" i="7"/>
  <c r="C5" i="7"/>
  <c r="D14" i="7"/>
  <c r="C13" i="7"/>
  <c r="C6" i="7"/>
  <c r="D7" i="7"/>
  <c r="D13" i="7"/>
  <c r="C12" i="7"/>
  <c r="C4" i="7"/>
  <c r="D5" i="7"/>
  <c r="C20" i="7"/>
  <c r="D21" i="7"/>
  <c r="C2" i="7"/>
  <c r="D3" i="7"/>
  <c r="D2" i="7"/>
  <c r="C15" i="7"/>
  <c r="D10" i="7"/>
  <c r="D31" i="7"/>
  <c r="C28" i="7"/>
  <c r="C27" i="7"/>
  <c r="D22" i="7"/>
  <c r="C23" i="7"/>
  <c r="D30" i="7"/>
  <c r="C22" i="7"/>
  <c r="D17" i="7"/>
  <c r="M11" i="3" l="1"/>
  <c r="N11" i="3" s="1"/>
  <c r="M20" i="3"/>
  <c r="N20" i="3" s="1"/>
  <c r="M13" i="3"/>
  <c r="N13" i="3" s="1"/>
  <c r="M21" i="3"/>
  <c r="N21" i="3" s="1"/>
  <c r="M5" i="3"/>
  <c r="N5" i="3" s="1"/>
  <c r="M16" i="3"/>
  <c r="N16" i="3" s="1"/>
  <c r="M7" i="3"/>
  <c r="N7" i="3" s="1"/>
  <c r="M19" i="3"/>
  <c r="N19" i="3" s="1"/>
  <c r="L3" i="3"/>
  <c r="L2" i="3"/>
  <c r="M2" i="3" l="1"/>
  <c r="F4" i="5" s="1"/>
  <c r="F3" i="5"/>
  <c r="M4" i="3"/>
  <c r="N4" i="3" s="1"/>
  <c r="M3" i="3"/>
  <c r="N3" i="3" s="1"/>
  <c r="N2" i="3" l="1"/>
  <c r="G5" i="5" s="1"/>
  <c r="D3" i="6" l="1"/>
  <c r="C3" i="6" s="1"/>
  <c r="F3" i="6" l="1"/>
  <c r="F4" i="6" s="1"/>
  <c r="F5" i="6" s="1"/>
  <c r="F7" i="6" s="1" a="1"/>
  <c r="F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<sst xmlns="http://schemas.openxmlformats.org/spreadsheetml/2006/main" count="439" uniqueCount="231">
  <si>
    <t>Código</t>
  </si>
  <si>
    <t>Nombre</t>
  </si>
  <si>
    <t>Concentración</t>
  </si>
  <si>
    <t>Precio_Unit</t>
  </si>
  <si>
    <t>Clase_ABC</t>
  </si>
  <si>
    <t>Stock_Min</t>
  </si>
  <si>
    <t>Stock_Max</t>
  </si>
  <si>
    <t>Stock_Actual</t>
  </si>
  <si>
    <t>ID_Lote</t>
  </si>
  <si>
    <t>Código_Med</t>
  </si>
  <si>
    <t>Nombre_Med</t>
  </si>
  <si>
    <t>Num_Lote</t>
  </si>
  <si>
    <t>Cant_Inicial</t>
  </si>
  <si>
    <t>Fecha_Fab</t>
  </si>
  <si>
    <t>Fecha_Venc</t>
  </si>
  <si>
    <t>Costo_Unit</t>
  </si>
  <si>
    <t>Fecha</t>
  </si>
  <si>
    <t>Num_Factura</t>
  </si>
  <si>
    <t xml:space="preserve">Proveedor </t>
  </si>
  <si>
    <t xml:space="preserve">Nombre_Med </t>
  </si>
  <si>
    <t>Cantidad</t>
  </si>
  <si>
    <t>Subtotal</t>
  </si>
  <si>
    <t>IVA_13%</t>
  </si>
  <si>
    <t>Total</t>
  </si>
  <si>
    <t>Num_Despacho</t>
  </si>
  <si>
    <t>Hospital_Destino</t>
  </si>
  <si>
    <t>Responsable</t>
  </si>
  <si>
    <t>Num_Asiento</t>
  </si>
  <si>
    <t>Descripción</t>
  </si>
  <si>
    <t>Cuenta</t>
  </si>
  <si>
    <t>Debe</t>
  </si>
  <si>
    <t>Haber</t>
  </si>
  <si>
    <t xml:space="preserve">Descripción </t>
  </si>
  <si>
    <t xml:space="preserve">Debe </t>
  </si>
  <si>
    <t>Tipo_Alerta</t>
  </si>
  <si>
    <t>Detalle</t>
  </si>
  <si>
    <t>Acción Requerida</t>
  </si>
  <si>
    <t>MED-001</t>
  </si>
  <si>
    <t>Insulina NPH</t>
  </si>
  <si>
    <t>Frasco</t>
  </si>
  <si>
    <t>10ml</t>
  </si>
  <si>
    <t>A</t>
  </si>
  <si>
    <t>MED-002</t>
  </si>
  <si>
    <t>Paracetamol</t>
  </si>
  <si>
    <t>Tableta</t>
  </si>
  <si>
    <t>500mg</t>
  </si>
  <si>
    <t>C</t>
  </si>
  <si>
    <t>MED-003</t>
  </si>
  <si>
    <t>Amoxicilina</t>
  </si>
  <si>
    <t>Cápsula</t>
  </si>
  <si>
    <t>B</t>
  </si>
  <si>
    <t>MED-004</t>
  </si>
  <si>
    <t>Omeprazol</t>
  </si>
  <si>
    <t>20mg</t>
  </si>
  <si>
    <t>MED-005</t>
  </si>
  <si>
    <t>Losartán</t>
  </si>
  <si>
    <t>50mg</t>
  </si>
  <si>
    <t>MED-006</t>
  </si>
  <si>
    <t>Metformina</t>
  </si>
  <si>
    <t>850mg</t>
  </si>
  <si>
    <t>MED-007</t>
  </si>
  <si>
    <t>Enalapril</t>
  </si>
  <si>
    <t>10mg</t>
  </si>
  <si>
    <t>MED-008</t>
  </si>
  <si>
    <t>Ibuprofeno</t>
  </si>
  <si>
    <t>400mg</t>
  </si>
  <si>
    <t>L001</t>
  </si>
  <si>
    <t>LOT-2024-001</t>
  </si>
  <si>
    <t xml:space="preserve">L002 </t>
  </si>
  <si>
    <t xml:space="preserve"> 15/08/2025 </t>
  </si>
  <si>
    <t xml:space="preserve"> LOT-2025-023 </t>
  </si>
  <si>
    <t xml:space="preserve"> 10/06/2025 </t>
  </si>
  <si>
    <t xml:space="preserve"> L003 </t>
  </si>
  <si>
    <t xml:space="preserve"> L004 </t>
  </si>
  <si>
    <t xml:space="preserve"> 18/08/2025 </t>
  </si>
  <si>
    <t>F-001234</t>
  </si>
  <si>
    <t>Laboratorios Unidos SA</t>
  </si>
  <si>
    <t xml:space="preserve"> 16/08/2025 </t>
  </si>
  <si>
    <t xml:space="preserve"> F-001235 </t>
  </si>
  <si>
    <t xml:space="preserve"> Farma Central </t>
  </si>
  <si>
    <t xml:space="preserve"> F-001236 </t>
  </si>
  <si>
    <t xml:space="preserve"> Distribuidora Médica </t>
  </si>
  <si>
    <t>D-00125</t>
  </si>
  <si>
    <t>Hospital Rosales</t>
  </si>
  <si>
    <t>Dra. María López</t>
  </si>
  <si>
    <t xml:space="preserve"> Compra Insulina NPH - Fact. F-001234 </t>
  </si>
  <si>
    <t xml:space="preserve"> Inventario de Medicamentos </t>
  </si>
  <si>
    <t xml:space="preserve"> </t>
  </si>
  <si>
    <t xml:space="preserve"> IVA Crédito Fiscal </t>
  </si>
  <si>
    <t xml:space="preserve"> 20/08/2025 </t>
  </si>
  <si>
    <t xml:space="preserve"> Despacho Hospital Rosales - D-00125 </t>
  </si>
  <si>
    <t xml:space="preserve"> Costo de Medicamentos Despachados </t>
  </si>
  <si>
    <t>INVENTARIO DE MEDICAMENTOS</t>
  </si>
  <si>
    <t>SALDO FINAL</t>
  </si>
  <si>
    <t>🔴 Stock Crítico</t>
  </si>
  <si>
    <t>🔴 ¡ALERTA! PRÓXIMOS A VENCER</t>
  </si>
  <si>
    <t>Clase_Abc</t>
  </si>
  <si>
    <t xml:space="preserve">Cuentas por Pagar </t>
  </si>
  <si>
    <t xml:space="preserve"> L005</t>
  </si>
  <si>
    <t xml:space="preserve"> LOT-2025-089</t>
  </si>
  <si>
    <t xml:space="preserve"> L006</t>
  </si>
  <si>
    <t xml:space="preserve"> L007</t>
  </si>
  <si>
    <t xml:space="preserve"> L008</t>
  </si>
  <si>
    <t xml:space="preserve"> LOT-2025-090</t>
  </si>
  <si>
    <t xml:space="preserve"> LOT-2025-091</t>
  </si>
  <si>
    <t xml:space="preserve"> LOT-2025-092</t>
  </si>
  <si>
    <t>MED-009</t>
  </si>
  <si>
    <t xml:space="preserve"> L009</t>
  </si>
  <si>
    <t xml:space="preserve"> LOT-2025-093</t>
  </si>
  <si>
    <t>Aspirina</t>
  </si>
  <si>
    <t>100 mg</t>
  </si>
  <si>
    <t>MED-010</t>
  </si>
  <si>
    <t>MED-011</t>
  </si>
  <si>
    <t>MED-012</t>
  </si>
  <si>
    <t>MED-013</t>
  </si>
  <si>
    <t>MED-014</t>
  </si>
  <si>
    <t>MED-015</t>
  </si>
  <si>
    <t>MED-016</t>
  </si>
  <si>
    <t>MED-017</t>
  </si>
  <si>
    <t>MED-018</t>
  </si>
  <si>
    <t>MED-019</t>
  </si>
  <si>
    <t>MED-020</t>
  </si>
  <si>
    <t>Ácido Fólico</t>
  </si>
  <si>
    <t>Hidrocortisona</t>
  </si>
  <si>
    <t>Diclofenaco Sódico</t>
  </si>
  <si>
    <t>Clorfenamina</t>
  </si>
  <si>
    <t>Loratadina</t>
  </si>
  <si>
    <t>Amiodarona</t>
  </si>
  <si>
    <t>Furosemida</t>
  </si>
  <si>
    <t>Prednisona</t>
  </si>
  <si>
    <t>Eritromicina</t>
  </si>
  <si>
    <t>Ranitidina</t>
  </si>
  <si>
    <t>Ketorolaco</t>
  </si>
  <si>
    <t>Ampolla</t>
  </si>
  <si>
    <t>5 mg</t>
  </si>
  <si>
    <t>50 mg</t>
  </si>
  <si>
    <t>4 mg</t>
  </si>
  <si>
    <t>10 mg</t>
  </si>
  <si>
    <t>200 mg</t>
  </si>
  <si>
    <t>40 mg</t>
  </si>
  <si>
    <t>250 mg</t>
  </si>
  <si>
    <t>150 mg</t>
  </si>
  <si>
    <t>30 mg</t>
  </si>
  <si>
    <t xml:space="preserve"> L010</t>
  </si>
  <si>
    <t xml:space="preserve"> L011</t>
  </si>
  <si>
    <t xml:space="preserve"> L012</t>
  </si>
  <si>
    <t xml:space="preserve"> L013</t>
  </si>
  <si>
    <t xml:space="preserve"> L014</t>
  </si>
  <si>
    <t xml:space="preserve"> L015</t>
  </si>
  <si>
    <t xml:space="preserve"> L016</t>
  </si>
  <si>
    <t xml:space="preserve"> L017</t>
  </si>
  <si>
    <t xml:space="preserve"> L018</t>
  </si>
  <si>
    <t xml:space="preserve"> L019</t>
  </si>
  <si>
    <t xml:space="preserve"> L020</t>
  </si>
  <si>
    <t xml:space="preserve"> LOT-2025-094</t>
  </si>
  <si>
    <t xml:space="preserve"> LOT-2025-095</t>
  </si>
  <si>
    <t xml:space="preserve"> LOT-2025-096</t>
  </si>
  <si>
    <t xml:space="preserve"> LOT-2025-097</t>
  </si>
  <si>
    <t xml:space="preserve"> LOT-2025-098</t>
  </si>
  <si>
    <t xml:space="preserve"> LOT-2025-099</t>
  </si>
  <si>
    <t xml:space="preserve"> LOT-2025-100</t>
  </si>
  <si>
    <t xml:space="preserve"> LOT-2025-101</t>
  </si>
  <si>
    <t xml:space="preserve"> LOT-2025-102</t>
  </si>
  <si>
    <t xml:space="preserve"> LOT-2025-103</t>
  </si>
  <si>
    <t xml:space="preserve"> LOT-2025-104</t>
  </si>
  <si>
    <t>10/05/2025</t>
  </si>
  <si>
    <t>10/05/2028</t>
  </si>
  <si>
    <t>01/04/2025</t>
  </si>
  <si>
    <t>01/04/2026</t>
  </si>
  <si>
    <t>25/05/2025</t>
  </si>
  <si>
    <t>25/05/2027</t>
  </si>
  <si>
    <t>05/06/2025</t>
  </si>
  <si>
    <t>05/06/2028</t>
  </si>
  <si>
    <t>10/06/2025</t>
  </si>
  <si>
    <t>10/06/2028</t>
  </si>
  <si>
    <t>15/06/2025</t>
  </si>
  <si>
    <t>15/06/2026</t>
  </si>
  <si>
    <t>01/07/2025</t>
  </si>
  <si>
    <t>01/07/2027</t>
  </si>
  <si>
    <t>10/08/2025</t>
  </si>
  <si>
    <t>10/08/2027</t>
  </si>
  <si>
    <t>15/08/2025</t>
  </si>
  <si>
    <t>01/09/2025</t>
  </si>
  <si>
    <t>01/09/2026</t>
  </si>
  <si>
    <t xml:space="preserve"> LOT-2025-045</t>
  </si>
  <si>
    <t xml:space="preserve"> LOT-2025-088</t>
  </si>
  <si>
    <t>F-001237</t>
  </si>
  <si>
    <t>F-001238</t>
  </si>
  <si>
    <t>F-001239</t>
  </si>
  <si>
    <t>F-001240</t>
  </si>
  <si>
    <t>F-001241</t>
  </si>
  <si>
    <t>F-001242</t>
  </si>
  <si>
    <t>F-001243</t>
  </si>
  <si>
    <t>F-001244</t>
  </si>
  <si>
    <t>F-001245</t>
  </si>
  <si>
    <t>F-001246</t>
  </si>
  <si>
    <t>F-001247</t>
  </si>
  <si>
    <t>F-001248</t>
  </si>
  <si>
    <t>F-001249</t>
  </si>
  <si>
    <t>F-001250</t>
  </si>
  <si>
    <t>F-001251</t>
  </si>
  <si>
    <t>F-001252</t>
  </si>
  <si>
    <t>F-001253</t>
  </si>
  <si>
    <t>Droguería El Salvador</t>
  </si>
  <si>
    <t>BioPharma S.A. de C.V.</t>
  </si>
  <si>
    <t>Laboratorios Suizos</t>
  </si>
  <si>
    <t xml:space="preserve">Laboratorios Lopez </t>
  </si>
  <si>
    <t>Farmacéutica Panamericana</t>
  </si>
  <si>
    <t>Laboratorios Cofasa</t>
  </si>
  <si>
    <t>Laboratorios Vijosa</t>
  </si>
  <si>
    <t>Droguería Santa Lucía</t>
  </si>
  <si>
    <t>Mediserv S.A. de C.V.</t>
  </si>
  <si>
    <t>Laboratorios Bonima</t>
  </si>
  <si>
    <t>Droguería Farmedic</t>
  </si>
  <si>
    <t>Distribuidora Farmacéutica del Norte</t>
  </si>
  <si>
    <t>Laboratorios Stein</t>
  </si>
  <si>
    <t>Laboratorios Pailyn</t>
  </si>
  <si>
    <t>Farmadistribuciones S.A.</t>
  </si>
  <si>
    <t>Laboratorios Chinoin</t>
  </si>
  <si>
    <t>Laboratorios Baxter</t>
  </si>
  <si>
    <t>Estado del Lote</t>
  </si>
  <si>
    <t xml:space="preserve">Tipo de operación </t>
  </si>
  <si>
    <t>Nombre Proveedor</t>
  </si>
  <si>
    <t>Tipo de Operación</t>
  </si>
  <si>
    <t xml:space="preserve">Compra Nacional </t>
  </si>
  <si>
    <t>Importación</t>
  </si>
  <si>
    <t>Donación</t>
  </si>
  <si>
    <t>Cant_Actual</t>
  </si>
  <si>
    <t>Estado</t>
  </si>
  <si>
    <t>Presentacion</t>
  </si>
  <si>
    <t>Cantidad_Despachada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</si>
</sst>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44" fontId="0" fillId="0" borderId="0" xfId="1" applyFont="1"/>
    <xf numFmtId="44" fontId="0" fillId="0" borderId="0" xfId="1" applyFont="1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14" fontId="0" fillId="0" borderId="0" xfId="0" applyNumberFormat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4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164" fontId="3" fillId="3" borderId="0" xfId="0" applyNumberFormat="1" applyFont="1" applyFill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/>
  </cellXfs>
  <cellStyles count="2">
    <cellStyle name="Moneda" xfId="1" builtinId="4"/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D917-88A1-4BCB-B444-9B25C23BB9C3}">
  <dimension ref="A1:J23"/>
  <sheetViews>
    <sheetView topLeftCell="B1" workbookViewId="0">
      <selection activeCell="C2" sqref="C2"/>
    </sheetView>
  </sheetViews>
  <sheetFormatPr baseColWidth="10" defaultRowHeight="14.4" x14ac:dyDescent="0.3"/>
  <cols>
    <col min="2" max="2" width="20.109375" customWidth="1"/>
    <col min="4" max="4" width="23" customWidth="1"/>
    <col min="5" max="5" width="18.77734375" style="2" customWidth="1"/>
    <col min="9" max="9" width="28.33203125" customWidth="1"/>
  </cols>
  <sheetData>
    <row r="1" spans="1:10" x14ac:dyDescent="0.3">
      <c r="A1" t="s">
        <v>0</v>
      </c>
      <c r="B1" t="s">
        <v>1</v>
      </c>
      <c r="C1" t="s">
        <v>229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3">
      <c r="A2" s="1" t="s">
        <v>37</v>
      </c>
      <c r="B2" s="1" t="s">
        <v>38</v>
      </c>
      <c r="C2" s="1" t="s">
        <v>39</v>
      </c>
      <c r="D2" s="1" t="s">
        <v>40</v>
      </c>
      <c r="E2" s="3">
        <v>40</v>
      </c>
      <c r="F2" s="1" t="s">
        <v>41</v>
      </c>
      <c r="G2" s="1">
        <v>500</v>
      </c>
      <c r="H2" s="1">
        <v>2000</v>
      </c>
      <c r="I2" s="1">
        <f>SUMIF(Inventario_Lotes!B:B,TRIM(A2),Inventario_Lotes!F:F)</f>
        <v>900</v>
      </c>
      <c r="J2" s="1"/>
    </row>
    <row r="3" spans="1:10" x14ac:dyDescent="0.3">
      <c r="A3" s="1" t="s">
        <v>42</v>
      </c>
      <c r="B3" s="1" t="s">
        <v>43</v>
      </c>
      <c r="C3" s="1" t="s">
        <v>44</v>
      </c>
      <c r="D3" s="1" t="s">
        <v>45</v>
      </c>
      <c r="E3" s="3">
        <v>0.1</v>
      </c>
      <c r="F3" s="1" t="s">
        <v>46</v>
      </c>
      <c r="G3" s="1">
        <v>10000</v>
      </c>
      <c r="H3" s="1">
        <v>50000</v>
      </c>
      <c r="I3" s="1">
        <f>SUMIF(Inventario_Lotes!B:B,TRIM(A3),Inventario_Lotes!F:F)</f>
        <v>300</v>
      </c>
      <c r="J3" s="1"/>
    </row>
    <row r="4" spans="1:10" x14ac:dyDescent="0.3">
      <c r="A4" s="1" t="s">
        <v>47</v>
      </c>
      <c r="B4" s="1" t="s">
        <v>48</v>
      </c>
      <c r="C4" s="1" t="s">
        <v>49</v>
      </c>
      <c r="D4" s="1" t="s">
        <v>45</v>
      </c>
      <c r="E4" s="3">
        <v>0.25</v>
      </c>
      <c r="F4" s="1" t="s">
        <v>50</v>
      </c>
      <c r="G4" s="1">
        <v>2000</v>
      </c>
      <c r="H4" s="1">
        <v>10000</v>
      </c>
      <c r="I4" s="1">
        <f>SUMIF(Inventario_Lotes!B:B,TRIM(A4),Inventario_Lotes!F:F)</f>
        <v>9210</v>
      </c>
      <c r="J4" s="1"/>
    </row>
    <row r="5" spans="1:10" x14ac:dyDescent="0.3">
      <c r="A5" s="1" t="s">
        <v>51</v>
      </c>
      <c r="B5" s="1" t="s">
        <v>52</v>
      </c>
      <c r="C5" s="1" t="s">
        <v>49</v>
      </c>
      <c r="D5" s="1" t="s">
        <v>53</v>
      </c>
      <c r="E5" s="3">
        <v>0.12</v>
      </c>
      <c r="F5" s="1" t="s">
        <v>41</v>
      </c>
      <c r="G5" s="1">
        <v>5000</v>
      </c>
      <c r="H5" s="1">
        <v>20000</v>
      </c>
      <c r="I5" s="1">
        <f>SUMIF(Inventario_Lotes!B:B,TRIM(A5),Inventario_Lotes!F:F)</f>
        <v>9300</v>
      </c>
      <c r="J5" s="1"/>
    </row>
    <row r="6" spans="1:10" x14ac:dyDescent="0.3">
      <c r="A6" s="1" t="s">
        <v>54</v>
      </c>
      <c r="B6" s="1" t="s">
        <v>55</v>
      </c>
      <c r="C6" s="1" t="s">
        <v>44</v>
      </c>
      <c r="D6" s="1" t="s">
        <v>56</v>
      </c>
      <c r="E6" s="3">
        <v>0.08</v>
      </c>
      <c r="F6" s="1" t="s">
        <v>41</v>
      </c>
      <c r="G6" s="1">
        <v>8000</v>
      </c>
      <c r="H6" s="1">
        <v>30000</v>
      </c>
      <c r="I6" s="1">
        <f>SUMIF(Inventario_Lotes!B:B,TRIM(A6),Inventario_Lotes!F:F)</f>
        <v>0</v>
      </c>
      <c r="J6" s="1"/>
    </row>
    <row r="7" spans="1:10" x14ac:dyDescent="0.3">
      <c r="A7" s="1" t="s">
        <v>57</v>
      </c>
      <c r="B7" s="1" t="s">
        <v>58</v>
      </c>
      <c r="C7" s="1" t="s">
        <v>44</v>
      </c>
      <c r="D7" s="1" t="s">
        <v>59</v>
      </c>
      <c r="E7" s="3">
        <v>0.06</v>
      </c>
      <c r="F7" s="1" t="s">
        <v>41</v>
      </c>
      <c r="G7" s="1">
        <v>10000</v>
      </c>
      <c r="H7" s="1">
        <v>40000</v>
      </c>
      <c r="I7" s="1">
        <f>SUMIF(Inventario_Lotes!B:B,TRIM(A7),Inventario_Lotes!F:F)</f>
        <v>8000</v>
      </c>
      <c r="J7" s="1"/>
    </row>
    <row r="8" spans="1:10" x14ac:dyDescent="0.3">
      <c r="A8" s="1" t="s">
        <v>60</v>
      </c>
      <c r="B8" s="1" t="s">
        <v>61</v>
      </c>
      <c r="C8" s="1" t="s">
        <v>44</v>
      </c>
      <c r="D8" s="1" t="s">
        <v>62</v>
      </c>
      <c r="E8" s="3">
        <v>0.05</v>
      </c>
      <c r="F8" s="1" t="s">
        <v>41</v>
      </c>
      <c r="G8" s="1">
        <v>8000</v>
      </c>
      <c r="H8" s="1">
        <v>35000</v>
      </c>
      <c r="I8" s="1">
        <f>SUMIF(Inventario_Lotes!B:B,TRIM(A8),Inventario_Lotes!F:F)</f>
        <v>1500</v>
      </c>
      <c r="J8" s="1"/>
    </row>
    <row r="9" spans="1:10" x14ac:dyDescent="0.3">
      <c r="A9" s="1" t="s">
        <v>63</v>
      </c>
      <c r="B9" s="1" t="s">
        <v>64</v>
      </c>
      <c r="C9" s="1" t="s">
        <v>44</v>
      </c>
      <c r="D9" s="1" t="s">
        <v>65</v>
      </c>
      <c r="E9" s="3">
        <v>0.03</v>
      </c>
      <c r="F9" s="1" t="s">
        <v>50</v>
      </c>
      <c r="G9" s="1">
        <v>5000</v>
      </c>
      <c r="H9" s="1">
        <v>25000</v>
      </c>
      <c r="I9" s="1">
        <f>SUMIF(Inventario_Lotes!B:B,TRIM(A9),Inventario_Lotes!F:F)</f>
        <v>1200</v>
      </c>
      <c r="J9" s="1"/>
    </row>
    <row r="10" spans="1:10" x14ac:dyDescent="0.3">
      <c r="A10" s="1" t="s">
        <v>106</v>
      </c>
      <c r="B10" s="1" t="s">
        <v>109</v>
      </c>
      <c r="C10" s="1" t="s">
        <v>44</v>
      </c>
      <c r="D10" s="1" t="s">
        <v>110</v>
      </c>
      <c r="E10" s="3">
        <v>0.4</v>
      </c>
      <c r="F10" s="1" t="s">
        <v>50</v>
      </c>
      <c r="G10" s="1">
        <v>2000</v>
      </c>
      <c r="H10" s="1">
        <v>4000</v>
      </c>
      <c r="I10" s="1">
        <f>SUMIF(Inventario_Lotes!B:B,TRIM(A10),Inventario_Lotes!F:F)</f>
        <v>4000</v>
      </c>
      <c r="J10" s="1"/>
    </row>
    <row r="11" spans="1:10" x14ac:dyDescent="0.3">
      <c r="A11" s="1" t="s">
        <v>111</v>
      </c>
      <c r="B11" t="s">
        <v>122</v>
      </c>
      <c r="C11" t="s">
        <v>44</v>
      </c>
      <c r="D11" t="s">
        <v>134</v>
      </c>
      <c r="E11" s="2">
        <v>0.02</v>
      </c>
      <c r="F11" t="s">
        <v>46</v>
      </c>
      <c r="G11">
        <v>3000</v>
      </c>
      <c r="H11">
        <v>15000</v>
      </c>
      <c r="I11" s="1">
        <f>SUMIF(Inventario_Lotes!B:B,TRIM(A11),Inventario_Lotes!F:F)</f>
        <v>5800</v>
      </c>
      <c r="J11" s="1"/>
    </row>
    <row r="12" spans="1:10" x14ac:dyDescent="0.3">
      <c r="A12" s="1" t="s">
        <v>112</v>
      </c>
      <c r="B12" t="s">
        <v>123</v>
      </c>
      <c r="C12" t="s">
        <v>133</v>
      </c>
      <c r="D12" t="s">
        <v>110</v>
      </c>
      <c r="E12" s="2">
        <v>0.85</v>
      </c>
      <c r="F12" t="s">
        <v>41</v>
      </c>
      <c r="G12">
        <v>800</v>
      </c>
      <c r="H12">
        <v>4000</v>
      </c>
      <c r="I12" s="1">
        <f>SUMIF(Inventario_Lotes!B:B,TRIM(A12),Inventario_Lotes!F:F)</f>
        <v>2800</v>
      </c>
      <c r="J12" s="1"/>
    </row>
    <row r="13" spans="1:10" x14ac:dyDescent="0.3">
      <c r="A13" s="1" t="s">
        <v>113</v>
      </c>
      <c r="B13" t="s">
        <v>124</v>
      </c>
      <c r="C13" t="s">
        <v>44</v>
      </c>
      <c r="D13" t="s">
        <v>135</v>
      </c>
      <c r="E13" s="2">
        <v>0.05</v>
      </c>
      <c r="F13" t="s">
        <v>50</v>
      </c>
      <c r="G13">
        <v>6000</v>
      </c>
      <c r="H13">
        <v>30000</v>
      </c>
      <c r="I13" s="1">
        <f>SUMIF(Inventario_Lotes!B:B,TRIM(A13),Inventario_Lotes!F:F)</f>
        <v>19000</v>
      </c>
      <c r="J13" s="1"/>
    </row>
    <row r="14" spans="1:10" x14ac:dyDescent="0.3">
      <c r="A14" s="1" t="s">
        <v>114</v>
      </c>
      <c r="B14" t="s">
        <v>125</v>
      </c>
      <c r="C14" t="s">
        <v>44</v>
      </c>
      <c r="D14" t="s">
        <v>136</v>
      </c>
      <c r="E14" s="2">
        <v>0.02</v>
      </c>
      <c r="F14" t="s">
        <v>46</v>
      </c>
      <c r="G14">
        <v>2000</v>
      </c>
      <c r="H14">
        <v>10000</v>
      </c>
      <c r="I14" s="1">
        <f>SUMIF(Inventario_Lotes!B:B,TRIM(A14),Inventario_Lotes!F:F)</f>
        <v>7800</v>
      </c>
      <c r="J14" s="1"/>
    </row>
    <row r="15" spans="1:10" x14ac:dyDescent="0.3">
      <c r="A15" s="1" t="s">
        <v>115</v>
      </c>
      <c r="B15" t="s">
        <v>126</v>
      </c>
      <c r="C15" t="s">
        <v>44</v>
      </c>
      <c r="D15" t="s">
        <v>137</v>
      </c>
      <c r="E15" s="2">
        <v>0.04</v>
      </c>
      <c r="F15" t="s">
        <v>46</v>
      </c>
      <c r="G15">
        <v>3000</v>
      </c>
      <c r="H15">
        <v>12000</v>
      </c>
      <c r="I15" s="1">
        <f>SUMIF(Inventario_Lotes!B:B,TRIM(A15),Inventario_Lotes!F:F)</f>
        <v>9500</v>
      </c>
      <c r="J15" s="1"/>
    </row>
    <row r="16" spans="1:10" x14ac:dyDescent="0.3">
      <c r="A16" s="1" t="s">
        <v>116</v>
      </c>
      <c r="B16" t="s">
        <v>127</v>
      </c>
      <c r="C16" t="s">
        <v>44</v>
      </c>
      <c r="D16" t="s">
        <v>138</v>
      </c>
      <c r="E16" s="2">
        <v>0.65</v>
      </c>
      <c r="F16" t="s">
        <v>41</v>
      </c>
      <c r="G16">
        <v>1000</v>
      </c>
      <c r="H16">
        <v>4000</v>
      </c>
      <c r="I16" s="1">
        <f>SUMIF(Inventario_Lotes!B:B,TRIM(A16),Inventario_Lotes!F:F)</f>
        <v>2800</v>
      </c>
      <c r="J16" s="1"/>
    </row>
    <row r="17" spans="1:10" x14ac:dyDescent="0.3">
      <c r="A17" s="1" t="s">
        <v>117</v>
      </c>
      <c r="B17" t="s">
        <v>128</v>
      </c>
      <c r="C17" t="s">
        <v>44</v>
      </c>
      <c r="D17" t="s">
        <v>139</v>
      </c>
      <c r="E17" s="2">
        <v>0.09</v>
      </c>
      <c r="F17" t="s">
        <v>50</v>
      </c>
      <c r="G17">
        <v>4000</v>
      </c>
      <c r="H17">
        <v>16000</v>
      </c>
      <c r="I17" s="1">
        <f>SUMIF(Inventario_Lotes!B:B,TRIM(A17),Inventario_Lotes!F:F)</f>
        <v>9700</v>
      </c>
      <c r="J17" s="1"/>
    </row>
    <row r="18" spans="1:10" x14ac:dyDescent="0.3">
      <c r="A18" s="1" t="s">
        <v>118</v>
      </c>
      <c r="B18" t="s">
        <v>129</v>
      </c>
      <c r="C18" t="s">
        <v>44</v>
      </c>
      <c r="D18" t="s">
        <v>134</v>
      </c>
      <c r="E18" s="2">
        <v>0.06</v>
      </c>
      <c r="F18" t="s">
        <v>50</v>
      </c>
      <c r="G18">
        <v>3000</v>
      </c>
      <c r="H18">
        <v>12000</v>
      </c>
      <c r="I18" s="1">
        <f>SUMIF(Inventario_Lotes!B:B,TRIM(A18),Inventario_Lotes!F:F)</f>
        <v>7900</v>
      </c>
      <c r="J18" s="1"/>
    </row>
    <row r="19" spans="1:10" x14ac:dyDescent="0.3">
      <c r="A19" s="1" t="s">
        <v>119</v>
      </c>
      <c r="B19" t="s">
        <v>130</v>
      </c>
      <c r="C19" t="s">
        <v>49</v>
      </c>
      <c r="D19" t="s">
        <v>140</v>
      </c>
      <c r="E19" s="2">
        <v>0.22</v>
      </c>
      <c r="F19" t="s">
        <v>50</v>
      </c>
      <c r="G19">
        <v>2500</v>
      </c>
      <c r="H19">
        <v>10000</v>
      </c>
      <c r="I19" s="1">
        <f>SUMIF(Inventario_Lotes!B:B,TRIM(A19),Inventario_Lotes!F:F)</f>
        <v>5900</v>
      </c>
      <c r="J19" s="1"/>
    </row>
    <row r="20" spans="1:10" x14ac:dyDescent="0.3">
      <c r="A20" s="1" t="s">
        <v>120</v>
      </c>
      <c r="B20" t="s">
        <v>131</v>
      </c>
      <c r="C20" t="s">
        <v>44</v>
      </c>
      <c r="D20" t="s">
        <v>141</v>
      </c>
      <c r="E20" s="2">
        <v>0.11</v>
      </c>
      <c r="F20" t="s">
        <v>50</v>
      </c>
      <c r="G20">
        <v>2000</v>
      </c>
      <c r="H20">
        <v>9000</v>
      </c>
      <c r="I20" s="1">
        <f>SUMIF(Inventario_Lotes!B:B,TRIM(A20),Inventario_Lotes!F:F)</f>
        <v>6700</v>
      </c>
      <c r="J20" s="1"/>
    </row>
    <row r="21" spans="1:10" x14ac:dyDescent="0.3">
      <c r="A21" s="1" t="s">
        <v>121</v>
      </c>
      <c r="B21" t="s">
        <v>132</v>
      </c>
      <c r="C21" t="s">
        <v>133</v>
      </c>
      <c r="D21" t="s">
        <v>142</v>
      </c>
      <c r="E21" s="2">
        <v>1.2</v>
      </c>
      <c r="F21" t="s">
        <v>41</v>
      </c>
      <c r="G21">
        <v>500</v>
      </c>
      <c r="H21">
        <v>3000</v>
      </c>
      <c r="I21" s="1">
        <f>SUMIF(Inventario_Lotes!B:B,TRIM(A21),Inventario_Lotes!F:F)</f>
        <v>3900</v>
      </c>
      <c r="J21" s="1"/>
    </row>
    <row r="22" spans="1:10" x14ac:dyDescent="0.3">
      <c r="A22" s="1"/>
    </row>
    <row r="23" spans="1:10" x14ac:dyDescent="0.3">
      <c r="A23" s="1"/>
    </row>
  </sheetData>
  <phoneticPr fontId="4" type="noConversion"/>
  <dataValidations count="4">
    <dataValidation type="custom" allowBlank="1" showInputMessage="1" showErrorMessage="1" sqref="A1:A1048576" xr:uid="{48231631-FB46-4C09-8F97-C2B97E15554D}">
      <formula1>AND(LEFT(A2,4)="MED-",ISNUMBER(--RIGHT(A2,3)))</formula1>
    </dataValidation>
    <dataValidation type="custom" allowBlank="1" showInputMessage="1" showErrorMessage="1" errorTitle="Errror" error="formato de codigo no valido_x000a_" sqref="E1:E21 E23:E1048576" xr:uid="{55016290-40DF-49D5-A2BD-EF8AF17F1FB6}">
      <formula1>E2&gt;0</formula1>
    </dataValidation>
    <dataValidation type="list" allowBlank="1" showInputMessage="1" showErrorMessage="1" sqref="F2:F1048576 F1" xr:uid="{A5F27B04-C048-4720-99D2-30BF1A5B5028}">
      <formula1>"A,B,C"</formula1>
    </dataValidation>
    <dataValidation type="custom" allowBlank="1" showInputMessage="1" showErrorMessage="1" errorTitle="Errror" error="Comprueba los datos ingresados, no son válidos." promptTitle="Validación" prompt="Precio Unitario debe ser mayor que cero. " sqref="E22" xr:uid="{61BDF130-1AE3-45D6-AC56-E03896F7F209}">
      <formula1>E2&gt;0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6A64-6EEC-4F9D-92CD-772FEB3A9BD0}">
  <dimension ref="A1:K22"/>
  <sheetViews>
    <sheetView topLeftCell="E1" workbookViewId="0">
      <selection activeCell="E18" sqref="A18:XFD18"/>
    </sheetView>
  </sheetViews>
  <sheetFormatPr baseColWidth="10" defaultRowHeight="14.4" x14ac:dyDescent="0.3"/>
  <cols>
    <col min="1" max="1" width="11.5546875" style="10" customWidth="1"/>
    <col min="2" max="2" width="11.5546875" style="10"/>
    <col min="3" max="3" width="29" style="10" customWidth="1"/>
    <col min="4" max="4" width="21" style="10" customWidth="1"/>
    <col min="5" max="5" width="23" style="10" customWidth="1"/>
    <col min="6" max="6" width="24.6640625" style="10" customWidth="1"/>
    <col min="7" max="7" width="20.77734375" style="26" customWidth="1"/>
    <col min="8" max="8" width="20.5546875" style="26" customWidth="1"/>
    <col min="9" max="9" width="18.5546875" style="11" customWidth="1"/>
    <col min="10" max="10" width="69.88671875" style="10" customWidth="1"/>
    <col min="11" max="11" width="11.5546875" style="19"/>
    <col min="12" max="16384" width="11.5546875" style="10"/>
  </cols>
  <sheetData>
    <row r="1" spans="1:10" x14ac:dyDescent="0.3">
      <c r="A1" s="10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227</v>
      </c>
      <c r="G1" s="26" t="s">
        <v>13</v>
      </c>
      <c r="H1" s="26" t="s">
        <v>14</v>
      </c>
      <c r="I1" s="11" t="s">
        <v>15</v>
      </c>
      <c r="J1" s="10" t="s">
        <v>228</v>
      </c>
    </row>
    <row r="2" spans="1:10" x14ac:dyDescent="0.3">
      <c r="A2" s="10" t="s">
        <v>66</v>
      </c>
      <c r="B2" s="10" t="s">
        <v>37</v>
      </c>
      <c r="C2" s="10" t="str">
        <f>VLOOKUP(B2,Catálogo!A:B,2,0)</f>
        <v>Insulina NPH</v>
      </c>
      <c r="D2" s="10" t="s">
        <v>67</v>
      </c>
      <c r="E2" s="10">
        <v>1000</v>
      </c>
      <c r="F2" s="10">
        <v>900</v>
      </c>
      <c r="G2" s="26">
        <v>45474</v>
      </c>
      <c r="H2" s="26">
        <v>45505</v>
      </c>
      <c r="I2" s="11">
        <f>VLOOKUP(B2,Catálogo!A:F,5,FALSE)</f>
        <v>40</v>
      </c>
      <c r="J2" s="1" t="str">
        <f t="shared" ref="J2:J21" ca="1" si="0">IF(F2&lt;=0,"❌ Agotado",IF((H2-TODAY())&lt;=30,"⚠️ Por Vencer","✅ Activo"))</f>
        <v>⚠️ Por Vencer</v>
      </c>
    </row>
    <row r="3" spans="1:10" ht="115.8" customHeight="1" x14ac:dyDescent="0.3">
      <c r="A3" s="10" t="s">
        <v>68</v>
      </c>
      <c r="B3" s="10" t="s">
        <v>42</v>
      </c>
      <c r="C3" s="10" t="str">
        <f>VLOOKUP(B3,Catálogo!A:B,2,0)</f>
        <v>Paracetamol</v>
      </c>
      <c r="D3" s="10" t="s">
        <v>184</v>
      </c>
      <c r="E3" s="10">
        <v>500</v>
      </c>
      <c r="F3" s="10">
        <v>300</v>
      </c>
      <c r="G3" s="26" t="s">
        <v>69</v>
      </c>
      <c r="H3" s="26">
        <v>46614</v>
      </c>
      <c r="I3" s="11">
        <f>VLOOKUP(B3,Catálogo!A:F,5,FALSE)</f>
        <v>0.1</v>
      </c>
      <c r="J3" s="1" t="str">
        <f t="shared" ca="1" si="0"/>
        <v>✅ Activo</v>
      </c>
    </row>
    <row r="4" spans="1:10" ht="87.6" customHeight="1" x14ac:dyDescent="0.3">
      <c r="A4" s="10" t="s">
        <v>72</v>
      </c>
      <c r="B4" s="10" t="s">
        <v>47</v>
      </c>
      <c r="C4" s="10" t="str">
        <f>VLOOKUP(B4,Catálogo!A:B,2,0)</f>
        <v>Amoxicilina</v>
      </c>
      <c r="D4" s="10" t="s">
        <v>70</v>
      </c>
      <c r="E4" s="10">
        <v>50000</v>
      </c>
      <c r="F4" s="10">
        <v>9210</v>
      </c>
      <c r="G4" s="26" t="s">
        <v>71</v>
      </c>
      <c r="H4" s="26">
        <v>46548</v>
      </c>
      <c r="I4" s="11">
        <f>VLOOKUP(B4,Catálogo!A:F,5,FALSE)</f>
        <v>0.25</v>
      </c>
      <c r="J4" s="1" t="str">
        <f t="shared" ca="1" si="0"/>
        <v>✅ Activo</v>
      </c>
    </row>
    <row r="5" spans="1:10" ht="99.6" customHeight="1" x14ac:dyDescent="0.3">
      <c r="A5" s="10" t="s">
        <v>73</v>
      </c>
      <c r="B5" s="10" t="s">
        <v>51</v>
      </c>
      <c r="C5" s="10" t="str">
        <f>VLOOKUP(B5,Catálogo!A:B,2,0)</f>
        <v>Omeprazol</v>
      </c>
      <c r="D5" s="10" t="s">
        <v>185</v>
      </c>
      <c r="E5" s="10">
        <v>10000</v>
      </c>
      <c r="F5" s="10">
        <v>9300</v>
      </c>
      <c r="G5" s="26" t="s">
        <v>74</v>
      </c>
      <c r="H5" s="27">
        <v>46278</v>
      </c>
      <c r="I5" s="11">
        <f>VLOOKUP(B5,Catálogo!A:F,5,FALSE)</f>
        <v>0.12</v>
      </c>
      <c r="J5" s="1" t="str">
        <f t="shared" ca="1" si="0"/>
        <v>✅ Activo</v>
      </c>
    </row>
    <row r="6" spans="1:10" ht="49.2" customHeight="1" x14ac:dyDescent="0.3">
      <c r="A6" s="10" t="s">
        <v>98</v>
      </c>
      <c r="B6" s="10" t="s">
        <v>54</v>
      </c>
      <c r="C6" s="10" t="str">
        <f>VLOOKUP(B6,Catálogo!A:B,2,0)</f>
        <v>Losartán</v>
      </c>
      <c r="D6" s="10" t="s">
        <v>99</v>
      </c>
      <c r="E6" s="10">
        <v>8000</v>
      </c>
      <c r="F6" s="10">
        <v>0</v>
      </c>
      <c r="G6" s="26">
        <v>45941</v>
      </c>
      <c r="H6" s="26">
        <v>45971</v>
      </c>
      <c r="I6" s="11">
        <f>VLOOKUP(B6,Catálogo!A:F,5,FALSE)</f>
        <v>0.08</v>
      </c>
      <c r="J6" s="10" t="str">
        <f t="shared" ca="1" si="0"/>
        <v>❌ Agotado</v>
      </c>
    </row>
    <row r="7" spans="1:10" x14ac:dyDescent="0.3">
      <c r="A7" s="10" t="s">
        <v>100</v>
      </c>
      <c r="B7" s="10" t="s">
        <v>57</v>
      </c>
      <c r="C7" s="10" t="str">
        <f>VLOOKUP(B7,Catálogo!A:B,2,0)</f>
        <v>Metformina</v>
      </c>
      <c r="D7" s="10" t="s">
        <v>103</v>
      </c>
      <c r="E7" s="10">
        <v>10000</v>
      </c>
      <c r="F7" s="10">
        <v>8000</v>
      </c>
      <c r="G7" s="26">
        <v>45239</v>
      </c>
      <c r="H7" s="26">
        <v>46023</v>
      </c>
      <c r="I7" s="11">
        <f>VLOOKUP(B7,Catálogo!A:F,5,FALSE)</f>
        <v>0.06</v>
      </c>
      <c r="J7" s="10" t="str">
        <f t="shared" ca="1" si="0"/>
        <v>✅ Activo</v>
      </c>
    </row>
    <row r="8" spans="1:10" x14ac:dyDescent="0.3">
      <c r="A8" s="10" t="s">
        <v>101</v>
      </c>
      <c r="B8" s="10" t="s">
        <v>60</v>
      </c>
      <c r="C8" s="10" t="str">
        <f>VLOOKUP(B8,Catálogo!A:B,2,0)</f>
        <v>Enalapril</v>
      </c>
      <c r="D8" s="10" t="s">
        <v>104</v>
      </c>
      <c r="E8" s="10">
        <v>8000</v>
      </c>
      <c r="F8" s="10">
        <v>1500</v>
      </c>
      <c r="G8" s="26">
        <v>45292</v>
      </c>
      <c r="H8" s="26">
        <v>46022</v>
      </c>
      <c r="I8" s="11">
        <f>VLOOKUP(B8,Catálogo!A:F,5,FALSE)</f>
        <v>0.05</v>
      </c>
      <c r="J8" s="10" t="str">
        <f t="shared" ca="1" si="0"/>
        <v>✅ Activo</v>
      </c>
    </row>
    <row r="9" spans="1:10" x14ac:dyDescent="0.3">
      <c r="A9" s="10" t="s">
        <v>102</v>
      </c>
      <c r="B9" s="10" t="s">
        <v>63</v>
      </c>
      <c r="C9" s="10" t="str">
        <f>VLOOKUP(B9,Catálogo!A:B,2,0)</f>
        <v>Ibuprofeno</v>
      </c>
      <c r="D9" s="10" t="s">
        <v>105</v>
      </c>
      <c r="E9" s="10">
        <v>5000</v>
      </c>
      <c r="F9" s="10">
        <v>1200</v>
      </c>
      <c r="G9" s="26">
        <v>45595</v>
      </c>
      <c r="H9" s="26">
        <v>47062</v>
      </c>
      <c r="I9" s="11">
        <f>VLOOKUP(B9,Catálogo!A:F,5,FALSE)</f>
        <v>0.03</v>
      </c>
      <c r="J9" s="10" t="str">
        <f t="shared" ca="1" si="0"/>
        <v>✅ Activo</v>
      </c>
    </row>
    <row r="10" spans="1:10" x14ac:dyDescent="0.3">
      <c r="A10" s="10" t="s">
        <v>107</v>
      </c>
      <c r="B10" s="10" t="s">
        <v>106</v>
      </c>
      <c r="C10" s="10" t="str">
        <f>VLOOKUP(B10,Catálogo!A:B,2,0)</f>
        <v>Aspirina</v>
      </c>
      <c r="D10" s="10" t="s">
        <v>108</v>
      </c>
      <c r="E10" s="10">
        <v>5000</v>
      </c>
      <c r="F10" s="10">
        <v>4000</v>
      </c>
      <c r="G10" s="26">
        <v>45583</v>
      </c>
      <c r="H10" s="26">
        <v>47241</v>
      </c>
      <c r="I10" s="11">
        <f>VLOOKUP(B10,Catálogo!A:F,5,FALSE)</f>
        <v>0.4</v>
      </c>
      <c r="J10" s="10" t="str">
        <f t="shared" ca="1" si="0"/>
        <v>✅ Activo</v>
      </c>
    </row>
    <row r="11" spans="1:10" x14ac:dyDescent="0.3">
      <c r="A11" s="10" t="s">
        <v>143</v>
      </c>
      <c r="B11" s="10" t="s">
        <v>111</v>
      </c>
      <c r="C11" s="10" t="str">
        <f>VLOOKUP(B11,Catálogo!A:B,2,0)</f>
        <v>Ácido Fólico</v>
      </c>
      <c r="D11" s="10" t="s">
        <v>154</v>
      </c>
      <c r="E11">
        <v>6000</v>
      </c>
      <c r="F11">
        <v>5800</v>
      </c>
      <c r="G11" s="26" t="s">
        <v>165</v>
      </c>
      <c r="H11" s="26" t="s">
        <v>166</v>
      </c>
      <c r="I11" s="11">
        <f>VLOOKUP(B11,Catálogo!A:F,5,FALSE)</f>
        <v>0.02</v>
      </c>
      <c r="J11" s="10" t="str">
        <f t="shared" ca="1" si="0"/>
        <v>✅ Activo</v>
      </c>
    </row>
    <row r="12" spans="1:10" x14ac:dyDescent="0.3">
      <c r="A12" s="10" t="s">
        <v>144</v>
      </c>
      <c r="B12" s="10" t="s">
        <v>112</v>
      </c>
      <c r="C12" s="10" t="str">
        <f>VLOOKUP(B12,Catálogo!A:B,2,0)</f>
        <v>Hidrocortisona</v>
      </c>
      <c r="D12" s="10" t="s">
        <v>155</v>
      </c>
      <c r="E12">
        <v>3000</v>
      </c>
      <c r="F12">
        <v>2800</v>
      </c>
      <c r="G12" s="26" t="s">
        <v>167</v>
      </c>
      <c r="H12" s="26" t="s">
        <v>168</v>
      </c>
      <c r="I12" s="11">
        <f>VLOOKUP(B12,Catálogo!A:F,5,FALSE)</f>
        <v>0.85</v>
      </c>
      <c r="J12" s="10" t="str">
        <f t="shared" ca="1" si="0"/>
        <v>✅ Activo</v>
      </c>
    </row>
    <row r="13" spans="1:10" x14ac:dyDescent="0.3">
      <c r="A13" s="10" t="s">
        <v>145</v>
      </c>
      <c r="B13" s="10" t="s">
        <v>113</v>
      </c>
      <c r="C13" s="10" t="str">
        <f>VLOOKUP(B13,Catálogo!A:B,2,0)</f>
        <v>Diclofenaco Sódico</v>
      </c>
      <c r="D13" s="10" t="s">
        <v>156</v>
      </c>
      <c r="E13">
        <v>20000</v>
      </c>
      <c r="F13">
        <v>19000</v>
      </c>
      <c r="G13" s="26" t="s">
        <v>169</v>
      </c>
      <c r="H13" s="26" t="s">
        <v>170</v>
      </c>
      <c r="I13" s="11">
        <f>VLOOKUP(B13,Catálogo!A:F,5,FALSE)</f>
        <v>0.05</v>
      </c>
      <c r="J13" s="10" t="str">
        <f t="shared" ca="1" si="0"/>
        <v>✅ Activo</v>
      </c>
    </row>
    <row r="14" spans="1:10" x14ac:dyDescent="0.3">
      <c r="A14" s="10" t="s">
        <v>146</v>
      </c>
      <c r="B14" s="10" t="s">
        <v>114</v>
      </c>
      <c r="C14" s="10" t="str">
        <f>VLOOKUP(B14,Catálogo!A:B,2,0)</f>
        <v>Clorfenamina</v>
      </c>
      <c r="D14" s="10" t="s">
        <v>157</v>
      </c>
      <c r="E14">
        <v>8000</v>
      </c>
      <c r="F14">
        <v>7800</v>
      </c>
      <c r="G14" s="26" t="s">
        <v>171</v>
      </c>
      <c r="H14" s="26" t="s">
        <v>172</v>
      </c>
      <c r="I14" s="11">
        <f>VLOOKUP(B14,Catálogo!A:F,5,FALSE)</f>
        <v>0.02</v>
      </c>
      <c r="J14" s="10" t="str">
        <f t="shared" ca="1" si="0"/>
        <v>✅ Activo</v>
      </c>
    </row>
    <row r="15" spans="1:10" x14ac:dyDescent="0.3">
      <c r="A15" s="10" t="s">
        <v>147</v>
      </c>
      <c r="B15" s="10" t="s">
        <v>115</v>
      </c>
      <c r="C15" s="10" t="str">
        <f>VLOOKUP(B15,Catálogo!A:B,2,0)</f>
        <v>Loratadina</v>
      </c>
      <c r="D15" s="10" t="s">
        <v>158</v>
      </c>
      <c r="E15">
        <v>10000</v>
      </c>
      <c r="F15">
        <v>9500</v>
      </c>
      <c r="G15" s="26" t="s">
        <v>173</v>
      </c>
      <c r="H15" s="26" t="s">
        <v>174</v>
      </c>
      <c r="I15" s="11">
        <f>VLOOKUP(B15,Catálogo!A:F,5,FALSE)</f>
        <v>0.04</v>
      </c>
      <c r="J15" s="10" t="str">
        <f t="shared" ca="1" si="0"/>
        <v>✅ Activo</v>
      </c>
    </row>
    <row r="16" spans="1:10" x14ac:dyDescent="0.3">
      <c r="A16" s="10" t="s">
        <v>148</v>
      </c>
      <c r="B16" s="10" t="s">
        <v>116</v>
      </c>
      <c r="C16" s="10" t="str">
        <f>VLOOKUP(B16,Catálogo!A:B,2,0)</f>
        <v>Amiodarona</v>
      </c>
      <c r="D16" s="10" t="s">
        <v>159</v>
      </c>
      <c r="E16">
        <v>3000</v>
      </c>
      <c r="F16">
        <v>2800</v>
      </c>
      <c r="G16" s="26" t="s">
        <v>175</v>
      </c>
      <c r="H16" s="26" t="s">
        <v>176</v>
      </c>
      <c r="I16" s="11">
        <f>VLOOKUP(B16,Catálogo!A:F,5,FALSE)</f>
        <v>0.65</v>
      </c>
      <c r="J16" s="10" t="str">
        <f t="shared" ca="1" si="0"/>
        <v>✅ Activo</v>
      </c>
    </row>
    <row r="17" spans="1:10" x14ac:dyDescent="0.3">
      <c r="A17" s="10" t="s">
        <v>149</v>
      </c>
      <c r="B17" s="10" t="s">
        <v>117</v>
      </c>
      <c r="C17" s="10" t="str">
        <f>VLOOKUP(B17,Catálogo!A:B,2,0)</f>
        <v>Furosemida</v>
      </c>
      <c r="D17" s="10" t="s">
        <v>160</v>
      </c>
      <c r="E17">
        <v>10000</v>
      </c>
      <c r="F17">
        <v>9700</v>
      </c>
      <c r="G17" s="26" t="s">
        <v>177</v>
      </c>
      <c r="H17" s="26" t="s">
        <v>178</v>
      </c>
      <c r="I17" s="11">
        <f>VLOOKUP(B17,Catálogo!A:F,5,FALSE)</f>
        <v>0.09</v>
      </c>
      <c r="J17" s="10" t="str">
        <f t="shared" ca="1" si="0"/>
        <v>✅ Activo</v>
      </c>
    </row>
    <row r="18" spans="1:10" x14ac:dyDescent="0.3">
      <c r="A18" s="10" t="s">
        <v>150</v>
      </c>
      <c r="B18" s="10" t="s">
        <v>118</v>
      </c>
      <c r="C18" s="10" t="str">
        <f>VLOOKUP(B18,Catálogo!A:B,2,0)</f>
        <v>Prednisona</v>
      </c>
      <c r="D18" s="10" t="s">
        <v>161</v>
      </c>
      <c r="E18">
        <v>8000</v>
      </c>
      <c r="F18">
        <v>7900</v>
      </c>
      <c r="G18" s="26">
        <v>45950</v>
      </c>
      <c r="H18" s="26">
        <v>45981</v>
      </c>
      <c r="I18" s="11">
        <f>VLOOKUP(B18,Catálogo!A:F,5,FALSE)</f>
        <v>0.06</v>
      </c>
      <c r="J18" s="10" t="str">
        <f t="shared" ca="1" si="0"/>
        <v>⚠️ Por Vencer</v>
      </c>
    </row>
    <row r="19" spans="1:10" x14ac:dyDescent="0.3">
      <c r="A19" s="10" t="s">
        <v>151</v>
      </c>
      <c r="B19" s="10" t="s">
        <v>119</v>
      </c>
      <c r="C19" s="10" t="str">
        <f>VLOOKUP(B19,Catálogo!A:B,2,0)</f>
        <v>Eritromicina</v>
      </c>
      <c r="D19" s="10" t="s">
        <v>162</v>
      </c>
      <c r="E19">
        <v>6000</v>
      </c>
      <c r="F19">
        <v>5900</v>
      </c>
      <c r="G19" s="26" t="s">
        <v>179</v>
      </c>
      <c r="H19" s="26" t="s">
        <v>180</v>
      </c>
      <c r="I19" s="11">
        <f>VLOOKUP(B19,Catálogo!A:F,5,FALSE)</f>
        <v>0.22</v>
      </c>
      <c r="J19" s="10" t="str">
        <f t="shared" ca="1" si="0"/>
        <v>✅ Activo</v>
      </c>
    </row>
    <row r="20" spans="1:10" x14ac:dyDescent="0.3">
      <c r="A20" s="10" t="s">
        <v>152</v>
      </c>
      <c r="B20" s="10" t="s">
        <v>120</v>
      </c>
      <c r="C20" s="10" t="str">
        <f>VLOOKUP(B20,Catálogo!A:B,2,0)</f>
        <v>Ranitidina</v>
      </c>
      <c r="D20" s="10" t="s">
        <v>163</v>
      </c>
      <c r="E20">
        <v>7000</v>
      </c>
      <c r="F20">
        <v>6700</v>
      </c>
      <c r="G20" s="26" t="s">
        <v>181</v>
      </c>
      <c r="H20" s="26">
        <v>45915</v>
      </c>
      <c r="I20" s="11">
        <f>VLOOKUP(B20,Catálogo!A:F,5,FALSE)</f>
        <v>0.11</v>
      </c>
      <c r="J20" s="10" t="str">
        <f t="shared" ca="1" si="0"/>
        <v>⚠️ Por Vencer</v>
      </c>
    </row>
    <row r="21" spans="1:10" x14ac:dyDescent="0.3">
      <c r="A21" s="10" t="s">
        <v>153</v>
      </c>
      <c r="B21" s="10" t="s">
        <v>121</v>
      </c>
      <c r="C21" s="10" t="str">
        <f>VLOOKUP(B21,Catálogo!A:B,2,0)</f>
        <v>Ketorolaco</v>
      </c>
      <c r="D21" s="10" t="s">
        <v>164</v>
      </c>
      <c r="E21">
        <v>4000</v>
      </c>
      <c r="F21">
        <v>3900</v>
      </c>
      <c r="G21" s="26" t="s">
        <v>182</v>
      </c>
      <c r="H21" s="26" t="s">
        <v>183</v>
      </c>
      <c r="I21" s="11">
        <f>VLOOKUP(B21,Catálogo!A:F,5,FALSE)</f>
        <v>1.2</v>
      </c>
      <c r="J21" s="10" t="str">
        <f t="shared" ca="1" si="0"/>
        <v>✅ Activo</v>
      </c>
    </row>
    <row r="22" spans="1:10" x14ac:dyDescent="0.3">
      <c r="E22"/>
      <c r="F22"/>
      <c r="G22" s="28"/>
      <c r="H22" s="28"/>
    </row>
  </sheetData>
  <phoneticPr fontId="4" type="noConversion"/>
  <dataValidations count="4">
    <dataValidation type="custom" allowBlank="1" showInputMessage="1" showErrorMessage="1" sqref="F1:F2 F4:F1048576" xr:uid="{3F6E06F5-9B2B-47F7-8068-028F70417C69}">
      <formula1>F1048572&lt;=E1048572</formula1>
    </dataValidation>
    <dataValidation type="custom" allowBlank="1" showInputMessage="1" showErrorMessage="1" errorTitle="Error." error="Fecha de vencimiento no puede ser anterior a la fecha de fabricación" promptTitle="Validación" prompt="La fecha de vencimiento debe ser posterior a la fecha de fabricación" sqref="H1:H1048576" xr:uid="{227CB0CD-2FE7-45FA-93E5-2C03A76B6841}">
      <formula1>H2&gt;G2</formula1>
    </dataValidation>
    <dataValidation type="custom" allowBlank="1" showInputMessage="1" showErrorMessage="1" errorTitle="Error" error="La cantidad actual no puede ser a la cantidad inicial_x000a_" promptTitle="Validación" prompt="La cantidad actual debe ser menor o igual a la cantidad inicial" sqref="F3" xr:uid="{ED86FC01-0DAF-4B89-959B-ABED409EA97F}">
      <formula1>F2&lt;=E2</formula1>
    </dataValidation>
    <dataValidation type="list" allowBlank="1" showInputMessage="1" showErrorMessage="1" sqref="J2:J100" xr:uid="{500CF2E3-A409-41D5-9898-5786316422B6}">
      <formula1>"Activo,Por vencer,Agotado,Vencido"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D2F9-1CC9-4744-AF0B-6F5BCD540E28}">
  <dimension ref="A1:N50"/>
  <sheetViews>
    <sheetView topLeftCell="B1" zoomScale="88" zoomScaleNormal="100" workbookViewId="0">
      <selection activeCell="H1" sqref="H1"/>
    </sheetView>
  </sheetViews>
  <sheetFormatPr baseColWidth="10" defaultRowHeight="14.4" x14ac:dyDescent="0.3"/>
  <cols>
    <col min="1" max="1" width="11.5546875" style="8"/>
    <col min="2" max="2" width="11.5546875" style="7"/>
    <col min="3" max="3" width="22.21875" style="7" customWidth="1"/>
    <col min="4" max="4" width="18.77734375" style="7" customWidth="1"/>
    <col min="5" max="5" width="29.88671875" style="7" customWidth="1"/>
    <col min="7" max="7" width="26.44140625" customWidth="1"/>
    <col min="8" max="8" width="33.109375" customWidth="1"/>
    <col min="9" max="9" width="23.44140625" style="7" customWidth="1"/>
    <col min="10" max="10" width="24.6640625" style="7" customWidth="1"/>
    <col min="11" max="11" width="19.5546875" style="9" customWidth="1"/>
    <col min="12" max="13" width="11.5546875" style="9"/>
    <col min="14" max="14" width="20.33203125" style="9" customWidth="1"/>
    <col min="15" max="16384" width="11.5546875" style="7"/>
  </cols>
  <sheetData>
    <row r="1" spans="1:14" x14ac:dyDescent="0.3">
      <c r="A1" s="8" t="s">
        <v>16</v>
      </c>
      <c r="B1" s="7" t="s">
        <v>17</v>
      </c>
      <c r="C1" s="7" t="s">
        <v>18</v>
      </c>
      <c r="D1" s="7" t="s">
        <v>9</v>
      </c>
      <c r="E1" s="7" t="s">
        <v>19</v>
      </c>
      <c r="F1" s="7" t="s">
        <v>96</v>
      </c>
      <c r="G1" s="7" t="s">
        <v>220</v>
      </c>
      <c r="H1" s="7" t="s">
        <v>221</v>
      </c>
      <c r="I1" s="7" t="s">
        <v>11</v>
      </c>
      <c r="J1" s="7" t="s">
        <v>20</v>
      </c>
      <c r="K1" s="9" t="s">
        <v>3</v>
      </c>
      <c r="L1" s="9" t="s">
        <v>21</v>
      </c>
      <c r="M1" s="9" t="s">
        <v>22</v>
      </c>
      <c r="N1" s="9" t="s">
        <v>23</v>
      </c>
    </row>
    <row r="2" spans="1:14" ht="60.6" customHeight="1" x14ac:dyDescent="0.3">
      <c r="A2" s="12">
        <v>45884</v>
      </c>
      <c r="B2" s="6" t="s">
        <v>75</v>
      </c>
      <c r="C2" s="6" t="s">
        <v>76</v>
      </c>
      <c r="D2" s="6" t="s">
        <v>37</v>
      </c>
      <c r="E2" s="6" t="str">
        <f>IFERROR(VLOOKUP(TRIM(D2),Catálogo!A:B,2,FALSE),"❌ No encontrado")</f>
        <v>Insulina NPH</v>
      </c>
      <c r="F2" s="7" t="str">
        <f>IFERROR(VLOOKUP(TRIM(D2),Catálogo!A:F,6,FALSE),"")</f>
        <v>A</v>
      </c>
      <c r="G2" t="str">
        <f ca="1">IFERROR(VLOOKUP(I2,Inventario_Lotes!$D:$J,7,FALSE),"No encontrado")</f>
        <v>⚠️ Por Vencer</v>
      </c>
      <c r="H2" t="str">
        <f>IFERROR(VLOOKUP(C2,Proveedores!$A$2:$B$50,2,FALSE),"Definir")</f>
        <v xml:space="preserve">Compra Nacional </v>
      </c>
      <c r="I2" s="6" t="s">
        <v>67</v>
      </c>
      <c r="J2" s="6">
        <f>VLOOKUP(I2,Inventario_Lotes!$D:$J,2,FALSE)</f>
        <v>1000</v>
      </c>
      <c r="K2" s="13">
        <f>IFERROR(VLOOKUP(TRIM(D2),Catálogo!A:E,5,FALSE),"")</f>
        <v>40</v>
      </c>
      <c r="L2" s="13">
        <f>J2*K2</f>
        <v>40000</v>
      </c>
      <c r="M2" s="13">
        <f>L2*0.13</f>
        <v>5200</v>
      </c>
      <c r="N2" s="13">
        <f>L2+M2</f>
        <v>45200</v>
      </c>
    </row>
    <row r="3" spans="1:14" ht="57" customHeight="1" x14ac:dyDescent="0.3">
      <c r="A3" s="8" t="s">
        <v>77</v>
      </c>
      <c r="B3" s="7" t="s">
        <v>78</v>
      </c>
      <c r="C3" s="7" t="s">
        <v>79</v>
      </c>
      <c r="D3" s="7" t="s">
        <v>42</v>
      </c>
      <c r="E3" s="6" t="str">
        <f>IFERROR(VLOOKUP(TRIM(D3),Catálogo!A:B,2,FALSE),"❌ No encontrado")</f>
        <v>Paracetamol</v>
      </c>
      <c r="F3" s="7" t="str">
        <f>IFERROR(VLOOKUP(TRIM(D3),Catálogo!A:F,6,FALSE),"")</f>
        <v>C</v>
      </c>
      <c r="G3" t="str">
        <f ca="1">IFERROR(VLOOKUP(I3,Inventario_Lotes!$D:$J,7,FALSE),"No encontrado")</f>
        <v>✅ Activo</v>
      </c>
      <c r="H3" t="str">
        <f>IFERROR(VLOOKUP(C3,Proveedores!$A$2:$B$50,2,FALSE),"Definir")</f>
        <v xml:space="preserve">Compra Nacional </v>
      </c>
      <c r="I3" s="7" t="s">
        <v>184</v>
      </c>
      <c r="J3" s="6">
        <f>VLOOKUP(I3,Inventario_Lotes!$D:$J,2,FALSE)</f>
        <v>500</v>
      </c>
      <c r="K3" s="13">
        <f>IFERROR(VLOOKUP(TRIM(D3),Catálogo!A:E,5,FALSE),"")</f>
        <v>0.1</v>
      </c>
      <c r="L3" s="9">
        <f>J3*K3</f>
        <v>50</v>
      </c>
      <c r="M3" s="13">
        <f>L3*0.13</f>
        <v>6.5</v>
      </c>
      <c r="N3" s="13">
        <f>L3+M3</f>
        <v>56.5</v>
      </c>
    </row>
    <row r="4" spans="1:14" ht="45" customHeight="1" x14ac:dyDescent="0.3">
      <c r="A4" s="8" t="s">
        <v>74</v>
      </c>
      <c r="B4" s="7" t="s">
        <v>80</v>
      </c>
      <c r="C4" s="7" t="s">
        <v>81</v>
      </c>
      <c r="D4" s="7" t="s">
        <v>47</v>
      </c>
      <c r="E4" s="6" t="str">
        <f>IFERROR(VLOOKUP(TRIM(D4),Catálogo!A:B,2,FALSE),"❌ No encontrado")</f>
        <v>Amoxicilina</v>
      </c>
      <c r="F4" s="7" t="str">
        <f>IFERROR(VLOOKUP(TRIM(D4),Catálogo!A:F,6,FALSE),"")</f>
        <v>B</v>
      </c>
      <c r="G4" t="str">
        <f ca="1">IFERROR(VLOOKUP(I4,Inventario_Lotes!$D:$J,7,FALSE),"No encontrado")</f>
        <v>✅ Activo</v>
      </c>
      <c r="H4" t="str">
        <f>IFERROR(VLOOKUP(C4,Proveedores!$A$2:$B$50,2,FALSE),"Definir")</f>
        <v xml:space="preserve">Compra Nacional </v>
      </c>
      <c r="I4" s="7" t="s">
        <v>70</v>
      </c>
      <c r="J4" s="6">
        <f>VLOOKUP(I4,Inventario_Lotes!$D:$J,2,FALSE)</f>
        <v>50000</v>
      </c>
      <c r="K4" s="13">
        <f>IFERROR(VLOOKUP(TRIM(D4),Catálogo!A:E,5,FALSE),"")</f>
        <v>0.25</v>
      </c>
      <c r="L4" s="9">
        <f>J4*K4</f>
        <v>12500</v>
      </c>
      <c r="M4" s="13">
        <f>L4*0.13</f>
        <v>1625</v>
      </c>
      <c r="N4" s="13">
        <f>L4+M4</f>
        <v>14125</v>
      </c>
    </row>
    <row r="5" spans="1:14" x14ac:dyDescent="0.3">
      <c r="A5" s="8">
        <v>45809</v>
      </c>
      <c r="B5" s="6" t="s">
        <v>186</v>
      </c>
      <c r="C5" s="7" t="s">
        <v>203</v>
      </c>
      <c r="D5" s="7" t="s">
        <v>51</v>
      </c>
      <c r="E5" s="6" t="str">
        <f>IFERROR(VLOOKUP(TRIM(D5),Catálogo!A:B,2,FALSE),"❌ No encontrado")</f>
        <v>Omeprazol</v>
      </c>
      <c r="F5" s="7" t="str">
        <f>IFERROR(VLOOKUP(TRIM(D5),Catálogo!A:F,6,FALSE),"")</f>
        <v>A</v>
      </c>
      <c r="G5" t="str">
        <f ca="1">IFERROR(VLOOKUP(I5,Inventario_Lotes!$D:$J,7,FALSE),"No encontrado")</f>
        <v>✅ Activo</v>
      </c>
      <c r="H5" t="str">
        <f>IFERROR(VLOOKUP(C5,Proveedores!$A$2:$B$50,2,FALSE),"Definir")</f>
        <v xml:space="preserve">Compra Nacional </v>
      </c>
      <c r="I5" s="7" t="s">
        <v>185</v>
      </c>
      <c r="J5" s="6">
        <f>VLOOKUP(I5,Inventario_Lotes!$D:$J,2,FALSE)</f>
        <v>10000</v>
      </c>
      <c r="K5" s="13">
        <f>IFERROR(VLOOKUP(TRIM(D5),Catálogo!A:E,5,FALSE),"")</f>
        <v>0.12</v>
      </c>
      <c r="L5" s="9">
        <f t="shared" ref="L5:L21" si="0">J5*K5</f>
        <v>1200</v>
      </c>
      <c r="M5" s="13">
        <f t="shared" ref="M5:M21" si="1">L5*0.13</f>
        <v>156</v>
      </c>
      <c r="N5" s="13">
        <f t="shared" ref="N5:N21" si="2">L5+M5</f>
        <v>1356</v>
      </c>
    </row>
    <row r="6" spans="1:14" x14ac:dyDescent="0.3">
      <c r="A6" s="8">
        <v>45723</v>
      </c>
      <c r="B6" s="7" t="s">
        <v>187</v>
      </c>
      <c r="C6" s="7" t="s">
        <v>204</v>
      </c>
      <c r="D6" s="7" t="s">
        <v>54</v>
      </c>
      <c r="E6" s="6" t="str">
        <f>IFERROR(VLOOKUP(TRIM(D6),Catálogo!A:B,2,FALSE),"❌ No encontrado")</f>
        <v>Losartán</v>
      </c>
      <c r="F6" s="7" t="str">
        <f>IFERROR(VLOOKUP(TRIM(D6),Catálogo!A:F,6,FALSE),"")</f>
        <v>A</v>
      </c>
      <c r="G6" t="str">
        <f ca="1">IFERROR(VLOOKUP(I6,Inventario_Lotes!$D:$J,7,FALSE),"No encontrado")</f>
        <v>❌ Agotado</v>
      </c>
      <c r="H6" t="str">
        <f>IFERROR(VLOOKUP(C6,Proveedores!$A$2:$B$50,2,FALSE),"Definir")</f>
        <v>Importación</v>
      </c>
      <c r="I6" s="7" t="s">
        <v>99</v>
      </c>
      <c r="J6" s="6">
        <f>VLOOKUP(I6,Inventario_Lotes!$D:$J,2,FALSE)</f>
        <v>8000</v>
      </c>
      <c r="K6" s="13">
        <f>IFERROR(VLOOKUP(TRIM(D6),Catálogo!A:E,5,FALSE),"")</f>
        <v>0.08</v>
      </c>
      <c r="L6" s="9">
        <f t="shared" si="0"/>
        <v>640</v>
      </c>
      <c r="M6" s="13">
        <f t="shared" si="1"/>
        <v>83.2</v>
      </c>
      <c r="N6" s="13">
        <f t="shared" si="2"/>
        <v>723.2</v>
      </c>
    </row>
    <row r="7" spans="1:14" x14ac:dyDescent="0.3">
      <c r="A7" s="8">
        <v>45787</v>
      </c>
      <c r="B7" s="7" t="s">
        <v>188</v>
      </c>
      <c r="C7" s="7" t="s">
        <v>205</v>
      </c>
      <c r="D7" s="7" t="s">
        <v>57</v>
      </c>
      <c r="E7" s="6" t="str">
        <f>IFERROR(VLOOKUP(TRIM(D7),Catálogo!A:B,2,FALSE),"❌ No encontrado")</f>
        <v>Metformina</v>
      </c>
      <c r="F7" s="7" t="str">
        <f>IFERROR(VLOOKUP(TRIM(D7),Catálogo!A:F,6,FALSE),"")</f>
        <v>A</v>
      </c>
      <c r="G7" t="str">
        <f ca="1">IFERROR(VLOOKUP(I7,Inventario_Lotes!$D:$J,7,FALSE),"No encontrado")</f>
        <v>✅ Activo</v>
      </c>
      <c r="H7" t="str">
        <f>IFERROR(VLOOKUP(C7,Proveedores!$A$2:$B$50,2,FALSE),"Definir")</f>
        <v xml:space="preserve">Compra Nacional </v>
      </c>
      <c r="I7" s="7" t="s">
        <v>103</v>
      </c>
      <c r="J7" s="6">
        <f>VLOOKUP(I7,Inventario_Lotes!$D:$J,2,FALSE)</f>
        <v>10000</v>
      </c>
      <c r="K7" s="13">
        <f>IFERROR(VLOOKUP(TRIM(D7),Catálogo!A:E,5,FALSE),"")</f>
        <v>0.06</v>
      </c>
      <c r="L7" s="9">
        <f t="shared" si="0"/>
        <v>600</v>
      </c>
      <c r="M7" s="13">
        <f t="shared" si="1"/>
        <v>78</v>
      </c>
      <c r="N7" s="13">
        <f t="shared" si="2"/>
        <v>678</v>
      </c>
    </row>
    <row r="8" spans="1:14" x14ac:dyDescent="0.3">
      <c r="A8" s="8">
        <v>45666</v>
      </c>
      <c r="B8" s="6" t="s">
        <v>189</v>
      </c>
      <c r="C8" s="6" t="s">
        <v>206</v>
      </c>
      <c r="D8" s="7" t="s">
        <v>60</v>
      </c>
      <c r="E8" s="6" t="str">
        <f>IFERROR(VLOOKUP(TRIM(D8),Catálogo!A:B,2,FALSE),"❌ No encontrado")</f>
        <v>Enalapril</v>
      </c>
      <c r="F8" s="7" t="str">
        <f>IFERROR(VLOOKUP(TRIM(D8),Catálogo!A:F,6,FALSE),"")</f>
        <v>A</v>
      </c>
      <c r="G8" t="str">
        <f ca="1">IFERROR(VLOOKUP(I8,Inventario_Lotes!$D:$J,7,FALSE),"No encontrado")</f>
        <v>✅ Activo</v>
      </c>
      <c r="H8" t="str">
        <f>IFERROR(VLOOKUP(C8,Proveedores!$A$2:$B$50,2,FALSE),"Definir")</f>
        <v xml:space="preserve">Compra Nacional </v>
      </c>
      <c r="I8" s="7" t="s">
        <v>104</v>
      </c>
      <c r="J8" s="6">
        <f>VLOOKUP(I8,Inventario_Lotes!$D:$J,2,FALSE)</f>
        <v>8000</v>
      </c>
      <c r="K8" s="13">
        <f>IFERROR(VLOOKUP(TRIM(D8),Catálogo!A:E,5,FALSE),"")</f>
        <v>0.05</v>
      </c>
      <c r="L8" s="9">
        <f t="shared" si="0"/>
        <v>400</v>
      </c>
      <c r="M8" s="13">
        <f t="shared" si="1"/>
        <v>52</v>
      </c>
      <c r="N8" s="13">
        <f t="shared" si="2"/>
        <v>452</v>
      </c>
    </row>
    <row r="9" spans="1:14" ht="28.8" x14ac:dyDescent="0.3">
      <c r="A9" s="8">
        <v>45856</v>
      </c>
      <c r="B9" s="7" t="s">
        <v>190</v>
      </c>
      <c r="C9" s="6" t="s">
        <v>207</v>
      </c>
      <c r="D9" s="7" t="s">
        <v>63</v>
      </c>
      <c r="E9" s="6" t="str">
        <f>IFERROR(VLOOKUP(TRIM(D9),Catálogo!A:B,2,FALSE),"❌ No encontrado")</f>
        <v>Ibuprofeno</v>
      </c>
      <c r="F9" s="7" t="str">
        <f>IFERROR(VLOOKUP(TRIM(D9),Catálogo!A:F,6,FALSE),"")</f>
        <v>B</v>
      </c>
      <c r="G9" t="str">
        <f ca="1">IFERROR(VLOOKUP(I9,Inventario_Lotes!$D:$J,7,FALSE),"No encontrado")</f>
        <v>✅ Activo</v>
      </c>
      <c r="H9" t="str">
        <f>IFERROR(VLOOKUP(C9,Proveedores!$A$2:$B$50,2,FALSE),"Definir")</f>
        <v xml:space="preserve">Compra Nacional </v>
      </c>
      <c r="I9" s="7" t="s">
        <v>105</v>
      </c>
      <c r="J9" s="6">
        <f>VLOOKUP(I9,Inventario_Lotes!$D:$J,2,FALSE)</f>
        <v>5000</v>
      </c>
      <c r="K9" s="13">
        <f>IFERROR(VLOOKUP(TRIM(D9),Catálogo!A:E,5,FALSE),"")</f>
        <v>0.03</v>
      </c>
      <c r="L9" s="9">
        <f t="shared" si="0"/>
        <v>150</v>
      </c>
      <c r="M9" s="13">
        <f t="shared" si="1"/>
        <v>19.5</v>
      </c>
      <c r="N9" s="13">
        <f t="shared" si="2"/>
        <v>169.5</v>
      </c>
    </row>
    <row r="10" spans="1:14" x14ac:dyDescent="0.3">
      <c r="A10" s="8">
        <v>45891</v>
      </c>
      <c r="B10" s="7" t="s">
        <v>191</v>
      </c>
      <c r="C10" s="6" t="s">
        <v>208</v>
      </c>
      <c r="D10" s="7" t="s">
        <v>106</v>
      </c>
      <c r="E10" s="6" t="str">
        <f>IFERROR(VLOOKUP(TRIM(D10),Catálogo!A:B,2,FALSE),"❌ No encontrado")</f>
        <v>Aspirina</v>
      </c>
      <c r="F10" s="7" t="str">
        <f>IFERROR(VLOOKUP(TRIM(D10),Catálogo!A:F,6,FALSE),"")</f>
        <v>B</v>
      </c>
      <c r="G10" t="str">
        <f ca="1">IFERROR(VLOOKUP(I10,Inventario_Lotes!$D:$J,7,FALSE),"No encontrado")</f>
        <v>✅ Activo</v>
      </c>
      <c r="H10" t="str">
        <f>IFERROR(VLOOKUP(C10,Proveedores!$A$2:$B$50,2,FALSE),"Definir")</f>
        <v xml:space="preserve">Compra Nacional </v>
      </c>
      <c r="I10" s="7" t="s">
        <v>108</v>
      </c>
      <c r="J10" s="6">
        <f>VLOOKUP(I10,Inventario_Lotes!$D:$J,2,FALSE)</f>
        <v>5000</v>
      </c>
      <c r="K10" s="13">
        <f>IFERROR(VLOOKUP(TRIM(D10),Catálogo!A:E,5,FALSE),"")</f>
        <v>0.4</v>
      </c>
      <c r="L10" s="9">
        <f t="shared" si="0"/>
        <v>2000</v>
      </c>
      <c r="M10" s="13">
        <f t="shared" si="1"/>
        <v>260</v>
      </c>
      <c r="N10" s="13">
        <f t="shared" si="2"/>
        <v>2260</v>
      </c>
    </row>
    <row r="11" spans="1:14" x14ac:dyDescent="0.3">
      <c r="A11" s="8">
        <v>45895</v>
      </c>
      <c r="B11" s="6" t="s">
        <v>192</v>
      </c>
      <c r="C11" s="6" t="s">
        <v>209</v>
      </c>
      <c r="D11" s="7" t="s">
        <v>111</v>
      </c>
      <c r="E11" s="6" t="str">
        <f>IFERROR(VLOOKUP(TRIM(D11),Catálogo!A:B,2,FALSE),"❌ No encontrado")</f>
        <v>Ácido Fólico</v>
      </c>
      <c r="F11" s="7" t="str">
        <f>IFERROR(VLOOKUP(TRIM(D11),Catálogo!A:F,6,FALSE),"")</f>
        <v>C</v>
      </c>
      <c r="G11" t="str">
        <f ca="1">IFERROR(VLOOKUP(I11,Inventario_Lotes!$D:$J,7,FALSE),"No encontrado")</f>
        <v>✅ Activo</v>
      </c>
      <c r="H11" t="str">
        <f>IFERROR(VLOOKUP(C11,Proveedores!$A$2:$B$50,2,FALSE),"Definir")</f>
        <v>Donación</v>
      </c>
      <c r="I11" s="7" t="s">
        <v>154</v>
      </c>
      <c r="J11" s="6">
        <f>VLOOKUP(I11,Inventario_Lotes!$D:$J,2,FALSE)</f>
        <v>6000</v>
      </c>
      <c r="K11" s="13">
        <f>IFERROR(VLOOKUP(TRIM(D11),Catálogo!A:E,5,FALSE),"")</f>
        <v>0.02</v>
      </c>
      <c r="L11" s="9">
        <f t="shared" si="0"/>
        <v>120</v>
      </c>
      <c r="M11" s="13">
        <f t="shared" si="1"/>
        <v>15.600000000000001</v>
      </c>
      <c r="N11" s="13">
        <f t="shared" si="2"/>
        <v>135.6</v>
      </c>
    </row>
    <row r="12" spans="1:14" x14ac:dyDescent="0.3">
      <c r="A12" s="8">
        <v>45898</v>
      </c>
      <c r="B12" s="7" t="s">
        <v>193</v>
      </c>
      <c r="C12" s="6" t="s">
        <v>210</v>
      </c>
      <c r="D12" s="7" t="s">
        <v>112</v>
      </c>
      <c r="E12" s="6" t="str">
        <f>IFERROR(VLOOKUP(TRIM(D12),Catálogo!A:B,2,FALSE),"❌ No encontrado")</f>
        <v>Hidrocortisona</v>
      </c>
      <c r="F12" s="7" t="str">
        <f>IFERROR(VLOOKUP(TRIM(D12),Catálogo!A:F,6,FALSE),"")</f>
        <v>A</v>
      </c>
      <c r="G12" t="str">
        <f ca="1">IFERROR(VLOOKUP(I12,Inventario_Lotes!$D:$J,7,FALSE),"No encontrado")</f>
        <v>✅ Activo</v>
      </c>
      <c r="H12" t="str">
        <f>IFERROR(VLOOKUP(C12,Proveedores!$A$2:$B$50,2,FALSE),"Definir")</f>
        <v xml:space="preserve">Compra Nacional </v>
      </c>
      <c r="I12" s="7" t="s">
        <v>155</v>
      </c>
      <c r="J12" s="6">
        <f>VLOOKUP(I12,Inventario_Lotes!$D:$J,2,FALSE)</f>
        <v>3000</v>
      </c>
      <c r="K12" s="13">
        <f>IFERROR(VLOOKUP(TRIM(D12),Catálogo!A:E,5,FALSE),"")</f>
        <v>0.85</v>
      </c>
      <c r="L12" s="9">
        <f t="shared" si="0"/>
        <v>2550</v>
      </c>
      <c r="M12" s="13">
        <f t="shared" si="1"/>
        <v>331.5</v>
      </c>
      <c r="N12" s="13">
        <f t="shared" si="2"/>
        <v>2881.5</v>
      </c>
    </row>
    <row r="13" spans="1:14" x14ac:dyDescent="0.3">
      <c r="A13" s="8">
        <v>45900</v>
      </c>
      <c r="B13" s="7" t="s">
        <v>194</v>
      </c>
      <c r="C13" s="6" t="s">
        <v>211</v>
      </c>
      <c r="D13" s="7" t="s">
        <v>113</v>
      </c>
      <c r="E13" s="6" t="str">
        <f>IFERROR(VLOOKUP(TRIM(D13),Catálogo!A:B,2,FALSE),"❌ No encontrado")</f>
        <v>Diclofenaco Sódico</v>
      </c>
      <c r="F13" s="7" t="str">
        <f>IFERROR(VLOOKUP(TRIM(D13),Catálogo!A:F,6,FALSE),"")</f>
        <v>B</v>
      </c>
      <c r="G13" t="str">
        <f ca="1">IFERROR(VLOOKUP(I13,Inventario_Lotes!$D:$J,7,FALSE),"No encontrado")</f>
        <v>✅ Activo</v>
      </c>
      <c r="H13" t="str">
        <f>IFERROR(VLOOKUP(C13,Proveedores!$A$2:$B$50,2,FALSE),"Definir")</f>
        <v>Importación</v>
      </c>
      <c r="I13" s="7" t="s">
        <v>156</v>
      </c>
      <c r="J13" s="6">
        <f>VLOOKUP(I13,Inventario_Lotes!$D:$J,2,FALSE)</f>
        <v>20000</v>
      </c>
      <c r="K13" s="13">
        <f>IFERROR(VLOOKUP(TRIM(D13),Catálogo!A:E,5,FALSE),"")</f>
        <v>0.05</v>
      </c>
      <c r="L13" s="9">
        <f t="shared" si="0"/>
        <v>1000</v>
      </c>
      <c r="M13" s="13">
        <f t="shared" si="1"/>
        <v>130</v>
      </c>
      <c r="N13" s="13">
        <f t="shared" si="2"/>
        <v>1130</v>
      </c>
    </row>
    <row r="14" spans="1:14" x14ac:dyDescent="0.3">
      <c r="A14" s="8">
        <v>45901</v>
      </c>
      <c r="B14" s="6" t="s">
        <v>195</v>
      </c>
      <c r="C14" s="6" t="s">
        <v>212</v>
      </c>
      <c r="D14" s="7" t="s">
        <v>114</v>
      </c>
      <c r="E14" s="6" t="str">
        <f>IFERROR(VLOOKUP(TRIM(D14),Catálogo!A:B,2,FALSE),"❌ No encontrado")</f>
        <v>Clorfenamina</v>
      </c>
      <c r="F14" s="7" t="str">
        <f>IFERROR(VLOOKUP(TRIM(D14),Catálogo!A:F,6,FALSE),"")</f>
        <v>C</v>
      </c>
      <c r="G14" t="str">
        <f ca="1">IFERROR(VLOOKUP(I14,Inventario_Lotes!$D:$J,7,FALSE),"No encontrado")</f>
        <v>✅ Activo</v>
      </c>
      <c r="H14" t="str">
        <f>IFERROR(VLOOKUP(C14,Proveedores!$A$2:$B$50,2,FALSE),"Definir")</f>
        <v>Importación</v>
      </c>
      <c r="I14" s="7" t="s">
        <v>157</v>
      </c>
      <c r="J14" s="6">
        <f>VLOOKUP(I14,Inventario_Lotes!$D:$J,2,FALSE)</f>
        <v>8000</v>
      </c>
      <c r="K14" s="13">
        <f>IFERROR(VLOOKUP(TRIM(D14),Catálogo!A:E,5,FALSE),"")</f>
        <v>0.02</v>
      </c>
      <c r="L14" s="9">
        <f t="shared" si="0"/>
        <v>160</v>
      </c>
      <c r="M14" s="13">
        <f t="shared" si="1"/>
        <v>20.8</v>
      </c>
      <c r="N14" s="13">
        <f t="shared" si="2"/>
        <v>180.8</v>
      </c>
    </row>
    <row r="15" spans="1:14" x14ac:dyDescent="0.3">
      <c r="A15" s="8">
        <v>45904</v>
      </c>
      <c r="B15" s="7" t="s">
        <v>196</v>
      </c>
      <c r="C15" s="6" t="s">
        <v>213</v>
      </c>
      <c r="D15" s="7" t="s">
        <v>115</v>
      </c>
      <c r="E15" s="6" t="str">
        <f>IFERROR(VLOOKUP(TRIM(D15),Catálogo!A:B,2,FALSE),"❌ No encontrado")</f>
        <v>Loratadina</v>
      </c>
      <c r="F15" s="7" t="str">
        <f>IFERROR(VLOOKUP(TRIM(D15),Catálogo!A:F,6,FALSE),"")</f>
        <v>C</v>
      </c>
      <c r="G15" t="str">
        <f ca="1">IFERROR(VLOOKUP(I15,Inventario_Lotes!$D:$J,7,FALSE),"No encontrado")</f>
        <v>✅ Activo</v>
      </c>
      <c r="H15" t="str">
        <f>IFERROR(VLOOKUP(C15,Proveedores!$A$2:$B$50,2,FALSE),"Definir")</f>
        <v xml:space="preserve">Compra Nacional </v>
      </c>
      <c r="I15" s="7" t="s">
        <v>158</v>
      </c>
      <c r="J15" s="6">
        <f>VLOOKUP(I15,Inventario_Lotes!$D:$J,2,FALSE)</f>
        <v>10000</v>
      </c>
      <c r="K15" s="13">
        <f>IFERROR(VLOOKUP(TRIM(D15),Catálogo!A:E,5,FALSE),"")</f>
        <v>0.04</v>
      </c>
      <c r="L15" s="9">
        <f t="shared" si="0"/>
        <v>400</v>
      </c>
      <c r="M15" s="13">
        <f t="shared" si="1"/>
        <v>52</v>
      </c>
      <c r="N15" s="13">
        <f t="shared" si="2"/>
        <v>452</v>
      </c>
    </row>
    <row r="16" spans="1:14" ht="28.8" x14ac:dyDescent="0.3">
      <c r="A16" s="8">
        <v>45690</v>
      </c>
      <c r="B16" s="7" t="s">
        <v>197</v>
      </c>
      <c r="C16" s="6" t="s">
        <v>214</v>
      </c>
      <c r="D16" s="7" t="s">
        <v>116</v>
      </c>
      <c r="E16" s="6" t="str">
        <f>IFERROR(VLOOKUP(TRIM(D16),Catálogo!A:B,2,FALSE),"❌ No encontrado")</f>
        <v>Amiodarona</v>
      </c>
      <c r="F16" s="7" t="str">
        <f>IFERROR(VLOOKUP(TRIM(D16),Catálogo!A:F,6,FALSE),"")</f>
        <v>A</v>
      </c>
      <c r="G16" t="str">
        <f ca="1">IFERROR(VLOOKUP(I16,Inventario_Lotes!$D:$J,7,FALSE),"No encontrado")</f>
        <v>✅ Activo</v>
      </c>
      <c r="H16" t="str">
        <f>IFERROR(VLOOKUP(C16,Proveedores!$A$2:$B$50,2,FALSE),"Definir")</f>
        <v>Importación</v>
      </c>
      <c r="I16" s="7" t="s">
        <v>159</v>
      </c>
      <c r="J16" s="6">
        <f>VLOOKUP(I16,Inventario_Lotes!$D:$J,2,FALSE)</f>
        <v>3000</v>
      </c>
      <c r="K16" s="13">
        <f>IFERROR(VLOOKUP(TRIM(D16),Catálogo!A:E,5,FALSE),"")</f>
        <v>0.65</v>
      </c>
      <c r="L16" s="9">
        <f t="shared" si="0"/>
        <v>1950</v>
      </c>
      <c r="M16" s="13">
        <f t="shared" si="1"/>
        <v>253.5</v>
      </c>
      <c r="N16" s="13">
        <f t="shared" si="2"/>
        <v>2203.5</v>
      </c>
    </row>
    <row r="17" spans="1:14" x14ac:dyDescent="0.3">
      <c r="A17" s="8">
        <v>45908</v>
      </c>
      <c r="B17" s="6" t="s">
        <v>198</v>
      </c>
      <c r="C17" s="6" t="s">
        <v>215</v>
      </c>
      <c r="D17" s="7" t="s">
        <v>117</v>
      </c>
      <c r="E17" s="6" t="str">
        <f>IFERROR(VLOOKUP(TRIM(D17),Catálogo!A:B,2,FALSE),"❌ No encontrado")</f>
        <v>Furosemida</v>
      </c>
      <c r="F17" s="7" t="str">
        <f>IFERROR(VLOOKUP(TRIM(D17),Catálogo!A:F,6,FALSE),"")</f>
        <v>B</v>
      </c>
      <c r="G17" t="str">
        <f ca="1">IFERROR(VLOOKUP(I17,Inventario_Lotes!$D:$J,7,FALSE),"No encontrado")</f>
        <v>✅ Activo</v>
      </c>
      <c r="H17" t="str">
        <f>IFERROR(VLOOKUP(C17,Proveedores!$A$2:$B$50,2,FALSE),"Definir")</f>
        <v>Donación</v>
      </c>
      <c r="I17" s="7" t="s">
        <v>160</v>
      </c>
      <c r="J17" s="6">
        <f>VLOOKUP(I17,Inventario_Lotes!$D:$J,2,FALSE)</f>
        <v>10000</v>
      </c>
      <c r="K17" s="13">
        <f>IFERROR(VLOOKUP(TRIM(D17),Catálogo!A:E,5,FALSE),"")</f>
        <v>0.09</v>
      </c>
      <c r="L17" s="9">
        <f t="shared" si="0"/>
        <v>900</v>
      </c>
      <c r="M17" s="13">
        <f t="shared" si="1"/>
        <v>117</v>
      </c>
      <c r="N17" s="13">
        <f t="shared" si="2"/>
        <v>1017</v>
      </c>
    </row>
    <row r="18" spans="1:14" x14ac:dyDescent="0.3">
      <c r="A18" s="8">
        <v>45925</v>
      </c>
      <c r="B18" s="7" t="s">
        <v>199</v>
      </c>
      <c r="C18" s="6" t="s">
        <v>216</v>
      </c>
      <c r="D18" s="7" t="s">
        <v>118</v>
      </c>
      <c r="E18" s="6" t="str">
        <f>IFERROR(VLOOKUP(TRIM(D18),Catálogo!A:B,2,FALSE),"❌ No encontrado")</f>
        <v>Prednisona</v>
      </c>
      <c r="F18" s="7" t="str">
        <f>IFERROR(VLOOKUP(TRIM(D18),Catálogo!A:F,6,FALSE),"")</f>
        <v>B</v>
      </c>
      <c r="G18" t="str">
        <f ca="1">IFERROR(VLOOKUP(I18,Inventario_Lotes!$D:$J,7,FALSE),"No encontrado")</f>
        <v>⚠️ Por Vencer</v>
      </c>
      <c r="H18" t="str">
        <f>IFERROR(VLOOKUP(C18,Proveedores!$A$2:$B$50,2,FALSE),"Definir")</f>
        <v>Donación</v>
      </c>
      <c r="I18" s="7" t="s">
        <v>161</v>
      </c>
      <c r="J18" s="6">
        <f>VLOOKUP(I18,Inventario_Lotes!$D:$J,2,FALSE)</f>
        <v>8000</v>
      </c>
      <c r="K18" s="13">
        <f>IFERROR(VLOOKUP(TRIM(D18),Catálogo!A:E,5,FALSE),"")</f>
        <v>0.06</v>
      </c>
      <c r="L18" s="9">
        <f t="shared" si="0"/>
        <v>480</v>
      </c>
      <c r="M18" s="13">
        <f t="shared" si="1"/>
        <v>62.400000000000006</v>
      </c>
      <c r="N18" s="13">
        <f t="shared" si="2"/>
        <v>542.4</v>
      </c>
    </row>
    <row r="19" spans="1:14" x14ac:dyDescent="0.3">
      <c r="A19" s="8">
        <v>45931</v>
      </c>
      <c r="B19" s="7" t="s">
        <v>200</v>
      </c>
      <c r="C19" s="6" t="s">
        <v>217</v>
      </c>
      <c r="D19" s="7" t="s">
        <v>119</v>
      </c>
      <c r="E19" s="6" t="str">
        <f>IFERROR(VLOOKUP(TRIM(D19),Catálogo!A:B,2,FALSE),"❌ No encontrado")</f>
        <v>Eritromicina</v>
      </c>
      <c r="F19" s="7" t="str">
        <f>IFERROR(VLOOKUP(TRIM(D19),Catálogo!A:F,6,FALSE),"")</f>
        <v>B</v>
      </c>
      <c r="G19" t="str">
        <f ca="1">IFERROR(VLOOKUP(I19,Inventario_Lotes!$D:$J,7,FALSE),"No encontrado")</f>
        <v>✅ Activo</v>
      </c>
      <c r="H19" t="str">
        <f>IFERROR(VLOOKUP(C19,Proveedores!$A$2:$B$50,2,FALSE),"Definir")</f>
        <v xml:space="preserve">Compra Nacional </v>
      </c>
      <c r="I19" s="7" t="s">
        <v>162</v>
      </c>
      <c r="J19" s="6">
        <f>VLOOKUP(I19,Inventario_Lotes!$D:$J,2,FALSE)</f>
        <v>6000</v>
      </c>
      <c r="K19" s="13">
        <f>IFERROR(VLOOKUP(TRIM(D19),Catálogo!A:E,5,FALSE),"")</f>
        <v>0.22</v>
      </c>
      <c r="L19" s="9">
        <f t="shared" si="0"/>
        <v>1320</v>
      </c>
      <c r="M19" s="13">
        <f t="shared" si="1"/>
        <v>171.6</v>
      </c>
      <c r="N19" s="13">
        <f t="shared" si="2"/>
        <v>1491.6</v>
      </c>
    </row>
    <row r="20" spans="1:14" x14ac:dyDescent="0.3">
      <c r="A20" s="8">
        <v>45934</v>
      </c>
      <c r="B20" s="6" t="s">
        <v>201</v>
      </c>
      <c r="C20" s="6" t="s">
        <v>218</v>
      </c>
      <c r="D20" s="7" t="s">
        <v>120</v>
      </c>
      <c r="E20" s="6" t="str">
        <f>IFERROR(VLOOKUP(TRIM(D20),Catálogo!A:B,2,FALSE),"❌ No encontrado")</f>
        <v>Ranitidina</v>
      </c>
      <c r="F20" s="7" t="str">
        <f>IFERROR(VLOOKUP(TRIM(D20),Catálogo!A:F,6,FALSE),"")</f>
        <v>B</v>
      </c>
      <c r="G20" t="str">
        <f ca="1">IFERROR(VLOOKUP(I20,Inventario_Lotes!$D:$J,7,FALSE),"No encontrado")</f>
        <v>⚠️ Por Vencer</v>
      </c>
      <c r="H20" t="str">
        <f>IFERROR(VLOOKUP(C20,Proveedores!$A$2:$B$50,2,FALSE),"Definir")</f>
        <v xml:space="preserve">Compra Nacional </v>
      </c>
      <c r="I20" s="7" t="s">
        <v>163</v>
      </c>
      <c r="J20" s="6">
        <f>VLOOKUP(I20,Inventario_Lotes!$D:$J,2,FALSE)</f>
        <v>7000</v>
      </c>
      <c r="K20" s="13">
        <f>IFERROR(VLOOKUP(TRIM(D20),Catálogo!A:E,5,FALSE),"")</f>
        <v>0.11</v>
      </c>
      <c r="L20" s="9">
        <f t="shared" si="0"/>
        <v>770</v>
      </c>
      <c r="M20" s="13">
        <f t="shared" si="1"/>
        <v>100.10000000000001</v>
      </c>
      <c r="N20" s="13">
        <f t="shared" si="2"/>
        <v>870.1</v>
      </c>
    </row>
    <row r="21" spans="1:14" x14ac:dyDescent="0.3">
      <c r="A21" s="8">
        <v>45956</v>
      </c>
      <c r="B21" s="7" t="s">
        <v>202</v>
      </c>
      <c r="C21" s="6" t="s">
        <v>219</v>
      </c>
      <c r="D21" s="7" t="s">
        <v>121</v>
      </c>
      <c r="E21" s="6" t="str">
        <f>IFERROR(VLOOKUP(TRIM(D21),Catálogo!A:B,2,FALSE),"❌ No encontrado")</f>
        <v>Ketorolaco</v>
      </c>
      <c r="F21" s="7" t="str">
        <f>IFERROR(VLOOKUP(TRIM(D21),Catálogo!A:F,6,FALSE),"")</f>
        <v>A</v>
      </c>
      <c r="G21" t="str">
        <f ca="1">IFERROR(VLOOKUP(I21,Inventario_Lotes!$D:$J,7,FALSE),"No encontrado")</f>
        <v>✅ Activo</v>
      </c>
      <c r="H21" t="str">
        <f>IFERROR(VLOOKUP(C21,Proveedores!$A$2:$B$50,2,FALSE),"Definir")</f>
        <v>Importación</v>
      </c>
      <c r="I21" s="7" t="s">
        <v>164</v>
      </c>
      <c r="J21" s="6">
        <f>VLOOKUP(I21,Inventario_Lotes!$D:$J,2,FALSE)</f>
        <v>4000</v>
      </c>
      <c r="K21" s="13">
        <f>IFERROR(VLOOKUP(TRIM(D21),Catálogo!A:E,5,FALSE),"")</f>
        <v>1.2</v>
      </c>
      <c r="L21" s="9">
        <f t="shared" si="0"/>
        <v>4800</v>
      </c>
      <c r="M21" s="13">
        <f t="shared" si="1"/>
        <v>624</v>
      </c>
      <c r="N21" s="13">
        <f t="shared" si="2"/>
        <v>5424</v>
      </c>
    </row>
    <row r="22" spans="1:14" x14ac:dyDescent="0.3">
      <c r="C22" s="6"/>
    </row>
    <row r="23" spans="1:14" x14ac:dyDescent="0.3">
      <c r="C23" s="6"/>
    </row>
    <row r="24" spans="1:14" x14ac:dyDescent="0.3">
      <c r="C24" s="6"/>
    </row>
    <row r="25" spans="1:14" x14ac:dyDescent="0.3">
      <c r="C25" s="6"/>
    </row>
    <row r="26" spans="1:14" x14ac:dyDescent="0.3">
      <c r="C26" s="6"/>
      <c r="D26" s="25"/>
    </row>
    <row r="27" spans="1:14" x14ac:dyDescent="0.3">
      <c r="C27" s="6"/>
      <c r="D27" s="24"/>
    </row>
    <row r="28" spans="1:14" x14ac:dyDescent="0.3">
      <c r="C28" s="6"/>
      <c r="D28" s="24"/>
    </row>
    <row r="29" spans="1:14" x14ac:dyDescent="0.3">
      <c r="C29" s="6"/>
      <c r="D29" s="24"/>
    </row>
    <row r="30" spans="1:14" x14ac:dyDescent="0.3">
      <c r="C30" s="6"/>
      <c r="D30" s="24"/>
    </row>
    <row r="31" spans="1:14" x14ac:dyDescent="0.3">
      <c r="C31" s="6"/>
      <c r="D31" s="24"/>
    </row>
    <row r="32" spans="1:14" x14ac:dyDescent="0.3">
      <c r="C32" s="6"/>
      <c r="D32" s="24"/>
    </row>
    <row r="33" spans="3:4" x14ac:dyDescent="0.3">
      <c r="C33" s="6"/>
      <c r="D33" s="24"/>
    </row>
    <row r="34" spans="3:4" x14ac:dyDescent="0.3">
      <c r="C34" s="6"/>
      <c r="D34" s="24"/>
    </row>
    <row r="35" spans="3:4" x14ac:dyDescent="0.3">
      <c r="C35" s="6"/>
      <c r="D35" s="24"/>
    </row>
    <row r="36" spans="3:4" x14ac:dyDescent="0.3">
      <c r="C36" s="6"/>
      <c r="D36" s="24"/>
    </row>
    <row r="37" spans="3:4" x14ac:dyDescent="0.3">
      <c r="C37" s="6"/>
      <c r="D37" s="24"/>
    </row>
    <row r="38" spans="3:4" x14ac:dyDescent="0.3">
      <c r="C38" s="6"/>
      <c r="D38" s="24"/>
    </row>
    <row r="39" spans="3:4" x14ac:dyDescent="0.3">
      <c r="C39" s="6"/>
      <c r="D39" s="24"/>
    </row>
    <row r="40" spans="3:4" x14ac:dyDescent="0.3">
      <c r="C40" s="6"/>
      <c r="D40" s="24"/>
    </row>
    <row r="41" spans="3:4" x14ac:dyDescent="0.3">
      <c r="C41" s="6"/>
      <c r="D41" s="24"/>
    </row>
    <row r="42" spans="3:4" x14ac:dyDescent="0.3">
      <c r="C42" s="6"/>
      <c r="D42" s="24"/>
    </row>
    <row r="43" spans="3:4" x14ac:dyDescent="0.3">
      <c r="C43" s="6"/>
      <c r="D43" s="24"/>
    </row>
    <row r="44" spans="3:4" x14ac:dyDescent="0.3">
      <c r="C44" s="6"/>
      <c r="D44" s="24"/>
    </row>
    <row r="45" spans="3:4" x14ac:dyDescent="0.3">
      <c r="C45" s="6"/>
      <c r="D45" s="24"/>
    </row>
    <row r="46" spans="3:4" x14ac:dyDescent="0.3">
      <c r="C46" s="6"/>
      <c r="D46" s="24"/>
    </row>
    <row r="47" spans="3:4" x14ac:dyDescent="0.3">
      <c r="C47" s="6"/>
      <c r="D47" s="24"/>
    </row>
    <row r="48" spans="3:4" x14ac:dyDescent="0.3">
      <c r="C48" s="6"/>
      <c r="D48" s="24"/>
    </row>
    <row r="49" spans="3:4" x14ac:dyDescent="0.3">
      <c r="C49" s="6"/>
      <c r="D49" s="24"/>
    </row>
    <row r="50" spans="3:4" x14ac:dyDescent="0.3">
      <c r="C50" s="6"/>
      <c r="D50" s="24"/>
    </row>
  </sheetData>
  <phoneticPr fontId="4" type="noConversion"/>
  <conditionalFormatting sqref="I1:I1048576">
    <cfRule type="expression" dxfId="0" priority="1">
      <formula>COUNTIF($I:$I,$I2)&gt;1</formula>
    </cfRule>
  </conditionalFormatting>
  <dataValidations xWindow="297" yWindow="552" count="2">
    <dataValidation type="list" allowBlank="1" showInputMessage="1" showErrorMessage="1" sqref="H1 H22:H1048576" xr:uid="{686DBFA1-C80C-496C-BA5C-AB31C0E516A4}">
      <mc:AlternateContent xmlns:x12ac="http://schemas.microsoft.com/office/spreadsheetml/2011/1/ac" xmlns:mc="http://schemas.openxmlformats.org/markup-compatibility/2006">
        <mc:Choice Requires="x12ac">
          <x12ac:list>"Compra nacional,Importación,Donación,Transferencia interna"</x12ac:list>
        </mc:Choice>
        <mc:Fallback>
          <formula1>"Compra nacional,Importación,Donación,Transferencia interna"</formula1>
        </mc:Fallback>
      </mc:AlternateContent>
    </dataValidation>
    <dataValidation type="list" allowBlank="1" showInputMessage="1" showErrorMessage="1" sqref="G1:G1048576" xr:uid="{21E2CE70-04A8-4F0D-B15F-E8C254A65392}">
      <formula1>"Activo,Por vencer,Agotado,Vencido"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297" yWindow="552" count="1">
        <x14:dataValidation type="list" allowBlank="1" showInputMessage="1" showErrorMessage="1" promptTitle="Información" prompt="Seleccione un proveedor de la lista desplegable_x000a_" xr:uid="{A9F84819-7B50-49AE-80F5-B98886E7A693}">
          <x14:formula1>
            <xm:f>Proveedores!$A$2:$A$21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A125-C20F-4A67-8AC4-5554B9900DC5}">
  <dimension ref="A1:J2"/>
  <sheetViews>
    <sheetView tabSelected="1" topLeftCell="D1" workbookViewId="0">
      <selection activeCell="G3" sqref="G3"/>
    </sheetView>
  </sheetViews>
  <sheetFormatPr baseColWidth="10" defaultRowHeight="14.4" x14ac:dyDescent="0.3"/>
  <cols>
    <col min="1" max="1" width="15.6640625" style="7" customWidth="1"/>
    <col min="2" max="2" width="23.21875" style="7" customWidth="1"/>
    <col min="3" max="3" width="18.77734375" style="7" customWidth="1"/>
    <col min="4" max="4" width="20.88671875" style="7" customWidth="1"/>
    <col min="5" max="5" width="35.21875" style="7" customWidth="1"/>
    <col min="6" max="6" width="11.5546875" style="7"/>
    <col min="7" max="7" width="21.33203125" style="7" customWidth="1"/>
    <col min="8" max="8" width="20.77734375" style="20" customWidth="1"/>
    <col min="9" max="9" width="17.88671875" style="9" customWidth="1"/>
    <col min="10" max="16384" width="11.5546875" style="7"/>
  </cols>
  <sheetData>
    <row r="1" spans="1:10" x14ac:dyDescent="0.3">
      <c r="A1" s="7" t="s">
        <v>16</v>
      </c>
      <c r="B1" s="7" t="s">
        <v>24</v>
      </c>
      <c r="C1" s="7" t="s">
        <v>25</v>
      </c>
      <c r="D1" s="7" t="s">
        <v>9</v>
      </c>
      <c r="E1" s="7" t="s">
        <v>10</v>
      </c>
      <c r="F1" s="7" t="s">
        <v>11</v>
      </c>
      <c r="G1" s="7" t="s">
        <v>230</v>
      </c>
      <c r="H1" s="20" t="s">
        <v>15</v>
      </c>
      <c r="I1" s="9" t="s">
        <v>23</v>
      </c>
      <c r="J1" s="7" t="s">
        <v>26</v>
      </c>
    </row>
    <row r="2" spans="1:10" ht="28.8" x14ac:dyDescent="0.3">
      <c r="A2" s="12">
        <v>45889</v>
      </c>
      <c r="B2" s="6" t="s">
        <v>82</v>
      </c>
      <c r="C2" s="6" t="s">
        <v>83</v>
      </c>
      <c r="D2" s="6" t="s">
        <v>37</v>
      </c>
      <c r="E2" s="6" t="str">
        <f>VLOOKUP(D2,Catálogo!A:B,2,0)</f>
        <v>Insulina NPH</v>
      </c>
      <c r="F2" s="6" t="s">
        <v>67</v>
      </c>
      <c r="G2" s="6">
        <v>300</v>
      </c>
      <c r="H2" s="21">
        <f>IFERROR(VLOOKUP(TRIM(F2),Inventario_Lotes!D:I,6,FALSE),"❌ No encontrado")</f>
        <v>40</v>
      </c>
      <c r="I2" s="13">
        <f>IFERROR(G2*H2,"")</f>
        <v>12000</v>
      </c>
      <c r="J2" s="6" t="s">
        <v>84</v>
      </c>
    </row>
  </sheetData>
  <dataValidations xWindow="466" yWindow="398" count="1">
    <dataValidation type="list" allowBlank="1" showInputMessage="1" showErrorMessage="1" promptTitle="Información" prompt="Selecciona un hospital de la lista_x000a_" sqref="C1 C3:C1048576 C2" xr:uid="{D3FF73A7-D5C0-45CA-8938-FE6BDF48DE42}">
      <formula1>"Hospital Rosales,Hospital Bloom,Hospital San Rafael,Hospital Nacional Santa Ana,Hospital Nacional Sonsonate,Hospital Nacional San Miguel,Hospital de Maternidad, Hospital Nuestra Señora de Fátima"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B441-4330-4DE7-BF4C-33686CF5BC29}">
  <dimension ref="A1:G11"/>
  <sheetViews>
    <sheetView workbookViewId="0">
      <selection activeCell="F18" sqref="F18"/>
    </sheetView>
  </sheetViews>
  <sheetFormatPr baseColWidth="10" defaultRowHeight="14.4" x14ac:dyDescent="0.3"/>
  <cols>
    <col min="1" max="1" width="21.33203125" style="7" customWidth="1"/>
    <col min="2" max="2" width="33.6640625" style="7" customWidth="1"/>
    <col min="3" max="3" width="32.88671875" customWidth="1"/>
    <col min="4" max="4" width="41.77734375" customWidth="1"/>
    <col min="5" max="5" width="17" customWidth="1"/>
    <col min="6" max="6" width="19.44140625" style="2" customWidth="1"/>
    <col min="7" max="7" width="18.5546875" style="14" customWidth="1"/>
  </cols>
  <sheetData>
    <row r="1" spans="1:7" x14ac:dyDescent="0.3">
      <c r="A1" s="7" t="s">
        <v>16</v>
      </c>
      <c r="B1" s="7" t="s">
        <v>27</v>
      </c>
      <c r="C1" t="s">
        <v>28</v>
      </c>
      <c r="D1" t="s">
        <v>29</v>
      </c>
      <c r="E1" t="s">
        <v>9</v>
      </c>
      <c r="F1" s="2" t="s">
        <v>30</v>
      </c>
      <c r="G1" s="14" t="s">
        <v>31</v>
      </c>
    </row>
    <row r="2" spans="1:7" s="18" customFormat="1" ht="28.8" customHeight="1" x14ac:dyDescent="0.3"/>
    <row r="3" spans="1:7" x14ac:dyDescent="0.3">
      <c r="A3" s="7" t="s">
        <v>69</v>
      </c>
      <c r="B3" s="7">
        <v>1</v>
      </c>
      <c r="C3" t="s">
        <v>85</v>
      </c>
      <c r="D3" t="s">
        <v>86</v>
      </c>
      <c r="E3" t="s">
        <v>37</v>
      </c>
      <c r="F3" s="2">
        <f>IFERROR(VLOOKUP(E3,Libro_Compras!D:N,7,FALSE),0)</f>
        <v>1000</v>
      </c>
      <c r="G3" s="14">
        <f>IFERROR(VLOOKUP(D3,Libro_Compras!E:N,10,FALSE),0)</f>
        <v>0</v>
      </c>
    </row>
    <row r="4" spans="1:7" x14ac:dyDescent="0.3">
      <c r="A4" s="8">
        <v>45884</v>
      </c>
      <c r="B4" s="7">
        <v>1</v>
      </c>
      <c r="C4" t="s">
        <v>85</v>
      </c>
      <c r="D4" t="s">
        <v>88</v>
      </c>
      <c r="E4" t="s">
        <v>37</v>
      </c>
      <c r="F4" s="2">
        <f>IFERROR(VLOOKUP(E4,Libro_Compras!D:N,8,FALSE),0)</f>
        <v>40</v>
      </c>
      <c r="G4" s="14" t="s">
        <v>87</v>
      </c>
    </row>
    <row r="5" spans="1:7" x14ac:dyDescent="0.3">
      <c r="A5" s="7" t="s">
        <v>69</v>
      </c>
      <c r="B5" s="7">
        <v>1</v>
      </c>
      <c r="C5" t="s">
        <v>85</v>
      </c>
      <c r="D5" s="14" t="s">
        <v>97</v>
      </c>
      <c r="E5" t="s">
        <v>37</v>
      </c>
      <c r="G5" s="14">
        <f>IFERROR(VLOOKUP(E5,Libro_Compras!D:N,9,FALSE),0)</f>
        <v>40000</v>
      </c>
    </row>
    <row r="10" spans="1:7" x14ac:dyDescent="0.3">
      <c r="A10" s="7" t="s">
        <v>89</v>
      </c>
      <c r="B10" s="7">
        <v>2</v>
      </c>
      <c r="C10" t="s">
        <v>90</v>
      </c>
      <c r="D10" s="2" t="s">
        <v>91</v>
      </c>
      <c r="E10" t="s">
        <v>37</v>
      </c>
      <c r="F10" s="2">
        <f>IFERROR(VLOOKUP(E10,Libro_Salidas!D:I,6,FALSE),0)</f>
        <v>12000</v>
      </c>
    </row>
    <row r="11" spans="1:7" x14ac:dyDescent="0.3">
      <c r="A11" s="7" t="s">
        <v>89</v>
      </c>
      <c r="B11" s="5">
        <v>2</v>
      </c>
      <c r="C11" t="s">
        <v>90</v>
      </c>
      <c r="D11" s="2" t="s">
        <v>86</v>
      </c>
      <c r="E11" t="s">
        <v>37</v>
      </c>
      <c r="G11" s="14">
        <f>IFERROR(VLOOKUP(E11,Libro_Salidas!D:I,6,FALSE),0)</f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1B02-BE0B-4327-81D5-8BE0DAD935BE}">
  <dimension ref="A1:F7"/>
  <sheetViews>
    <sheetView zoomScale="118" workbookViewId="0">
      <selection activeCell="E1" sqref="E1:E1048576"/>
    </sheetView>
  </sheetViews>
  <sheetFormatPr baseColWidth="10" defaultRowHeight="14.4" x14ac:dyDescent="0.3"/>
  <cols>
    <col min="1" max="1" width="32.33203125" customWidth="1"/>
    <col min="2" max="2" width="28.6640625" style="4" customWidth="1"/>
    <col min="3" max="3" width="45.109375" customWidth="1"/>
    <col min="4" max="4" width="12.33203125" style="2" bestFit="1" customWidth="1"/>
    <col min="5" max="5" width="11.5546875" style="2"/>
  </cols>
  <sheetData>
    <row r="1" spans="1:6" x14ac:dyDescent="0.3">
      <c r="A1" t="s">
        <v>29</v>
      </c>
      <c r="B1" s="4" t="s">
        <v>16</v>
      </c>
      <c r="C1" t="s">
        <v>32</v>
      </c>
      <c r="D1" s="2" t="s">
        <v>33</v>
      </c>
      <c r="E1" s="2" t="s">
        <v>31</v>
      </c>
      <c r="F1" t="s">
        <v>87</v>
      </c>
    </row>
    <row r="2" spans="1:6" ht="39" customHeight="1" x14ac:dyDescent="0.3">
      <c r="A2" s="16" t="s">
        <v>92</v>
      </c>
    </row>
    <row r="3" spans="1:6" ht="31.8" customHeight="1" x14ac:dyDescent="0.3">
      <c r="B3" s="8">
        <v>45884</v>
      </c>
      <c r="C3" s="7" t="str">
        <f>IF(D3&gt;0,"Compra de medicamentos",IF(E3&gt;0,"Despacho de medicamentos",""))</f>
        <v>Compra de medicamentos</v>
      </c>
      <c r="D3" s="2">
        <f>IFERROR(VLOOKUP(B3,Libro_Compras!A:N,12,FALSE),0)</f>
        <v>40000</v>
      </c>
      <c r="E3" s="2">
        <f>IFERROR(VLOOKUP(B3,Libro_Salidas!A:J,9,FALSE),0)</f>
        <v>0</v>
      </c>
      <c r="F3" s="22">
        <f xml:space="preserve"> D3 - E3</f>
        <v>40000</v>
      </c>
    </row>
    <row r="4" spans="1:6" x14ac:dyDescent="0.3">
      <c r="B4" s="8">
        <v>45885</v>
      </c>
      <c r="C4" s="7" t="str">
        <f t="shared" ref="C4:C5" si="0">IF(D4&gt;0,"Compra de medicamentos",IF(E4&gt;0,"Despacho de medicamentos",""))</f>
        <v/>
      </c>
      <c r="D4" s="2">
        <f>IFERROR(VLOOKUP(B4,Libro_Compras!A:N,12,FALSE),0)</f>
        <v>0</v>
      </c>
      <c r="E4" s="2">
        <f>IFERROR(VLOOKUP(B4,Libro_Salidas!A:J,9,FALSE),0)</f>
        <v>0</v>
      </c>
      <c r="F4" s="22">
        <f xml:space="preserve"> F3 + D4 - E4</f>
        <v>40000</v>
      </c>
    </row>
    <row r="5" spans="1:6" x14ac:dyDescent="0.3">
      <c r="B5" s="8">
        <v>45889</v>
      </c>
      <c r="C5" s="7" t="str">
        <f t="shared" si="0"/>
        <v>Despacho de medicamentos</v>
      </c>
      <c r="E5" s="2">
        <f>IFERROR(VLOOKUP(B5,Libro_Salidas!A:J,9,FALSE),0)</f>
        <v>12000</v>
      </c>
      <c r="F5" s="22">
        <f xml:space="preserve"> F4 + D5 - E5</f>
        <v>28000</v>
      </c>
    </row>
    <row r="6" spans="1:6" x14ac:dyDescent="0.3">
      <c r="F6" s="22"/>
    </row>
    <row r="7" spans="1:6" x14ac:dyDescent="0.3">
      <c r="C7" s="15" t="s">
        <v>93</v>
      </c>
      <c r="F7" s="23" cm="1">
        <f t="array" ref="F7">LOOKUP(2,1/(VALUE(F3:F6)&lt;&gt;0),VALUE(F3:F6))</f>
        <v>28000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9FA6-5CB9-438C-BC81-74BB6D2876AB}">
  <dimension ref="A1:E50"/>
  <sheetViews>
    <sheetView topLeftCell="A13" zoomScale="61" workbookViewId="0">
      <selection sqref="A1:XFD1048576"/>
    </sheetView>
  </sheetViews>
  <sheetFormatPr baseColWidth="10" defaultRowHeight="14.4" x14ac:dyDescent="0.3"/>
  <cols>
    <col min="1" max="1" width="46.109375" style="7" customWidth="1"/>
    <col min="2" max="2" width="105.21875" style="7" customWidth="1"/>
    <col min="3" max="3" width="71.33203125" style="7" customWidth="1"/>
    <col min="4" max="4" width="114.6640625" style="7" customWidth="1"/>
    <col min="5" max="5" width="55.5546875" style="7" customWidth="1"/>
    <col min="6" max="16384" width="11.5546875" style="7"/>
  </cols>
  <sheetData>
    <row r="1" spans="1:5" x14ac:dyDescent="0.3">
      <c r="A1" s="7" t="s">
        <v>34</v>
      </c>
      <c r="B1" s="7" t="s">
        <v>9</v>
      </c>
      <c r="C1" s="7" t="s">
        <v>1</v>
      </c>
      <c r="D1" s="7" t="s">
        <v>35</v>
      </c>
      <c r="E1" s="7" t="s">
        <v>36</v>
      </c>
    </row>
    <row r="2" spans="1:5" x14ac:dyDescent="0.3">
      <c r="A2" s="7" t="s">
        <v>94</v>
      </c>
      <c r="B2" t="str" cm="1">
        <f t="array" ref="B2">IF(INDEX(Catálogo!I:I,ROW(A2))&lt;INDEX(Catálogo!G:G,ROW(A2)),INDEX(Catálogo!A:A,ROW(A2)),"")</f>
        <v/>
      </c>
      <c r="C2" t="str">
        <f>IF(B2&lt;&gt;"",VLOOKUP(B2,Catálogo!A:B,2,FALSE),"")</f>
        <v/>
      </c>
      <c r="D2" t="str">
        <f>IF(B2&lt;&gt;"","Stock actual: "&amp;VLOOKUP(B2,Catálogo!A:I,9,FALSE)&amp;" | Mínimo: "&amp;VLOOKUP(B2,Catálogo!A:G,7,FALSE),"")</f>
        <v/>
      </c>
      <c r="E2" t="str">
        <f>IF(B2&lt;&gt;"","🛒 COMPRAR URGENTE","")</f>
        <v/>
      </c>
    </row>
    <row r="3" spans="1:5" x14ac:dyDescent="0.3">
      <c r="A3" s="7" t="s">
        <v>94</v>
      </c>
      <c r="B3" t="str" cm="1">
        <f t="array" ref="B3">IF(INDEX(Catálogo!I:I,ROW(A3))&lt;INDEX(Catálogo!G:G,ROW(A3)),INDEX(Catálogo!A:A,ROW(A3)),"")</f>
        <v>MED-002</v>
      </c>
      <c r="C3" t="str">
        <f>IF(B3&lt;&gt;"",VLOOKUP(B3,Catálogo!A:B,2,FALSE),"")</f>
        <v>Paracetamol</v>
      </c>
      <c r="D3" t="str">
        <f>IF(B2&lt;&gt;"","Stock actual: "&amp;VLOOKUP(B2,Catálogo!A:I,9,FALSE)&amp;" | Mínimo: "&amp;VLOOKUP(B2,Catálogo!A:G,7,FALSE),"")</f>
        <v/>
      </c>
      <c r="E3" t="str">
        <f t="shared" ref="E3:E31" si="0">IF(B3&lt;&gt;"","🛒 COMPRAR URGENTE","")</f>
        <v>🛒 COMPRAR URGENTE</v>
      </c>
    </row>
    <row r="4" spans="1:5" x14ac:dyDescent="0.3">
      <c r="A4" s="7" t="s">
        <v>94</v>
      </c>
      <c r="B4" t="str" cm="1">
        <f t="array" ref="B4">IF(INDEX(Catálogo!I:I,ROW(A4))&lt;INDEX(Catálogo!G:G,ROW(A4)),INDEX(Catálogo!A:A,ROW(A4)),"")</f>
        <v/>
      </c>
      <c r="C4" t="str">
        <f>IF(B4&lt;&gt;"",VLOOKUP(B4,Catálogo!A:B,2,FALSE),"")</f>
        <v/>
      </c>
      <c r="D4" t="str">
        <f>IF(B3&lt;&gt;"","Stock actual: "&amp;VLOOKUP(B3,Catálogo!A:I,9,FALSE)&amp;" | Mínimo: "&amp;VLOOKUP(B3,Catálogo!A:G,7,FALSE),"")</f>
        <v>Stock actual: 300 | Mínimo: 10000</v>
      </c>
      <c r="E4" t="str">
        <f t="shared" si="0"/>
        <v/>
      </c>
    </row>
    <row r="5" spans="1:5" x14ac:dyDescent="0.3">
      <c r="A5" s="7" t="s">
        <v>94</v>
      </c>
      <c r="B5" t="str" cm="1">
        <f t="array" ref="B5">IF(INDEX(Catálogo!I:I,ROW(A5))&lt;INDEX(Catálogo!G:G,ROW(A5)),INDEX(Catálogo!A:A,ROW(A5)),"")</f>
        <v/>
      </c>
      <c r="C5" t="str">
        <f>IF(B5&lt;&gt;"",VLOOKUP(B5,Catálogo!A:B,2,FALSE),"")</f>
        <v/>
      </c>
      <c r="D5" t="str">
        <f>IF(B4&lt;&gt;"","Stock actual: "&amp;VLOOKUP(B4,Catálogo!A:I,9,FALSE)&amp;" | Mínimo: "&amp;VLOOKUP(B4,Catálogo!A:G,7,FALSE),"")</f>
        <v/>
      </c>
      <c r="E5" t="str">
        <f t="shared" si="0"/>
        <v/>
      </c>
    </row>
    <row r="6" spans="1:5" x14ac:dyDescent="0.3">
      <c r="A6" s="7" t="s">
        <v>94</v>
      </c>
      <c r="B6" t="str" cm="1">
        <f t="array" ref="B6">IF(INDEX(Catálogo!I:I,ROW(A6))&lt;INDEX(Catálogo!G:G,ROW(A6)),INDEX(Catálogo!A:A,ROW(A6)),"")</f>
        <v>MED-005</v>
      </c>
      <c r="C6" t="str">
        <f>IF(B6&lt;&gt;"",VLOOKUP(B6,Catálogo!A:B,2,FALSE),"")</f>
        <v>Losartán</v>
      </c>
      <c r="D6" t="str">
        <f>IF(B5&lt;&gt;"","Stock actual: "&amp;VLOOKUP(B5,Catálogo!A:I,9,FALSE)&amp;" | Mínimo: "&amp;VLOOKUP(B5,Catálogo!A:G,7,FALSE),"")</f>
        <v/>
      </c>
      <c r="E6" t="str">
        <f t="shared" si="0"/>
        <v>🛒 COMPRAR URGENTE</v>
      </c>
    </row>
    <row r="7" spans="1:5" x14ac:dyDescent="0.3">
      <c r="A7" s="7" t="s">
        <v>94</v>
      </c>
      <c r="B7" t="str" cm="1">
        <f t="array" ref="B7">IF(INDEX(Catálogo!I:I,ROW(A7))&lt;INDEX(Catálogo!G:G,ROW(A7)),INDEX(Catálogo!A:A,ROW(A7)),"")</f>
        <v>MED-006</v>
      </c>
      <c r="C7" t="str">
        <f>IF(B7&lt;&gt;"",VLOOKUP(B7,Catálogo!A:B,2,FALSE),"")</f>
        <v>Metformina</v>
      </c>
      <c r="D7" t="str">
        <f>IF(B6&lt;&gt;"","Stock actual: "&amp;VLOOKUP(B6,Catálogo!A:I,9,FALSE)&amp;" | Mínimo: "&amp;VLOOKUP(B6,Catálogo!A:G,7,FALSE),"")</f>
        <v>Stock actual: 0 | Mínimo: 8000</v>
      </c>
      <c r="E7" t="str">
        <f t="shared" si="0"/>
        <v>🛒 COMPRAR URGENTE</v>
      </c>
    </row>
    <row r="8" spans="1:5" x14ac:dyDescent="0.3">
      <c r="A8" s="7" t="s">
        <v>94</v>
      </c>
      <c r="B8" t="str" cm="1">
        <f t="array" ref="B8">IF(INDEX(Catálogo!I:I,ROW(A8))&lt;INDEX(Catálogo!G:G,ROW(A8)),INDEX(Catálogo!A:A,ROW(A8)),"")</f>
        <v>MED-007</v>
      </c>
      <c r="C8" t="str">
        <f>IF(B8&lt;&gt;"",VLOOKUP(B8,Catálogo!A:B,2,FALSE),"")</f>
        <v>Enalapril</v>
      </c>
      <c r="D8" t="str">
        <f>IF(B7&lt;&gt;"","Stock actual: "&amp;VLOOKUP(B7,Catálogo!A:I,9,FALSE)&amp;" | Mínimo: "&amp;VLOOKUP(B7,Catálogo!A:G,7,FALSE),"")</f>
        <v>Stock actual: 8000 | Mínimo: 10000</v>
      </c>
      <c r="E8" t="str">
        <f t="shared" si="0"/>
        <v>🛒 COMPRAR URGENTE</v>
      </c>
    </row>
    <row r="9" spans="1:5" x14ac:dyDescent="0.3">
      <c r="A9" s="7" t="s">
        <v>94</v>
      </c>
      <c r="B9" t="str" cm="1">
        <f t="array" ref="B9">IF(INDEX(Catálogo!I:I,ROW(A9))&lt;INDEX(Catálogo!G:G,ROW(A9)),INDEX(Catálogo!A:A,ROW(A9)),"")</f>
        <v>MED-008</v>
      </c>
      <c r="C9" t="str">
        <f>IF(B9&lt;&gt;"",VLOOKUP(B9,Catálogo!A:B,2,FALSE),"")</f>
        <v>Ibuprofeno</v>
      </c>
      <c r="D9" t="str">
        <f>IF(B8&lt;&gt;"","Stock actual: "&amp;VLOOKUP(B8,Catálogo!A:I,9,FALSE)&amp;" | Mínimo: "&amp;VLOOKUP(B8,Catálogo!A:G,7,FALSE),"")</f>
        <v>Stock actual: 1500 | Mínimo: 8000</v>
      </c>
      <c r="E9" t="str">
        <f t="shared" si="0"/>
        <v>🛒 COMPRAR URGENTE</v>
      </c>
    </row>
    <row r="10" spans="1:5" x14ac:dyDescent="0.3">
      <c r="A10" s="7" t="s">
        <v>94</v>
      </c>
      <c r="B10" t="str" cm="1">
        <f t="array" ref="B10">IF(INDEX(Catálogo!I:I,ROW(A10))&lt;INDEX(Catálogo!G:G,ROW(A10)),INDEX(Catálogo!A:A,ROW(A10)),"")</f>
        <v/>
      </c>
      <c r="C10" t="str">
        <f>IF(B10&lt;&gt;"",VLOOKUP(B10,Catálogo!A:B,2,FALSE),"")</f>
        <v/>
      </c>
      <c r="D10" t="str">
        <f>IF(B9&lt;&gt;"","Stock actual: "&amp;VLOOKUP(B9,Catálogo!A:I,9,FALSE)&amp;" | Mínimo: "&amp;VLOOKUP(B9,Catálogo!A:G,7,FALSE),"")</f>
        <v>Stock actual: 1200 | Mínimo: 5000</v>
      </c>
      <c r="E10" t="str">
        <f t="shared" si="0"/>
        <v/>
      </c>
    </row>
    <row r="11" spans="1:5" x14ac:dyDescent="0.3">
      <c r="A11" s="7" t="s">
        <v>94</v>
      </c>
      <c r="B11" t="str" cm="1">
        <f t="array" ref="B11">IF(INDEX(Catálogo!I:I,ROW(A11))&lt;INDEX(Catálogo!G:G,ROW(A11)),INDEX(Catálogo!A:A,ROW(A11)),"")</f>
        <v/>
      </c>
      <c r="C11" t="str">
        <f>IF(B11&lt;&gt;"",VLOOKUP(B11,Catálogo!A:B,2,FALSE),"")</f>
        <v/>
      </c>
      <c r="D11" t="str">
        <f>IF(B10&lt;&gt;"","Stock actual: "&amp;VLOOKUP(B10,Catálogo!A:I,9,FALSE)&amp;" | Mínimo: "&amp;VLOOKUP(B10,Catálogo!A:G,7,FALSE),"")</f>
        <v/>
      </c>
      <c r="E11" t="str">
        <f t="shared" si="0"/>
        <v/>
      </c>
    </row>
    <row r="12" spans="1:5" x14ac:dyDescent="0.3">
      <c r="A12" s="7" t="s">
        <v>94</v>
      </c>
      <c r="B12" t="str" cm="1">
        <f t="array" ref="B12">IF(INDEX(Catálogo!I:I,ROW(A12))&lt;INDEX(Catálogo!G:G,ROW(A12)),INDEX(Catálogo!A:A,ROW(A12)),"")</f>
        <v/>
      </c>
      <c r="C12" t="str">
        <f>IF(B12&lt;&gt;"",VLOOKUP(B12,Catálogo!A:B,2,FALSE),"")</f>
        <v/>
      </c>
      <c r="D12" t="str">
        <f>IF(B11&lt;&gt;"","Stock actual: "&amp;VLOOKUP(B11,Catálogo!A:I,9,FALSE)&amp;" | Mínimo: "&amp;VLOOKUP(B11,Catálogo!A:G,7,FALSE),"")</f>
        <v/>
      </c>
      <c r="E12" t="str">
        <f t="shared" si="0"/>
        <v/>
      </c>
    </row>
    <row r="13" spans="1:5" x14ac:dyDescent="0.3">
      <c r="A13" s="7" t="s">
        <v>94</v>
      </c>
      <c r="B13" t="str" cm="1">
        <f t="array" ref="B13">IF(INDEX(Catálogo!I:I,ROW(A13))&lt;INDEX(Catálogo!G:G,ROW(A13)),INDEX(Catálogo!A:A,ROW(A13)),"")</f>
        <v/>
      </c>
      <c r="C13" t="str">
        <f>IF(B13&lt;&gt;"",VLOOKUP(B13,Catálogo!A:B,2,FALSE),"")</f>
        <v/>
      </c>
      <c r="D13" t="str">
        <f>IF(B12&lt;&gt;"","Stock actual: "&amp;VLOOKUP(B12,Catálogo!A:I,9,FALSE)&amp;" | Mínimo: "&amp;VLOOKUP(B12,Catálogo!A:G,7,FALSE),"")</f>
        <v/>
      </c>
      <c r="E13" t="str">
        <f t="shared" si="0"/>
        <v/>
      </c>
    </row>
    <row r="14" spans="1:5" x14ac:dyDescent="0.3">
      <c r="A14" s="7" t="s">
        <v>94</v>
      </c>
      <c r="B14" t="str" cm="1">
        <f t="array" ref="B14">IF(INDEX(Catálogo!I:I,ROW(A14))&lt;INDEX(Catálogo!G:G,ROW(A14)),INDEX(Catálogo!A:A,ROW(A14)),"")</f>
        <v/>
      </c>
      <c r="C14" t="str">
        <f>IF(B14&lt;&gt;"",VLOOKUP(B14,Catálogo!A:B,2,FALSE),"")</f>
        <v/>
      </c>
      <c r="D14" t="str">
        <f>IF(B13&lt;&gt;"","Stock actual: "&amp;VLOOKUP(B13,Catálogo!A:I,9,FALSE)&amp;" | Mínimo: "&amp;VLOOKUP(B13,Catálogo!A:G,7,FALSE),"")</f>
        <v/>
      </c>
      <c r="E14" t="str">
        <f t="shared" si="0"/>
        <v/>
      </c>
    </row>
    <row r="15" spans="1:5" x14ac:dyDescent="0.3">
      <c r="A15" s="7" t="s">
        <v>94</v>
      </c>
      <c r="B15" t="str" cm="1">
        <f t="array" ref="B15">IF(INDEX(Catálogo!I:I,ROW(A15))&lt;INDEX(Catálogo!G:G,ROW(A15)),INDEX(Catálogo!A:A,ROW(A15)),"")</f>
        <v/>
      </c>
      <c r="C15" t="str">
        <f>IF(B15&lt;&gt;"",VLOOKUP(B15,Catálogo!A:B,2,FALSE),"")</f>
        <v/>
      </c>
      <c r="D15" t="str">
        <f>IF(B14&lt;&gt;"","Stock actual: "&amp;VLOOKUP(B14,Catálogo!A:I,9,FALSE)&amp;" | Mínimo: "&amp;VLOOKUP(B14,Catálogo!A:G,7,FALSE),"")</f>
        <v/>
      </c>
      <c r="E15" t="str">
        <f t="shared" si="0"/>
        <v/>
      </c>
    </row>
    <row r="16" spans="1:5" x14ac:dyDescent="0.3">
      <c r="A16" s="7" t="s">
        <v>94</v>
      </c>
      <c r="B16" t="str" cm="1">
        <f t="array" ref="B16">IF(INDEX(Catálogo!I:I,ROW(A16))&lt;INDEX(Catálogo!G:G,ROW(A16)),INDEX(Catálogo!A:A,ROW(A16)),"")</f>
        <v/>
      </c>
      <c r="C16" t="str">
        <f>IF(B16&lt;&gt;"",VLOOKUP(B16,Catálogo!A:B,2,FALSE),"")</f>
        <v/>
      </c>
      <c r="D16" t="str">
        <f>IF(B15&lt;&gt;"","Stock actual: "&amp;VLOOKUP(B15,Catálogo!A:I,9,FALSE)&amp;" | Mínimo: "&amp;VLOOKUP(B15,Catálogo!A:G,7,FALSE),"")</f>
        <v/>
      </c>
      <c r="E16" t="str">
        <f t="shared" si="0"/>
        <v/>
      </c>
    </row>
    <row r="17" spans="1:5" x14ac:dyDescent="0.3">
      <c r="A17" s="7" t="s">
        <v>94</v>
      </c>
      <c r="B17" t="str" cm="1">
        <f t="array" ref="B17">IF(INDEX(Catálogo!I:I,ROW(A17))&lt;INDEX(Catálogo!G:G,ROW(A17)),INDEX(Catálogo!A:A,ROW(A17)),"")</f>
        <v/>
      </c>
      <c r="C17" t="str">
        <f>IF(B17&lt;&gt;"",VLOOKUP(B17,Catálogo!A:B,2,FALSE),"")</f>
        <v/>
      </c>
      <c r="D17" t="str">
        <f>IF(B16&lt;&gt;"","Stock actual: "&amp;VLOOKUP(B16,Catálogo!A:I,9,FALSE)&amp;" | Mínimo: "&amp;VLOOKUP(B16,Catálogo!A:G,7,FALSE),"")</f>
        <v/>
      </c>
      <c r="E17" t="str">
        <f t="shared" si="0"/>
        <v/>
      </c>
    </row>
    <row r="18" spans="1:5" x14ac:dyDescent="0.3">
      <c r="A18" s="7" t="s">
        <v>94</v>
      </c>
      <c r="B18" t="str" cm="1">
        <f t="array" ref="B18">IF(INDEX(Catálogo!I:I,ROW(A18))&lt;INDEX(Catálogo!G:G,ROW(A18)),INDEX(Catálogo!A:A,ROW(A18)),"")</f>
        <v/>
      </c>
      <c r="C18" t="str">
        <f>IF(B18&lt;&gt;"",VLOOKUP(B18,Catálogo!A:B,2,FALSE),"")</f>
        <v/>
      </c>
      <c r="D18" t="str">
        <f>IF(B17&lt;&gt;"","Stock actual: "&amp;VLOOKUP(B17,Catálogo!A:I,9,FALSE)&amp;" | Mínimo: "&amp;VLOOKUP(B17,Catálogo!A:G,7,FALSE),"")</f>
        <v/>
      </c>
      <c r="E18" t="str">
        <f t="shared" si="0"/>
        <v/>
      </c>
    </row>
    <row r="19" spans="1:5" x14ac:dyDescent="0.3">
      <c r="A19" s="7" t="s">
        <v>94</v>
      </c>
      <c r="B19" t="str" cm="1">
        <f t="array" ref="B19">IF(INDEX(Catálogo!I:I,ROW(A19))&lt;INDEX(Catálogo!G:G,ROW(A19)),INDEX(Catálogo!A:A,ROW(A19)),"")</f>
        <v/>
      </c>
      <c r="C19" t="str">
        <f>IF(B19&lt;&gt;"",VLOOKUP(B19,Catálogo!A:B,2,FALSE),"")</f>
        <v/>
      </c>
      <c r="D19" t="str">
        <f>IF(B18&lt;&gt;"","Stock actual: "&amp;VLOOKUP(B18,Catálogo!A:I,9,FALSE)&amp;" | Mínimo: "&amp;VLOOKUP(B18,Catálogo!A:G,7,FALSE),"")</f>
        <v/>
      </c>
      <c r="E19" t="str">
        <f t="shared" si="0"/>
        <v/>
      </c>
    </row>
    <row r="20" spans="1:5" x14ac:dyDescent="0.3">
      <c r="A20" s="7" t="s">
        <v>94</v>
      </c>
      <c r="B20" t="str" cm="1">
        <f t="array" ref="B20">IF(INDEX(Catálogo!I:I,ROW(A20))&lt;INDEX(Catálogo!G:G,ROW(A20)),INDEX(Catálogo!A:A,ROW(A20)),"")</f>
        <v/>
      </c>
      <c r="C20" t="str">
        <f>IF(B20&lt;&gt;"",VLOOKUP(B20,Catálogo!A:B,2,FALSE),"")</f>
        <v/>
      </c>
      <c r="D20" t="str">
        <f>IF(B19&lt;&gt;"","Stock actual: "&amp;VLOOKUP(B19,Catálogo!A:I,9,FALSE)&amp;" | Mínimo: "&amp;VLOOKUP(B19,Catálogo!A:G,7,FALSE),"")</f>
        <v/>
      </c>
      <c r="E20" t="str">
        <f t="shared" si="0"/>
        <v/>
      </c>
    </row>
    <row r="21" spans="1:5" x14ac:dyDescent="0.3">
      <c r="A21" s="7" t="s">
        <v>94</v>
      </c>
      <c r="B21" t="str" cm="1">
        <f t="array" ref="B21">IF(INDEX(Catálogo!I:I,ROW(A21))&lt;INDEX(Catálogo!G:G,ROW(A21)),INDEX(Catálogo!A:A,ROW(A21)),"")</f>
        <v/>
      </c>
      <c r="C21" t="str">
        <f>IF(B21&lt;&gt;"",VLOOKUP(B21,Catálogo!A:B,2,FALSE),"")</f>
        <v/>
      </c>
      <c r="D21" t="str">
        <f>IF(B20&lt;&gt;"","Stock actual: "&amp;VLOOKUP(B20,Catálogo!A:I,9,FALSE)&amp;" | Mínimo: "&amp;VLOOKUP(B20,Catálogo!A:G,7,FALSE),"")</f>
        <v/>
      </c>
      <c r="E21" t="str">
        <f t="shared" si="0"/>
        <v/>
      </c>
    </row>
    <row r="22" spans="1:5" x14ac:dyDescent="0.3">
      <c r="A22" s="7" t="s">
        <v>94</v>
      </c>
      <c r="B22" t="str" cm="1">
        <f t="array" ref="B22">IF(INDEX(Catálogo!I:I,ROW(A22))&lt;INDEX(Catálogo!G:G,ROW(A22)),INDEX(Catálogo!A:A,ROW(A22)),"")</f>
        <v/>
      </c>
      <c r="C22" t="str">
        <f>IF(B22&lt;&gt;"",VLOOKUP(B22,Catálogo!A:B,2,FALSE),"")</f>
        <v/>
      </c>
      <c r="D22" t="str">
        <f>IF(B21&lt;&gt;"","Stock actual: "&amp;VLOOKUP(B21,Catálogo!A:I,9,FALSE)&amp;" | Mínimo: "&amp;VLOOKUP(B21,Catálogo!A:G,7,FALSE),"")</f>
        <v/>
      </c>
      <c r="E22" t="str">
        <f t="shared" si="0"/>
        <v/>
      </c>
    </row>
    <row r="23" spans="1:5" x14ac:dyDescent="0.3">
      <c r="A23" s="7" t="s">
        <v>94</v>
      </c>
      <c r="B23" t="str" cm="1">
        <f t="array" ref="B23">IF(INDEX(Catálogo!I:I,ROW(A23))&lt;INDEX(Catálogo!G:G,ROW(A23)),INDEX(Catálogo!A:A,ROW(A23)),"")</f>
        <v/>
      </c>
      <c r="C23" t="str">
        <f>IF(B23&lt;&gt;"",VLOOKUP(B23,Catálogo!A:B,2,FALSE),"")</f>
        <v/>
      </c>
      <c r="D23" t="str">
        <f>IF(B22&lt;&gt;"","Stock actual: "&amp;VLOOKUP(B22,Catálogo!A:I,9,FALSE)&amp;" | Mínimo: "&amp;VLOOKUP(B22,Catálogo!A:G,7,FALSE),"")</f>
        <v/>
      </c>
      <c r="E23" t="str">
        <f t="shared" si="0"/>
        <v/>
      </c>
    </row>
    <row r="24" spans="1:5" x14ac:dyDescent="0.3">
      <c r="A24" s="7" t="s">
        <v>94</v>
      </c>
      <c r="B24" t="str" cm="1">
        <f t="array" ref="B24">IF(INDEX(Catálogo!I:I,ROW(A24))&lt;INDEX(Catálogo!G:G,ROW(A24)),INDEX(Catálogo!A:A,ROW(A24)),"")</f>
        <v/>
      </c>
      <c r="C24" t="str">
        <f>IF(B24&lt;&gt;"",VLOOKUP(B24,Catálogo!A:B,2,FALSE),"")</f>
        <v/>
      </c>
      <c r="D24" t="str">
        <f>IF(B23&lt;&gt;"","Stock actual: "&amp;VLOOKUP(B23,Catálogo!A:I,9,FALSE)&amp;" | Mínimo: "&amp;VLOOKUP(B23,Catálogo!A:G,7,FALSE),"")</f>
        <v/>
      </c>
      <c r="E24" t="str">
        <f t="shared" si="0"/>
        <v/>
      </c>
    </row>
    <row r="25" spans="1:5" x14ac:dyDescent="0.3">
      <c r="A25" s="7" t="s">
        <v>94</v>
      </c>
      <c r="B25" t="str" cm="1">
        <f t="array" ref="B25">IF(INDEX(Catálogo!I:I,ROW(A25))&lt;INDEX(Catálogo!G:G,ROW(A25)),INDEX(Catálogo!A:A,ROW(A25)),"")</f>
        <v/>
      </c>
      <c r="C25" t="str">
        <f>IF(B25&lt;&gt;"",VLOOKUP(B25,Catálogo!A:B,2,FALSE),"")</f>
        <v/>
      </c>
      <c r="D25" t="str">
        <f>IF(B24&lt;&gt;"","Stock actual: "&amp;VLOOKUP(B24,Catálogo!A:I,9,FALSE)&amp;" | Mínimo: "&amp;VLOOKUP(B24,Catálogo!A:G,7,FALSE),"")</f>
        <v/>
      </c>
      <c r="E25" t="str">
        <f t="shared" si="0"/>
        <v/>
      </c>
    </row>
    <row r="26" spans="1:5" x14ac:dyDescent="0.3">
      <c r="A26" s="7" t="s">
        <v>94</v>
      </c>
      <c r="B26" t="str" cm="1">
        <f t="array" ref="B26">IF(INDEX(Catálogo!I:I,ROW(A26))&lt;INDEX(Catálogo!G:G,ROW(A26)),INDEX(Catálogo!A:A,ROW(A26)),"")</f>
        <v/>
      </c>
      <c r="C26" t="str">
        <f>IF(B26&lt;&gt;"",VLOOKUP(B26,Catálogo!A:B,2,FALSE),"")</f>
        <v/>
      </c>
      <c r="D26" t="str">
        <f>IF(B25&lt;&gt;"","Stock actual: "&amp;VLOOKUP(B25,Catálogo!A:I,9,FALSE)&amp;" | Mínimo: "&amp;VLOOKUP(B25,Catálogo!A:G,7,FALSE),"")</f>
        <v/>
      </c>
      <c r="E26" t="str">
        <f t="shared" si="0"/>
        <v/>
      </c>
    </row>
    <row r="27" spans="1:5" x14ac:dyDescent="0.3">
      <c r="A27" s="7" t="s">
        <v>94</v>
      </c>
      <c r="B27" t="str" cm="1">
        <f t="array" ref="B27">IF(INDEX(Catálogo!I:I,ROW(A27))&lt;INDEX(Catálogo!G:G,ROW(A27)),INDEX(Catálogo!A:A,ROW(A27)),"")</f>
        <v/>
      </c>
      <c r="C27" t="str">
        <f>IF(B27&lt;&gt;"",VLOOKUP(B27,Catálogo!A:B,2,FALSE),"")</f>
        <v/>
      </c>
      <c r="D27" t="str">
        <f>IF(B26&lt;&gt;"","Stock actual: "&amp;VLOOKUP(B26,Catálogo!A:I,9,FALSE)&amp;" | Mínimo: "&amp;VLOOKUP(B26,Catálogo!A:G,7,FALSE),"")</f>
        <v/>
      </c>
      <c r="E27" t="str">
        <f t="shared" si="0"/>
        <v/>
      </c>
    </row>
    <row r="28" spans="1:5" x14ac:dyDescent="0.3">
      <c r="A28" s="7" t="s">
        <v>94</v>
      </c>
      <c r="B28" t="str" cm="1">
        <f t="array" ref="B28">IF(INDEX(Catálogo!I:I,ROW(A28))&lt;INDEX(Catálogo!G:G,ROW(A28)),INDEX(Catálogo!A:A,ROW(A28)),"")</f>
        <v/>
      </c>
      <c r="C28" t="str">
        <f>IF(B28&lt;&gt;"",VLOOKUP(B28,Catálogo!A:B,2,FALSE),"")</f>
        <v/>
      </c>
      <c r="D28" t="str">
        <f>IF(B27&lt;&gt;"","Stock actual: "&amp;VLOOKUP(B27,Catálogo!A:I,9,FALSE)&amp;" | Mínimo: "&amp;VLOOKUP(B27,Catálogo!A:G,7,FALSE),"")</f>
        <v/>
      </c>
      <c r="E28" t="str">
        <f t="shared" si="0"/>
        <v/>
      </c>
    </row>
    <row r="29" spans="1:5" x14ac:dyDescent="0.3">
      <c r="A29" s="7" t="s">
        <v>94</v>
      </c>
      <c r="B29" t="str" cm="1">
        <f t="array" ref="B29">IF(INDEX(Catálogo!I:I,ROW(A29))&lt;INDEX(Catálogo!G:G,ROW(A29)),INDEX(Catálogo!A:A,ROW(A29)),"")</f>
        <v/>
      </c>
      <c r="C29" t="str">
        <f>IF(B29&lt;&gt;"",VLOOKUP(B29,Catálogo!A:B,2,FALSE),"")</f>
        <v/>
      </c>
      <c r="D29" t="str">
        <f>IF(B28&lt;&gt;"","Stock actual: "&amp;VLOOKUP(B28,Catálogo!A:I,9,FALSE)&amp;" | Mínimo: "&amp;VLOOKUP(B28,Catálogo!A:G,7,FALSE),"")</f>
        <v/>
      </c>
      <c r="E29" t="str">
        <f t="shared" si="0"/>
        <v/>
      </c>
    </row>
    <row r="30" spans="1:5" x14ac:dyDescent="0.3">
      <c r="A30" s="7" t="s">
        <v>94</v>
      </c>
      <c r="B30" t="str" cm="1">
        <f t="array" ref="B30">IF(INDEX(Catálogo!I:I,ROW(A30))&lt;INDEX(Catálogo!G:G,ROW(A30)),INDEX(Catálogo!A:A,ROW(A30)),"")</f>
        <v/>
      </c>
      <c r="C30" t="str">
        <f>IF(B30&lt;&gt;"",VLOOKUP(B30,Catálogo!A:B,2,FALSE),"")</f>
        <v/>
      </c>
      <c r="D30" t="str">
        <f>IF(B29&lt;&gt;"","Stock actual: "&amp;VLOOKUP(B29,Catálogo!A:I,9,FALSE)&amp;" | Mínimo: "&amp;VLOOKUP(B29,Catálogo!A:G,7,FALSE),"")</f>
        <v/>
      </c>
      <c r="E30" t="str">
        <f t="shared" si="0"/>
        <v/>
      </c>
    </row>
    <row r="31" spans="1:5" x14ac:dyDescent="0.3">
      <c r="A31" s="7" t="s">
        <v>94</v>
      </c>
      <c r="B31" t="str" cm="1">
        <f t="array" ref="B31">IF(INDEX(Catálogo!I:I,ROW(A31))&lt;INDEX(Catálogo!G:G,ROW(A31)),INDEX(Catálogo!A:A,ROW(A31)),"")</f>
        <v/>
      </c>
      <c r="C31" t="str">
        <f>IF(B31&lt;&gt;"",VLOOKUP(B31,Catálogo!A:B,2,FALSE),"")</f>
        <v/>
      </c>
      <c r="D31" t="str">
        <f>IF(B30&lt;&gt;"","Stock actual: "&amp;VLOOKUP(B30,Catálogo!A:I,9,FALSE)&amp;" | Mínimo: "&amp;VLOOKUP(B30,Catálogo!A:G,7,FALSE),"")</f>
        <v/>
      </c>
      <c r="E31" t="str">
        <f t="shared" si="0"/>
        <v/>
      </c>
    </row>
    <row r="35" spans="1:5" s="17" customFormat="1" x14ac:dyDescent="0.3"/>
    <row r="36" spans="1:5" ht="15.6" customHeight="1" x14ac:dyDescent="0.3">
      <c r="A36" s="7" t="s">
        <v>95</v>
      </c>
      <c r="B36" t="str">
        <f ca="1">IF((Inventario_Lotes!H2-TODAY())&lt;=30,Inventario_Lotes!D2,"")</f>
        <v>LOT-2024-001</v>
      </c>
      <c r="C36" t="str">
        <f ca="1">IF(B36&lt;&gt;"",INDEX(Inventario_Lotes!C:C,MATCH(B36,Inventario_Lotes!D:D,0)),"")</f>
        <v>Insulina NPH</v>
      </c>
      <c r="D36" t="str">
        <f ca="1">IF(B36&lt;&gt;"","Lote vence el "&amp;TEXT(VLOOKUP(B36,Inventario_Lotes!D:H,5,FALSE),"dd/mm/aaaa")&amp;" ("&amp;ROUND((VLOOKUP(B36,Inventario_Lotes!D:H,5,FALSE)-TODAY()),0)&amp;" días)","")</f>
        <v>Lote vence el 01/08/jueves (-453 días)</v>
      </c>
      <c r="E36" t="str">
        <f ca="1">IF(B36&lt;&gt;"","⚠️ USAR PRIORITARIAMENTE","")</f>
        <v>⚠️ USAR PRIORITARIAMENTE</v>
      </c>
    </row>
    <row r="37" spans="1:5" x14ac:dyDescent="0.3">
      <c r="A37" s="7" t="s">
        <v>95</v>
      </c>
      <c r="B37" t="str">
        <f ca="1">IF((Inventario_Lotes!H3-TODAY())&lt;=30,Inventario_Lotes!D3,"")</f>
        <v/>
      </c>
      <c r="C37" t="str">
        <f ca="1">IF(B37&lt;&gt;"",INDEX(Inventario_Lotes!C:C,MATCH(B37,Inventario_Lotes!D:D,0)),"")</f>
        <v/>
      </c>
      <c r="D37" t="str">
        <f ca="1">IF(B37&lt;&gt;"","Lote vence el "&amp;TEXT(VLOOKUP(B37,Inventario_Lotes!D:H,5,FALSE),"dd/mm/aaaa")&amp;" ("&amp;ROUND((VLOOKUP(B37,Inventario_Lotes!D:H,5,FALSE)-TODAY()),0)&amp;" días)","")</f>
        <v/>
      </c>
      <c r="E37" t="str">
        <f t="shared" ref="E37:E50" ca="1" si="1">IF(B37&lt;&gt;"","⚠️ USAR PRIORITARIAMENTE","")</f>
        <v/>
      </c>
    </row>
    <row r="38" spans="1:5" x14ac:dyDescent="0.3">
      <c r="A38" s="7" t="s">
        <v>95</v>
      </c>
      <c r="B38" t="str">
        <f ca="1">IF((Inventario_Lotes!H4-TODAY())&lt;=30,Inventario_Lotes!D4,"")</f>
        <v/>
      </c>
      <c r="C38" t="str">
        <f ca="1">IF(B38&lt;&gt;"",INDEX(Inventario_Lotes!C:C,MATCH(B38,Inventario_Lotes!D:D,0)),"")</f>
        <v/>
      </c>
      <c r="D38" t="str">
        <f ca="1">IF(B38&lt;&gt;"","Lote vence el "&amp;TEXT(VLOOKUP(B38,Inventario_Lotes!D:H,5,FALSE),"dd/mm/aaaa")&amp;" ("&amp;ROUND((VLOOKUP(B38,Inventario_Lotes!D:H,5,FALSE)-TODAY()),0)&amp;" días)","")</f>
        <v/>
      </c>
      <c r="E38" t="str">
        <f t="shared" ca="1" si="1"/>
        <v/>
      </c>
    </row>
    <row r="39" spans="1:5" x14ac:dyDescent="0.3">
      <c r="A39" s="7" t="s">
        <v>95</v>
      </c>
      <c r="B39" t="str">
        <f ca="1">IF((Inventario_Lotes!H5-TODAY())&lt;=30,Inventario_Lotes!D5,"")</f>
        <v/>
      </c>
      <c r="C39" t="str">
        <f ca="1">IF(B39&lt;&gt;"",INDEX(Inventario_Lotes!C:C,MATCH(B39,Inventario_Lotes!D:D,0)),"")</f>
        <v/>
      </c>
      <c r="D39" t="str">
        <f ca="1">IF(B39&lt;&gt;"","Lote vence el "&amp;TEXT(VLOOKUP(B39,Inventario_Lotes!D:H,5,FALSE),"dd/mm/aaaa")&amp;" ("&amp;ROUND((VLOOKUP(B39,Inventario_Lotes!D:H,5,FALSE)-TODAY()),0)&amp;" días)","")</f>
        <v/>
      </c>
      <c r="E39" t="str">
        <f t="shared" ca="1" si="1"/>
        <v/>
      </c>
    </row>
    <row r="40" spans="1:5" x14ac:dyDescent="0.3">
      <c r="A40" s="7" t="s">
        <v>95</v>
      </c>
      <c r="B40" t="str">
        <f ca="1">IF((Inventario_Lotes!H6-TODAY())&lt;=30,Inventario_Lotes!D6,"")</f>
        <v xml:space="preserve"> LOT-2025-089</v>
      </c>
      <c r="C40" t="str">
        <f ca="1">IF(B40&lt;&gt;"",INDEX(Inventario_Lotes!C:C,MATCH(B40,Inventario_Lotes!D:D,0)),"")</f>
        <v>Losartán</v>
      </c>
      <c r="D40" t="str">
        <f ca="1">IF(B40&lt;&gt;"","Lote vence el "&amp;TEXT(VLOOKUP(B40,Inventario_Lotes!D:H,5,FALSE),"dd/mm/aaaa")&amp;" ("&amp;ROUND((VLOOKUP(B40,Inventario_Lotes!D:H,5,FALSE)-TODAY()),0)&amp;" días)","")</f>
        <v>Lote vence el 10/11/lunes (13 días)</v>
      </c>
      <c r="E40" t="str">
        <f t="shared" ca="1" si="1"/>
        <v>⚠️ USAR PRIORITARIAMENTE</v>
      </c>
    </row>
    <row r="41" spans="1:5" x14ac:dyDescent="0.3">
      <c r="A41" s="7" t="s">
        <v>95</v>
      </c>
      <c r="B41" t="str">
        <f ca="1">IF((Inventario_Lotes!H7-TODAY())&lt;=30,Inventario_Lotes!D7,"")</f>
        <v/>
      </c>
      <c r="C41" t="str">
        <f ca="1">IF(B41&lt;&gt;"",INDEX(Inventario_Lotes!C:C,MATCH(B41,Inventario_Lotes!D:D,0)),"")</f>
        <v/>
      </c>
      <c r="D41" t="str">
        <f ca="1">IF(B41&lt;&gt;"","Lote vence el "&amp;TEXT(VLOOKUP(B41,Inventario_Lotes!D:H,5,FALSE),"dd/mm/aaaa")&amp;" ("&amp;ROUND((VLOOKUP(B41,Inventario_Lotes!D:H,5,FALSE)-TODAY()),0)&amp;" días)","")</f>
        <v/>
      </c>
      <c r="E41" t="str">
        <f t="shared" ca="1" si="1"/>
        <v/>
      </c>
    </row>
    <row r="42" spans="1:5" x14ac:dyDescent="0.3">
      <c r="A42" s="7" t="s">
        <v>95</v>
      </c>
      <c r="B42" t="str">
        <f ca="1">IF((Inventario_Lotes!H8-TODAY())&lt;=30,Inventario_Lotes!D8,"")</f>
        <v/>
      </c>
      <c r="C42" t="str">
        <f ca="1">IF(B42&lt;&gt;"",INDEX(Inventario_Lotes!C:C,MATCH(B42,Inventario_Lotes!D:D,0)),"")</f>
        <v/>
      </c>
      <c r="D42" t="str">
        <f ca="1">IF(B42&lt;&gt;"","Lote vence el "&amp;TEXT(VLOOKUP(B42,Inventario_Lotes!D:H,5,FALSE),"dd/mm/aaaa")&amp;" ("&amp;ROUND((VLOOKUP(B42,Inventario_Lotes!D:H,5,FALSE)-TODAY()),0)&amp;" días)","")</f>
        <v/>
      </c>
      <c r="E42" t="str">
        <f t="shared" ca="1" si="1"/>
        <v/>
      </c>
    </row>
    <row r="43" spans="1:5" x14ac:dyDescent="0.3">
      <c r="A43" s="7" t="s">
        <v>95</v>
      </c>
      <c r="B43" t="str">
        <f ca="1">IF((Inventario_Lotes!H9-TODAY())&lt;=30,Inventario_Lotes!D9,"")</f>
        <v/>
      </c>
      <c r="C43" t="str">
        <f ca="1">IF(B43&lt;&gt;"",INDEX(Inventario_Lotes!C:C,MATCH(B43,Inventario_Lotes!D:D,0)),"")</f>
        <v/>
      </c>
      <c r="D43" t="str">
        <f ca="1">IF(B43&lt;&gt;"","Lote vence el "&amp;TEXT(VLOOKUP(B43,Inventario_Lotes!D:H,5,FALSE),"dd/mm/aaaa")&amp;" ("&amp;ROUND((VLOOKUP(B43,Inventario_Lotes!D:H,5,FALSE)-TODAY()),0)&amp;" días)","")</f>
        <v/>
      </c>
      <c r="E43" t="str">
        <f t="shared" ca="1" si="1"/>
        <v/>
      </c>
    </row>
    <row r="44" spans="1:5" x14ac:dyDescent="0.3">
      <c r="A44" s="7" t="s">
        <v>95</v>
      </c>
      <c r="B44" t="str">
        <f ca="1">IF((Inventario_Lotes!H10-TODAY())&lt;=30,Inventario_Lotes!D10,"")</f>
        <v/>
      </c>
      <c r="C44" t="str">
        <f ca="1">IF(B44&lt;&gt;"",INDEX(Inventario_Lotes!C:C,MATCH(B44,Inventario_Lotes!D:D,0)),"")</f>
        <v/>
      </c>
      <c r="D44" t="str">
        <f ca="1">IF(B44&lt;&gt;"","Lote vence el "&amp;TEXT(VLOOKUP(B44,Inventario_Lotes!D:H,5,FALSE),"dd/mm/aaaa")&amp;" ("&amp;ROUND((VLOOKUP(B44,Inventario_Lotes!D:H,5,FALSE)-TODAY()),0)&amp;" días)","")</f>
        <v/>
      </c>
      <c r="E44" t="str">
        <f t="shared" ca="1" si="1"/>
        <v/>
      </c>
    </row>
    <row r="45" spans="1:5" x14ac:dyDescent="0.3">
      <c r="A45" s="7" t="s">
        <v>95</v>
      </c>
      <c r="B45" t="str">
        <f ca="1">IF((Inventario_Lotes!H11-TODAY())&lt;=30,Inventario_Lotes!D11,"")</f>
        <v/>
      </c>
      <c r="C45" t="str">
        <f ca="1">IF(B45&lt;&gt;"",INDEX(Inventario_Lotes!C:C,MATCH(B45,Inventario_Lotes!D:D,0)),"")</f>
        <v/>
      </c>
      <c r="D45" t="str">
        <f ca="1">IF(B45&lt;&gt;"","Lote vence el "&amp;TEXT(VLOOKUP(B45,Inventario_Lotes!D:H,5,FALSE),"dd/mm/aaaa")&amp;" ("&amp;ROUND((VLOOKUP(B45,Inventario_Lotes!D:H,5,FALSE)-TODAY()),0)&amp;" días)","")</f>
        <v/>
      </c>
      <c r="E45" t="str">
        <f t="shared" ca="1" si="1"/>
        <v/>
      </c>
    </row>
    <row r="46" spans="1:5" x14ac:dyDescent="0.3">
      <c r="A46" s="7" t="s">
        <v>95</v>
      </c>
      <c r="B46" t="str">
        <f ca="1">IF((Inventario_Lotes!H12-TODAY())&lt;=30,Inventario_Lotes!D12,"")</f>
        <v/>
      </c>
      <c r="C46" t="str">
        <f ca="1">IF(B46&lt;&gt;"",INDEX(Inventario_Lotes!C:C,MATCH(B46,Inventario_Lotes!D:D,0)),"")</f>
        <v/>
      </c>
      <c r="D46" t="str">
        <f ca="1">IF(B46&lt;&gt;"","Lote vence el "&amp;TEXT(VLOOKUP(B46,Inventario_Lotes!D:H,5,FALSE),"dd/mm/aaaa")&amp;" ("&amp;ROUND((VLOOKUP(B46,Inventario_Lotes!D:H,5,FALSE)-TODAY()),0)&amp;" días)","")</f>
        <v/>
      </c>
      <c r="E46" t="str">
        <f t="shared" ca="1" si="1"/>
        <v/>
      </c>
    </row>
    <row r="47" spans="1:5" x14ac:dyDescent="0.3">
      <c r="A47" s="7" t="s">
        <v>95</v>
      </c>
      <c r="B47" t="str">
        <f ca="1">IF((Inventario_Lotes!H13-TODAY())&lt;=30,Inventario_Lotes!D13,"")</f>
        <v/>
      </c>
      <c r="C47" t="str">
        <f ca="1">IF(B47&lt;&gt;"",INDEX(Inventario_Lotes!C:C,MATCH(B47,Inventario_Lotes!D:D,0)),"")</f>
        <v/>
      </c>
      <c r="D47" t="str">
        <f ca="1">IF(B47&lt;&gt;"","Lote vence el "&amp;TEXT(VLOOKUP(B47,Inventario_Lotes!D:H,5,FALSE),"dd/mm/aaaa")&amp;" ("&amp;ROUND((VLOOKUP(B47,Inventario_Lotes!D:H,5,FALSE)-TODAY()),0)&amp;" días)","")</f>
        <v/>
      </c>
      <c r="E47" t="str">
        <f t="shared" ca="1" si="1"/>
        <v/>
      </c>
    </row>
    <row r="48" spans="1:5" x14ac:dyDescent="0.3">
      <c r="A48" s="7" t="s">
        <v>95</v>
      </c>
      <c r="B48" t="str">
        <f ca="1">IF((Inventario_Lotes!H14-TODAY())&lt;=30,Inventario_Lotes!D14,"")</f>
        <v/>
      </c>
      <c r="C48" t="str">
        <f ca="1">IF(B48&lt;&gt;"",INDEX(Inventario_Lotes!C:C,MATCH(B48,Inventario_Lotes!D:D,0)),"")</f>
        <v/>
      </c>
      <c r="D48" t="str">
        <f ca="1">IF(B48&lt;&gt;"","Lote vence el "&amp;TEXT(VLOOKUP(B48,Inventario_Lotes!D:H,5,FALSE),"dd/mm/aaaa")&amp;" ("&amp;ROUND((VLOOKUP(B48,Inventario_Lotes!D:H,5,FALSE)-TODAY()),0)&amp;" días)","")</f>
        <v/>
      </c>
      <c r="E48" t="str">
        <f t="shared" ca="1" si="1"/>
        <v/>
      </c>
    </row>
    <row r="49" spans="1:5" x14ac:dyDescent="0.3">
      <c r="A49" s="7" t="s">
        <v>95</v>
      </c>
      <c r="B49" t="str">
        <f ca="1">IF((Inventario_Lotes!H15-TODAY())&lt;=30,Inventario_Lotes!D15,"")</f>
        <v/>
      </c>
      <c r="C49" t="str">
        <f ca="1">IF(B49&lt;&gt;"",INDEX(Inventario_Lotes!C:C,MATCH(B49,Inventario_Lotes!D:D,0)),"")</f>
        <v/>
      </c>
      <c r="D49" t="str">
        <f ca="1">IF(B49&lt;&gt;"","Lote vence el "&amp;TEXT(VLOOKUP(B49,Inventario_Lotes!D:H,5,FALSE),"dd/mm/aaaa")&amp;" ("&amp;ROUND((VLOOKUP(B49,Inventario_Lotes!D:H,5,FALSE)-TODAY()),0)&amp;" días)","")</f>
        <v/>
      </c>
      <c r="E49" t="str">
        <f t="shared" ca="1" si="1"/>
        <v/>
      </c>
    </row>
    <row r="50" spans="1:5" x14ac:dyDescent="0.3">
      <c r="A50" s="7" t="s">
        <v>95</v>
      </c>
      <c r="B50" t="str">
        <f ca="1">IF((Inventario_Lotes!H16-TODAY())&lt;=30,Inventario_Lotes!D16,"")</f>
        <v/>
      </c>
      <c r="C50" t="str">
        <f ca="1">IF(B50&lt;&gt;"",INDEX(Inventario_Lotes!C:C,MATCH(B50,Inventario_Lotes!D:D,0)),"")</f>
        <v/>
      </c>
      <c r="D50" t="str">
        <f ca="1">IF(B50&lt;&gt;"","Lote vence el "&amp;TEXT(VLOOKUP(B50,Inventario_Lotes!D:H,5,FALSE),"dd/mm/aaaa")&amp;" ("&amp;ROUND((VLOOKUP(B50,Inventario_Lotes!D:H,5,FALSE)-TODAY()),0)&amp;" días)","")</f>
        <v/>
      </c>
      <c r="E50" t="str">
        <f t="shared" ca="1" si="1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AA04-A0F9-47E5-8068-7398949E4E4B}">
  <dimension ref="A1:B21"/>
  <sheetViews>
    <sheetView workbookViewId="0">
      <selection activeCell="A2" sqref="A2"/>
    </sheetView>
  </sheetViews>
  <sheetFormatPr baseColWidth="10" defaultRowHeight="14.4" x14ac:dyDescent="0.3"/>
  <cols>
    <col min="1" max="1" width="30.6640625" customWidth="1"/>
    <col min="2" max="2" width="51.77734375" customWidth="1"/>
  </cols>
  <sheetData>
    <row r="1" spans="1:2" x14ac:dyDescent="0.3">
      <c r="A1" t="s">
        <v>222</v>
      </c>
      <c r="B1" t="s">
        <v>223</v>
      </c>
    </row>
    <row r="2" spans="1:2" x14ac:dyDescent="0.3">
      <c r="A2" s="6" t="s">
        <v>76</v>
      </c>
      <c r="B2" t="s">
        <v>224</v>
      </c>
    </row>
    <row r="3" spans="1:2" x14ac:dyDescent="0.3">
      <c r="A3" s="7" t="s">
        <v>79</v>
      </c>
      <c r="B3" t="s">
        <v>224</v>
      </c>
    </row>
    <row r="4" spans="1:2" x14ac:dyDescent="0.3">
      <c r="A4" s="7" t="s">
        <v>81</v>
      </c>
      <c r="B4" t="s">
        <v>224</v>
      </c>
    </row>
    <row r="5" spans="1:2" x14ac:dyDescent="0.3">
      <c r="A5" s="7" t="s">
        <v>203</v>
      </c>
      <c r="B5" t="s">
        <v>224</v>
      </c>
    </row>
    <row r="6" spans="1:2" x14ac:dyDescent="0.3">
      <c r="A6" s="7" t="s">
        <v>204</v>
      </c>
      <c r="B6" t="s">
        <v>225</v>
      </c>
    </row>
    <row r="7" spans="1:2" x14ac:dyDescent="0.3">
      <c r="A7" s="7" t="s">
        <v>205</v>
      </c>
      <c r="B7" t="s">
        <v>224</v>
      </c>
    </row>
    <row r="8" spans="1:2" x14ac:dyDescent="0.3">
      <c r="A8" s="6" t="s">
        <v>206</v>
      </c>
      <c r="B8" t="s">
        <v>224</v>
      </c>
    </row>
    <row r="9" spans="1:2" x14ac:dyDescent="0.3">
      <c r="A9" s="6" t="s">
        <v>207</v>
      </c>
      <c r="B9" t="s">
        <v>224</v>
      </c>
    </row>
    <row r="10" spans="1:2" x14ac:dyDescent="0.3">
      <c r="A10" s="6" t="s">
        <v>208</v>
      </c>
      <c r="B10" t="s">
        <v>224</v>
      </c>
    </row>
    <row r="11" spans="1:2" x14ac:dyDescent="0.3">
      <c r="A11" s="6" t="s">
        <v>209</v>
      </c>
      <c r="B11" t="s">
        <v>226</v>
      </c>
    </row>
    <row r="12" spans="1:2" x14ac:dyDescent="0.3">
      <c r="A12" s="6" t="s">
        <v>210</v>
      </c>
      <c r="B12" t="s">
        <v>224</v>
      </c>
    </row>
    <row r="13" spans="1:2" x14ac:dyDescent="0.3">
      <c r="A13" s="6" t="s">
        <v>211</v>
      </c>
      <c r="B13" t="s">
        <v>225</v>
      </c>
    </row>
    <row r="14" spans="1:2" x14ac:dyDescent="0.3">
      <c r="A14" s="6" t="s">
        <v>212</v>
      </c>
      <c r="B14" t="s">
        <v>225</v>
      </c>
    </row>
    <row r="15" spans="1:2" x14ac:dyDescent="0.3">
      <c r="A15" s="6" t="s">
        <v>213</v>
      </c>
      <c r="B15" t="s">
        <v>224</v>
      </c>
    </row>
    <row r="16" spans="1:2" ht="28.8" x14ac:dyDescent="0.3">
      <c r="A16" s="6" t="s">
        <v>214</v>
      </c>
      <c r="B16" t="s">
        <v>225</v>
      </c>
    </row>
    <row r="17" spans="1:2" x14ac:dyDescent="0.3">
      <c r="A17" s="6" t="s">
        <v>215</v>
      </c>
      <c r="B17" t="s">
        <v>226</v>
      </c>
    </row>
    <row r="18" spans="1:2" x14ac:dyDescent="0.3">
      <c r="A18" s="6" t="s">
        <v>216</v>
      </c>
      <c r="B18" t="s">
        <v>226</v>
      </c>
    </row>
    <row r="19" spans="1:2" x14ac:dyDescent="0.3">
      <c r="A19" s="6" t="s">
        <v>217</v>
      </c>
      <c r="B19" t="s">
        <v>224</v>
      </c>
    </row>
    <row r="20" spans="1:2" x14ac:dyDescent="0.3">
      <c r="A20" s="6" t="s">
        <v>218</v>
      </c>
      <c r="B20" t="s">
        <v>224</v>
      </c>
    </row>
    <row r="21" spans="1:2" x14ac:dyDescent="0.3">
      <c r="A21" s="6" t="s">
        <v>219</v>
      </c>
      <c r="B2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Catálogo</vt:lpstr>
      <vt:lpstr>Inventario_Lotes</vt:lpstr>
      <vt:lpstr>Libro_Compras</vt:lpstr>
      <vt:lpstr>Libro_Salidas</vt:lpstr>
      <vt:lpstr>Libro_Diario</vt:lpstr>
      <vt:lpstr>Libro_Mayor</vt:lpstr>
      <vt:lpstr>Alertas</vt:lpstr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Diaz</dc:creator>
  <cp:lastModifiedBy>Fernando Diaz</cp:lastModifiedBy>
  <dcterms:created xsi:type="dcterms:W3CDTF">2025-10-20T21:10:33Z</dcterms:created>
  <dcterms:modified xsi:type="dcterms:W3CDTF">2025-10-29T02:09:07Z</dcterms:modified>
</cp:coreProperties>
</file>