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_inventariosMinsal\data\"/>
    </mc:Choice>
  </mc:AlternateContent>
  <xr:revisionPtr revIDLastSave="0" documentId="13_ncr:1_{3E97531F-1BD5-4B80-8C1B-E685F3F01D9B}" xr6:coauthVersionLast="47" xr6:coauthVersionMax="47" xr10:uidLastSave="{00000000-0000-0000-0000-000000000000}"/>
  <bookViews>
    <workbookView xWindow="-108" yWindow="-108" windowWidth="23256" windowHeight="12456" activeTab="1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I5" i="3"/>
  <c r="I6" i="3"/>
  <c r="I7" i="3"/>
  <c r="I8" i="3"/>
  <c r="I9" i="3"/>
  <c r="E10" i="3"/>
  <c r="F5" i="3"/>
  <c r="F6" i="3"/>
  <c r="F7" i="3"/>
  <c r="F8" i="3"/>
  <c r="F9" i="3"/>
  <c r="E9" i="3"/>
  <c r="E5" i="3"/>
  <c r="E6" i="3"/>
  <c r="E7" i="3"/>
  <c r="E8" i="3"/>
  <c r="C51" i="7"/>
  <c r="J5" i="2"/>
  <c r="I3" i="1"/>
  <c r="I4" i="1"/>
  <c r="I5" i="1"/>
  <c r="I6" i="1"/>
  <c r="I7" i="1"/>
  <c r="I8" i="1"/>
  <c r="I9" i="1"/>
  <c r="B9" i="7" s="1" a="1"/>
  <c r="B9" i="7" s="1"/>
  <c r="J9" i="2"/>
  <c r="J8" i="2"/>
  <c r="J7" i="2"/>
  <c r="C7" i="2"/>
  <c r="C8" i="2"/>
  <c r="C9" i="2"/>
  <c r="B37" i="7"/>
  <c r="E37" i="7" s="1"/>
  <c r="B38" i="7"/>
  <c r="C38" i="7" s="1"/>
  <c r="B39" i="7"/>
  <c r="C39" i="7" s="1"/>
  <c r="B40" i="7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J6" i="2"/>
  <c r="C6" i="2"/>
  <c r="B8" i="7" a="1"/>
  <c r="B8" i="7" s="1"/>
  <c r="B10" i="7" a="1"/>
  <c r="B10" i="7" s="1"/>
  <c r="C10" i="7" s="1"/>
  <c r="B11" i="7" a="1"/>
  <c r="B11" i="7" s="1"/>
  <c r="C11" i="7" s="1"/>
  <c r="B12" i="7" a="1"/>
  <c r="B12" i="7" s="1"/>
  <c r="E12" i="7" s="1"/>
  <c r="B13" i="7" a="1"/>
  <c r="B13" i="7" s="1"/>
  <c r="E13" i="7" s="1"/>
  <c r="B14" i="7" a="1"/>
  <c r="B14" i="7" s="1"/>
  <c r="B15" i="7" a="1"/>
  <c r="B15" i="7" s="1"/>
  <c r="B16" i="7" a="1"/>
  <c r="B16" i="7" s="1"/>
  <c r="C16" i="7" s="1"/>
  <c r="B17" i="7" a="1"/>
  <c r="B17" i="7" s="1"/>
  <c r="E17" i="7" s="1"/>
  <c r="B18" i="7" a="1"/>
  <c r="B18" i="7" s="1"/>
  <c r="D19" i="7" s="1"/>
  <c r="B19" i="7" a="1"/>
  <c r="B19" i="7" s="1"/>
  <c r="E19" i="7" s="1"/>
  <c r="B20" i="7" a="1"/>
  <c r="B20" i="7" s="1"/>
  <c r="E20" i="7" s="1"/>
  <c r="B21" i="7" a="1"/>
  <c r="B21" i="7" s="1"/>
  <c r="C21" i="7" s="1"/>
  <c r="B22" i="7" a="1"/>
  <c r="B22" i="7" s="1"/>
  <c r="D23" i="7" s="1"/>
  <c r="B23" i="7" a="1"/>
  <c r="B23" i="7" s="1"/>
  <c r="D24" i="7" s="1"/>
  <c r="B24" i="7" a="1"/>
  <c r="B24" i="7" s="1"/>
  <c r="E24" i="7" s="1"/>
  <c r="B25" i="7" a="1"/>
  <c r="B25" i="7" s="1"/>
  <c r="E25" i="7" s="1"/>
  <c r="B26" i="7" a="1"/>
  <c r="B26" i="7" s="1"/>
  <c r="E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 s="1"/>
  <c r="B31" i="7" a="1"/>
  <c r="B31" i="7"/>
  <c r="E31" i="7" s="1"/>
  <c r="E4" i="6"/>
  <c r="E3" i="6"/>
  <c r="D4" i="6"/>
  <c r="H2" i="4"/>
  <c r="I2" i="4" s="1"/>
  <c r="E2" i="4"/>
  <c r="F3" i="3"/>
  <c r="F4" i="3"/>
  <c r="F2" i="3"/>
  <c r="I4" i="3"/>
  <c r="I3" i="3"/>
  <c r="I2" i="3"/>
  <c r="E3" i="3"/>
  <c r="E4" i="3"/>
  <c r="E2" i="3"/>
  <c r="J3" i="2"/>
  <c r="J2" i="2"/>
  <c r="I2" i="1"/>
  <c r="B2" i="7" s="1" a="1"/>
  <c r="B2" i="7" s="1"/>
  <c r="E2" i="7" s="1"/>
  <c r="J4" i="2"/>
  <c r="C3" i="2"/>
  <c r="C4" i="2"/>
  <c r="C5" i="2"/>
  <c r="C2" i="2"/>
  <c r="B3" i="7" a="1"/>
  <c r="B3" i="7" s="1"/>
  <c r="E3" i="7" s="1"/>
  <c r="B5" i="7" a="1"/>
  <c r="B5" i="7" s="1"/>
  <c r="E5" i="7" s="1"/>
  <c r="B6" i="7" a="1"/>
  <c r="B6" i="7" s="1"/>
  <c r="E6" i="7" s="1"/>
  <c r="B7" i="7" a="1"/>
  <c r="B7" i="7" s="1"/>
  <c r="E7" i="7" s="1"/>
  <c r="B4" i="7" a="1"/>
  <c r="B4" i="7" s="1"/>
  <c r="E4" i="7" s="1"/>
  <c r="G3" i="5" l="1"/>
  <c r="C40" i="7"/>
  <c r="C37" i="7"/>
  <c r="C4" i="6"/>
  <c r="C36" i="7"/>
  <c r="C14" i="7"/>
  <c r="E14" i="7"/>
  <c r="D9" i="7"/>
  <c r="E8" i="7"/>
  <c r="C9" i="7"/>
  <c r="E9" i="7"/>
  <c r="C30" i="7"/>
  <c r="E30" i="7"/>
  <c r="D16" i="7"/>
  <c r="E15" i="7"/>
  <c r="C31" i="7"/>
  <c r="E23" i="7"/>
  <c r="E11" i="7"/>
  <c r="E22" i="7"/>
  <c r="E10" i="7"/>
  <c r="E21" i="7"/>
  <c r="E18" i="7"/>
  <c r="E29" i="7"/>
  <c r="E28" i="7"/>
  <c r="E16" i="7"/>
  <c r="E27" i="7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G11" i="5"/>
  <c r="E5" i="6"/>
  <c r="C5" i="6" s="1"/>
  <c r="F10" i="5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J4" i="3" l="1"/>
  <c r="J3" i="3"/>
  <c r="J2" i="3"/>
  <c r="K2" i="3" l="1"/>
  <c r="F4" i="5" s="1"/>
  <c r="F3" i="5"/>
  <c r="K4" i="3"/>
  <c r="L4" i="3" s="1"/>
  <c r="K3" i="3"/>
  <c r="L3" i="3" s="1"/>
  <c r="L2" i="3"/>
  <c r="D3" i="6" l="1"/>
  <c r="G5" i="5"/>
  <c r="C3" i="6" l="1"/>
  <c r="F3" i="6"/>
  <c r="F4" i="6" s="1"/>
  <c r="F5" i="6" s="1"/>
  <c r="F7" i="6" s="1" a="1"/>
  <c r="F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<sst xmlns="http://schemas.openxmlformats.org/spreadsheetml/2006/main" count="237" uniqueCount="119">
  <si>
    <t>Código</t>
  </si>
  <si>
    <t>Nombre</t>
  </si>
  <si>
    <t>Presentación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</si>
  <si>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</si>
  <si>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</si>
  <si>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</si>
  <si>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</si>
  <si>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</si>
  <si>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</si>
  <si>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</si>
  <si>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</si>
  <si>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</si>
  <si>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</si>
  <si>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</si>
  <si>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 xml:space="preserve">Cant_Actual </t>
  </si>
  <si>
    <t>Fecha_Fab</t>
  </si>
  <si>
    <t>Fecha_Venc</t>
  </si>
  <si>
    <t>Costo_Unit</t>
  </si>
  <si>
    <t xml:space="preserve">Estado 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</si>
  <si>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</si>
  <si>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</si>
  <si>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</si>
  <si>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</si>
  <si>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</si>
  <si>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</si>
  <si>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IVA_13%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</si>
  <si>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</si>
  <si>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</si>
  <si>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</si>
  <si>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</si>
  <si>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</si>
  <si>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</si>
  <si>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</si>
  <si>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</si>
  <si>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</si>
  <si>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</si>
  <si>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</si>
  <si>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</si>
  <si>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</si>
  <si>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</si>
  <si>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</si>
  <si>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</si>
  <si>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</si>
  <si>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</si>
  <si>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</si>
  <si>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</si>
  <si>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</si>
  <si>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</si>
  <si>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</si>
  <si>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</si>
  <si>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</si>
  <si>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</si>
  <si>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</si>
  <si>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</si>
  <si>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</si>
  <si>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</si>
  <si>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</si>
  <si>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</si>
  <si>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</si>
  <si>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</si>
  <si>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</si>
  <si>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</si>
  <si>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</si>
  <si>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</si>
  <si>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</si>
  <si>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</si>
  <si>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MED-008</t>
  </si>
  <si>
    <t>Ibuprofeno</t>
  </si>
  <si>
    <t>400mg</t>
  </si>
  <si>
    <t>L001</t>
  </si>
  <si>
    <t>LOT-2024-001</t>
  </si>
  <si>
    <t xml:space="preserve">L002 </t>
  </si>
  <si>
    <t xml:space="preserve"> LOT-2025-045 </t>
  </si>
  <si>
    <t xml:space="preserve"> 15/08/2025 </t>
  </si>
  <si>
    <t xml:space="preserve"> LOT-2025-023 </t>
  </si>
  <si>
    <t xml:space="preserve"> L003 </t>
  </si>
  <si>
    <t xml:space="preserve"> L004 </t>
  </si>
  <si>
    <t xml:space="preserve"> LOT-2025-088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</si>
  <si>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</si>
  <si>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</si>
  <si>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</si>
  <si>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</si>
  <si>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</si>
  <si>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</si>
  <si>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</si>
  <si>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</si>
  <si>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</si>
  <si>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</si>
  <si>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>Dra. María López</t>
  </si>
  <si>
    <t xml:space="preserve"> Compra Insulina NPH - Fact. F-001234 </t>
  </si>
  <si>
    <t xml:space="preserve"> Inventario de Medicamentos </t>
  </si>
  <si>
    <t xml:space="preserve"> </t>
  </si>
  <si>
    <t xml:space="preserve"> IVA Crédito Fiscal </t>
  </si>
  <si>
    <t xml:space="preserve"> 20/08/2025 </t>
  </si>
  <si>
    <t xml:space="preserve"> Despacho Hospital Rosales - D-00125 </t>
  </si>
  <si>
    <t xml:space="preserve"> Costo de Medicamentos Despachados </t>
  </si>
  <si>
    <t>INVENTARIO DE MEDICAMENTOS</t>
  </si>
  <si>
    <t>SALDO FINAL</t>
  </si>
  <si>
    <t>🔴 Stock Crítico</t>
  </si>
  <si>
    <t>🔴 ¡ALERTA! PRÓXIMOS A VENCER</t>
  </si>
  <si>
    <t>Clase_Abc</t>
  </si>
  <si>
    <t xml:space="preserve">Cuentas por Pagar </t>
  </si>
  <si>
    <t xml:space="preserve"> L005</t>
  </si>
  <si>
    <t xml:space="preserve"> LOT-2025-089</t>
  </si>
  <si>
    <t xml:space="preserve"> L006</t>
  </si>
  <si>
    <t xml:space="preserve"> L007</t>
  </si>
  <si>
    <t xml:space="preserve"> L008</t>
  </si>
  <si>
    <t xml:space="preserve"> LOT-2025-090</t>
  </si>
  <si>
    <t xml:space="preserve"> LOT-2025-091</t>
  </si>
  <si>
    <t xml:space="preserve"> LOT-2025-092</t>
  </si>
  <si>
    <t>MED-009</t>
  </si>
  <si>
    <t xml:space="preserve">Aspirina </t>
  </si>
  <si>
    <t>100 mg</t>
  </si>
  <si>
    <t xml:space="preserve"> LOT-2025-093</t>
  </si>
  <si>
    <t xml:space="preserve"> F-001237</t>
  </si>
  <si>
    <t xml:space="preserve"> F-001238</t>
  </si>
  <si>
    <t xml:space="preserve"> F-001239</t>
  </si>
  <si>
    <t xml:space="preserve"> F-001240</t>
  </si>
  <si>
    <t xml:space="preserve"> F-001241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</si>
</sst>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  <xf numFmtId="0" fontId="5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I13"/>
  <sheetViews>
    <sheetView workbookViewId="0">
      <selection activeCell="H10" sqref="H10"/>
    </sheetView>
  </sheetViews>
  <sheetFormatPr baseColWidth="10" defaultRowHeight="14.4" x14ac:dyDescent="0.3"/>
  <cols>
    <col min="4" max="4" width="23" customWidth="1"/>
    <col min="5" max="5" width="18.77734375" style="2" customWidth="1"/>
    <col min="9" max="9" width="2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40</v>
      </c>
      <c r="B2" s="1" t="s">
        <v>41</v>
      </c>
      <c r="C2" s="1" t="s">
        <v>42</v>
      </c>
      <c r="D2" s="1" t="s">
        <v>43</v>
      </c>
      <c r="E2" s="3">
        <v>40</v>
      </c>
      <c r="F2" s="1" t="s">
        <v>44</v>
      </c>
      <c r="G2" s="1">
        <v>500</v>
      </c>
      <c r="H2" s="1">
        <v>2000</v>
      </c>
      <c r="I2" s="1">
        <f>SUMIF(Inventario_Lotes!B:B,TRIM(A2),Inventario_Lotes!F:F)</f>
        <v>900</v>
      </c>
    </row>
    <row r="3" spans="1:9" x14ac:dyDescent="0.3">
      <c r="A3" s="1" t="s">
        <v>45</v>
      </c>
      <c r="B3" s="1" t="s">
        <v>46</v>
      </c>
      <c r="C3" s="1" t="s">
        <v>47</v>
      </c>
      <c r="D3" s="1" t="s">
        <v>48</v>
      </c>
      <c r="E3" s="3">
        <v>0.1</v>
      </c>
      <c r="F3" s="1" t="s">
        <v>49</v>
      </c>
      <c r="G3" s="1">
        <v>10000</v>
      </c>
      <c r="H3" s="1">
        <v>50000</v>
      </c>
      <c r="I3" s="1">
        <f>SUMIF(Inventario_Lotes!B:B,TRIM(A3),Inventario_Lotes!F:F)</f>
        <v>300</v>
      </c>
    </row>
    <row r="4" spans="1:9" x14ac:dyDescent="0.3">
      <c r="A4" s="1" t="s">
        <v>50</v>
      </c>
      <c r="B4" s="1" t="s">
        <v>51</v>
      </c>
      <c r="C4" s="1" t="s">
        <v>52</v>
      </c>
      <c r="D4" s="1" t="s">
        <v>48</v>
      </c>
      <c r="E4" s="3">
        <v>0.25</v>
      </c>
      <c r="F4" s="1" t="s">
        <v>53</v>
      </c>
      <c r="G4" s="1">
        <v>2000</v>
      </c>
      <c r="H4" s="1">
        <v>10000</v>
      </c>
      <c r="I4" s="1">
        <f>SUMIF(Inventario_Lotes!B:B,TRIM(A4),Inventario_Lotes!F:F)</f>
        <v>9210</v>
      </c>
    </row>
    <row r="5" spans="1:9" x14ac:dyDescent="0.3">
      <c r="A5" s="1" t="s">
        <v>54</v>
      </c>
      <c r="B5" s="1" t="s">
        <v>55</v>
      </c>
      <c r="C5" s="1" t="s">
        <v>52</v>
      </c>
      <c r="D5" s="1" t="s">
        <v>56</v>
      </c>
      <c r="E5" s="3">
        <v>0.12</v>
      </c>
      <c r="F5" s="1" t="s">
        <v>44</v>
      </c>
      <c r="G5" s="1">
        <v>5000</v>
      </c>
      <c r="H5" s="1">
        <v>20000</v>
      </c>
      <c r="I5" s="1">
        <f>SUMIF(Inventario_Lotes!B:B,TRIM(A5),Inventario_Lotes!F:F)</f>
        <v>9300</v>
      </c>
    </row>
    <row r="6" spans="1:9" x14ac:dyDescent="0.3">
      <c r="A6" s="1" t="s">
        <v>57</v>
      </c>
      <c r="B6" s="1" t="s">
        <v>58</v>
      </c>
      <c r="C6" s="1" t="s">
        <v>47</v>
      </c>
      <c r="D6" s="1" t="s">
        <v>59</v>
      </c>
      <c r="E6" s="3">
        <v>0.08</v>
      </c>
      <c r="F6" s="1" t="s">
        <v>44</v>
      </c>
      <c r="G6" s="1">
        <v>8000</v>
      </c>
      <c r="H6" s="1">
        <v>30000</v>
      </c>
      <c r="I6" s="1">
        <f>SUMIF(Inventario_Lotes!B:B,TRIM(A6),Inventario_Lotes!F:F)</f>
        <v>10000</v>
      </c>
    </row>
    <row r="7" spans="1:9" x14ac:dyDescent="0.3">
      <c r="A7" s="1" t="s">
        <v>60</v>
      </c>
      <c r="B7" s="1" t="s">
        <v>61</v>
      </c>
      <c r="C7" s="1" t="s">
        <v>47</v>
      </c>
      <c r="D7" s="1" t="s">
        <v>62</v>
      </c>
      <c r="E7" s="3">
        <v>0.06</v>
      </c>
      <c r="F7" s="1" t="s">
        <v>44</v>
      </c>
      <c r="G7" s="1">
        <v>10000</v>
      </c>
      <c r="H7" s="1">
        <v>40000</v>
      </c>
      <c r="I7" s="1">
        <f>SUMIF(Inventario_Lotes!B:B,TRIM(A7),Inventario_Lotes!F:F)</f>
        <v>25000</v>
      </c>
    </row>
    <row r="8" spans="1:9" x14ac:dyDescent="0.3">
      <c r="A8" s="1" t="s">
        <v>63</v>
      </c>
      <c r="B8" s="1" t="s">
        <v>64</v>
      </c>
      <c r="C8" s="1" t="s">
        <v>47</v>
      </c>
      <c r="D8" s="1" t="s">
        <v>65</v>
      </c>
      <c r="E8" s="3">
        <v>0.05</v>
      </c>
      <c r="F8" s="1" t="s">
        <v>44</v>
      </c>
      <c r="G8" s="1">
        <v>8000</v>
      </c>
      <c r="H8" s="1">
        <v>35000</v>
      </c>
      <c r="I8" s="1">
        <f>SUMIF(Inventario_Lotes!B:B,TRIM(A8),Inventario_Lotes!F:F)</f>
        <v>15000</v>
      </c>
    </row>
    <row r="9" spans="1:9" x14ac:dyDescent="0.3">
      <c r="A9" s="1" t="s">
        <v>66</v>
      </c>
      <c r="B9" s="1" t="s">
        <v>67</v>
      </c>
      <c r="C9" s="1" t="s">
        <v>47</v>
      </c>
      <c r="D9" s="1" t="s">
        <v>68</v>
      </c>
      <c r="E9" s="3">
        <v>0.03</v>
      </c>
      <c r="F9" s="1" t="s">
        <v>53</v>
      </c>
      <c r="G9" s="1">
        <v>5000</v>
      </c>
      <c r="H9" s="1">
        <v>25000</v>
      </c>
      <c r="I9" s="1">
        <f>SUMIF(Inventario_Lotes!B:B,TRIM(A9),Inventario_Lotes!F:F)</f>
        <v>1200</v>
      </c>
    </row>
    <row r="10" spans="1:9" x14ac:dyDescent="0.3">
      <c r="A10" s="1" t="s">
        <v>110</v>
      </c>
      <c r="B10" s="1" t="s">
        <v>111</v>
      </c>
      <c r="C10" s="1" t="s">
        <v>47</v>
      </c>
      <c r="D10" s="1" t="s">
        <v>112</v>
      </c>
      <c r="E10" s="2">
        <v>0.12</v>
      </c>
      <c r="F10" s="1" t="s">
        <v>44</v>
      </c>
      <c r="G10" s="1">
        <v>1000</v>
      </c>
      <c r="H10" s="1">
        <v>5000</v>
      </c>
    </row>
    <row r="13" spans="1:9" x14ac:dyDescent="0.3">
      <c r="I13" s="2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10"/>
  <sheetViews>
    <sheetView tabSelected="1" topLeftCell="D1" workbookViewId="0">
      <selection activeCell="E5" sqref="E5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8" customWidth="1"/>
    <col min="8" max="8" width="20.5546875" style="8" customWidth="1"/>
    <col min="9" max="9" width="18.5546875" style="11" customWidth="1"/>
    <col min="10" max="10" width="69.88671875" style="10" customWidth="1"/>
    <col min="11" max="11" width="11.5546875" style="20"/>
    <col min="12" max="16384" width="11.5546875" style="10"/>
  </cols>
  <sheetData>
    <row r="1" spans="1:10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8" t="s">
        <v>15</v>
      </c>
      <c r="H1" s="8" t="s">
        <v>16</v>
      </c>
      <c r="I1" s="11" t="s">
        <v>17</v>
      </c>
      <c r="J1" s="10" t="s">
        <v>18</v>
      </c>
    </row>
    <row r="2" spans="1:10" x14ac:dyDescent="0.3">
      <c r="A2" s="10" t="s">
        <v>69</v>
      </c>
      <c r="B2" s="10" t="s">
        <v>40</v>
      </c>
      <c r="C2" s="10" t="str">
        <f>VLOOKUP(B2,Catálogo!A:B,2,0)</f>
        <v>Insulina NPH</v>
      </c>
      <c r="D2" s="10" t="s">
        <v>70</v>
      </c>
      <c r="E2" s="10">
        <v>1000</v>
      </c>
      <c r="F2" s="10">
        <v>900</v>
      </c>
      <c r="G2" s="8">
        <v>45474</v>
      </c>
      <c r="H2" s="8">
        <v>45505</v>
      </c>
      <c r="I2" s="11">
        <v>55</v>
      </c>
      <c r="J2" s="1" t="str">
        <f t="shared" ref="J2:J9" ca="1" si="0">IF(F2&lt;=0,"❌ Agotado",IF((H2-TODAY())&lt;=30,"⚠️ Por Vencer","✅ Activo"))</f>
        <v>⚠️ Por Vencer</v>
      </c>
    </row>
    <row r="3" spans="1:10" ht="115.8" customHeight="1" x14ac:dyDescent="0.3">
      <c r="A3" s="10" t="s">
        <v>71</v>
      </c>
      <c r="B3" s="10" t="s">
        <v>45</v>
      </c>
      <c r="C3" s="10" t="str">
        <f>VLOOKUP(B3,Catálogo!A:B,2,0)</f>
        <v>Paracetamol</v>
      </c>
      <c r="D3" s="10" t="s">
        <v>72</v>
      </c>
      <c r="E3" s="10">
        <v>500</v>
      </c>
      <c r="F3" s="10">
        <v>300</v>
      </c>
      <c r="G3" s="8">
        <v>45919</v>
      </c>
      <c r="H3" s="8">
        <v>46614</v>
      </c>
      <c r="I3" s="11">
        <v>45</v>
      </c>
      <c r="J3" s="1" t="str">
        <f t="shared" ca="1" si="0"/>
        <v>✅ Activo</v>
      </c>
    </row>
    <row r="4" spans="1:10" ht="87.6" customHeight="1" x14ac:dyDescent="0.3">
      <c r="A4" s="10" t="s">
        <v>75</v>
      </c>
      <c r="B4" s="10" t="s">
        <v>50</v>
      </c>
      <c r="C4" s="10" t="str">
        <f>VLOOKUP(B4,Catálogo!A:B,2,0)</f>
        <v>Amoxicilina</v>
      </c>
      <c r="D4" s="10" t="s">
        <v>74</v>
      </c>
      <c r="E4" s="10">
        <v>50000</v>
      </c>
      <c r="F4" s="10">
        <v>9210</v>
      </c>
      <c r="G4" s="8">
        <v>45697</v>
      </c>
      <c r="H4" s="8">
        <v>46548</v>
      </c>
      <c r="I4" s="11">
        <v>0.12</v>
      </c>
      <c r="J4" s="1" t="str">
        <f t="shared" ca="1" si="0"/>
        <v>✅ Activo</v>
      </c>
    </row>
    <row r="5" spans="1:10" ht="99.6" customHeight="1" x14ac:dyDescent="0.3">
      <c r="A5" s="10" t="s">
        <v>76</v>
      </c>
      <c r="B5" s="10" t="s">
        <v>54</v>
      </c>
      <c r="C5" s="10" t="str">
        <f>VLOOKUP(B5,Catálogo!A:B,2,0)</f>
        <v>Omeprazol</v>
      </c>
      <c r="D5" s="10" t="s">
        <v>77</v>
      </c>
      <c r="E5" s="10">
        <v>10000</v>
      </c>
      <c r="F5" s="10">
        <v>9300</v>
      </c>
      <c r="G5" s="8">
        <v>45912</v>
      </c>
      <c r="H5" s="21">
        <v>47190</v>
      </c>
      <c r="I5" s="11">
        <v>0.85</v>
      </c>
      <c r="J5" s="1" t="str">
        <f t="shared" ca="1" si="0"/>
        <v>✅ Activo</v>
      </c>
    </row>
    <row r="6" spans="1:10" ht="49.2" customHeight="1" x14ac:dyDescent="0.3">
      <c r="A6" s="10" t="s">
        <v>102</v>
      </c>
      <c r="B6" s="10" t="s">
        <v>57</v>
      </c>
      <c r="C6" s="10" t="str">
        <f>VLOOKUP(B6,Catálogo!A:B,2,0)</f>
        <v>Losartán</v>
      </c>
      <c r="D6" s="10" t="s">
        <v>103</v>
      </c>
      <c r="E6" s="10">
        <v>8000</v>
      </c>
      <c r="F6" s="10">
        <v>10000</v>
      </c>
      <c r="G6" s="8">
        <v>45576</v>
      </c>
      <c r="H6" s="8">
        <v>45971</v>
      </c>
      <c r="I6" s="11">
        <v>1</v>
      </c>
      <c r="J6" s="10" t="str">
        <f t="shared" ca="1" si="0"/>
        <v>⚠️ Por Vencer</v>
      </c>
    </row>
    <row r="7" spans="1:10" x14ac:dyDescent="0.3">
      <c r="A7" s="10" t="s">
        <v>104</v>
      </c>
      <c r="B7" s="10" t="s">
        <v>60</v>
      </c>
      <c r="C7" s="10" t="str">
        <f>VLOOKUP(B7,Catálogo!A:B,2,0)</f>
        <v>Metformina</v>
      </c>
      <c r="D7" s="10" t="s">
        <v>107</v>
      </c>
      <c r="E7" s="10">
        <v>10000</v>
      </c>
      <c r="F7" s="10">
        <v>25000</v>
      </c>
      <c r="G7" s="8">
        <v>45239</v>
      </c>
      <c r="H7" s="8">
        <v>46023</v>
      </c>
      <c r="I7" s="11">
        <v>2</v>
      </c>
      <c r="J7" s="10" t="str">
        <f t="shared" ca="1" si="0"/>
        <v>✅ Activo</v>
      </c>
    </row>
    <row r="8" spans="1:10" x14ac:dyDescent="0.3">
      <c r="A8" s="10" t="s">
        <v>105</v>
      </c>
      <c r="B8" s="10" t="s">
        <v>63</v>
      </c>
      <c r="C8" s="10" t="str">
        <f>VLOOKUP(B8,Catálogo!A:B,2,0)</f>
        <v>Enalapril</v>
      </c>
      <c r="D8" s="10" t="s">
        <v>108</v>
      </c>
      <c r="E8" s="10">
        <v>8000</v>
      </c>
      <c r="F8" s="10">
        <v>15000</v>
      </c>
      <c r="G8" s="8">
        <v>45292</v>
      </c>
      <c r="H8" s="8">
        <v>46022</v>
      </c>
      <c r="I8" s="11">
        <v>5</v>
      </c>
      <c r="J8" s="10" t="str">
        <f t="shared" ca="1" si="0"/>
        <v>✅ Activo</v>
      </c>
    </row>
    <row r="9" spans="1:10" x14ac:dyDescent="0.3">
      <c r="A9" s="10" t="s">
        <v>106</v>
      </c>
      <c r="B9" s="10" t="s">
        <v>66</v>
      </c>
      <c r="C9" s="10" t="str">
        <f>VLOOKUP(B9,Catálogo!A:B,2,0)</f>
        <v>Ibuprofeno</v>
      </c>
      <c r="D9" s="10" t="s">
        <v>109</v>
      </c>
      <c r="E9" s="10">
        <v>5000</v>
      </c>
      <c r="F9" s="10">
        <v>1200</v>
      </c>
      <c r="G9" s="8">
        <v>45595</v>
      </c>
      <c r="H9" s="8">
        <v>47062</v>
      </c>
      <c r="I9" s="11">
        <v>0.1</v>
      </c>
      <c r="J9" s="10" t="str">
        <f t="shared" ca="1" si="0"/>
        <v>✅ Activo</v>
      </c>
    </row>
    <row r="10" spans="1:10" x14ac:dyDescent="0.3">
      <c r="D10" s="10" t="s">
        <v>113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L10"/>
  <sheetViews>
    <sheetView topLeftCell="B1" zoomScaleNormal="100" workbookViewId="0">
      <selection activeCell="J3" sqref="J3"/>
    </sheetView>
  </sheetViews>
  <sheetFormatPr baseColWidth="10" defaultRowHeight="14.4" x14ac:dyDescent="0.3"/>
  <cols>
    <col min="1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3.44140625" style="7" customWidth="1"/>
    <col min="8" max="8" width="11.5546875" style="7"/>
    <col min="9" max="9" width="19.5546875" style="9" customWidth="1"/>
    <col min="10" max="11" width="11.5546875" style="9"/>
    <col min="12" max="12" width="20.33203125" style="9" customWidth="1"/>
    <col min="13" max="16384" width="11.5546875" style="7"/>
  </cols>
  <sheetData>
    <row r="1" spans="1:12" x14ac:dyDescent="0.3">
      <c r="A1" s="7" t="s">
        <v>19</v>
      </c>
      <c r="B1" s="7" t="s">
        <v>20</v>
      </c>
      <c r="C1" s="7" t="s">
        <v>21</v>
      </c>
      <c r="D1" s="7" t="s">
        <v>10</v>
      </c>
      <c r="E1" s="7" t="s">
        <v>22</v>
      </c>
      <c r="F1" s="7" t="s">
        <v>100</v>
      </c>
      <c r="G1" s="7" t="s">
        <v>12</v>
      </c>
      <c r="H1" s="7" t="s">
        <v>23</v>
      </c>
      <c r="I1" s="9" t="s">
        <v>4</v>
      </c>
      <c r="J1" s="9" t="s">
        <v>24</v>
      </c>
      <c r="K1" s="9" t="s">
        <v>25</v>
      </c>
      <c r="L1" s="9" t="s">
        <v>26</v>
      </c>
    </row>
    <row r="2" spans="1:12" ht="60.6" customHeight="1" x14ac:dyDescent="0.3">
      <c r="A2" s="12">
        <v>45884</v>
      </c>
      <c r="B2" s="6" t="s">
        <v>79</v>
      </c>
      <c r="C2" s="6" t="s">
        <v>80</v>
      </c>
      <c r="D2" s="6" t="s">
        <v>40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s="6" t="s">
        <v>70</v>
      </c>
      <c r="H2" s="6">
        <v>1000</v>
      </c>
      <c r="I2" s="13">
        <f>IFERROR(VLOOKUP(TRIM(D2),Catálogo!A:E,5,FALSE),"")</f>
        <v>40</v>
      </c>
      <c r="J2" s="13">
        <f>H2*I2</f>
        <v>40000</v>
      </c>
      <c r="K2" s="13">
        <f>J2*0.13</f>
        <v>5200</v>
      </c>
      <c r="L2" s="13">
        <f>J2+K2</f>
        <v>45200</v>
      </c>
    </row>
    <row r="3" spans="1:12" ht="57" customHeight="1" x14ac:dyDescent="0.3">
      <c r="A3" s="7" t="s">
        <v>81</v>
      </c>
      <c r="B3" s="7" t="s">
        <v>82</v>
      </c>
      <c r="C3" s="7" t="s">
        <v>83</v>
      </c>
      <c r="D3" s="7" t="s">
        <v>45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s="7" t="s">
        <v>74</v>
      </c>
      <c r="H3" s="14">
        <v>200</v>
      </c>
      <c r="I3" s="13">
        <f>IFERROR(VLOOKUP(TRIM(D3),Catálogo!A:E,5,FALSE),"")</f>
        <v>0.1</v>
      </c>
      <c r="J3" s="9">
        <f>H3*I3</f>
        <v>20</v>
      </c>
      <c r="K3" s="13">
        <f>J3*0.13</f>
        <v>2.6</v>
      </c>
      <c r="L3" s="13">
        <f>J3+K3</f>
        <v>22.6</v>
      </c>
    </row>
    <row r="4" spans="1:12" ht="45" customHeight="1" x14ac:dyDescent="0.3">
      <c r="A4" s="7" t="s">
        <v>78</v>
      </c>
      <c r="B4" s="7" t="s">
        <v>84</v>
      </c>
      <c r="C4" s="7" t="s">
        <v>85</v>
      </c>
      <c r="D4" s="7" t="s">
        <v>50</v>
      </c>
      <c r="E4" s="6" t="str">
        <f>IFERROR(VLOOKUP(TRIM(D4),Catálogo!A:B,2,FALSE),"❌ No encontrado")</f>
        <v>Amoxicilina</v>
      </c>
      <c r="F4" s="7" t="str">
        <f>IFERROR(VLOOKUP(TRIM(D4),Catálogo!A:F,6,FALSE),"")</f>
        <v>B</v>
      </c>
      <c r="G4" s="7" t="s">
        <v>77</v>
      </c>
      <c r="H4" s="14">
        <v>100</v>
      </c>
      <c r="I4" s="13">
        <f>IFERROR(VLOOKUP(TRIM(D4),Catálogo!A:E,5,FALSE),"")</f>
        <v>0.25</v>
      </c>
      <c r="J4" s="9">
        <f>H4*I4</f>
        <v>25</v>
      </c>
      <c r="K4" s="13">
        <f>J4*0.13</f>
        <v>3.25</v>
      </c>
      <c r="L4" s="13">
        <f>J4+K4</f>
        <v>28.25</v>
      </c>
    </row>
    <row r="5" spans="1:12" x14ac:dyDescent="0.3">
      <c r="B5" s="7" t="s">
        <v>114</v>
      </c>
      <c r="C5" s="7" t="s">
        <v>85</v>
      </c>
      <c r="D5" s="7" t="s">
        <v>54</v>
      </c>
      <c r="E5" s="6" t="str">
        <f>IFERROR(VLOOKUP(TRIM(D5),Catálogo!A:B,2,FALSE),"❌ No encontrado")</f>
        <v>Omeprazol</v>
      </c>
      <c r="F5" s="7" t="str">
        <f>IFERROR(VLOOKUP(TRIM(D5),Catálogo!A:F,6,FALSE),"")</f>
        <v>A</v>
      </c>
      <c r="G5" s="7" t="s">
        <v>103</v>
      </c>
      <c r="I5" s="13">
        <f>IFERROR(VLOOKUP(TRIM(D5),Catálogo!A:E,5,FALSE),"")</f>
        <v>0.12</v>
      </c>
    </row>
    <row r="6" spans="1:12" x14ac:dyDescent="0.3">
      <c r="B6" s="7" t="s">
        <v>115</v>
      </c>
      <c r="C6" s="7" t="s">
        <v>85</v>
      </c>
      <c r="D6" s="7" t="s">
        <v>57</v>
      </c>
      <c r="E6" s="6" t="str">
        <f>IFERROR(VLOOKUP(TRIM(D6),Catálogo!A:B,2,FALSE),"❌ No encontrado")</f>
        <v>Losartán</v>
      </c>
      <c r="F6" s="7" t="str">
        <f>IFERROR(VLOOKUP(TRIM(D6),Catálogo!A:F,6,FALSE),"")</f>
        <v>A</v>
      </c>
      <c r="G6" s="7" t="s">
        <v>107</v>
      </c>
      <c r="I6" s="13">
        <f>IFERROR(VLOOKUP(TRIM(D6),Catálogo!A:E,5,FALSE),"")</f>
        <v>0.08</v>
      </c>
    </row>
    <row r="7" spans="1:12" x14ac:dyDescent="0.3">
      <c r="B7" s="7" t="s">
        <v>116</v>
      </c>
      <c r="C7" s="7" t="s">
        <v>85</v>
      </c>
      <c r="D7" s="7" t="s">
        <v>60</v>
      </c>
      <c r="E7" s="6" t="str">
        <f>IFERROR(VLOOKUP(TRIM(D7),Catálogo!A:B,2,FALSE),"❌ No encontrado")</f>
        <v>Metformina</v>
      </c>
      <c r="F7" s="7" t="str">
        <f>IFERROR(VLOOKUP(TRIM(D7),Catálogo!A:F,6,FALSE),"")</f>
        <v>A</v>
      </c>
      <c r="G7" s="7" t="s">
        <v>108</v>
      </c>
      <c r="I7" s="13">
        <f>IFERROR(VLOOKUP(TRIM(D7),Catálogo!A:E,5,FALSE),"")</f>
        <v>0.06</v>
      </c>
    </row>
    <row r="8" spans="1:12" x14ac:dyDescent="0.3">
      <c r="B8" s="7" t="s">
        <v>117</v>
      </c>
      <c r="C8" s="7" t="s">
        <v>85</v>
      </c>
      <c r="D8" s="7" t="s">
        <v>63</v>
      </c>
      <c r="E8" s="6" t="str">
        <f>IFERROR(VLOOKUP(TRIM(D8),Catálogo!A:B,2,FALSE),"❌ No encontrado")</f>
        <v>Enalapril</v>
      </c>
      <c r="F8" s="7" t="str">
        <f>IFERROR(VLOOKUP(TRIM(D8),Catálogo!A:F,6,FALSE),"")</f>
        <v>A</v>
      </c>
      <c r="G8" s="7" t="s">
        <v>109</v>
      </c>
      <c r="I8" s="13">
        <f>IFERROR(VLOOKUP(TRIM(D8),Catálogo!A:E,5,FALSE),"")</f>
        <v>0.05</v>
      </c>
    </row>
    <row r="9" spans="1:12" x14ac:dyDescent="0.3">
      <c r="B9" s="7" t="s">
        <v>118</v>
      </c>
      <c r="C9" s="7" t="s">
        <v>85</v>
      </c>
      <c r="D9" s="7" t="s">
        <v>66</v>
      </c>
      <c r="E9" s="6" t="str">
        <f>IFERROR(VLOOKUP(TRIM(D9),Catálogo!A:B,2,FALSE),"❌ No encontrado")</f>
        <v>Ibuprofeno</v>
      </c>
      <c r="F9" s="7" t="str">
        <f>IFERROR(VLOOKUP(TRIM(D9),Catálogo!A:F,6,FALSE),"")</f>
        <v>B</v>
      </c>
      <c r="G9" s="7" t="s">
        <v>113</v>
      </c>
      <c r="I9" s="13">
        <f>IFERROR(VLOOKUP(TRIM(D9),Catálogo!A:E,5,FALSE),"")</f>
        <v>0.03</v>
      </c>
      <c r="J9" s="9" t="s">
        <v>91</v>
      </c>
    </row>
    <row r="10" spans="1:12" x14ac:dyDescent="0.3">
      <c r="D10" s="7" t="s">
        <v>110</v>
      </c>
      <c r="E10" s="6" t="str">
        <f>IFERROR(VLOOKUP(TRIM(D10),Catálogo!A:B,2,FALSE),"❌ No encontrado")</f>
        <v xml:space="preserve">Aspirina </v>
      </c>
      <c r="I10" s="13">
        <f>IFERROR(VLOOKUP(TRIM(D10),Catálogo!A:E,5,FALSE),"")</f>
        <v>0.12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workbookViewId="0">
      <selection activeCell="H2" sqref="H2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7" width="11.5546875" style="7"/>
    <col min="8" max="8" width="20.77734375" style="22" customWidth="1"/>
    <col min="9" max="9" width="17.88671875" style="9" customWidth="1"/>
    <col min="10" max="16384" width="11.5546875" style="7"/>
  </cols>
  <sheetData>
    <row r="1" spans="1:10" x14ac:dyDescent="0.3">
      <c r="A1" s="7" t="s">
        <v>19</v>
      </c>
      <c r="B1" s="7" t="s">
        <v>27</v>
      </c>
      <c r="C1" s="7" t="s">
        <v>28</v>
      </c>
      <c r="D1" s="7" t="s">
        <v>10</v>
      </c>
      <c r="E1" s="7" t="s">
        <v>11</v>
      </c>
      <c r="F1" s="7" t="s">
        <v>12</v>
      </c>
      <c r="G1" s="7" t="s">
        <v>23</v>
      </c>
      <c r="H1" s="22" t="s">
        <v>17</v>
      </c>
      <c r="I1" s="9" t="s">
        <v>26</v>
      </c>
      <c r="J1" s="7" t="s">
        <v>29</v>
      </c>
    </row>
    <row r="2" spans="1:10" ht="28.8" x14ac:dyDescent="0.3">
      <c r="A2" s="12">
        <v>45889</v>
      </c>
      <c r="B2" s="6" t="s">
        <v>86</v>
      </c>
      <c r="C2" s="6" t="s">
        <v>87</v>
      </c>
      <c r="D2" s="6" t="s">
        <v>40</v>
      </c>
      <c r="E2" s="6" t="str">
        <f>VLOOKUP(D2,Catálogo!A:B,2,0)</f>
        <v>Insulina NPH</v>
      </c>
      <c r="F2" s="6" t="s">
        <v>70</v>
      </c>
      <c r="G2" s="6">
        <v>150</v>
      </c>
      <c r="H2" s="23">
        <f>IFERROR(VLOOKUP(TRIM(F2),Inventario_Lotes!D:I,6,FALSE),"❌ No encontrado")</f>
        <v>55</v>
      </c>
      <c r="I2" s="13">
        <f>IFERROR(G2*H2,"")</f>
        <v>8250</v>
      </c>
      <c r="J2" s="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workbookViewId="0">
      <selection activeCell="F18" sqref="F18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5" customWidth="1"/>
  </cols>
  <sheetData>
    <row r="1" spans="1:7" x14ac:dyDescent="0.3">
      <c r="A1" s="7" t="s">
        <v>19</v>
      </c>
      <c r="B1" s="7" t="s">
        <v>30</v>
      </c>
      <c r="C1" t="s">
        <v>31</v>
      </c>
      <c r="D1" t="s">
        <v>32</v>
      </c>
      <c r="E1" t="s">
        <v>10</v>
      </c>
      <c r="F1" s="2" t="s">
        <v>33</v>
      </c>
      <c r="G1" s="15" t="s">
        <v>34</v>
      </c>
    </row>
    <row r="2" spans="1:7" s="19" customFormat="1" ht="28.8" customHeight="1" x14ac:dyDescent="0.3"/>
    <row r="3" spans="1:7" x14ac:dyDescent="0.3">
      <c r="A3" s="7" t="s">
        <v>73</v>
      </c>
      <c r="B3" s="7">
        <v>1</v>
      </c>
      <c r="C3" t="s">
        <v>89</v>
      </c>
      <c r="D3" t="s">
        <v>90</v>
      </c>
      <c r="E3" t="s">
        <v>40</v>
      </c>
      <c r="F3" s="2">
        <f>IFERROR(VLOOKUP(E3,Libro_Compras!D:L,7,FALSE),0)</f>
        <v>40000</v>
      </c>
      <c r="G3" s="15">
        <f>IFERROR(VLOOKUP(D3,Libro_Compras!E:L,10,FALSE),0)</f>
        <v>0</v>
      </c>
    </row>
    <row r="4" spans="1:7" x14ac:dyDescent="0.3">
      <c r="A4" s="8">
        <v>45884</v>
      </c>
      <c r="B4" s="7">
        <v>1</v>
      </c>
      <c r="C4" t="s">
        <v>89</v>
      </c>
      <c r="D4" t="s">
        <v>92</v>
      </c>
      <c r="E4" t="s">
        <v>40</v>
      </c>
      <c r="F4" s="2">
        <f>IFERROR(VLOOKUP(E4,Libro_Compras!D:L,8,FALSE),0)</f>
        <v>5200</v>
      </c>
      <c r="G4" s="15" t="s">
        <v>91</v>
      </c>
    </row>
    <row r="5" spans="1:7" x14ac:dyDescent="0.3">
      <c r="A5" s="7" t="s">
        <v>73</v>
      </c>
      <c r="B5" s="7">
        <v>1</v>
      </c>
      <c r="C5" t="s">
        <v>89</v>
      </c>
      <c r="D5" s="15" t="s">
        <v>101</v>
      </c>
      <c r="E5" t="s">
        <v>40</v>
      </c>
      <c r="G5" s="15">
        <f>IFERROR(VLOOKUP(E5,Libro_Compras!D:L,9,FALSE),0)</f>
        <v>45200</v>
      </c>
    </row>
    <row r="10" spans="1:7" x14ac:dyDescent="0.3">
      <c r="A10" s="7" t="s">
        <v>93</v>
      </c>
      <c r="B10" s="7">
        <v>2</v>
      </c>
      <c r="C10" t="s">
        <v>94</v>
      </c>
      <c r="D10" s="2" t="s">
        <v>95</v>
      </c>
      <c r="E10" t="s">
        <v>40</v>
      </c>
      <c r="F10" s="2">
        <f>IFERROR(VLOOKUP(E10,Libro_Salidas!D:I,6,FALSE),0)</f>
        <v>8250</v>
      </c>
    </row>
    <row r="11" spans="1:7" x14ac:dyDescent="0.3">
      <c r="A11" s="7" t="s">
        <v>93</v>
      </c>
      <c r="B11" s="5">
        <v>2</v>
      </c>
      <c r="C11" t="s">
        <v>94</v>
      </c>
      <c r="D11" s="2" t="s">
        <v>90</v>
      </c>
      <c r="E11" t="s">
        <v>40</v>
      </c>
      <c r="G11" s="15">
        <f>IFERROR(VLOOKUP(E11,Libro_Salidas!D:I,6,FALSE),0)</f>
        <v>8250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E1" sqref="E1:E1048576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32</v>
      </c>
      <c r="B1" s="4" t="s">
        <v>19</v>
      </c>
      <c r="C1" t="s">
        <v>35</v>
      </c>
      <c r="D1" s="2" t="s">
        <v>36</v>
      </c>
      <c r="E1" s="2" t="s">
        <v>34</v>
      </c>
      <c r="F1" t="s">
        <v>91</v>
      </c>
    </row>
    <row r="2" spans="1:6" ht="39" customHeight="1" x14ac:dyDescent="0.3">
      <c r="A2" s="17" t="s">
        <v>96</v>
      </c>
    </row>
    <row r="3" spans="1:6" ht="31.8" customHeight="1" x14ac:dyDescent="0.3">
      <c r="B3" s="8">
        <v>45884</v>
      </c>
      <c r="C3" s="7" t="str">
        <f>IF(D3&gt;0,"Compra de medicamentos",IF(E3&gt;0,"Despacho de medicamentos",""))</f>
        <v>Compra de medicamentos</v>
      </c>
      <c r="D3" s="2">
        <f>IFERROR(VLOOKUP(B3,Libro_Compras!A:L,12,FALSE),0)</f>
        <v>45200</v>
      </c>
      <c r="E3" s="2">
        <f>IFERROR(VLOOKUP(B3,Libro_Salidas!A:J,9,FALSE),0)</f>
        <v>0</v>
      </c>
      <c r="F3" s="24">
        <f xml:space="preserve"> D3 - E3</f>
        <v>45200</v>
      </c>
    </row>
    <row r="4" spans="1:6" x14ac:dyDescent="0.3">
      <c r="B4" s="8">
        <v>45885</v>
      </c>
      <c r="C4" s="7" t="str">
        <f t="shared" ref="C4:C5" si="0">IF(D4&gt;0,"Compra de medicamentos",IF(E4&gt;0,"Despacho de medicamentos",""))</f>
        <v/>
      </c>
      <c r="D4" s="2">
        <f>IFERROR(VLOOKUP(B4,Libro_Compras!A:L,12,FALSE),0)</f>
        <v>0</v>
      </c>
      <c r="E4" s="2">
        <f>IFERROR(VLOOKUP(B4,Libro_Salidas!A:J,9,FALSE),0)</f>
        <v>0</v>
      </c>
      <c r="F4" s="24">
        <f xml:space="preserve"> F3 + D4 - E4</f>
        <v>45200</v>
      </c>
    </row>
    <row r="5" spans="1:6" x14ac:dyDescent="0.3">
      <c r="B5" s="8">
        <v>45889</v>
      </c>
      <c r="C5" s="7" t="str">
        <f t="shared" si="0"/>
        <v>Despacho de medicamentos</v>
      </c>
      <c r="E5" s="2">
        <f>IFERROR(VLOOKUP(B5,Libro_Salidas!A:J,9,FALSE),0)</f>
        <v>8250</v>
      </c>
      <c r="F5" s="24">
        <f xml:space="preserve"> F4 + D5 - E5</f>
        <v>36950</v>
      </c>
    </row>
    <row r="6" spans="1:6" x14ac:dyDescent="0.3">
      <c r="F6" s="24"/>
    </row>
    <row r="7" spans="1:6" x14ac:dyDescent="0.3">
      <c r="C7" s="16" t="s">
        <v>97</v>
      </c>
      <c r="F7" s="25" cm="1">
        <f t="array" ref="F7">LOOKUP(2,1/(VALUE(F3:F6)&lt;&gt;0),VALUE(F3:F6))</f>
        <v>36950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1"/>
  <sheetViews>
    <sheetView topLeftCell="C40" zoomScale="75" workbookViewId="0">
      <selection activeCell="D47" sqref="D47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37</v>
      </c>
      <c r="B1" s="7" t="s">
        <v>10</v>
      </c>
      <c r="C1" s="7" t="s">
        <v>1</v>
      </c>
      <c r="D1" s="7" t="s">
        <v>38</v>
      </c>
      <c r="E1" s="7" t="s">
        <v>39</v>
      </c>
    </row>
    <row r="2" spans="1:5" x14ac:dyDescent="0.3">
      <c r="A2" s="7" t="s">
        <v>98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98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98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98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98</v>
      </c>
      <c r="B6" t="str" cm="1">
        <f t="array" ref="B6">IF(INDEX(Catálogo!I:I,ROW(A6))&lt;INDEX(Catálogo!G:G,ROW(A6)),INDEX(Catálogo!A:A,ROW(A6)),"")</f>
        <v/>
      </c>
      <c r="C6" t="str">
        <f>IF(B6&lt;&gt;"",VLOOKUP(B6,Catálogo!A:B,2,FALSE),"")</f>
        <v/>
      </c>
      <c r="D6" t="str">
        <f>IF(B5&lt;&gt;"","Stock actual: "&amp;VLOOKUP(B5,Catálogo!A:I,9,FALSE)&amp;" | Mínimo: "&amp;VLOOKUP(B5,Catálogo!A:G,7,FALSE),"")</f>
        <v/>
      </c>
      <c r="E6" t="str">
        <f t="shared" si="0"/>
        <v/>
      </c>
    </row>
    <row r="7" spans="1:5" x14ac:dyDescent="0.3">
      <c r="A7" s="7" t="s">
        <v>98</v>
      </c>
      <c r="B7" t="str" cm="1">
        <f t="array" ref="B7">IF(INDEX(Catálogo!I:I,ROW(A7))&lt;INDEX(Catálogo!G:G,ROW(A7)),INDEX(Catálogo!A:A,ROW(A7)),"")</f>
        <v/>
      </c>
      <c r="C7" t="str">
        <f>IF(B7&lt;&gt;"",VLOOKUP(B7,Catálogo!A:B,2,FALSE),"")</f>
        <v/>
      </c>
      <c r="D7" t="str">
        <f>IF(B6&lt;&gt;"","Stock actual: "&amp;VLOOKUP(B6,Catálogo!A:I,9,FALSE)&amp;" | Mínimo: "&amp;VLOOKUP(B6,Catálogo!A:G,7,FALSE),"")</f>
        <v/>
      </c>
      <c r="E7" t="str">
        <f t="shared" si="0"/>
        <v/>
      </c>
    </row>
    <row r="8" spans="1:5" x14ac:dyDescent="0.3">
      <c r="A8" s="7" t="s">
        <v>98</v>
      </c>
      <c r="B8" t="str" cm="1">
        <f t="array" ref="B8">IF(INDEX(Catálogo!I:I,ROW(A8))&lt;INDEX(Catálogo!G:G,ROW(A8)),INDEX(Catálogo!A:A,ROW(A8)),"")</f>
        <v/>
      </c>
      <c r="C8" t="str">
        <f>IF(B8&lt;&gt;"",VLOOKUP(B8,Catálogo!A:B,2,FALSE),"")</f>
        <v/>
      </c>
      <c r="D8" t="str">
        <f>IF(B7&lt;&gt;"","Stock actual: "&amp;VLOOKUP(B7,Catálogo!A:I,9,FALSE)&amp;" | Mínimo: "&amp;VLOOKUP(B7,Catálogo!A:G,7,FALSE),"")</f>
        <v/>
      </c>
      <c r="E8" t="str">
        <f t="shared" si="0"/>
        <v/>
      </c>
    </row>
    <row r="9" spans="1:5" x14ac:dyDescent="0.3">
      <c r="A9" s="7" t="s">
        <v>98</v>
      </c>
      <c r="B9" t="str" cm="1">
        <f t="array" ref="B9">IF(INDEX(Catálogo!I:I,ROW(A9))&lt;INDEX(Catálogo!G:G,ROW(A9)),INDEX(Catálogo!A:A,ROW(A9)),"")</f>
        <v>MED-008</v>
      </c>
      <c r="C9" t="str">
        <f>IF(B9&lt;&gt;"",VLOOKUP(B9,Catálogo!A:B,2,FALSE),"")</f>
        <v>Ibuprofeno</v>
      </c>
      <c r="D9" t="str">
        <f>IF(B8&lt;&gt;"","Stock actual: "&amp;VLOOKUP(B8,Catálogo!A:I,9,FALSE)&amp;" | Mínimo: "&amp;VLOOKUP(B8,Catálogo!A:G,7,FALSE),"")</f>
        <v/>
      </c>
      <c r="E9" t="str">
        <f t="shared" si="0"/>
        <v>🛒 COMPRAR URGENTE</v>
      </c>
    </row>
    <row r="10" spans="1:5" x14ac:dyDescent="0.3">
      <c r="A10" s="7" t="s">
        <v>98</v>
      </c>
      <c r="B10" t="str" cm="1">
        <f t="array" ref="B10">IF(INDEX(Catálogo!I:I,ROW(A10))&lt;INDEX(Catálogo!G:G,ROW(A10)),INDEX(Catálogo!A:A,ROW(A10)),"")</f>
        <v>MED-009</v>
      </c>
      <c r="C10" t="str">
        <f>IF(B10&lt;&gt;"",VLOOKUP(B10,Catálogo!A:B,2,FALSE),"")</f>
        <v xml:space="preserve">Aspirina </v>
      </c>
      <c r="D10" t="str">
        <f>IF(B9&lt;&gt;"","Stock actual: "&amp;VLOOKUP(B9,Catálogo!A:I,9,FALSE)&amp;" | Mínimo: "&amp;VLOOKUP(B9,Catálogo!A:G,7,FALSE),"")</f>
        <v>Stock actual: 1200 | Mínimo: 5000</v>
      </c>
      <c r="E10" t="str">
        <f t="shared" si="0"/>
        <v>🛒 COMPRAR URGENTE</v>
      </c>
    </row>
    <row r="11" spans="1:5" x14ac:dyDescent="0.3">
      <c r="A11" s="7" t="s">
        <v>98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>Stock actual:  | Mínimo: 1000</v>
      </c>
      <c r="E11" t="str">
        <f t="shared" si="0"/>
        <v/>
      </c>
    </row>
    <row r="12" spans="1:5" x14ac:dyDescent="0.3">
      <c r="A12" s="7" t="s">
        <v>98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98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98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98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98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98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98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98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98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98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98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98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98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98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98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98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98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98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98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98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8" customFormat="1" x14ac:dyDescent="0.3"/>
    <row r="36" spans="1:5" ht="15.6" customHeight="1" x14ac:dyDescent="0.3">
      <c r="A36" s="7" t="s">
        <v>99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(-450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99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99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99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99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(16 días)</v>
      </c>
      <c r="E40" t="str">
        <f t="shared" ca="1" si="1"/>
        <v>⚠️ USAR PRIORITARIAMENTE</v>
      </c>
    </row>
    <row r="41" spans="1:5" x14ac:dyDescent="0.3">
      <c r="A41" s="7" t="s">
        <v>99</v>
      </c>
      <c r="B41" t="str">
        <f ca="1">IF((Inventario_Lotes!H7-TODAY())&lt;=30,Inventario_Lotes!D7,"")</f>
        <v/>
      </c>
      <c r="C41" t="str">
        <f ca="1">IF(B41&lt;&gt;"",INDEX(Inventario_Lotes!C:C,MATCH(B41,Inventario_Lotes!D:D,0)),"")</f>
        <v/>
      </c>
      <c r="D41" t="str">
        <f ca="1">IF(B41&lt;&gt;"","Lote vence el "&amp;TEXT(VLOOKUP(B41,Inventario_Lotes!D:H,5,FALSE),"dd/mm/aaaa")&amp;" ("&amp;ROUND((VLOOKUP(B41,Inventario_Lotes!D:H,5,FALSE)-TODAY()),0)&amp;" días)","")</f>
        <v/>
      </c>
      <c r="E41" t="str">
        <f t="shared" ca="1" si="1"/>
        <v/>
      </c>
    </row>
    <row r="42" spans="1:5" x14ac:dyDescent="0.3">
      <c r="A42" s="7" t="s">
        <v>99</v>
      </c>
      <c r="B42" t="str">
        <f ca="1">IF((Inventario_Lotes!H8-TODAY())&lt;=30,Inventario_Lotes!D8,"")</f>
        <v/>
      </c>
      <c r="C42" t="str">
        <f ca="1">IF(B42&lt;&gt;"",INDEX(Inventario_Lotes!C:C,MATCH(B42,Inventario_Lotes!D:D,0)),"")</f>
        <v/>
      </c>
      <c r="D42" t="str">
        <f ca="1">IF(B42&lt;&gt;"","Lote vence el "&amp;TEXT(VLOOKUP(B42,Inventario_Lotes!D:H,5,FALSE),"dd/mm/aaaa")&amp;" ("&amp;ROUND((VLOOKUP(B42,Inventario_Lotes!D:H,5,FALSE)-TODAY()),0)&amp;" días)","")</f>
        <v/>
      </c>
      <c r="E42" t="str">
        <f t="shared" ca="1" si="1"/>
        <v/>
      </c>
    </row>
    <row r="43" spans="1:5" x14ac:dyDescent="0.3">
      <c r="A43" s="7" t="s">
        <v>99</v>
      </c>
      <c r="B43" t="str">
        <f ca="1">IF((Inventario_Lotes!H9-TODAY())&lt;=30,Inventario_Lotes!D9,"")</f>
        <v/>
      </c>
      <c r="C43" t="str">
        <f ca="1">IF(B43&lt;&gt;"",INDEX(Inventario_Lotes!C:C,MATCH(B43,Inventario_Lotes!D:D,0)),"")</f>
        <v/>
      </c>
      <c r="D43" t="str">
        <f ca="1">IF(B43&lt;&gt;"","Lote vence el "&amp;TEXT(VLOOKUP(B43,Inventario_Lotes!D:H,5,FALSE),"dd/mm/aaaa")&amp;" ("&amp;ROUND((VLOOKUP(B43,Inventario_Lotes!D:H,5,FALSE)-TODAY()),0)&amp;" días)","")</f>
        <v/>
      </c>
      <c r="E43" t="str">
        <f t="shared" ca="1" si="1"/>
        <v/>
      </c>
    </row>
    <row r="44" spans="1:5" x14ac:dyDescent="0.3">
      <c r="A44" s="7" t="s">
        <v>99</v>
      </c>
      <c r="B44" t="str">
        <f ca="1">IF((Inventario_Lotes!H10-TODAY())&lt;=30,Inventario_Lotes!D10,"")</f>
        <v xml:space="preserve"> LOT-2025-093</v>
      </c>
      <c r="C44">
        <f ca="1">IF(B44&lt;&gt;"",INDEX(Inventario_Lotes!C:C,MATCH(B44,Inventario_Lotes!D:D,0)),"")</f>
        <v>0</v>
      </c>
      <c r="D44" t="str">
        <f ca="1">IF(B44&lt;&gt;"","Lote vence el "&amp;TEXT(VLOOKUP(B44,Inventario_Lotes!D:H,5,FALSE),"dd/mm/aaaa")&amp;" ("&amp;ROUND((VLOOKUP(B44,Inventario_Lotes!D:H,5,FALSE)-TODAY()),0)&amp;" días)","")</f>
        <v>Lote vence el 00/01/sábado (-45955 días)</v>
      </c>
      <c r="E44" t="str">
        <f t="shared" ca="1" si="1"/>
        <v>⚠️ USAR PRIORITARIAMENTE</v>
      </c>
    </row>
    <row r="45" spans="1:5" x14ac:dyDescent="0.3">
      <c r="A45" s="7" t="s">
        <v>99</v>
      </c>
      <c r="B45">
        <f ca="1">IF((Inventario_Lotes!H11-TODAY())&lt;=30,Inventario_Lotes!D11,"")</f>
        <v>0</v>
      </c>
      <c r="C45" t="e">
        <f ca="1">IF(B45&lt;&gt;"",INDEX(Inventario_Lotes!C:C,MATCH(B45,Inventario_Lotes!D:D,0)),"")</f>
        <v>#N/A</v>
      </c>
      <c r="D45" t="e">
        <f ca="1">IF(B45&lt;&gt;"","Lote vence el "&amp;TEXT(VLOOKUP(B45,Inventario_Lotes!D:H,5,FALSE),"dd/mm/aaaa")&amp;" ("&amp;ROUND((VLOOKUP(B45,Inventario_Lotes!D:H,5,FALSE)-TODAY()),0)&amp;" días)","")</f>
        <v>#N/A</v>
      </c>
      <c r="E45" t="str">
        <f t="shared" ca="1" si="1"/>
        <v>⚠️ USAR PRIORITARIAMENTE</v>
      </c>
    </row>
    <row r="46" spans="1:5" x14ac:dyDescent="0.3">
      <c r="A46" s="7" t="s">
        <v>99</v>
      </c>
      <c r="B46">
        <f ca="1">IF((Inventario_Lotes!H12-TODAY())&lt;=30,Inventario_Lotes!D12,"")</f>
        <v>0</v>
      </c>
      <c r="C46" t="e">
        <f ca="1">IF(B46&lt;&gt;"",INDEX(Inventario_Lotes!C:C,MATCH(B46,Inventario_Lotes!D:D,0)),"")</f>
        <v>#N/A</v>
      </c>
      <c r="D46" t="e">
        <f ca="1">IF(B46&lt;&gt;"","Lote vence el "&amp;TEXT(VLOOKUP(B46,Inventario_Lotes!D:H,5,FALSE),"dd/mm/aaaa")&amp;" ("&amp;ROUND((VLOOKUP(B46,Inventario_Lotes!D:H,5,FALSE)-TODAY()),0)&amp;" días)","")</f>
        <v>#N/A</v>
      </c>
      <c r="E46" t="str">
        <f t="shared" ca="1" si="1"/>
        <v>⚠️ USAR PRIORITARIAMENTE</v>
      </c>
    </row>
    <row r="47" spans="1:5" x14ac:dyDescent="0.3">
      <c r="A47" s="7" t="s">
        <v>99</v>
      </c>
      <c r="B47">
        <f ca="1">IF((Inventario_Lotes!H13-TODAY())&lt;=30,Inventario_Lotes!D13,"")</f>
        <v>0</v>
      </c>
      <c r="C47" t="e">
        <f ca="1">IF(B47&lt;&gt;"",INDEX(Inventario_Lotes!C:C,MATCH(B47,Inventario_Lotes!D:D,0)),"")</f>
        <v>#N/A</v>
      </c>
      <c r="D47" t="e">
        <f ca="1">IF(B47&lt;&gt;"","Lote vence el "&amp;TEXT(VLOOKUP(B47,Inventario_Lotes!D:H,5,FALSE),"dd/mm/aaaa")&amp;" ("&amp;ROUND((VLOOKUP(B47,Inventario_Lotes!D:H,5,FALSE)-TODAY()),0)&amp;" días)","")</f>
        <v>#N/A</v>
      </c>
      <c r="E47" t="str">
        <f t="shared" ca="1" si="1"/>
        <v>⚠️ USAR PRIORITARIAMENTE</v>
      </c>
    </row>
    <row r="48" spans="1:5" x14ac:dyDescent="0.3">
      <c r="A48" s="7" t="s">
        <v>99</v>
      </c>
      <c r="B48">
        <f ca="1">IF((Inventario_Lotes!H14-TODAY())&lt;=30,Inventario_Lotes!D14,"")</f>
        <v>0</v>
      </c>
      <c r="C48" t="e">
        <f ca="1">IF(B48&lt;&gt;"",INDEX(Inventario_Lotes!C:C,MATCH(B48,Inventario_Lotes!D:D,0)),"")</f>
        <v>#N/A</v>
      </c>
      <c r="D48" t="e">
        <f ca="1">IF(B48&lt;&gt;"","Lote vence el "&amp;TEXT(VLOOKUP(B48,Inventario_Lotes!D:H,5,FALSE),"dd/mm/aaaa")&amp;" ("&amp;ROUND((VLOOKUP(B48,Inventario_Lotes!D:H,5,FALSE)-TODAY()),0)&amp;" días)","")</f>
        <v>#N/A</v>
      </c>
      <c r="E48" t="str">
        <f t="shared" ca="1" si="1"/>
        <v>⚠️ USAR PRIORITARIAMENTE</v>
      </c>
    </row>
    <row r="49" spans="1:5" x14ac:dyDescent="0.3">
      <c r="A49" s="7" t="s">
        <v>99</v>
      </c>
      <c r="B49">
        <f ca="1">IF((Inventario_Lotes!H15-TODAY())&lt;=30,Inventario_Lotes!D15,"")</f>
        <v>0</v>
      </c>
      <c r="C49" t="e">
        <f ca="1">IF(B49&lt;&gt;"",INDEX(Inventario_Lotes!C:C,MATCH(B49,Inventario_Lotes!D:D,0)),"")</f>
        <v>#N/A</v>
      </c>
      <c r="D49" t="e">
        <f ca="1">IF(B49&lt;&gt;"","Lote vence el "&amp;TEXT(VLOOKUP(B49,Inventario_Lotes!D:H,5,FALSE),"dd/mm/aaaa")&amp;" ("&amp;ROUND((VLOOKUP(B49,Inventario_Lotes!D:H,5,FALSE)-TODAY()),0)&amp;" días)","")</f>
        <v>#N/A</v>
      </c>
      <c r="E49" t="str">
        <f t="shared" ca="1" si="1"/>
        <v>⚠️ USAR PRIORITARIAMENTE</v>
      </c>
    </row>
    <row r="50" spans="1:5" x14ac:dyDescent="0.3">
      <c r="A50" s="7" t="s">
        <v>99</v>
      </c>
      <c r="B50">
        <f ca="1">IF((Inventario_Lotes!H16-TODAY())&lt;=30,Inventario_Lotes!D16,"")</f>
        <v>0</v>
      </c>
      <c r="C50" t="e">
        <f ca="1">IF(B50&lt;&gt;"",INDEX(Inventario_Lotes!C:C,MATCH(B50,Inventario_Lotes!D:D,0)),"")</f>
        <v>#N/A</v>
      </c>
      <c r="D50" t="e">
        <f ca="1">IF(B50&lt;&gt;"","Lote vence el "&amp;TEXT(VLOOKUP(B50,Inventario_Lotes!D:H,5,FALSE),"dd/mm/aaaa")&amp;" ("&amp;ROUND((VLOOKUP(B50,Inventario_Lotes!D:H,5,FALSE)-TODAY()),0)&amp;" días)","")</f>
        <v>#N/A</v>
      </c>
      <c r="E50" t="str">
        <f t="shared" ca="1" si="1"/>
        <v>⚠️ USAR PRIORITARIAMENTE</v>
      </c>
    </row>
    <row r="51" spans="1:5" x14ac:dyDescent="0.3">
      <c r="C51" t="str">
        <f>IF(B51&lt;&gt;"",INDEX(Inventario_Lotes!C:C,MATCH(B51,Inventario_Lotes!D:D,0)),"")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2025-10-25T07:08:26Z</dcterms:modified>
</cp:coreProperties>
</file>