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826D6DD-5A66-4CE8-9A5F-E507BD5BDBC3}" xr6:coauthVersionLast="47" xr6:coauthVersionMax="47" xr10:uidLastSave="{00000000-0000-0000-0000-000000000000}"/>
  <bookViews>
    <workbookView xWindow="-108" yWindow="-108" windowWidth="23256" windowHeight="12456" activeTab="6" xr2:uid="{33EF6376-3F5A-46D1-9B87-DA96CC38AB62}"/>
  </bookViews>
  <sheets>
    <sheet name="Catálogo" sheetId="1" r:id="rId1"/>
    <sheet name="Inventario_Lotes" sheetId="2" r:id="rId2"/>
    <sheet name="Libro_Compras" sheetId="3" r:id="rId3"/>
    <sheet name="Libro_Salidas" sheetId="4" r:id="rId4"/>
    <sheet name="Libro_Diario" sheetId="5" r:id="rId5"/>
    <sheet name="Libro_Mayor" sheetId="6" r:id="rId6"/>
    <sheet name="Alert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" i="7" l="1"/>
  <c r="E37" i="7" s="1"/>
  <c r="B38" i="7"/>
  <c r="C38" i="7" s="1"/>
  <c r="B39" i="7"/>
  <c r="C39" i="7" s="1"/>
  <c r="B40" i="7"/>
  <c r="C40" i="7" s="1"/>
  <c r="B41" i="7"/>
  <c r="C41" i="7" s="1"/>
  <c r="B42" i="7"/>
  <c r="C42" i="7" s="1"/>
  <c r="B43" i="7"/>
  <c r="C43" i="7" s="1"/>
  <c r="B44" i="7"/>
  <c r="C44" i="7" s="1"/>
  <c r="B45" i="7"/>
  <c r="C45" i="7" s="1"/>
  <c r="B46" i="7"/>
  <c r="C46" i="7" s="1"/>
  <c r="B47" i="7"/>
  <c r="C47" i="7" s="1"/>
  <c r="B48" i="7"/>
  <c r="C48" i="7" s="1"/>
  <c r="B49" i="7"/>
  <c r="C49" i="7" s="1"/>
  <c r="B50" i="7"/>
  <c r="C50" i="7" s="1"/>
  <c r="B36" i="7"/>
  <c r="C36" i="7" s="1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2" i="7"/>
  <c r="J6" i="2"/>
  <c r="C6" i="2"/>
  <c r="C31" i="7"/>
  <c r="B8" i="7" a="1"/>
  <c r="B8" i="7"/>
  <c r="D9" i="7" s="1"/>
  <c r="B9" i="7" a="1"/>
  <c r="B9" i="7"/>
  <c r="C9" i="7" s="1"/>
  <c r="B10" i="7" a="1"/>
  <c r="B10" i="7" s="1"/>
  <c r="C10" i="7" s="1"/>
  <c r="B11" i="7" a="1"/>
  <c r="B11" i="7" s="1"/>
  <c r="C11" i="7" s="1"/>
  <c r="B12" i="7" a="1"/>
  <c r="B12" i="7" s="1"/>
  <c r="B13" i="7" a="1"/>
  <c r="B13" i="7" s="1"/>
  <c r="B14" i="7" a="1"/>
  <c r="B14" i="7"/>
  <c r="C14" i="7" s="1"/>
  <c r="B15" i="7" a="1"/>
  <c r="B15" i="7"/>
  <c r="D16" i="7" s="1"/>
  <c r="B16" i="7" a="1"/>
  <c r="B16" i="7" s="1"/>
  <c r="C16" i="7" s="1"/>
  <c r="B17" i="7" a="1"/>
  <c r="B17" i="7" s="1"/>
  <c r="B18" i="7" a="1"/>
  <c r="B18" i="7" s="1"/>
  <c r="D19" i="7" s="1"/>
  <c r="B19" i="7" a="1"/>
  <c r="B19" i="7" s="1"/>
  <c r="B20" i="7" a="1"/>
  <c r="B20" i="7" s="1"/>
  <c r="B21" i="7" a="1"/>
  <c r="B21" i="7" s="1"/>
  <c r="C21" i="7" s="1"/>
  <c r="B22" i="7" a="1"/>
  <c r="B22" i="7" s="1"/>
  <c r="D23" i="7" s="1"/>
  <c r="B23" i="7" a="1"/>
  <c r="B23" i="7"/>
  <c r="D24" i="7" s="1"/>
  <c r="B24" i="7" a="1"/>
  <c r="B24" i="7" s="1"/>
  <c r="B25" i="7" a="1"/>
  <c r="B25" i="7" s="1"/>
  <c r="B26" i="7" a="1"/>
  <c r="B26" i="7" s="1"/>
  <c r="B27" i="7" a="1"/>
  <c r="B27" i="7" s="1"/>
  <c r="D28" i="7" s="1"/>
  <c r="B28" i="7" a="1"/>
  <c r="B28" i="7" s="1"/>
  <c r="D29" i="7" s="1"/>
  <c r="B29" i="7" a="1"/>
  <c r="B29" i="7" s="1"/>
  <c r="C29" i="7" s="1"/>
  <c r="B30" i="7" a="1"/>
  <c r="B30" i="7"/>
  <c r="C30" i="7" s="1"/>
  <c r="B31" i="7" a="1"/>
  <c r="B31" i="7"/>
  <c r="G5" i="5"/>
  <c r="F4" i="5"/>
  <c r="F3" i="5"/>
  <c r="G3" i="5"/>
  <c r="C3" i="6"/>
  <c r="E4" i="6"/>
  <c r="C4" i="6" s="1"/>
  <c r="E3" i="6"/>
  <c r="F3" i="6" s="1"/>
  <c r="F4" i="6" s="1"/>
  <c r="D4" i="6"/>
  <c r="D3" i="6"/>
  <c r="H2" i="4"/>
  <c r="I2" i="4" s="1"/>
  <c r="E2" i="4"/>
  <c r="F3" i="3"/>
  <c r="F4" i="3"/>
  <c r="F2" i="3"/>
  <c r="I4" i="3"/>
  <c r="I3" i="3"/>
  <c r="I2" i="3"/>
  <c r="E3" i="3"/>
  <c r="E4" i="3"/>
  <c r="E2" i="3"/>
  <c r="J3" i="2"/>
  <c r="J2" i="2"/>
  <c r="I2" i="1"/>
  <c r="B2" i="7" s="1" a="1"/>
  <c r="B2" i="7" s="1"/>
  <c r="J5" i="2"/>
  <c r="J4" i="2"/>
  <c r="C3" i="2"/>
  <c r="C4" i="2"/>
  <c r="C5" i="2"/>
  <c r="C2" i="2"/>
  <c r="I3" i="1"/>
  <c r="B3" i="7" s="1" a="1"/>
  <c r="B3" i="7" s="1"/>
  <c r="I5" i="1"/>
  <c r="B5" i="7" s="1" a="1"/>
  <c r="B5" i="7" s="1"/>
  <c r="I6" i="1"/>
  <c r="B6" i="7" s="1" a="1"/>
  <c r="B6" i="7" s="1"/>
  <c r="I7" i="1"/>
  <c r="B7" i="7" s="1" a="1"/>
  <c r="B7" i="7" s="1"/>
  <c r="I4" i="1"/>
  <c r="B4" i="7" s="1" a="1"/>
  <c r="B4" i="7" s="1"/>
  <c r="C37" i="7" l="1"/>
  <c r="E49" i="7"/>
  <c r="E38" i="7"/>
  <c r="E50" i="7"/>
  <c r="E45" i="7"/>
  <c r="E42" i="7"/>
  <c r="E48" i="7"/>
  <c r="E46" i="7"/>
  <c r="E44" i="7"/>
  <c r="E41" i="7"/>
  <c r="E40" i="7"/>
  <c r="E47" i="7"/>
  <c r="E43" i="7"/>
  <c r="E39" i="7"/>
  <c r="D48" i="7"/>
  <c r="D47" i="7"/>
  <c r="E36" i="7"/>
  <c r="D45" i="7"/>
  <c r="D44" i="7"/>
  <c r="D42" i="7"/>
  <c r="D41" i="7"/>
  <c r="D40" i="7"/>
  <c r="D46" i="7"/>
  <c r="D43" i="7"/>
  <c r="D39" i="7"/>
  <c r="D50" i="7"/>
  <c r="D38" i="7"/>
  <c r="D49" i="7"/>
  <c r="D37" i="7"/>
  <c r="D36" i="7"/>
  <c r="C26" i="7"/>
  <c r="D27" i="7"/>
  <c r="D15" i="7"/>
  <c r="C18" i="7"/>
  <c r="C8" i="7"/>
  <c r="D12" i="7"/>
  <c r="D11" i="7"/>
  <c r="G11" i="5"/>
  <c r="E5" i="6"/>
  <c r="C5" i="6" s="1"/>
  <c r="F10" i="5"/>
  <c r="D8" i="7"/>
  <c r="C7" i="7"/>
  <c r="C19" i="7"/>
  <c r="D20" i="7"/>
  <c r="C17" i="7"/>
  <c r="D18" i="7"/>
  <c r="D26" i="7"/>
  <c r="C25" i="7"/>
  <c r="D4" i="7"/>
  <c r="C3" i="7"/>
  <c r="C24" i="7"/>
  <c r="D25" i="7"/>
  <c r="D6" i="7"/>
  <c r="C5" i="7"/>
  <c r="D14" i="7"/>
  <c r="C13" i="7"/>
  <c r="C6" i="7"/>
  <c r="D7" i="7"/>
  <c r="D13" i="7"/>
  <c r="C12" i="7"/>
  <c r="C4" i="7"/>
  <c r="D5" i="7"/>
  <c r="C20" i="7"/>
  <c r="D21" i="7"/>
  <c r="C2" i="7"/>
  <c r="D3" i="7"/>
  <c r="D2" i="7"/>
  <c r="C15" i="7"/>
  <c r="D10" i="7"/>
  <c r="D31" i="7"/>
  <c r="C28" i="7"/>
  <c r="C27" i="7"/>
  <c r="D22" i="7"/>
  <c r="C23" i="7"/>
  <c r="D30" i="7"/>
  <c r="C22" i="7"/>
  <c r="D17" i="7"/>
  <c r="F5" i="6" l="1"/>
  <c r="F7" i="6" s="1" a="1"/>
  <c r="F7" i="6" s="1"/>
  <c r="J4" i="3" l="1"/>
  <c r="J3" i="3"/>
  <c r="J2" i="3"/>
  <c r="K2" i="3" s="1"/>
  <c r="K4" i="3" l="1"/>
  <c r="L4" i="3" s="1"/>
  <c r="K3" i="3"/>
  <c r="L3" i="3" s="1"/>
  <c r="L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<sst xmlns="http://schemas.openxmlformats.org/spreadsheetml/2006/main" count="210" uniqueCount="108">
  <si>
    <t>Código</t>
  </si>
  <si>
    <t>Nombre</t>
  </si>
  <si>
    <t>Presentación</t>
  </si>
  <si>
    <t>Concentración</t>
  </si>
  <si>
    <t>Precio_Unit</t>
  </si>
  <si>
    <t>Clase_ABC</t>
  </si>
  <si>
    <t>Stock_Min</t>
  </si>
  <si>
    <t>Stock_Max</t>
  </si>
  <si>
    <t>Stock_Actual</t>
  </si>
  <si>
    <t>ID_Lote</t>
  </si>
  <si>
    <t>Código_Med</t>
  </si>
  <si>
    <t>Nombre_Med</t>
  </si>
  <si>
    <t>Num_Lote</t>
  </si>
  <si>
    <t>Cant_Inicial</t>
  </si>
  <si>
    <t xml:space="preserve">Cant_Actual </t>
  </si>
  <si>
    <t>Fecha_Fab</t>
  </si>
  <si>
    <t>Fecha_Venc</t>
  </si>
  <si>
    <t>Costo_Unit</t>
  </si>
  <si>
    <t xml:space="preserve">Estado </t>
  </si>
  <si>
    <t>Fecha</t>
  </si>
  <si>
    <t>Num_Factura</t>
  </si>
  <si>
    <t xml:space="preserve">Proveedor </t>
  </si>
  <si>
    <t xml:space="preserve">Nombre_Med </t>
  </si>
  <si>
    <t>Cantidad</t>
  </si>
  <si>
    <t>Subtotal</t>
  </si>
  <si>
    <t>IVA_13%</t>
  </si>
  <si>
    <t>Total</t>
  </si>
  <si>
    <t>Num_Despacho</t>
  </si>
  <si>
    <t>Hospital_Destino</t>
  </si>
  <si>
    <t>Responsable</t>
  </si>
  <si>
    <t>Num_Asiento</t>
  </si>
  <si>
    <t>Descripción</t>
  </si>
  <si>
    <t>Cuenta</t>
  </si>
  <si>
    <t>Debe</t>
  </si>
  <si>
    <t>Haber</t>
  </si>
  <si>
    <t xml:space="preserve">Descripción </t>
  </si>
  <si>
    <t xml:space="preserve">Debe </t>
  </si>
  <si>
    <t>Tipo_Alerta</t>
  </si>
  <si>
    <t>Detalle</t>
  </si>
  <si>
    <t>Acción Requerida</t>
  </si>
  <si>
    <t>MED-001</t>
  </si>
  <si>
    <t>Insulina NPH</t>
  </si>
  <si>
    <t>Frasco</t>
  </si>
  <si>
    <t>10ml</t>
  </si>
  <si>
    <t>A</t>
  </si>
  <si>
    <t>MED-002</t>
  </si>
  <si>
    <t>Paracetamol</t>
  </si>
  <si>
    <t>Tableta</t>
  </si>
  <si>
    <t>500mg</t>
  </si>
  <si>
    <t>C</t>
  </si>
  <si>
    <t>MED-003</t>
  </si>
  <si>
    <t>Amoxicilina</t>
  </si>
  <si>
    <t>Cápsula</t>
  </si>
  <si>
    <t>B</t>
  </si>
  <si>
    <t>MED-004</t>
  </si>
  <si>
    <t>Omeprazol</t>
  </si>
  <si>
    <t>20mg</t>
  </si>
  <si>
    <t>MED-005</t>
  </si>
  <si>
    <t>Losartán</t>
  </si>
  <si>
    <t>50mg</t>
  </si>
  <si>
    <t>MED-006</t>
  </si>
  <si>
    <t>Metformina</t>
  </si>
  <si>
    <t>850mg</t>
  </si>
  <si>
    <t>MED-007</t>
  </si>
  <si>
    <t>Enalapril</t>
  </si>
  <si>
    <t>10mg</t>
  </si>
  <si>
    <t>=SUMAR.SI(Inventario_Lotes!B:B,A8,Inventario_Lotes!F:F)</t>
  </si>
  <si>
    <t>MED-008</t>
  </si>
  <si>
    <t>Ibuprofeno</t>
  </si>
  <si>
    <t>400mg</t>
  </si>
  <si>
    <t>=SUMAR.SI(Inventario_Lotes!B:B,A9,Inventario_Lotes!F:F)</t>
  </si>
  <si>
    <t>L001</t>
  </si>
  <si>
    <t>LOT-2024-001</t>
  </si>
  <si>
    <t xml:space="preserve">L002 </t>
  </si>
  <si>
    <t xml:space="preserve"> LOT-2025-045 </t>
  </si>
  <si>
    <t xml:space="preserve"> 15/08/2025 </t>
  </si>
  <si>
    <t xml:space="preserve"> LOT-2025-023 </t>
  </si>
  <si>
    <t xml:space="preserve"> 10/06/2025 </t>
  </si>
  <si>
    <t xml:space="preserve"> L003 </t>
  </si>
  <si>
    <t xml:space="preserve"> L004 </t>
  </si>
  <si>
    <t xml:space="preserve"> LOT-2025-088 </t>
  </si>
  <si>
    <t xml:space="preserve"> 18/08/2025 </t>
  </si>
  <si>
    <t>F-001234</t>
  </si>
  <si>
    <t>Laboratorios Unidos SA</t>
  </si>
  <si>
    <t xml:space="preserve"> 16/08/2025 </t>
  </si>
  <si>
    <t xml:space="preserve"> F-001235 </t>
  </si>
  <si>
    <t xml:space="preserve"> Farma Central </t>
  </si>
  <si>
    <t xml:space="preserve"> F-001236 </t>
  </si>
  <si>
    <t xml:space="preserve"> Distribuidora Médica </t>
  </si>
  <si>
    <t>D-00125</t>
  </si>
  <si>
    <t>Hospital Rosales</t>
  </si>
  <si>
    <t>Dra. María López</t>
  </si>
  <si>
    <t xml:space="preserve"> Compra Insulina NPH - Fact. F-001234 </t>
  </si>
  <si>
    <t xml:space="preserve"> Inventario de Medicamentos </t>
  </si>
  <si>
    <t xml:space="preserve"> </t>
  </si>
  <si>
    <t xml:space="preserve"> IVA Crédito Fiscal </t>
  </si>
  <si>
    <t xml:space="preserve"> 20/08/2025 </t>
  </si>
  <si>
    <t xml:space="preserve"> Despacho Hospital Rosales - D-00125 </t>
  </si>
  <si>
    <t xml:space="preserve"> Costo de Medicamentos Despachados </t>
  </si>
  <si>
    <t>INVENTARIO DE MEDICAMENTOS</t>
  </si>
  <si>
    <t>SALDO FINAL</t>
  </si>
  <si>
    <t>🔴 Stock Crítico</t>
  </si>
  <si>
    <t>🔴 ¡ALERTA! PRÓXIMOS A VENCER</t>
  </si>
  <si>
    <t/>
  </si>
  <si>
    <t>Clase_Abc</t>
  </si>
  <si>
    <t xml:space="preserve">Cuentas por Pagar </t>
  </si>
  <si>
    <t xml:space="preserve"> L005</t>
  </si>
  <si>
    <t xml:space="preserve"> LOT-2025-089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</si>
</sst>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44" fontId="0" fillId="0" borderId="0" xfId="1" applyFont="1"/>
    <xf numFmtId="44" fontId="0" fillId="0" borderId="0" xfId="1" applyFont="1" applyAlignment="1">
      <alignment vertical="center" wrapText="1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44" fontId="0" fillId="0" borderId="0" xfId="1" applyFont="1" applyAlignment="1">
      <alignment vertical="center"/>
    </xf>
    <xf numFmtId="14" fontId="0" fillId="0" borderId="0" xfId="0" applyNumberFormat="1" applyAlignment="1">
      <alignment horizontal="center" vertical="center" wrapText="1"/>
    </xf>
    <xf numFmtId="44" fontId="0" fillId="0" borderId="0" xfId="1" applyFont="1" applyAlignment="1">
      <alignment horizontal="center" vertical="center" wrapText="1"/>
    </xf>
    <xf numFmtId="0" fontId="0" fillId="0" borderId="0" xfId="1" applyNumberFormat="1" applyFont="1" applyAlignment="1">
      <alignment horizontal="center" vertical="center"/>
    </xf>
    <xf numFmtId="4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/>
    <xf numFmtId="164" fontId="3" fillId="3" borderId="0" xfId="0" applyNumberFormat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D917-88A1-4BCB-B444-9B25C23BB9C3}">
  <dimension ref="A1:I9"/>
  <sheetViews>
    <sheetView workbookViewId="0">
      <selection activeCell="E3" sqref="E3"/>
    </sheetView>
  </sheetViews>
  <sheetFormatPr baseColWidth="10" defaultRowHeight="14.4" x14ac:dyDescent="0.3"/>
  <cols>
    <col min="4" max="4" width="23" customWidth="1"/>
    <col min="5" max="5" width="18.77734375" style="2" customWidth="1"/>
    <col min="9" max="9" width="28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40</v>
      </c>
      <c r="B2" s="1" t="s">
        <v>41</v>
      </c>
      <c r="C2" s="1" t="s">
        <v>42</v>
      </c>
      <c r="D2" s="1" t="s">
        <v>43</v>
      </c>
      <c r="E2" s="3">
        <v>40</v>
      </c>
      <c r="F2" s="1" t="s">
        <v>44</v>
      </c>
      <c r="G2" s="1">
        <v>500</v>
      </c>
      <c r="H2" s="1">
        <v>2000</v>
      </c>
      <c r="I2" s="1">
        <f>SUMIF(Inventario_Lotes!B:B,TRIM(A2),Inventario_Lotes!F:F)</f>
        <v>900</v>
      </c>
    </row>
    <row r="3" spans="1:9" x14ac:dyDescent="0.3">
      <c r="A3" s="1" t="s">
        <v>45</v>
      </c>
      <c r="B3" s="1" t="s">
        <v>46</v>
      </c>
      <c r="C3" s="1" t="s">
        <v>47</v>
      </c>
      <c r="D3" s="1" t="s">
        <v>48</v>
      </c>
      <c r="E3" s="3">
        <v>0.1</v>
      </c>
      <c r="F3" s="1" t="s">
        <v>49</v>
      </c>
      <c r="G3" s="1">
        <v>10000</v>
      </c>
      <c r="H3" s="1">
        <v>50000</v>
      </c>
      <c r="I3" s="1">
        <f>SUMIF(Inventario_Lotes!B:B,A3,Inventario_Lotes!F:F)</f>
        <v>300</v>
      </c>
    </row>
    <row r="4" spans="1:9" x14ac:dyDescent="0.3">
      <c r="A4" s="1" t="s">
        <v>50</v>
      </c>
      <c r="B4" s="1" t="s">
        <v>51</v>
      </c>
      <c r="C4" s="1" t="s">
        <v>52</v>
      </c>
      <c r="D4" s="1" t="s">
        <v>48</v>
      </c>
      <c r="E4" s="3">
        <v>0.25</v>
      </c>
      <c r="F4" s="1" t="s">
        <v>53</v>
      </c>
      <c r="G4" s="1">
        <v>2000</v>
      </c>
      <c r="H4" s="1">
        <v>10000</v>
      </c>
      <c r="I4" s="1">
        <f>SUMIF(Inventario_Lotes!B:B,A4,Inventario_Lotes!F:F)</f>
        <v>9210</v>
      </c>
    </row>
    <row r="5" spans="1:9" x14ac:dyDescent="0.3">
      <c r="A5" s="1" t="s">
        <v>54</v>
      </c>
      <c r="B5" s="1" t="s">
        <v>55</v>
      </c>
      <c r="C5" s="1" t="s">
        <v>52</v>
      </c>
      <c r="D5" s="1" t="s">
        <v>56</v>
      </c>
      <c r="E5" s="3">
        <v>0.12</v>
      </c>
      <c r="F5" s="1" t="s">
        <v>44</v>
      </c>
      <c r="G5" s="1">
        <v>5000</v>
      </c>
      <c r="H5" s="1">
        <v>20000</v>
      </c>
      <c r="I5" s="1">
        <f>SUMIF(Inventario_Lotes!B:B,A5,Inventario_Lotes!F:F)</f>
        <v>9300</v>
      </c>
    </row>
    <row r="6" spans="1:9" x14ac:dyDescent="0.3">
      <c r="A6" s="1" t="s">
        <v>57</v>
      </c>
      <c r="B6" s="1" t="s">
        <v>58</v>
      </c>
      <c r="C6" s="1" t="s">
        <v>47</v>
      </c>
      <c r="D6" s="1" t="s">
        <v>59</v>
      </c>
      <c r="E6" s="3">
        <v>0.08</v>
      </c>
      <c r="F6" s="1" t="s">
        <v>44</v>
      </c>
      <c r="G6" s="1">
        <v>8000</v>
      </c>
      <c r="H6" s="1">
        <v>30000</v>
      </c>
      <c r="I6" s="1">
        <f>SUMIF(Inventario_Lotes!B:B,A6,Inventario_Lotes!F:F)</f>
        <v>10000</v>
      </c>
    </row>
    <row r="7" spans="1:9" x14ac:dyDescent="0.3">
      <c r="A7" s="1" t="s">
        <v>60</v>
      </c>
      <c r="B7" s="1" t="s">
        <v>61</v>
      </c>
      <c r="C7" s="1" t="s">
        <v>47</v>
      </c>
      <c r="D7" s="1" t="s">
        <v>62</v>
      </c>
      <c r="E7" s="3">
        <v>0.06</v>
      </c>
      <c r="F7" s="1" t="s">
        <v>44</v>
      </c>
      <c r="G7" s="1">
        <v>10000</v>
      </c>
      <c r="H7" s="1">
        <v>40000</v>
      </c>
      <c r="I7" s="1">
        <f>SUMIF(Inventario_Lotes!B:B,A7,Inventario_Lotes!F:F)</f>
        <v>0</v>
      </c>
    </row>
    <row r="8" spans="1:9" ht="28.8" x14ac:dyDescent="0.3">
      <c r="A8" s="1" t="s">
        <v>63</v>
      </c>
      <c r="B8" s="1" t="s">
        <v>64</v>
      </c>
      <c r="C8" s="1" t="s">
        <v>47</v>
      </c>
      <c r="D8" s="1" t="s">
        <v>65</v>
      </c>
      <c r="E8" s="3">
        <v>0.05</v>
      </c>
      <c r="F8" s="1" t="s">
        <v>44</v>
      </c>
      <c r="G8" s="1">
        <v>8000</v>
      </c>
      <c r="H8" s="1">
        <v>35000</v>
      </c>
      <c r="I8" s="1" t="s">
        <v>66</v>
      </c>
    </row>
    <row r="9" spans="1:9" ht="28.8" x14ac:dyDescent="0.3">
      <c r="A9" s="1" t="s">
        <v>67</v>
      </c>
      <c r="B9" s="1" t="s">
        <v>68</v>
      </c>
      <c r="C9" s="1" t="s">
        <v>47</v>
      </c>
      <c r="D9" s="1" t="s">
        <v>69</v>
      </c>
      <c r="E9" s="3">
        <v>0.03</v>
      </c>
      <c r="F9" s="1" t="s">
        <v>53</v>
      </c>
      <c r="G9" s="1">
        <v>5000</v>
      </c>
      <c r="H9" s="1">
        <v>25000</v>
      </c>
      <c r="I9" s="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6A64-6EEC-4F9D-92CD-772FEB3A9BD0}">
  <dimension ref="A1:K6"/>
  <sheetViews>
    <sheetView workbookViewId="0">
      <selection activeCell="C2" sqref="C2"/>
    </sheetView>
  </sheetViews>
  <sheetFormatPr baseColWidth="10" defaultRowHeight="14.4" x14ac:dyDescent="0.3"/>
  <cols>
    <col min="1" max="1" width="11.5546875" style="10" customWidth="1"/>
    <col min="2" max="2" width="11.5546875" style="10"/>
    <col min="3" max="3" width="29" style="10" customWidth="1"/>
    <col min="4" max="4" width="21" style="10" customWidth="1"/>
    <col min="5" max="5" width="23" style="10" customWidth="1"/>
    <col min="6" max="6" width="24.6640625" style="10" customWidth="1"/>
    <col min="7" max="7" width="20.77734375" style="8" customWidth="1"/>
    <col min="8" max="8" width="20.5546875" style="8" customWidth="1"/>
    <col min="9" max="9" width="18.5546875" style="11" customWidth="1"/>
    <col min="10" max="10" width="69.88671875" style="10" customWidth="1"/>
    <col min="11" max="11" width="11.5546875" style="20"/>
    <col min="12" max="16384" width="11.5546875" style="10"/>
  </cols>
  <sheetData>
    <row r="1" spans="1:10" x14ac:dyDescent="0.3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13</v>
      </c>
      <c r="F1" s="10" t="s">
        <v>14</v>
      </c>
      <c r="G1" s="8" t="s">
        <v>15</v>
      </c>
      <c r="H1" s="8" t="s">
        <v>16</v>
      </c>
      <c r="I1" s="11" t="s">
        <v>17</v>
      </c>
      <c r="J1" s="10" t="s">
        <v>18</v>
      </c>
    </row>
    <row r="2" spans="1:10" x14ac:dyDescent="0.3">
      <c r="A2" s="10" t="s">
        <v>71</v>
      </c>
      <c r="B2" s="10" t="s">
        <v>40</v>
      </c>
      <c r="C2" s="10" t="str">
        <f>VLOOKUP(B2,Catálogo!A:B,2,0)</f>
        <v>Insulina NPH</v>
      </c>
      <c r="D2" s="10" t="s">
        <v>72</v>
      </c>
      <c r="E2" s="10">
        <v>1000</v>
      </c>
      <c r="F2" s="10">
        <v>900</v>
      </c>
      <c r="G2" s="8">
        <v>45474</v>
      </c>
      <c r="H2" s="8">
        <v>45505</v>
      </c>
      <c r="I2" s="11">
        <v>55</v>
      </c>
      <c r="J2" s="1" t="str">
        <f ca="1">IF(F2&lt;=0,"❌ Agotado",IF((H2-TODAY())&lt;=30,"⚠️ Por Vencer","✅ Activo"))</f>
        <v>⚠️ Por Vencer</v>
      </c>
    </row>
    <row r="3" spans="1:10" ht="115.8" customHeight="1" x14ac:dyDescent="0.3">
      <c r="A3" s="10" t="s">
        <v>73</v>
      </c>
      <c r="B3" s="10" t="s">
        <v>45</v>
      </c>
      <c r="C3" s="10" t="str">
        <f>VLOOKUP(B3,Catálogo!A:B,2,0)</f>
        <v>Paracetamol</v>
      </c>
      <c r="D3" s="10" t="s">
        <v>74</v>
      </c>
      <c r="E3" s="10">
        <v>500</v>
      </c>
      <c r="F3" s="10">
        <v>300</v>
      </c>
      <c r="G3" s="8" t="s">
        <v>75</v>
      </c>
      <c r="H3" s="8">
        <v>46614</v>
      </c>
      <c r="I3" s="11">
        <v>45</v>
      </c>
      <c r="J3" s="1" t="str">
        <f ca="1">IF(F3&lt;=0,"❌ Agotado",IF((H3-TODAY())&lt;=30,"⚠️ Por Vencer","✅ Activo"))</f>
        <v>✅ Activo</v>
      </c>
    </row>
    <row r="4" spans="1:10" ht="87.6" customHeight="1" x14ac:dyDescent="0.3">
      <c r="A4" s="10" t="s">
        <v>78</v>
      </c>
      <c r="B4" s="10" t="s">
        <v>50</v>
      </c>
      <c r="C4" s="10" t="str">
        <f>VLOOKUP(B4,Catálogo!A:B,2,0)</f>
        <v>Amoxicilina</v>
      </c>
      <c r="D4" s="10" t="s">
        <v>76</v>
      </c>
      <c r="E4" s="10">
        <v>50000</v>
      </c>
      <c r="F4" s="10">
        <v>9210</v>
      </c>
      <c r="G4" s="8" t="s">
        <v>77</v>
      </c>
      <c r="H4" s="8">
        <v>46548</v>
      </c>
      <c r="I4" s="11">
        <v>0.12</v>
      </c>
      <c r="J4" s="1" t="str">
        <f ca="1">IF(F4&lt;=0,"❌ Agotado",IF((H4-TODAY())&lt;=30,"⚠️ Por Vencer","✅ Activo"))</f>
        <v>✅ Activo</v>
      </c>
    </row>
    <row r="5" spans="1:10" ht="121.2" customHeight="1" x14ac:dyDescent="0.3">
      <c r="A5" s="10" t="s">
        <v>79</v>
      </c>
      <c r="B5" s="10" t="s">
        <v>54</v>
      </c>
      <c r="C5" s="10" t="str">
        <f>VLOOKUP(B5,Catálogo!A:B,2,0)</f>
        <v>Omeprazol</v>
      </c>
      <c r="D5" s="10" t="s">
        <v>80</v>
      </c>
      <c r="E5" s="10">
        <v>10000</v>
      </c>
      <c r="F5" s="10">
        <v>9300</v>
      </c>
      <c r="G5" s="8" t="s">
        <v>81</v>
      </c>
      <c r="H5" s="21">
        <v>46278</v>
      </c>
      <c r="I5" s="11">
        <v>0.85</v>
      </c>
      <c r="J5" s="1" t="str">
        <f ca="1">IF(F5&lt;=0,"❌ Agotado",IF((H5-TODAY())&lt;=30,"⚠️ Por Vencer","✅ Activo"))</f>
        <v>✅ Activo</v>
      </c>
    </row>
    <row r="6" spans="1:10" x14ac:dyDescent="0.3">
      <c r="A6" s="10" t="s">
        <v>106</v>
      </c>
      <c r="B6" s="10" t="s">
        <v>57</v>
      </c>
      <c r="C6" s="10" t="str">
        <f>VLOOKUP(B6,Catálogo!A:B,2,0)</f>
        <v>Losartán</v>
      </c>
      <c r="D6" s="10" t="s">
        <v>107</v>
      </c>
      <c r="E6" s="10">
        <v>8000</v>
      </c>
      <c r="F6" s="10">
        <v>10000</v>
      </c>
      <c r="G6" s="8">
        <v>45941</v>
      </c>
      <c r="H6" s="8">
        <v>45971</v>
      </c>
      <c r="I6" s="11">
        <v>1</v>
      </c>
      <c r="J6" s="10" t="str">
        <f ca="1">IF(F6&lt;=0,"❌ Agotado",IF((H6-TODAY())&lt;=30,"⚠️ Por Vencer","✅ Activo"))</f>
        <v>⚠️ Por Vencer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DD2F9-1CC9-4744-AF0B-6F5BCD540E28}">
  <dimension ref="A1:L9"/>
  <sheetViews>
    <sheetView topLeftCell="B1" zoomScaleNormal="100" workbookViewId="0">
      <selection activeCell="G12" sqref="G12"/>
    </sheetView>
  </sheetViews>
  <sheetFormatPr baseColWidth="10" defaultRowHeight="14.4" x14ac:dyDescent="0.3"/>
  <cols>
    <col min="1" max="2" width="11.5546875" style="7"/>
    <col min="3" max="3" width="22.21875" style="7" customWidth="1"/>
    <col min="4" max="4" width="18.77734375" style="7" customWidth="1"/>
    <col min="5" max="5" width="29.88671875" style="7" customWidth="1"/>
    <col min="7" max="7" width="23.44140625" style="7" customWidth="1"/>
    <col min="8" max="8" width="11.5546875" style="7"/>
    <col min="9" max="9" width="19.5546875" style="9" customWidth="1"/>
    <col min="10" max="11" width="11.5546875" style="9"/>
    <col min="12" max="12" width="20.33203125" style="9" customWidth="1"/>
    <col min="13" max="16384" width="11.5546875" style="7"/>
  </cols>
  <sheetData>
    <row r="1" spans="1:12" x14ac:dyDescent="0.3">
      <c r="A1" s="7" t="s">
        <v>19</v>
      </c>
      <c r="B1" s="7" t="s">
        <v>20</v>
      </c>
      <c r="C1" s="7" t="s">
        <v>21</v>
      </c>
      <c r="D1" s="7" t="s">
        <v>10</v>
      </c>
      <c r="E1" s="7" t="s">
        <v>22</v>
      </c>
      <c r="F1" s="7" t="s">
        <v>104</v>
      </c>
      <c r="G1" s="7" t="s">
        <v>12</v>
      </c>
      <c r="H1" s="7" t="s">
        <v>23</v>
      </c>
      <c r="I1" s="9" t="s">
        <v>4</v>
      </c>
      <c r="J1" s="9" t="s">
        <v>24</v>
      </c>
      <c r="K1" s="9" t="s">
        <v>25</v>
      </c>
      <c r="L1" s="9" t="s">
        <v>26</v>
      </c>
    </row>
    <row r="2" spans="1:12" ht="60.6" customHeight="1" x14ac:dyDescent="0.3">
      <c r="A2" s="12">
        <v>45884</v>
      </c>
      <c r="B2" s="6" t="s">
        <v>82</v>
      </c>
      <c r="C2" s="6" t="s">
        <v>83</v>
      </c>
      <c r="D2" s="6" t="s">
        <v>40</v>
      </c>
      <c r="E2" s="6" t="str">
        <f>IFERROR(VLOOKUP(TRIM(D2),Catálogo!A:B,2,FALSE),"❌ No encontrado")</f>
        <v>Insulina NPH</v>
      </c>
      <c r="F2" s="7" t="str">
        <f>IFERROR(VLOOKUP(TRIM(D2),Catálogo!A:F,6,FALSE),"")</f>
        <v>A</v>
      </c>
      <c r="G2" s="6" t="s">
        <v>72</v>
      </c>
      <c r="H2" s="6">
        <v>1000</v>
      </c>
      <c r="I2" s="13">
        <f>IFERROR(VLOOKUP(TRIM(D2),Catálogo!A:E,5,FALSE),"")</f>
        <v>40</v>
      </c>
      <c r="J2" s="13">
        <f>H2*I2</f>
        <v>40000</v>
      </c>
      <c r="K2" s="13">
        <f>J2*0.13</f>
        <v>5200</v>
      </c>
      <c r="L2" s="13">
        <f>J2+K2</f>
        <v>45200</v>
      </c>
    </row>
    <row r="3" spans="1:12" ht="57" customHeight="1" x14ac:dyDescent="0.3">
      <c r="A3" s="7" t="s">
        <v>84</v>
      </c>
      <c r="B3" s="7" t="s">
        <v>85</v>
      </c>
      <c r="C3" s="7" t="s">
        <v>86</v>
      </c>
      <c r="D3" s="7" t="s">
        <v>45</v>
      </c>
      <c r="E3" s="6" t="str">
        <f>IFERROR(VLOOKUP(TRIM(D3),Catálogo!A:B,2,FALSE),"❌ No encontrado")</f>
        <v>Paracetamol</v>
      </c>
      <c r="F3" s="7" t="str">
        <f>IFERROR(VLOOKUP(TRIM(D3),Catálogo!A:F,6,FALSE),"")</f>
        <v>C</v>
      </c>
      <c r="G3" s="7" t="s">
        <v>76</v>
      </c>
      <c r="H3" s="14">
        <v>200</v>
      </c>
      <c r="I3" s="13">
        <f>IFERROR(VLOOKUP(TRIM(D3),Catálogo!A:E,5,FALSE),"")</f>
        <v>0.1</v>
      </c>
      <c r="J3" s="9">
        <f>H3*I3</f>
        <v>20</v>
      </c>
      <c r="K3" s="13">
        <f>J3*0.13</f>
        <v>2.6</v>
      </c>
      <c r="L3" s="13">
        <f>J3+K3</f>
        <v>22.6</v>
      </c>
    </row>
    <row r="4" spans="1:12" ht="45" customHeight="1" x14ac:dyDescent="0.3">
      <c r="A4" s="7" t="s">
        <v>81</v>
      </c>
      <c r="B4" s="7" t="s">
        <v>87</v>
      </c>
      <c r="C4" s="7" t="s">
        <v>88</v>
      </c>
      <c r="D4" s="7" t="s">
        <v>50</v>
      </c>
      <c r="E4" s="6" t="str">
        <f>IFERROR(VLOOKUP(TRIM(D4),Catálogo!A:B,2,FALSE),"❌ No encontrado")</f>
        <v>Amoxicilina</v>
      </c>
      <c r="F4" s="7" t="str">
        <f>IFERROR(VLOOKUP(TRIM(D4),Catálogo!A:F,6,FALSE),"")</f>
        <v>B</v>
      </c>
      <c r="G4" s="7" t="s">
        <v>80</v>
      </c>
      <c r="H4" s="14">
        <v>100</v>
      </c>
      <c r="I4" s="13">
        <f>IFERROR(VLOOKUP(TRIM(D4),Catálogo!A:E,5,FALSE),"")</f>
        <v>0.25</v>
      </c>
      <c r="J4" s="9">
        <f>H4*I4</f>
        <v>25</v>
      </c>
      <c r="K4" s="13">
        <f>J4*0.13</f>
        <v>3.25</v>
      </c>
      <c r="L4" s="13">
        <f>J4+K4</f>
        <v>28.25</v>
      </c>
    </row>
    <row r="5" spans="1:12" x14ac:dyDescent="0.3">
      <c r="D5" s="7" t="s">
        <v>103</v>
      </c>
    </row>
    <row r="6" spans="1:12" x14ac:dyDescent="0.3">
      <c r="D6" s="7" t="s">
        <v>103</v>
      </c>
    </row>
    <row r="7" spans="1:12" x14ac:dyDescent="0.3">
      <c r="D7" s="7" t="s">
        <v>103</v>
      </c>
    </row>
    <row r="8" spans="1:12" x14ac:dyDescent="0.3">
      <c r="D8" s="7" t="s">
        <v>103</v>
      </c>
    </row>
    <row r="9" spans="1:12" x14ac:dyDescent="0.3">
      <c r="J9" s="9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FA125-C20F-4A67-8AC4-5554B9900DC5}">
  <dimension ref="A1:J2"/>
  <sheetViews>
    <sheetView workbookViewId="0">
      <selection activeCell="H2" sqref="H2"/>
    </sheetView>
  </sheetViews>
  <sheetFormatPr baseColWidth="10" defaultRowHeight="14.4" x14ac:dyDescent="0.3"/>
  <cols>
    <col min="1" max="1" width="15.6640625" style="7" customWidth="1"/>
    <col min="2" max="2" width="23.21875" style="7" customWidth="1"/>
    <col min="3" max="3" width="18.77734375" style="7" customWidth="1"/>
    <col min="4" max="4" width="20.88671875" style="7" customWidth="1"/>
    <col min="5" max="5" width="35.21875" style="7" customWidth="1"/>
    <col min="6" max="7" width="11.5546875" style="7"/>
    <col min="8" max="8" width="20.77734375" style="22" customWidth="1"/>
    <col min="9" max="9" width="17.88671875" style="9" customWidth="1"/>
    <col min="10" max="16384" width="11.5546875" style="7"/>
  </cols>
  <sheetData>
    <row r="1" spans="1:10" x14ac:dyDescent="0.3">
      <c r="A1" s="7" t="s">
        <v>19</v>
      </c>
      <c r="B1" s="7" t="s">
        <v>27</v>
      </c>
      <c r="C1" s="7" t="s">
        <v>28</v>
      </c>
      <c r="D1" s="7" t="s">
        <v>10</v>
      </c>
      <c r="E1" s="7" t="s">
        <v>11</v>
      </c>
      <c r="F1" s="7" t="s">
        <v>12</v>
      </c>
      <c r="G1" s="7" t="s">
        <v>23</v>
      </c>
      <c r="H1" s="22" t="s">
        <v>17</v>
      </c>
      <c r="I1" s="9" t="s">
        <v>26</v>
      </c>
      <c r="J1" s="7" t="s">
        <v>29</v>
      </c>
    </row>
    <row r="2" spans="1:10" ht="28.8" x14ac:dyDescent="0.3">
      <c r="A2" s="12">
        <v>45889</v>
      </c>
      <c r="B2" s="6" t="s">
        <v>89</v>
      </c>
      <c r="C2" s="6" t="s">
        <v>90</v>
      </c>
      <c r="D2" s="6" t="s">
        <v>40</v>
      </c>
      <c r="E2" s="6" t="str">
        <f>VLOOKUP(D2,Catálogo!A:B,2,0)</f>
        <v>Insulina NPH</v>
      </c>
      <c r="F2" s="6" t="s">
        <v>72</v>
      </c>
      <c r="G2" s="6">
        <v>150</v>
      </c>
      <c r="H2" s="23">
        <f>IFERROR(VLOOKUP(TRIM(F2),Inventario_Lotes!D:I,6,FALSE),"❌ No encontrado")</f>
        <v>55</v>
      </c>
      <c r="I2" s="13">
        <f>IFERROR(G2*H2,"")</f>
        <v>8250</v>
      </c>
      <c r="J2" s="6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B441-4330-4DE7-BF4C-33686CF5BC29}">
  <dimension ref="A1:G11"/>
  <sheetViews>
    <sheetView topLeftCell="A4" workbookViewId="0">
      <selection activeCell="F18" sqref="F18"/>
    </sheetView>
  </sheetViews>
  <sheetFormatPr baseColWidth="10" defaultRowHeight="14.4" x14ac:dyDescent="0.3"/>
  <cols>
    <col min="1" max="1" width="21.33203125" style="7" customWidth="1"/>
    <col min="2" max="2" width="33.6640625" style="7" customWidth="1"/>
    <col min="3" max="3" width="32.88671875" customWidth="1"/>
    <col min="4" max="4" width="41.77734375" customWidth="1"/>
    <col min="5" max="5" width="17" customWidth="1"/>
    <col min="6" max="6" width="19.44140625" style="2" customWidth="1"/>
    <col min="7" max="7" width="18.5546875" style="15" customWidth="1"/>
  </cols>
  <sheetData>
    <row r="1" spans="1:7" x14ac:dyDescent="0.3">
      <c r="A1" s="7" t="s">
        <v>19</v>
      </c>
      <c r="B1" s="7" t="s">
        <v>30</v>
      </c>
      <c r="C1" t="s">
        <v>31</v>
      </c>
      <c r="D1" t="s">
        <v>32</v>
      </c>
      <c r="E1" t="s">
        <v>10</v>
      </c>
      <c r="F1" s="2" t="s">
        <v>33</v>
      </c>
      <c r="G1" s="15" t="s">
        <v>34</v>
      </c>
    </row>
    <row r="2" spans="1:7" s="19" customFormat="1" ht="28.8" customHeight="1" x14ac:dyDescent="0.3"/>
    <row r="3" spans="1:7" x14ac:dyDescent="0.3">
      <c r="A3" s="7" t="s">
        <v>75</v>
      </c>
      <c r="B3" s="7">
        <v>1</v>
      </c>
      <c r="C3" t="s">
        <v>92</v>
      </c>
      <c r="D3" t="s">
        <v>93</v>
      </c>
      <c r="E3" t="s">
        <v>40</v>
      </c>
      <c r="F3" s="2">
        <f>IFERROR(VLOOKUP(E3,Libro_Compras!D:L,7,FALSE),0)</f>
        <v>40000</v>
      </c>
      <c r="G3" s="15">
        <f>IFERROR(VLOOKUP(D3,Libro_Compras!E:L,10,FALSE),0)</f>
        <v>0</v>
      </c>
    </row>
    <row r="4" spans="1:7" x14ac:dyDescent="0.3">
      <c r="A4" s="8">
        <v>45884</v>
      </c>
      <c r="B4" s="7">
        <v>1</v>
      </c>
      <c r="C4" t="s">
        <v>92</v>
      </c>
      <c r="D4" t="s">
        <v>95</v>
      </c>
      <c r="E4" t="s">
        <v>40</v>
      </c>
      <c r="F4" s="2">
        <f>IFERROR(VLOOKUP(E4,Libro_Compras!D:L,8,FALSE),0)</f>
        <v>5200</v>
      </c>
      <c r="G4" s="15" t="s">
        <v>94</v>
      </c>
    </row>
    <row r="5" spans="1:7" x14ac:dyDescent="0.3">
      <c r="A5" s="7" t="s">
        <v>75</v>
      </c>
      <c r="B5" s="7">
        <v>1</v>
      </c>
      <c r="C5" t="s">
        <v>92</v>
      </c>
      <c r="D5" s="15" t="s">
        <v>105</v>
      </c>
      <c r="E5" t="s">
        <v>40</v>
      </c>
      <c r="G5" s="15">
        <f>IFERROR(VLOOKUP(E5,Libro_Compras!D:L,9,FALSE),0)</f>
        <v>45200</v>
      </c>
    </row>
    <row r="10" spans="1:7" x14ac:dyDescent="0.3">
      <c r="A10" s="7" t="s">
        <v>96</v>
      </c>
      <c r="B10" s="7">
        <v>2</v>
      </c>
      <c r="C10" t="s">
        <v>97</v>
      </c>
      <c r="D10" s="2" t="s">
        <v>98</v>
      </c>
      <c r="E10" t="s">
        <v>40</v>
      </c>
      <c r="F10" s="2">
        <f>IFERROR(VLOOKUP(E10,Libro_Salidas!D:I,6,FALSE),0)</f>
        <v>8250</v>
      </c>
    </row>
    <row r="11" spans="1:7" x14ac:dyDescent="0.3">
      <c r="A11" s="7" t="s">
        <v>96</v>
      </c>
      <c r="B11" s="5">
        <v>2</v>
      </c>
      <c r="C11" t="s">
        <v>97</v>
      </c>
      <c r="D11" s="2" t="s">
        <v>93</v>
      </c>
      <c r="E11" t="s">
        <v>40</v>
      </c>
      <c r="G11" s="15">
        <f>IFERROR(VLOOKUP(E11,Libro_Salidas!D:I,6,FALSE),0)</f>
        <v>8250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1B02-BE0B-4327-81D5-8BE0DAD935BE}">
  <dimension ref="A1:F7"/>
  <sheetViews>
    <sheetView zoomScale="118" workbookViewId="0">
      <selection activeCell="E1" sqref="E1:E1048576"/>
    </sheetView>
  </sheetViews>
  <sheetFormatPr baseColWidth="10" defaultRowHeight="14.4" x14ac:dyDescent="0.3"/>
  <cols>
    <col min="1" max="1" width="32.33203125" customWidth="1"/>
    <col min="2" max="2" width="28.6640625" style="4" customWidth="1"/>
    <col min="3" max="3" width="45.109375" customWidth="1"/>
    <col min="4" max="4" width="12.33203125" style="2" bestFit="1" customWidth="1"/>
    <col min="5" max="5" width="11.5546875" style="2"/>
  </cols>
  <sheetData>
    <row r="1" spans="1:6" x14ac:dyDescent="0.3">
      <c r="A1" t="s">
        <v>32</v>
      </c>
      <c r="B1" s="4" t="s">
        <v>19</v>
      </c>
      <c r="C1" t="s">
        <v>35</v>
      </c>
      <c r="D1" s="2" t="s">
        <v>36</v>
      </c>
      <c r="E1" s="2" t="s">
        <v>34</v>
      </c>
      <c r="F1" t="s">
        <v>94</v>
      </c>
    </row>
    <row r="2" spans="1:6" ht="39" customHeight="1" x14ac:dyDescent="0.3">
      <c r="A2" s="17" t="s">
        <v>99</v>
      </c>
    </row>
    <row r="3" spans="1:6" ht="31.8" customHeight="1" x14ac:dyDescent="0.3">
      <c r="B3" s="8">
        <v>45884</v>
      </c>
      <c r="C3" s="7" t="str">
        <f>IF(D3&gt;0,"Compra de medicamentos",IF(E3&gt;0,"Despacho de medicamentos",""))</f>
        <v>Compra de medicamentos</v>
      </c>
      <c r="D3" s="2">
        <f>IFERROR(VLOOKUP(B3,Libro_Compras!A:L,12,FALSE),0)</f>
        <v>45200</v>
      </c>
      <c r="E3" s="2">
        <f>IFERROR(VLOOKUP(B3,Libro_Salidas!A:J,9,FALSE),0)</f>
        <v>0</v>
      </c>
      <c r="F3" s="24">
        <f xml:space="preserve"> D3 - E3</f>
        <v>45200</v>
      </c>
    </row>
    <row r="4" spans="1:6" x14ac:dyDescent="0.3">
      <c r="B4" s="8">
        <v>45885</v>
      </c>
      <c r="C4" s="7" t="str">
        <f t="shared" ref="C4:C5" si="0">IF(D4&gt;0,"Compra de medicamentos",IF(E4&gt;0,"Despacho de medicamentos",""))</f>
        <v/>
      </c>
      <c r="D4" s="2">
        <f>IFERROR(VLOOKUP(B4,Libro_Compras!A:L,12,FALSE),0)</f>
        <v>0</v>
      </c>
      <c r="E4" s="2">
        <f>IFERROR(VLOOKUP(B4,Libro_Salidas!A:J,9,FALSE),0)</f>
        <v>0</v>
      </c>
      <c r="F4" s="24">
        <f xml:space="preserve"> F3 + D4 - E4</f>
        <v>45200</v>
      </c>
    </row>
    <row r="5" spans="1:6" x14ac:dyDescent="0.3">
      <c r="B5" s="8">
        <v>45889</v>
      </c>
      <c r="C5" s="7" t="str">
        <f t="shared" si="0"/>
        <v>Despacho de medicamentos</v>
      </c>
      <c r="E5" s="2">
        <f>IFERROR(VLOOKUP(B5,Libro_Salidas!A:J,9,FALSE),0)</f>
        <v>8250</v>
      </c>
      <c r="F5" s="24">
        <f xml:space="preserve"> F4 + D5 - E5</f>
        <v>36950</v>
      </c>
    </row>
    <row r="6" spans="1:6" x14ac:dyDescent="0.3">
      <c r="F6" s="24"/>
    </row>
    <row r="7" spans="1:6" x14ac:dyDescent="0.3">
      <c r="C7" s="16" t="s">
        <v>100</v>
      </c>
      <c r="F7" s="25" cm="1">
        <f t="array" ref="F7">LOOKUP(2,1/(VALUE(F3:F6)&lt;&gt;0),VALUE(F3:F6))</f>
        <v>36950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9FA6-5CB9-438C-BC81-74BB6D2876AB}">
  <dimension ref="A1:E50"/>
  <sheetViews>
    <sheetView tabSelected="1" topLeftCell="C19" zoomScale="75" workbookViewId="0">
      <selection activeCell="D39" sqref="D39"/>
    </sheetView>
  </sheetViews>
  <sheetFormatPr baseColWidth="10" defaultRowHeight="14.4" x14ac:dyDescent="0.3"/>
  <cols>
    <col min="1" max="1" width="46.109375" style="7" customWidth="1"/>
    <col min="2" max="2" width="105.21875" style="7" customWidth="1"/>
    <col min="3" max="3" width="71.33203125" style="7" customWidth="1"/>
    <col min="4" max="4" width="114.6640625" style="7" customWidth="1"/>
    <col min="5" max="5" width="55.5546875" style="7" customWidth="1"/>
    <col min="6" max="16384" width="11.5546875" style="7"/>
  </cols>
  <sheetData>
    <row r="1" spans="1:5" x14ac:dyDescent="0.3">
      <c r="A1" s="7" t="s">
        <v>37</v>
      </c>
      <c r="B1" s="7" t="s">
        <v>10</v>
      </c>
      <c r="C1" s="7" t="s">
        <v>1</v>
      </c>
      <c r="D1" s="7" t="s">
        <v>38</v>
      </c>
      <c r="E1" s="7" t="s">
        <v>39</v>
      </c>
    </row>
    <row r="2" spans="1:5" x14ac:dyDescent="0.3">
      <c r="A2" s="7" t="s">
        <v>101</v>
      </c>
      <c r="B2" t="str" cm="1">
        <f t="array" ref="B2">IF(INDEX(Catálogo!I:I,ROW(A2))&lt;INDEX(Catálogo!G:G,ROW(A2)),INDEX(Catálogo!A:A,ROW(A2)),"")</f>
        <v/>
      </c>
      <c r="C2" t="str">
        <f>IF(B2&lt;&gt;"",VLOOKUP(B2,Catálogo!A:B,2,FALSE),"")</f>
        <v/>
      </c>
      <c r="D2" t="str">
        <f>IF(B2&lt;&gt;"","Stock actual: "&amp;VLOOKUP(B2,Catálogo!A:I,9,FALSE)&amp;" | Mínimo: "&amp;VLOOKUP(B2,Catálogo!A:G,7,FALSE),"")</f>
        <v/>
      </c>
      <c r="E2" t="str">
        <f>IF(B2&lt;&gt;"","🛒 COMPRAR URGENTE","")</f>
        <v/>
      </c>
    </row>
    <row r="3" spans="1:5" x14ac:dyDescent="0.3">
      <c r="A3" s="7" t="s">
        <v>101</v>
      </c>
      <c r="B3" t="str" cm="1">
        <f t="array" ref="B3">IF(INDEX(Catálogo!I:I,ROW(A3))&lt;INDEX(Catálogo!G:G,ROW(A3)),INDEX(Catálogo!A:A,ROW(A3)),"")</f>
        <v>MED-002</v>
      </c>
      <c r="C3" t="str">
        <f>IF(B3&lt;&gt;"",VLOOKUP(B3,Catálogo!A:B,2,FALSE),"")</f>
        <v>Paracetamol</v>
      </c>
      <c r="D3" t="str">
        <f>IF(B2&lt;&gt;"","Stock actual: "&amp;VLOOKUP(B2,Catálogo!A:I,9,FALSE)&amp;" | Mínimo: "&amp;VLOOKUP(B2,Catálogo!A:G,7,FALSE),"")</f>
        <v/>
      </c>
      <c r="E3" t="str">
        <f t="shared" ref="E3:E31" si="0">IF(B3&lt;&gt;"","🛒 COMPRAR URGENTE","")</f>
        <v>🛒 COMPRAR URGENTE</v>
      </c>
    </row>
    <row r="4" spans="1:5" x14ac:dyDescent="0.3">
      <c r="A4" s="7" t="s">
        <v>101</v>
      </c>
      <c r="B4" t="str" cm="1">
        <f t="array" ref="B4">IF(INDEX(Catálogo!I:I,ROW(A4))&lt;INDEX(Catálogo!G:G,ROW(A4)),INDEX(Catálogo!A:A,ROW(A4)),"")</f>
        <v/>
      </c>
      <c r="C4" t="str">
        <f>IF(B4&lt;&gt;"",VLOOKUP(B4,Catálogo!A:B,2,FALSE),"")</f>
        <v/>
      </c>
      <c r="D4" t="str">
        <f>IF(B3&lt;&gt;"","Stock actual: "&amp;VLOOKUP(B3,Catálogo!A:I,9,FALSE)&amp;" | Mínimo: "&amp;VLOOKUP(B3,Catálogo!A:G,7,FALSE),"")</f>
        <v>Stock actual: 300 | Mínimo: 10000</v>
      </c>
      <c r="E4" t="str">
        <f t="shared" si="0"/>
        <v/>
      </c>
    </row>
    <row r="5" spans="1:5" x14ac:dyDescent="0.3">
      <c r="A5" s="7" t="s">
        <v>101</v>
      </c>
      <c r="B5" t="str" cm="1">
        <f t="array" ref="B5">IF(INDEX(Catálogo!I:I,ROW(A5))&lt;INDEX(Catálogo!G:G,ROW(A5)),INDEX(Catálogo!A:A,ROW(A5)),"")</f>
        <v/>
      </c>
      <c r="C5" t="str">
        <f>IF(B5&lt;&gt;"",VLOOKUP(B5,Catálogo!A:B,2,FALSE),"")</f>
        <v/>
      </c>
      <c r="D5" t="str">
        <f>IF(B4&lt;&gt;"","Stock actual: "&amp;VLOOKUP(B4,Catálogo!A:I,9,FALSE)&amp;" | Mínimo: "&amp;VLOOKUP(B4,Catálogo!A:G,7,FALSE),"")</f>
        <v/>
      </c>
      <c r="E5" t="str">
        <f t="shared" si="0"/>
        <v/>
      </c>
    </row>
    <row r="6" spans="1:5" x14ac:dyDescent="0.3">
      <c r="A6" s="7" t="s">
        <v>101</v>
      </c>
      <c r="B6" t="str" cm="1">
        <f t="array" ref="B6">IF(INDEX(Catálogo!I:I,ROW(A6))&lt;INDEX(Catálogo!G:G,ROW(A6)),INDEX(Catálogo!A:A,ROW(A6)),"")</f>
        <v/>
      </c>
      <c r="C6" t="str">
        <f>IF(B6&lt;&gt;"",VLOOKUP(B6,Catálogo!A:B,2,FALSE),"")</f>
        <v/>
      </c>
      <c r="D6" t="str">
        <f>IF(B5&lt;&gt;"","Stock actual: "&amp;VLOOKUP(B5,Catálogo!A:I,9,FALSE)&amp;" | Mínimo: "&amp;VLOOKUP(B5,Catálogo!A:G,7,FALSE),"")</f>
        <v/>
      </c>
      <c r="E6" t="str">
        <f t="shared" si="0"/>
        <v/>
      </c>
    </row>
    <row r="7" spans="1:5" x14ac:dyDescent="0.3">
      <c r="A7" s="7" t="s">
        <v>101</v>
      </c>
      <c r="B7" t="str" cm="1">
        <f t="array" ref="B7">IF(INDEX(Catálogo!I:I,ROW(A7))&lt;INDEX(Catálogo!G:G,ROW(A7)),INDEX(Catálogo!A:A,ROW(A7)),"")</f>
        <v>MED-006</v>
      </c>
      <c r="C7" t="str">
        <f>IF(B7&lt;&gt;"",VLOOKUP(B7,Catálogo!A:B,2,FALSE),"")</f>
        <v>Metformina</v>
      </c>
      <c r="D7" t="str">
        <f>IF(B6&lt;&gt;"","Stock actual: "&amp;VLOOKUP(B6,Catálogo!A:I,9,FALSE)&amp;" | Mínimo: "&amp;VLOOKUP(B6,Catálogo!A:G,7,FALSE),"")</f>
        <v/>
      </c>
      <c r="E7" t="str">
        <f t="shared" si="0"/>
        <v>🛒 COMPRAR URGENTE</v>
      </c>
    </row>
    <row r="8" spans="1:5" x14ac:dyDescent="0.3">
      <c r="A8" s="7" t="s">
        <v>101</v>
      </c>
      <c r="B8" t="str" cm="1">
        <f t="array" ref="B8">IF(INDEX(Catálogo!I:I,ROW(A8))&lt;INDEX(Catálogo!G:G,ROW(A8)),INDEX(Catálogo!A:A,ROW(A8)),"")</f>
        <v/>
      </c>
      <c r="C8" t="str">
        <f>IF(B8&lt;&gt;"",VLOOKUP(B8,Catálogo!A:B,2,FALSE),"")</f>
        <v/>
      </c>
      <c r="D8" t="str">
        <f>IF(B7&lt;&gt;"","Stock actual: "&amp;VLOOKUP(B7,Catálogo!A:I,9,FALSE)&amp;" | Mínimo: "&amp;VLOOKUP(B7,Catálogo!A:G,7,FALSE),"")</f>
        <v>Stock actual: 0 | Mínimo: 10000</v>
      </c>
      <c r="E8" t="str">
        <f t="shared" si="0"/>
        <v/>
      </c>
    </row>
    <row r="9" spans="1:5" x14ac:dyDescent="0.3">
      <c r="A9" s="7" t="s">
        <v>101</v>
      </c>
      <c r="B9" t="str" cm="1">
        <f t="array" ref="B9">IF(INDEX(Catálogo!I:I,ROW(A9))&lt;INDEX(Catálogo!G:G,ROW(A9)),INDEX(Catálogo!A:A,ROW(A9)),"")</f>
        <v/>
      </c>
      <c r="C9" t="str">
        <f>IF(B9&lt;&gt;"",VLOOKUP(B9,Catálogo!A:B,2,FALSE),"")</f>
        <v/>
      </c>
      <c r="D9" t="str">
        <f>IF(B8&lt;&gt;"","Stock actual: "&amp;VLOOKUP(B8,Catálogo!A:I,9,FALSE)&amp;" | Mínimo: "&amp;VLOOKUP(B8,Catálogo!A:G,7,FALSE),"")</f>
        <v/>
      </c>
      <c r="E9" t="str">
        <f t="shared" si="0"/>
        <v/>
      </c>
    </row>
    <row r="10" spans="1:5" x14ac:dyDescent="0.3">
      <c r="A10" s="7" t="s">
        <v>101</v>
      </c>
      <c r="B10" t="str" cm="1">
        <f t="array" ref="B10">IF(INDEX(Catálogo!I:I,ROW(A10))&lt;INDEX(Catálogo!G:G,ROW(A10)),INDEX(Catálogo!A:A,ROW(A10)),"")</f>
        <v/>
      </c>
      <c r="C10" t="str">
        <f>IF(B10&lt;&gt;"",VLOOKUP(B10,Catálogo!A:B,2,FALSE),"")</f>
        <v/>
      </c>
      <c r="D10" t="str">
        <f>IF(B9&lt;&gt;"","Stock actual: "&amp;VLOOKUP(B9,Catálogo!A:I,9,FALSE)&amp;" | Mínimo: "&amp;VLOOKUP(B9,Catálogo!A:G,7,FALSE),"")</f>
        <v/>
      </c>
      <c r="E10" t="str">
        <f t="shared" si="0"/>
        <v/>
      </c>
    </row>
    <row r="11" spans="1:5" x14ac:dyDescent="0.3">
      <c r="A11" s="7" t="s">
        <v>101</v>
      </c>
      <c r="B11" t="str" cm="1">
        <f t="array" ref="B11">IF(INDEX(Catálogo!I:I,ROW(A11))&lt;INDEX(Catálogo!G:G,ROW(A11)),INDEX(Catálogo!A:A,ROW(A11)),"")</f>
        <v/>
      </c>
      <c r="C11" t="str">
        <f>IF(B11&lt;&gt;"",VLOOKUP(B11,Catálogo!A:B,2,FALSE),"")</f>
        <v/>
      </c>
      <c r="D11" t="str">
        <f>IF(B10&lt;&gt;"","Stock actual: "&amp;VLOOKUP(B10,Catálogo!A:I,9,FALSE)&amp;" | Mínimo: "&amp;VLOOKUP(B10,Catálogo!A:G,7,FALSE),"")</f>
        <v/>
      </c>
      <c r="E11" t="str">
        <f t="shared" si="0"/>
        <v/>
      </c>
    </row>
    <row r="12" spans="1:5" x14ac:dyDescent="0.3">
      <c r="A12" s="7" t="s">
        <v>101</v>
      </c>
      <c r="B12" t="str" cm="1">
        <f t="array" ref="B12">IF(INDEX(Catálogo!I:I,ROW(A12))&lt;INDEX(Catálogo!G:G,ROW(A12)),INDEX(Catálogo!A:A,ROW(A12)),"")</f>
        <v/>
      </c>
      <c r="C12" t="str">
        <f>IF(B12&lt;&gt;"",VLOOKUP(B12,Catálogo!A:B,2,FALSE),"")</f>
        <v/>
      </c>
      <c r="D12" t="str">
        <f>IF(B11&lt;&gt;"","Stock actual: "&amp;VLOOKUP(B11,Catálogo!A:I,9,FALSE)&amp;" | Mínimo: "&amp;VLOOKUP(B11,Catálogo!A:G,7,FALSE),"")</f>
        <v/>
      </c>
      <c r="E12" t="str">
        <f t="shared" si="0"/>
        <v/>
      </c>
    </row>
    <row r="13" spans="1:5" x14ac:dyDescent="0.3">
      <c r="A13" s="7" t="s">
        <v>101</v>
      </c>
      <c r="B13" t="str" cm="1">
        <f t="array" ref="B13">IF(INDEX(Catálogo!I:I,ROW(A13))&lt;INDEX(Catálogo!G:G,ROW(A13)),INDEX(Catálogo!A:A,ROW(A13)),"")</f>
        <v/>
      </c>
      <c r="C13" t="str">
        <f>IF(B13&lt;&gt;"",VLOOKUP(B13,Catálogo!A:B,2,FALSE),"")</f>
        <v/>
      </c>
      <c r="D13" t="str">
        <f>IF(B12&lt;&gt;"","Stock actual: "&amp;VLOOKUP(B12,Catálogo!A:I,9,FALSE)&amp;" | Mínimo: "&amp;VLOOKUP(B12,Catálogo!A:G,7,FALSE),"")</f>
        <v/>
      </c>
      <c r="E13" t="str">
        <f t="shared" si="0"/>
        <v/>
      </c>
    </row>
    <row r="14" spans="1:5" x14ac:dyDescent="0.3">
      <c r="A14" s="7" t="s">
        <v>101</v>
      </c>
      <c r="B14" t="str" cm="1">
        <f t="array" ref="B14">IF(INDEX(Catálogo!I:I,ROW(A14))&lt;INDEX(Catálogo!G:G,ROW(A14)),INDEX(Catálogo!A:A,ROW(A14)),"")</f>
        <v/>
      </c>
      <c r="C14" t="str">
        <f>IF(B14&lt;&gt;"",VLOOKUP(B14,Catálogo!A:B,2,FALSE),"")</f>
        <v/>
      </c>
      <c r="D14" t="str">
        <f>IF(B13&lt;&gt;"","Stock actual: "&amp;VLOOKUP(B13,Catálogo!A:I,9,FALSE)&amp;" | Mínimo: "&amp;VLOOKUP(B13,Catálogo!A:G,7,FALSE),"")</f>
        <v/>
      </c>
      <c r="E14" t="str">
        <f t="shared" si="0"/>
        <v/>
      </c>
    </row>
    <row r="15" spans="1:5" x14ac:dyDescent="0.3">
      <c r="A15" s="7" t="s">
        <v>101</v>
      </c>
      <c r="B15" t="str" cm="1">
        <f t="array" ref="B15">IF(INDEX(Catálogo!I:I,ROW(A15))&lt;INDEX(Catálogo!G:G,ROW(A15)),INDEX(Catálogo!A:A,ROW(A15)),"")</f>
        <v/>
      </c>
      <c r="C15" t="str">
        <f>IF(B15&lt;&gt;"",VLOOKUP(B15,Catálogo!A:B,2,FALSE),"")</f>
        <v/>
      </c>
      <c r="D15" t="str">
        <f>IF(B14&lt;&gt;"","Stock actual: "&amp;VLOOKUP(B14,Catálogo!A:I,9,FALSE)&amp;" | Mínimo: "&amp;VLOOKUP(B14,Catálogo!A:G,7,FALSE),"")</f>
        <v/>
      </c>
      <c r="E15" t="str">
        <f t="shared" si="0"/>
        <v/>
      </c>
    </row>
    <row r="16" spans="1:5" x14ac:dyDescent="0.3">
      <c r="A16" s="7" t="s">
        <v>101</v>
      </c>
      <c r="B16" t="str" cm="1">
        <f t="array" ref="B16">IF(INDEX(Catálogo!I:I,ROW(A16))&lt;INDEX(Catálogo!G:G,ROW(A16)),INDEX(Catálogo!A:A,ROW(A16)),"")</f>
        <v/>
      </c>
      <c r="C16" t="str">
        <f>IF(B16&lt;&gt;"",VLOOKUP(B16,Catálogo!A:B,2,FALSE),"")</f>
        <v/>
      </c>
      <c r="D16" t="str">
        <f>IF(B15&lt;&gt;"","Stock actual: "&amp;VLOOKUP(B15,Catálogo!A:I,9,FALSE)&amp;" | Mínimo: "&amp;VLOOKUP(B15,Catálogo!A:G,7,FALSE),"")</f>
        <v/>
      </c>
      <c r="E16" t="str">
        <f t="shared" si="0"/>
        <v/>
      </c>
    </row>
    <row r="17" spans="1:5" x14ac:dyDescent="0.3">
      <c r="A17" s="7" t="s">
        <v>101</v>
      </c>
      <c r="B17" t="str" cm="1">
        <f t="array" ref="B17">IF(INDEX(Catálogo!I:I,ROW(A17))&lt;INDEX(Catálogo!G:G,ROW(A17)),INDEX(Catálogo!A:A,ROW(A17)),"")</f>
        <v/>
      </c>
      <c r="C17" t="str">
        <f>IF(B17&lt;&gt;"",VLOOKUP(B17,Catálogo!A:B,2,FALSE),"")</f>
        <v/>
      </c>
      <c r="D17" t="str">
        <f>IF(B16&lt;&gt;"","Stock actual: "&amp;VLOOKUP(B16,Catálogo!A:I,9,FALSE)&amp;" | Mínimo: "&amp;VLOOKUP(B16,Catálogo!A:G,7,FALSE),"")</f>
        <v/>
      </c>
      <c r="E17" t="str">
        <f t="shared" si="0"/>
        <v/>
      </c>
    </row>
    <row r="18" spans="1:5" x14ac:dyDescent="0.3">
      <c r="A18" s="7" t="s">
        <v>101</v>
      </c>
      <c r="B18" t="str" cm="1">
        <f t="array" ref="B18">IF(INDEX(Catálogo!I:I,ROW(A18))&lt;INDEX(Catálogo!G:G,ROW(A18)),INDEX(Catálogo!A:A,ROW(A18)),"")</f>
        <v/>
      </c>
      <c r="C18" t="str">
        <f>IF(B18&lt;&gt;"",VLOOKUP(B18,Catálogo!A:B,2,FALSE),"")</f>
        <v/>
      </c>
      <c r="D18" t="str">
        <f>IF(B17&lt;&gt;"","Stock actual: "&amp;VLOOKUP(B17,Catálogo!A:I,9,FALSE)&amp;" | Mínimo: "&amp;VLOOKUP(B17,Catálogo!A:G,7,FALSE),"")</f>
        <v/>
      </c>
      <c r="E18" t="str">
        <f t="shared" si="0"/>
        <v/>
      </c>
    </row>
    <row r="19" spans="1:5" x14ac:dyDescent="0.3">
      <c r="A19" s="7" t="s">
        <v>101</v>
      </c>
      <c r="B19" t="str" cm="1">
        <f t="array" ref="B19">IF(INDEX(Catálogo!I:I,ROW(A19))&lt;INDEX(Catálogo!G:G,ROW(A19)),INDEX(Catálogo!A:A,ROW(A19)),"")</f>
        <v/>
      </c>
      <c r="C19" t="str">
        <f>IF(B19&lt;&gt;"",VLOOKUP(B19,Catálogo!A:B,2,FALSE),"")</f>
        <v/>
      </c>
      <c r="D19" t="str">
        <f>IF(B18&lt;&gt;"","Stock actual: "&amp;VLOOKUP(B18,Catálogo!A:I,9,FALSE)&amp;" | Mínimo: "&amp;VLOOKUP(B18,Catálogo!A:G,7,FALSE),"")</f>
        <v/>
      </c>
      <c r="E19" t="str">
        <f t="shared" si="0"/>
        <v/>
      </c>
    </row>
    <row r="20" spans="1:5" x14ac:dyDescent="0.3">
      <c r="A20" s="7" t="s">
        <v>101</v>
      </c>
      <c r="B20" t="str" cm="1">
        <f t="array" ref="B20">IF(INDEX(Catálogo!I:I,ROW(A20))&lt;INDEX(Catálogo!G:G,ROW(A20)),INDEX(Catálogo!A:A,ROW(A20)),"")</f>
        <v/>
      </c>
      <c r="C20" t="str">
        <f>IF(B20&lt;&gt;"",VLOOKUP(B20,Catálogo!A:B,2,FALSE),"")</f>
        <v/>
      </c>
      <c r="D20" t="str">
        <f>IF(B19&lt;&gt;"","Stock actual: "&amp;VLOOKUP(B19,Catálogo!A:I,9,FALSE)&amp;" | Mínimo: "&amp;VLOOKUP(B19,Catálogo!A:G,7,FALSE),"")</f>
        <v/>
      </c>
      <c r="E20" t="str">
        <f t="shared" si="0"/>
        <v/>
      </c>
    </row>
    <row r="21" spans="1:5" x14ac:dyDescent="0.3">
      <c r="A21" s="7" t="s">
        <v>101</v>
      </c>
      <c r="B21" t="str" cm="1">
        <f t="array" ref="B21">IF(INDEX(Catálogo!I:I,ROW(A21))&lt;INDEX(Catálogo!G:G,ROW(A21)),INDEX(Catálogo!A:A,ROW(A21)),"")</f>
        <v/>
      </c>
      <c r="C21" t="str">
        <f>IF(B21&lt;&gt;"",VLOOKUP(B21,Catálogo!A:B,2,FALSE),"")</f>
        <v/>
      </c>
      <c r="D21" t="str">
        <f>IF(B20&lt;&gt;"","Stock actual: "&amp;VLOOKUP(B20,Catálogo!A:I,9,FALSE)&amp;" | Mínimo: "&amp;VLOOKUP(B20,Catálogo!A:G,7,FALSE),"")</f>
        <v/>
      </c>
      <c r="E21" t="str">
        <f t="shared" si="0"/>
        <v/>
      </c>
    </row>
    <row r="22" spans="1:5" x14ac:dyDescent="0.3">
      <c r="A22" s="7" t="s">
        <v>101</v>
      </c>
      <c r="B22" t="str" cm="1">
        <f t="array" ref="B22">IF(INDEX(Catálogo!I:I,ROW(A22))&lt;INDEX(Catálogo!G:G,ROW(A22)),INDEX(Catálogo!A:A,ROW(A22)),"")</f>
        <v/>
      </c>
      <c r="C22" t="str">
        <f>IF(B22&lt;&gt;"",VLOOKUP(B22,Catálogo!A:B,2,FALSE),"")</f>
        <v/>
      </c>
      <c r="D22" t="str">
        <f>IF(B21&lt;&gt;"","Stock actual: "&amp;VLOOKUP(B21,Catálogo!A:I,9,FALSE)&amp;" | Mínimo: "&amp;VLOOKUP(B21,Catálogo!A:G,7,FALSE),"")</f>
        <v/>
      </c>
      <c r="E22" t="str">
        <f t="shared" si="0"/>
        <v/>
      </c>
    </row>
    <row r="23" spans="1:5" x14ac:dyDescent="0.3">
      <c r="A23" s="7" t="s">
        <v>101</v>
      </c>
      <c r="B23" t="str" cm="1">
        <f t="array" ref="B23">IF(INDEX(Catálogo!I:I,ROW(A23))&lt;INDEX(Catálogo!G:G,ROW(A23)),INDEX(Catálogo!A:A,ROW(A23)),"")</f>
        <v/>
      </c>
      <c r="C23" t="str">
        <f>IF(B23&lt;&gt;"",VLOOKUP(B23,Catálogo!A:B,2,FALSE),"")</f>
        <v/>
      </c>
      <c r="D23" t="str">
        <f>IF(B22&lt;&gt;"","Stock actual: "&amp;VLOOKUP(B22,Catálogo!A:I,9,FALSE)&amp;" | Mínimo: "&amp;VLOOKUP(B22,Catálogo!A:G,7,FALSE),"")</f>
        <v/>
      </c>
      <c r="E23" t="str">
        <f t="shared" si="0"/>
        <v/>
      </c>
    </row>
    <row r="24" spans="1:5" x14ac:dyDescent="0.3">
      <c r="A24" s="7" t="s">
        <v>101</v>
      </c>
      <c r="B24" t="str" cm="1">
        <f t="array" ref="B24">IF(INDEX(Catálogo!I:I,ROW(A24))&lt;INDEX(Catálogo!G:G,ROW(A24)),INDEX(Catálogo!A:A,ROW(A24)),"")</f>
        <v/>
      </c>
      <c r="C24" t="str">
        <f>IF(B24&lt;&gt;"",VLOOKUP(B24,Catálogo!A:B,2,FALSE),"")</f>
        <v/>
      </c>
      <c r="D24" t="str">
        <f>IF(B23&lt;&gt;"","Stock actual: "&amp;VLOOKUP(B23,Catálogo!A:I,9,FALSE)&amp;" | Mínimo: "&amp;VLOOKUP(B23,Catálogo!A:G,7,FALSE),"")</f>
        <v/>
      </c>
      <c r="E24" t="str">
        <f t="shared" si="0"/>
        <v/>
      </c>
    </row>
    <row r="25" spans="1:5" x14ac:dyDescent="0.3">
      <c r="A25" s="7" t="s">
        <v>101</v>
      </c>
      <c r="B25" t="str" cm="1">
        <f t="array" ref="B25">IF(INDEX(Catálogo!I:I,ROW(A25))&lt;INDEX(Catálogo!G:G,ROW(A25)),INDEX(Catálogo!A:A,ROW(A25)),"")</f>
        <v/>
      </c>
      <c r="C25" t="str">
        <f>IF(B25&lt;&gt;"",VLOOKUP(B25,Catálogo!A:B,2,FALSE),"")</f>
        <v/>
      </c>
      <c r="D25" t="str">
        <f>IF(B24&lt;&gt;"","Stock actual: "&amp;VLOOKUP(B24,Catálogo!A:I,9,FALSE)&amp;" | Mínimo: "&amp;VLOOKUP(B24,Catálogo!A:G,7,FALSE),"")</f>
        <v/>
      </c>
      <c r="E25" t="str">
        <f t="shared" si="0"/>
        <v/>
      </c>
    </row>
    <row r="26" spans="1:5" x14ac:dyDescent="0.3">
      <c r="A26" s="7" t="s">
        <v>101</v>
      </c>
      <c r="B26" t="str" cm="1">
        <f t="array" ref="B26">IF(INDEX(Catálogo!I:I,ROW(A26))&lt;INDEX(Catálogo!G:G,ROW(A26)),INDEX(Catálogo!A:A,ROW(A26)),"")</f>
        <v/>
      </c>
      <c r="C26" t="str">
        <f>IF(B26&lt;&gt;"",VLOOKUP(B26,Catálogo!A:B,2,FALSE),"")</f>
        <v/>
      </c>
      <c r="D26" t="str">
        <f>IF(B25&lt;&gt;"","Stock actual: "&amp;VLOOKUP(B25,Catálogo!A:I,9,FALSE)&amp;" | Mínimo: "&amp;VLOOKUP(B25,Catálogo!A:G,7,FALSE),"")</f>
        <v/>
      </c>
      <c r="E26" t="str">
        <f t="shared" si="0"/>
        <v/>
      </c>
    </row>
    <row r="27" spans="1:5" x14ac:dyDescent="0.3">
      <c r="A27" s="7" t="s">
        <v>101</v>
      </c>
      <c r="B27" t="str" cm="1">
        <f t="array" ref="B27">IF(INDEX(Catálogo!I:I,ROW(A27))&lt;INDEX(Catálogo!G:G,ROW(A27)),INDEX(Catálogo!A:A,ROW(A27)),"")</f>
        <v/>
      </c>
      <c r="C27" t="str">
        <f>IF(B27&lt;&gt;"",VLOOKUP(B27,Catálogo!A:B,2,FALSE),"")</f>
        <v/>
      </c>
      <c r="D27" t="str">
        <f>IF(B26&lt;&gt;"","Stock actual: "&amp;VLOOKUP(B26,Catálogo!A:I,9,FALSE)&amp;" | Mínimo: "&amp;VLOOKUP(B26,Catálogo!A:G,7,FALSE),"")</f>
        <v/>
      </c>
      <c r="E27" t="str">
        <f t="shared" si="0"/>
        <v/>
      </c>
    </row>
    <row r="28" spans="1:5" x14ac:dyDescent="0.3">
      <c r="A28" s="7" t="s">
        <v>101</v>
      </c>
      <c r="B28" t="str" cm="1">
        <f t="array" ref="B28">IF(INDEX(Catálogo!I:I,ROW(A28))&lt;INDEX(Catálogo!G:G,ROW(A28)),INDEX(Catálogo!A:A,ROW(A28)),"")</f>
        <v/>
      </c>
      <c r="C28" t="str">
        <f>IF(B28&lt;&gt;"",VLOOKUP(B28,Catálogo!A:B,2,FALSE),"")</f>
        <v/>
      </c>
      <c r="D28" t="str">
        <f>IF(B27&lt;&gt;"","Stock actual: "&amp;VLOOKUP(B27,Catálogo!A:I,9,FALSE)&amp;" | Mínimo: "&amp;VLOOKUP(B27,Catálogo!A:G,7,FALSE),"")</f>
        <v/>
      </c>
      <c r="E28" t="str">
        <f t="shared" si="0"/>
        <v/>
      </c>
    </row>
    <row r="29" spans="1:5" x14ac:dyDescent="0.3">
      <c r="A29" s="7" t="s">
        <v>101</v>
      </c>
      <c r="B29" t="str" cm="1">
        <f t="array" ref="B29">IF(INDEX(Catálogo!I:I,ROW(A29))&lt;INDEX(Catálogo!G:G,ROW(A29)),INDEX(Catálogo!A:A,ROW(A29)),"")</f>
        <v/>
      </c>
      <c r="C29" t="str">
        <f>IF(B29&lt;&gt;"",VLOOKUP(B29,Catálogo!A:B,2,FALSE),"")</f>
        <v/>
      </c>
      <c r="D29" t="str">
        <f>IF(B28&lt;&gt;"","Stock actual: "&amp;VLOOKUP(B28,Catálogo!A:I,9,FALSE)&amp;" | Mínimo: "&amp;VLOOKUP(B28,Catálogo!A:G,7,FALSE),"")</f>
        <v/>
      </c>
      <c r="E29" t="str">
        <f t="shared" si="0"/>
        <v/>
      </c>
    </row>
    <row r="30" spans="1:5" x14ac:dyDescent="0.3">
      <c r="A30" s="7" t="s">
        <v>101</v>
      </c>
      <c r="B30" t="str" cm="1">
        <f t="array" ref="B30">IF(INDEX(Catálogo!I:I,ROW(A30))&lt;INDEX(Catálogo!G:G,ROW(A30)),INDEX(Catálogo!A:A,ROW(A30)),"")</f>
        <v/>
      </c>
      <c r="C30" t="str">
        <f>IF(B30&lt;&gt;"",VLOOKUP(B30,Catálogo!A:B,2,FALSE),"")</f>
        <v/>
      </c>
      <c r="D30" t="str">
        <f>IF(B29&lt;&gt;"","Stock actual: "&amp;VLOOKUP(B29,Catálogo!A:I,9,FALSE)&amp;" | Mínimo: "&amp;VLOOKUP(B29,Catálogo!A:G,7,FALSE),"")</f>
        <v/>
      </c>
      <c r="E30" t="str">
        <f t="shared" si="0"/>
        <v/>
      </c>
    </row>
    <row r="31" spans="1:5" x14ac:dyDescent="0.3">
      <c r="A31" s="7" t="s">
        <v>101</v>
      </c>
      <c r="B31" t="str" cm="1">
        <f t="array" ref="B31">IF(INDEX(Catálogo!I:I,ROW(A31))&lt;INDEX(Catálogo!G:G,ROW(A31)),INDEX(Catálogo!A:A,ROW(A31)),"")</f>
        <v/>
      </c>
      <c r="C31" t="str">
        <f>IF(B31&lt;&gt;"",VLOOKUP(B31,Catálogo!A:B,2,FALSE),"")</f>
        <v/>
      </c>
      <c r="D31" t="str">
        <f>IF(B30&lt;&gt;"","Stock actual: "&amp;VLOOKUP(B30,Catálogo!A:I,9,FALSE)&amp;" | Mínimo: "&amp;VLOOKUP(B30,Catálogo!A:G,7,FALSE),"")</f>
        <v/>
      </c>
      <c r="E31" t="str">
        <f t="shared" si="0"/>
        <v/>
      </c>
    </row>
    <row r="35" spans="1:5" s="18" customFormat="1" x14ac:dyDescent="0.3"/>
    <row r="36" spans="1:5" ht="15.6" customHeight="1" x14ac:dyDescent="0.3">
      <c r="A36" s="7" t="s">
        <v>102</v>
      </c>
      <c r="B36" t="str">
        <f ca="1">IF((Inventario_Lotes!H2-TODAY())&lt;=30,Inventario_Lotes!D2,"")</f>
        <v>LOT-2024-001</v>
      </c>
      <c r="C36" t="str">
        <f ca="1">IF(B36&lt;&gt;"",INDEX(Inventario_Lotes!C:C,MATCH(B36,Inventario_Lotes!D:D,0)),"")</f>
        <v>Insulina NPH</v>
      </c>
      <c r="D36" t="str">
        <f ca="1">IF(B36&lt;&gt;"","Lote vence el "&amp;TEXT(VLOOKUP(B36,Inventario_Lotes!D:H,5,FALSE),"dd/mm/aaaa")&amp;" ("&amp;ROUND((VLOOKUP(B36,Inventario_Lotes!D:H,5,FALSE)-TODAY()),0)&amp;" días)","")</f>
        <v>Lote vence el 01/08/jueves (-448 días)</v>
      </c>
      <c r="E36" t="str">
        <f ca="1">IF(B36&lt;&gt;"","⚠️ USAR PRIORITARIAMENTE","")</f>
        <v>⚠️ USAR PRIORITARIAMENTE</v>
      </c>
    </row>
    <row r="37" spans="1:5" x14ac:dyDescent="0.3">
      <c r="A37" s="7" t="s">
        <v>102</v>
      </c>
      <c r="B37" t="str">
        <f ca="1">IF((Inventario_Lotes!H3-TODAY())&lt;=30,Inventario_Lotes!D3,"")</f>
        <v/>
      </c>
      <c r="C37" t="str">
        <f ca="1">IF(B37&lt;&gt;"",INDEX(Inventario_Lotes!C:C,MATCH(B37,Inventario_Lotes!D:D,0)),"")</f>
        <v/>
      </c>
      <c r="D37" t="str">
        <f ca="1">IF(B37&lt;&gt;"","Lote vence el "&amp;TEXT(VLOOKUP(B37,Inventario_Lotes!D:H,5,FALSE),"dd/mm/aaaa")&amp;" ("&amp;ROUND((VLOOKUP(B37,Inventario_Lotes!D:H,5,FALSE)-TODAY()),0)&amp;" días)","")</f>
        <v/>
      </c>
      <c r="E37" t="str">
        <f t="shared" ref="E37:E50" ca="1" si="1">IF(B37&lt;&gt;"","⚠️ USAR PRIORITARIAMENTE","")</f>
        <v/>
      </c>
    </row>
    <row r="38" spans="1:5" x14ac:dyDescent="0.3">
      <c r="A38" s="7" t="s">
        <v>102</v>
      </c>
      <c r="B38" t="str">
        <f ca="1">IF((Inventario_Lotes!H4-TODAY())&lt;=30,Inventario_Lotes!D4,"")</f>
        <v/>
      </c>
      <c r="C38" t="str">
        <f ca="1">IF(B38&lt;&gt;"",INDEX(Inventario_Lotes!C:C,MATCH(B38,Inventario_Lotes!D:D,0)),"")</f>
        <v/>
      </c>
      <c r="D38" t="str">
        <f ca="1">IF(B38&lt;&gt;"","Lote vence el "&amp;TEXT(VLOOKUP(B38,Inventario_Lotes!D:H,5,FALSE),"dd/mm/aaaa")&amp;" ("&amp;ROUND((VLOOKUP(B38,Inventario_Lotes!D:H,5,FALSE)-TODAY()),0)&amp;" días)","")</f>
        <v/>
      </c>
      <c r="E38" t="str">
        <f t="shared" ca="1" si="1"/>
        <v/>
      </c>
    </row>
    <row r="39" spans="1:5" x14ac:dyDescent="0.3">
      <c r="A39" s="7" t="s">
        <v>102</v>
      </c>
      <c r="B39" t="str">
        <f ca="1">IF((Inventario_Lotes!H5-TODAY())&lt;=30,Inventario_Lotes!D5,"")</f>
        <v/>
      </c>
      <c r="C39" t="str">
        <f ca="1">IF(B39&lt;&gt;"",INDEX(Inventario_Lotes!C:C,MATCH(B39,Inventario_Lotes!D:D,0)),"")</f>
        <v/>
      </c>
      <c r="D39" t="str">
        <f ca="1">IF(B39&lt;&gt;"","Lote vence el "&amp;TEXT(VLOOKUP(B39,Inventario_Lotes!D:H,5,FALSE),"dd/mm/aaaa")&amp;" ("&amp;ROUND((VLOOKUP(B39,Inventario_Lotes!D:H,5,FALSE)-TODAY()),0)&amp;" días)","")</f>
        <v/>
      </c>
      <c r="E39" t="str">
        <f t="shared" ca="1" si="1"/>
        <v/>
      </c>
    </row>
    <row r="40" spans="1:5" x14ac:dyDescent="0.3">
      <c r="A40" s="7" t="s">
        <v>102</v>
      </c>
      <c r="B40" t="str">
        <f ca="1">IF((Inventario_Lotes!H6-TODAY())&lt;=30,Inventario_Lotes!D6,"")</f>
        <v xml:space="preserve"> LOT-2025-089</v>
      </c>
      <c r="C40" t="str">
        <f ca="1">IF(B40&lt;&gt;"",INDEX(Inventario_Lotes!C:C,MATCH(B40,Inventario_Lotes!D:D,0)),"")</f>
        <v>Losartán</v>
      </c>
      <c r="D40" t="str">
        <f ca="1">IF(B40&lt;&gt;"","Lote vence el "&amp;TEXT(VLOOKUP(B40,Inventario_Lotes!D:H,5,FALSE),"dd/mm/aaaa")&amp;" ("&amp;ROUND((VLOOKUP(B40,Inventario_Lotes!D:H,5,FALSE)-TODAY()),0)&amp;" días)","")</f>
        <v>Lote vence el 10/11/lunes (18 días)</v>
      </c>
      <c r="E40" t="str">
        <f t="shared" ca="1" si="1"/>
        <v>⚠️ USAR PRIORITARIAMENTE</v>
      </c>
    </row>
    <row r="41" spans="1:5" x14ac:dyDescent="0.3">
      <c r="A41" s="7" t="s">
        <v>102</v>
      </c>
      <c r="B41">
        <f ca="1">IF((Inventario_Lotes!H7-TODAY())&lt;=30,Inventario_Lotes!D7,"")</f>
        <v>0</v>
      </c>
      <c r="C41" t="e">
        <f ca="1">IF(B41&lt;&gt;"",INDEX(Inventario_Lotes!C:C,MATCH(B41,Inventario_Lotes!D:D,0)),"")</f>
        <v>#N/A</v>
      </c>
      <c r="D41" t="e">
        <f ca="1">IF(B41&lt;&gt;"","Lote vence el "&amp;TEXT(VLOOKUP(B41,Inventario_Lotes!D:H,5,FALSE),"dd/mm/aaaa")&amp;" ("&amp;ROUND((VLOOKUP(B41,Inventario_Lotes!D:H,5,FALSE)-TODAY()),0)&amp;" días)","")</f>
        <v>#N/A</v>
      </c>
      <c r="E41" t="str">
        <f t="shared" ca="1" si="1"/>
        <v>⚠️ USAR PRIORITARIAMENTE</v>
      </c>
    </row>
    <row r="42" spans="1:5" x14ac:dyDescent="0.3">
      <c r="A42" s="7" t="s">
        <v>102</v>
      </c>
      <c r="B42">
        <f ca="1">IF((Inventario_Lotes!H8-TODAY())&lt;=30,Inventario_Lotes!D8,"")</f>
        <v>0</v>
      </c>
      <c r="C42" t="e">
        <f ca="1">IF(B42&lt;&gt;"",INDEX(Inventario_Lotes!C:C,MATCH(B42,Inventario_Lotes!D:D,0)),"")</f>
        <v>#N/A</v>
      </c>
      <c r="D42" t="e">
        <f ca="1">IF(B42&lt;&gt;"","Lote vence el "&amp;TEXT(VLOOKUP(B42,Inventario_Lotes!D:H,5,FALSE),"dd/mm/aaaa")&amp;" ("&amp;ROUND((VLOOKUP(B42,Inventario_Lotes!D:H,5,FALSE)-TODAY()),0)&amp;" días)","")</f>
        <v>#N/A</v>
      </c>
      <c r="E42" t="str">
        <f t="shared" ca="1" si="1"/>
        <v>⚠️ USAR PRIORITARIAMENTE</v>
      </c>
    </row>
    <row r="43" spans="1:5" x14ac:dyDescent="0.3">
      <c r="A43" s="7" t="s">
        <v>102</v>
      </c>
      <c r="B43">
        <f ca="1">IF((Inventario_Lotes!H9-TODAY())&lt;=30,Inventario_Lotes!D9,"")</f>
        <v>0</v>
      </c>
      <c r="C43" t="e">
        <f ca="1">IF(B43&lt;&gt;"",INDEX(Inventario_Lotes!C:C,MATCH(B43,Inventario_Lotes!D:D,0)),"")</f>
        <v>#N/A</v>
      </c>
      <c r="D43" t="e">
        <f ca="1">IF(B43&lt;&gt;"","Lote vence el "&amp;TEXT(VLOOKUP(B43,Inventario_Lotes!D:H,5,FALSE),"dd/mm/aaaa")&amp;" ("&amp;ROUND((VLOOKUP(B43,Inventario_Lotes!D:H,5,FALSE)-TODAY()),0)&amp;" días)","")</f>
        <v>#N/A</v>
      </c>
      <c r="E43" t="str">
        <f t="shared" ca="1" si="1"/>
        <v>⚠️ USAR PRIORITARIAMENTE</v>
      </c>
    </row>
    <row r="44" spans="1:5" x14ac:dyDescent="0.3">
      <c r="A44" s="7" t="s">
        <v>102</v>
      </c>
      <c r="B44">
        <f ca="1">IF((Inventario_Lotes!H10-TODAY())&lt;=30,Inventario_Lotes!D10,"")</f>
        <v>0</v>
      </c>
      <c r="C44" t="e">
        <f ca="1">IF(B44&lt;&gt;"",INDEX(Inventario_Lotes!C:C,MATCH(B44,Inventario_Lotes!D:D,0)),"")</f>
        <v>#N/A</v>
      </c>
      <c r="D44" t="e">
        <f ca="1">IF(B44&lt;&gt;"","Lote vence el "&amp;TEXT(VLOOKUP(B44,Inventario_Lotes!D:H,5,FALSE),"dd/mm/aaaa")&amp;" ("&amp;ROUND((VLOOKUP(B44,Inventario_Lotes!D:H,5,FALSE)-TODAY()),0)&amp;" días)","")</f>
        <v>#N/A</v>
      </c>
      <c r="E44" t="str">
        <f t="shared" ca="1" si="1"/>
        <v>⚠️ USAR PRIORITARIAMENTE</v>
      </c>
    </row>
    <row r="45" spans="1:5" x14ac:dyDescent="0.3">
      <c r="A45" s="7" t="s">
        <v>102</v>
      </c>
      <c r="B45">
        <f ca="1">IF((Inventario_Lotes!H11-TODAY())&lt;=30,Inventario_Lotes!D11,"")</f>
        <v>0</v>
      </c>
      <c r="C45" t="e">
        <f ca="1">IF(B45&lt;&gt;"",INDEX(Inventario_Lotes!C:C,MATCH(B45,Inventario_Lotes!D:D,0)),"")</f>
        <v>#N/A</v>
      </c>
      <c r="D45" t="e">
        <f ca="1">IF(B45&lt;&gt;"","Lote vence el "&amp;TEXT(VLOOKUP(B45,Inventario_Lotes!D:H,5,FALSE),"dd/mm/aaaa")&amp;" ("&amp;ROUND((VLOOKUP(B45,Inventario_Lotes!D:H,5,FALSE)-TODAY()),0)&amp;" días)","")</f>
        <v>#N/A</v>
      </c>
      <c r="E45" t="str">
        <f t="shared" ca="1" si="1"/>
        <v>⚠️ USAR PRIORITARIAMENTE</v>
      </c>
    </row>
    <row r="46" spans="1:5" x14ac:dyDescent="0.3">
      <c r="A46" s="7" t="s">
        <v>102</v>
      </c>
      <c r="B46">
        <f ca="1">IF((Inventario_Lotes!H12-TODAY())&lt;=30,Inventario_Lotes!D12,"")</f>
        <v>0</v>
      </c>
      <c r="C46" t="e">
        <f ca="1">IF(B46&lt;&gt;"",INDEX(Inventario_Lotes!C:C,MATCH(B46,Inventario_Lotes!D:D,0)),"")</f>
        <v>#N/A</v>
      </c>
      <c r="D46" t="e">
        <f ca="1">IF(B46&lt;&gt;"","Lote vence el "&amp;TEXT(VLOOKUP(B46,Inventario_Lotes!D:H,5,FALSE),"dd/mm/aaaa")&amp;" ("&amp;ROUND((VLOOKUP(B46,Inventario_Lotes!D:H,5,FALSE)-TODAY()),0)&amp;" días)","")</f>
        <v>#N/A</v>
      </c>
      <c r="E46" t="str">
        <f t="shared" ca="1" si="1"/>
        <v>⚠️ USAR PRIORITARIAMENTE</v>
      </c>
    </row>
    <row r="47" spans="1:5" x14ac:dyDescent="0.3">
      <c r="A47" s="7" t="s">
        <v>102</v>
      </c>
      <c r="B47">
        <f ca="1">IF((Inventario_Lotes!H13-TODAY())&lt;=30,Inventario_Lotes!D13,"")</f>
        <v>0</v>
      </c>
      <c r="C47" t="e">
        <f ca="1">IF(B47&lt;&gt;"",INDEX(Inventario_Lotes!C:C,MATCH(B47,Inventario_Lotes!D:D,0)),"")</f>
        <v>#N/A</v>
      </c>
      <c r="D47" t="e">
        <f ca="1">IF(B47&lt;&gt;"","Lote vence el "&amp;TEXT(VLOOKUP(B47,Inventario_Lotes!D:H,5,FALSE),"dd/mm/aaaa")&amp;" ("&amp;ROUND((VLOOKUP(B47,Inventario_Lotes!D:H,5,FALSE)-TODAY()),0)&amp;" días)","")</f>
        <v>#N/A</v>
      </c>
      <c r="E47" t="str">
        <f t="shared" ca="1" si="1"/>
        <v>⚠️ USAR PRIORITARIAMENTE</v>
      </c>
    </row>
    <row r="48" spans="1:5" x14ac:dyDescent="0.3">
      <c r="A48" s="7" t="s">
        <v>102</v>
      </c>
      <c r="B48">
        <f ca="1">IF((Inventario_Lotes!H14-TODAY())&lt;=30,Inventario_Lotes!D14,"")</f>
        <v>0</v>
      </c>
      <c r="C48" t="e">
        <f ca="1">IF(B48&lt;&gt;"",INDEX(Inventario_Lotes!C:C,MATCH(B48,Inventario_Lotes!D:D,0)),"")</f>
        <v>#N/A</v>
      </c>
      <c r="D48" t="e">
        <f ca="1">IF(B48&lt;&gt;"","Lote vence el "&amp;TEXT(VLOOKUP(B48,Inventario_Lotes!D:H,5,FALSE),"dd/mm/aaaa")&amp;" ("&amp;ROUND((VLOOKUP(B48,Inventario_Lotes!D:H,5,FALSE)-TODAY()),0)&amp;" días)","")</f>
        <v>#N/A</v>
      </c>
      <c r="E48" t="str">
        <f t="shared" ca="1" si="1"/>
        <v>⚠️ USAR PRIORITARIAMENTE</v>
      </c>
    </row>
    <row r="49" spans="1:5" x14ac:dyDescent="0.3">
      <c r="A49" s="7" t="s">
        <v>102</v>
      </c>
      <c r="B49">
        <f ca="1">IF((Inventario_Lotes!H15-TODAY())&lt;=30,Inventario_Lotes!D15,"")</f>
        <v>0</v>
      </c>
      <c r="C49" t="e">
        <f ca="1">IF(B49&lt;&gt;"",INDEX(Inventario_Lotes!C:C,MATCH(B49,Inventario_Lotes!D:D,0)),"")</f>
        <v>#N/A</v>
      </c>
      <c r="D49" t="e">
        <f ca="1">IF(B49&lt;&gt;"","Lote vence el "&amp;TEXT(VLOOKUP(B49,Inventario_Lotes!D:H,5,FALSE),"dd/mm/aaaa")&amp;" ("&amp;ROUND((VLOOKUP(B49,Inventario_Lotes!D:H,5,FALSE)-TODAY()),0)&amp;" días)","")</f>
        <v>#N/A</v>
      </c>
      <c r="E49" t="str">
        <f t="shared" ca="1" si="1"/>
        <v>⚠️ USAR PRIORITARIAMENTE</v>
      </c>
    </row>
    <row r="50" spans="1:5" x14ac:dyDescent="0.3">
      <c r="A50" s="7" t="s">
        <v>102</v>
      </c>
      <c r="B50">
        <f ca="1">IF((Inventario_Lotes!H16-TODAY())&lt;=30,Inventario_Lotes!D16,"")</f>
        <v>0</v>
      </c>
      <c r="C50" t="e">
        <f ca="1">IF(B50&lt;&gt;"",INDEX(Inventario_Lotes!C:C,MATCH(B50,Inventario_Lotes!D:D,0)),"")</f>
        <v>#N/A</v>
      </c>
      <c r="D50" t="e">
        <f ca="1">IF(B50&lt;&gt;"","Lote vence el "&amp;TEXT(VLOOKUP(B50,Inventario_Lotes!D:H,5,FALSE),"dd/mm/aaaa")&amp;" ("&amp;ROUND((VLOOKUP(B50,Inventario_Lotes!D:H,5,FALSE)-TODAY()),0)&amp;" días)","")</f>
        <v>#N/A</v>
      </c>
      <c r="E50" t="str">
        <f t="shared" ca="1" si="1"/>
        <v>⚠️ USAR PRIORITARIAMENTE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Catálogo</vt:lpstr>
      <vt:lpstr>Inventario_Lotes</vt:lpstr>
      <vt:lpstr>Libro_Compras</vt:lpstr>
      <vt:lpstr>Libro_Salidas</vt:lpstr>
      <vt:lpstr>Libro_Diario</vt:lpstr>
      <vt:lpstr>Libro_Mayor</vt:lpstr>
      <vt:lpstr>Alertas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Diaz</dc:creator>
  <cp:lastModifiedBy>Fernando Diaz</cp:lastModifiedBy>
  <dcterms:created xsi:type="dcterms:W3CDTF">2025-10-20T21:10:33Z</dcterms:created>
  <dcterms:modified xsi:type="dcterms:W3CDTF">2025-10-23T18:43:59Z</dcterms:modified>
</cp:coreProperties>
</file>