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vpsheinkman_cpp_edu/Documents/ARO 4711L/Senior Design/Coding Folder/Excel/Ground and Wind Loads/"/>
    </mc:Choice>
  </mc:AlternateContent>
  <xr:revisionPtr revIDLastSave="146" documentId="13_ncr:1_{B54B19B1-CB00-44AA-B6EF-401662767E7E}" xr6:coauthVersionLast="46" xr6:coauthVersionMax="46" xr10:uidLastSave="{79D89D60-8D09-4471-8CD0-67CD4259D934}"/>
  <bookViews>
    <workbookView xWindow="-120" yWindow="-120" windowWidth="29040" windowHeight="15840" firstSheet="1" activeTab="1" xr2:uid="{00000000-000D-0000-FFFF-FFFF00000000}"/>
  </bookViews>
  <sheets>
    <sheet name="CM and J0 for ACS" sheetId="6" r:id="rId1"/>
    <sheet name="HW10 and HW11" sheetId="1" r:id="rId2"/>
    <sheet name="HW9 - CM and J0" sheetId="5" r:id="rId3"/>
    <sheet name="Stresses" sheetId="7" r:id="rId4"/>
  </sheets>
  <externalReferences>
    <externalReference r:id="rId5"/>
    <externalReference r:id="rId6"/>
  </externalReferences>
  <definedNames>
    <definedName name="airloadcone">'HW10 and HW11'!$S$9</definedName>
    <definedName name="airloadskirt">'HW10 and HW11'!$T$9</definedName>
    <definedName name="alpha" localSheetId="3">'[1]HW10 and HW11'!$M$6</definedName>
    <definedName name="alpha">'HW10 and HW11'!$M$5</definedName>
    <definedName name="areacone">'HW10 and HW11'!$S$4</definedName>
    <definedName name="areaskirt" localSheetId="3">'[1]HW10 and HW11'!$T$5</definedName>
    <definedName name="areaskirt">'HW10 and HW11'!$T$4</definedName>
    <definedName name="axialcone" localSheetId="3">'[1]HW10 and HW11'!$S$9</definedName>
    <definedName name="axialcone">'HW10 and HW11'!$S$8</definedName>
    <definedName name="axialskirt" localSheetId="3">'[1]HW10 and HW11'!$T$9</definedName>
    <definedName name="axialskirt">'HW10 and HW11'!$T$8</definedName>
    <definedName name="Cd" localSheetId="3">'[1]HW10 and HW11'!$C$7</definedName>
    <definedName name="Cd">'HW10 and HW11'!$C$7</definedName>
    <definedName name="cmmaxq" localSheetId="3">'[1]HW10 and HW11'!$P$6</definedName>
    <definedName name="cmmaxq">'HW10 and HW11'!$P$5</definedName>
    <definedName name="cnalpha" localSheetId="3">'[1]HW10 and HW11'!#REF!</definedName>
    <definedName name="cnalpha">'HW10 and HW11'!#REF!</definedName>
    <definedName name="cnalphacone">'HW10 and HW11'!$S$3</definedName>
    <definedName name="cnalphaskirt">'HW10 and HW11'!$T$3</definedName>
    <definedName name="deltatvc" localSheetId="3">'[2]HW10 and HW11'!$M$7</definedName>
    <definedName name="deltatvc">'HW10 and HW11'!$M$7</definedName>
    <definedName name="dragcone">'HW10 and HW11'!$S$6</definedName>
    <definedName name="dragskirt">'HW10 and HW11'!$T$6</definedName>
    <definedName name="g0" localSheetId="3">'[1]HW10 and HW11'!$C$8</definedName>
    <definedName name="g0">'HW10 and HW11'!$C$8</definedName>
    <definedName name="g0maxq" localSheetId="3">'[1]HW10 and HW11'!#REF!</definedName>
    <definedName name="g0maxq">'HW10 and HW11'!#REF!</definedName>
    <definedName name="hfin" localSheetId="3">'[1]HW10 and HW11'!#REF!</definedName>
    <definedName name="hfin">'HW10 and HW11'!#REF!</definedName>
    <definedName name="hmaxq" localSheetId="3">'[2]HW10 and HW11'!$J$4</definedName>
    <definedName name="hmaxq">'HW10 and HW11'!$J$4</definedName>
    <definedName name="htotal">'HW10 and HW11'!$C$9</definedName>
    <definedName name="I_sp1" localSheetId="3">'[2]HW10 and HW11'!#REF!</definedName>
    <definedName name="I_sp1">'HW10 and HW11'!$F$7</definedName>
    <definedName name="I_sp2">'HW10 and HW11'!$G$7</definedName>
    <definedName name="lfin" localSheetId="3">'[1]HW10 and HW11'!#REF!</definedName>
    <definedName name="lfin">'HW10 and HW11'!#REF!</definedName>
    <definedName name="machmaxq" localSheetId="3">'[2]HW10 and HW11'!#REF!</definedName>
    <definedName name="machmaxq">'HW10 and HW11'!#REF!</definedName>
    <definedName name="mass1" localSheetId="3">'[1]HW10 and HW11'!$F$4</definedName>
    <definedName name="mass1">'HW10 and HW11'!$F$3</definedName>
    <definedName name="mass2">'HW10 and HW11'!$G$3</definedName>
    <definedName name="massmaxq" localSheetId="3">'[1]HW10 and HW11'!$J$9</definedName>
    <definedName name="massmaxq">'HW10 and HW11'!$J$7</definedName>
    <definedName name="mdotmaxq">'HW10 and HW11'!$P$4</definedName>
    <definedName name="mprop_left">'HW10 and HW11'!$P$3</definedName>
    <definedName name="nmax" localSheetId="3">'[1]HW10 and HW11'!$J$11</definedName>
    <definedName name="nmax">'HW10 and HW11'!$J$9</definedName>
    <definedName name="normalcone">'HW10 and HW11'!$S$5</definedName>
    <definedName name="normalskirt">'HW10 and HW11'!$T$5</definedName>
    <definedName name="nx" localSheetId="3">'[1]HW10 and HW11'!#REF!</definedName>
    <definedName name="nx">'HW10 and HW11'!#REF!</definedName>
    <definedName name="nz" localSheetId="3">'[1]HW10 and HW11'!#REF!</definedName>
    <definedName name="nz">'HW10 and HW11'!#REF!</definedName>
    <definedName name="nzmaxq" localSheetId="3">'[1]HW10 and HW11'!$M$9</definedName>
    <definedName name="nzmaxq">'HW10 and HW11'!$M$8</definedName>
    <definedName name="nzmaxqtest">'HW10 and HW11'!$P$7</definedName>
    <definedName name="qmaxq" localSheetId="3">'[1]HW10 and HW11'!$M$4</definedName>
    <definedName name="qmaxq">'HW10 and HW11'!$M$3</definedName>
    <definedName name="radius1">'HW10 and HW11'!$B$4</definedName>
    <definedName name="radius2">'HW10 and HW11'!$B$3</definedName>
    <definedName name="reqtrim" localSheetId="3">'[1]HW10 and HW11'!$M$7</definedName>
    <definedName name="reqtrim">'HW10 and HW11'!$M$6</definedName>
    <definedName name="rho" localSheetId="3">'[1]HW10 and HW11'!$C$6</definedName>
    <definedName name="rho">'HW10 and HW11'!$C$6</definedName>
    <definedName name="rhomaxq" localSheetId="3">'[2]HW10 and HW11'!$J$6</definedName>
    <definedName name="rhomaxq">'HW10 and HW11'!$J$6</definedName>
    <definedName name="shearcone" localSheetId="3">'[1]HW10 and HW11'!$S$8</definedName>
    <definedName name="shearcone">'HW10 and HW11'!$S$7</definedName>
    <definedName name="shearskirt" localSheetId="3">'[1]HW10 and HW11'!$T$8</definedName>
    <definedName name="shearskirt">'HW10 and HW11'!$T$7</definedName>
    <definedName name="Struct1" localSheetId="3">'[2]HW10 and HW11'!$X$5</definedName>
    <definedName name="Struct1">'HW10 and HW11'!$F$8</definedName>
    <definedName name="Struct2">'HW10 and HW11'!$G$8</definedName>
    <definedName name="Td">'[2]HW10 and HW11'!$X$3</definedName>
    <definedName name="Thrust">'HW10 and HW11'!$G$5</definedName>
    <definedName name="Thrustmaxq" localSheetId="3">'[1]HW10 and HW11'!$J$10</definedName>
    <definedName name="Thrustmaxq">'HW10 and HW11'!$J$8</definedName>
    <definedName name="ThrustW1">'HW10 and HW11'!$F$4</definedName>
    <definedName name="ThrustW2">'HW10 and HW11'!$G$4</definedName>
    <definedName name="Thurst">'HW10 and HW11'!$F$5</definedName>
    <definedName name="timemaxq" localSheetId="3">'[2]HW10 and HW11'!$J$3</definedName>
    <definedName name="timemaxq">'HW10 and HW11'!$J$3</definedName>
    <definedName name="tmaxq" localSheetId="3">'[1]HW10 and HW11'!#REF!</definedName>
    <definedName name="tmaxq">'HW10 and HW11'!#REF!</definedName>
    <definedName name="TW" localSheetId="3">'[1]HW10 and HW11'!#REF!</definedName>
    <definedName name="TW">'HW10 and HW11'!#REF!</definedName>
    <definedName name="v" localSheetId="3">'[1]HW10 and HW11'!#REF!</definedName>
    <definedName name="v">'HW10 and HW11'!#REF!</definedName>
    <definedName name="Vloss">'HW10 and HW11'!$F$9</definedName>
    <definedName name="Vloss1">'HW10 and HW11'!$F$9</definedName>
    <definedName name="Vloss2">'HW10 and HW11'!$G$9</definedName>
    <definedName name="vmaxq" localSheetId="3">'[1]HW10 and HW11'!$J$6</definedName>
    <definedName name="vmaxq">'HW10 and HW11'!$J$5</definedName>
    <definedName name="vw" localSheetId="3">'[1]HW10 and HW11'!#REF!</definedName>
    <definedName name="vw">'HW10 and HW11'!#REF!</definedName>
    <definedName name="vwindmaxq" localSheetId="3">'[1]HW10 and HW11'!$M$5</definedName>
    <definedName name="vwindmaxq">'HW10 and HW11'!$M$4</definedName>
    <definedName name="wfin" localSheetId="3">'[1]HW10 and HW11'!#REF!</definedName>
    <definedName name="wfin">'HW10 and HW11'!#REF!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Q21" i="1"/>
  <c r="Q22" i="1"/>
  <c r="J48" i="1"/>
  <c r="J55" i="1"/>
  <c r="J49" i="1"/>
  <c r="J53" i="1"/>
  <c r="G53" i="1"/>
  <c r="H53" i="1"/>
  <c r="J50" i="1"/>
  <c r="J51" i="1"/>
  <c r="J52" i="1"/>
  <c r="J54" i="1"/>
  <c r="J56" i="1"/>
  <c r="J57" i="1"/>
  <c r="J58" i="1"/>
  <c r="J59" i="1"/>
  <c r="N20" i="1"/>
  <c r="Q18" i="1"/>
  <c r="Q15" i="1"/>
  <c r="P15" i="1"/>
  <c r="O15" i="1"/>
  <c r="Q14" i="1"/>
  <c r="I8" i="7"/>
  <c r="H8" i="7"/>
  <c r="H9" i="7"/>
  <c r="G8" i="7"/>
  <c r="G9" i="7"/>
  <c r="G10" i="7"/>
  <c r="G11" i="7"/>
  <c r="G12" i="7"/>
  <c r="G13" i="7"/>
  <c r="I62" i="7"/>
  <c r="D62" i="7"/>
  <c r="I61" i="7"/>
  <c r="D61" i="7"/>
  <c r="D60" i="7"/>
  <c r="I59" i="7"/>
  <c r="D59" i="7"/>
  <c r="I58" i="7"/>
  <c r="D58" i="7"/>
  <c r="I57" i="7"/>
  <c r="D57" i="7"/>
  <c r="I56" i="7"/>
  <c r="D56" i="7"/>
  <c r="I55" i="7"/>
  <c r="D55" i="7"/>
  <c r="I54" i="7"/>
  <c r="D54" i="7"/>
  <c r="G53" i="7"/>
  <c r="D53" i="7"/>
  <c r="G52" i="7"/>
  <c r="D52" i="7"/>
  <c r="F48" i="7"/>
  <c r="F47" i="7"/>
  <c r="F44" i="7"/>
  <c r="F43" i="7"/>
  <c r="F42" i="7"/>
  <c r="F41" i="7"/>
  <c r="H37" i="7"/>
  <c r="I37" i="7" s="1"/>
  <c r="H36" i="7"/>
  <c r="I36" i="7" s="1"/>
  <c r="C36" i="7"/>
  <c r="H35" i="7"/>
  <c r="C35" i="7"/>
  <c r="H34" i="7"/>
  <c r="I34" i="7" s="1"/>
  <c r="E34" i="7"/>
  <c r="C34" i="7"/>
  <c r="H33" i="7"/>
  <c r="E33" i="7"/>
  <c r="C33" i="7"/>
  <c r="H32" i="7"/>
  <c r="E32" i="7"/>
  <c r="C32" i="7"/>
  <c r="O27" i="7"/>
  <c r="R27" i="7" s="1"/>
  <c r="S27" i="7" s="1"/>
  <c r="O24" i="7"/>
  <c r="R24" i="7" s="1"/>
  <c r="S24" i="7" s="1"/>
  <c r="R15" i="7"/>
  <c r="S15" i="7" s="1"/>
  <c r="O15" i="7"/>
  <c r="G35" i="7" s="1"/>
  <c r="O12" i="7"/>
  <c r="G33" i="7" s="1"/>
  <c r="O10" i="7"/>
  <c r="G32" i="7" s="1"/>
  <c r="C4" i="7"/>
  <c r="C3" i="7"/>
  <c r="E59" i="7" l="1"/>
  <c r="F59" i="7" s="1"/>
  <c r="O20" i="1"/>
  <c r="G14" i="7" s="1"/>
  <c r="J14" i="7" s="1"/>
  <c r="E61" i="7"/>
  <c r="F61" i="7" s="1"/>
  <c r="E55" i="7"/>
  <c r="F55" i="7" s="1"/>
  <c r="I35" i="7"/>
  <c r="R10" i="7"/>
  <c r="S10" i="7" s="1"/>
  <c r="I33" i="7"/>
  <c r="I32" i="7"/>
  <c r="J13" i="7"/>
  <c r="M9" i="7"/>
  <c r="J11" i="7"/>
  <c r="R12" i="7"/>
  <c r="S12" i="7" s="1"/>
  <c r="E54" i="7"/>
  <c r="F54" i="7" s="1"/>
  <c r="E56" i="7"/>
  <c r="F56" i="7" s="1"/>
  <c r="E58" i="7"/>
  <c r="F58" i="7" s="1"/>
  <c r="E60" i="7"/>
  <c r="F60" i="7" s="1"/>
  <c r="H60" i="7" s="1"/>
  <c r="I60" i="7" s="1"/>
  <c r="J12" i="7"/>
  <c r="E62" i="7"/>
  <c r="F62" i="7" s="1"/>
  <c r="J8" i="7"/>
  <c r="E53" i="7"/>
  <c r="F53" i="7" s="1"/>
  <c r="H53" i="7" s="1"/>
  <c r="I53" i="7" s="1"/>
  <c r="L8" i="7"/>
  <c r="J9" i="7"/>
  <c r="M8" i="7"/>
  <c r="J10" i="7"/>
  <c r="K22" i="7"/>
  <c r="O22" i="7" s="1"/>
  <c r="R22" i="7" s="1"/>
  <c r="S22" i="7" s="1"/>
  <c r="E52" i="7"/>
  <c r="F52" i="7" s="1"/>
  <c r="H52" i="7" s="1"/>
  <c r="I52" i="7" s="1"/>
  <c r="E57" i="7"/>
  <c r="F57" i="7" s="1"/>
  <c r="N8" i="7" l="1"/>
  <c r="P8" i="7" s="1"/>
  <c r="Q8" i="7" s="1"/>
  <c r="I63" i="7"/>
  <c r="F52" i="5" l="1"/>
  <c r="F40" i="5"/>
  <c r="F50" i="6"/>
  <c r="G51" i="6" s="1"/>
  <c r="M74" i="6"/>
  <c r="M75" i="6"/>
  <c r="M76" i="6" s="1"/>
  <c r="M77" i="6"/>
  <c r="B54" i="6"/>
  <c r="E54" i="6"/>
  <c r="B55" i="6"/>
  <c r="E55" i="6"/>
  <c r="H55" i="6"/>
  <c r="B56" i="6"/>
  <c r="H56" i="6"/>
  <c r="M56" i="6"/>
  <c r="B57" i="6"/>
  <c r="M57" i="6"/>
  <c r="M58" i="6" s="1"/>
  <c r="B59" i="6"/>
  <c r="E59" i="6"/>
  <c r="H59" i="6"/>
  <c r="E61" i="6"/>
  <c r="H61" i="6"/>
  <c r="E62" i="6"/>
  <c r="H63" i="6"/>
  <c r="H65" i="6"/>
  <c r="M65" i="6"/>
  <c r="M66" i="6"/>
  <c r="M67" i="6" s="1"/>
  <c r="N5" i="6"/>
  <c r="J55" i="6" s="1"/>
  <c r="I57" i="6" s="1"/>
  <c r="N6" i="6"/>
  <c r="J61" i="6" s="1"/>
  <c r="I62" i="6" s="1"/>
  <c r="N7" i="6"/>
  <c r="J56" i="6" s="1"/>
  <c r="I58" i="6" s="1"/>
  <c r="N8" i="6"/>
  <c r="J63" i="6" s="1"/>
  <c r="I64" i="6" s="1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J65" i="6" s="1"/>
  <c r="I66" i="6" s="1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K51" i="6"/>
  <c r="E1" i="6"/>
  <c r="M73" i="6" s="1"/>
  <c r="E2" i="6"/>
  <c r="G1" i="6" s="1"/>
  <c r="L50" i="6"/>
  <c r="K50" i="6"/>
  <c r="I50" i="6"/>
  <c r="D50" i="6"/>
  <c r="O5" i="6" l="1"/>
  <c r="O9" i="6"/>
  <c r="O13" i="6"/>
  <c r="O17" i="6"/>
  <c r="O21" i="6"/>
  <c r="O25" i="6"/>
  <c r="O29" i="6"/>
  <c r="O37" i="6"/>
  <c r="O41" i="6"/>
  <c r="O45" i="6"/>
  <c r="O49" i="6"/>
  <c r="O34" i="6"/>
  <c r="O47" i="6"/>
  <c r="O33" i="6"/>
  <c r="O10" i="6"/>
  <c r="O18" i="6"/>
  <c r="O26" i="6"/>
  <c r="O38" i="6"/>
  <c r="O46" i="6"/>
  <c r="O7" i="6"/>
  <c r="O11" i="6"/>
  <c r="O23" i="6"/>
  <c r="O31" i="6"/>
  <c r="O39" i="6"/>
  <c r="O8" i="6"/>
  <c r="O12" i="6"/>
  <c r="O16" i="6"/>
  <c r="O20" i="6"/>
  <c r="O24" i="6"/>
  <c r="O28" i="6"/>
  <c r="O32" i="6"/>
  <c r="O36" i="6"/>
  <c r="O40" i="6"/>
  <c r="O44" i="6"/>
  <c r="O48" i="6"/>
  <c r="O19" i="6"/>
  <c r="O6" i="6"/>
  <c r="O14" i="6"/>
  <c r="O30" i="6"/>
  <c r="O42" i="6"/>
  <c r="O15" i="6"/>
  <c r="O27" i="6"/>
  <c r="O35" i="6"/>
  <c r="O43" i="6"/>
  <c r="O22" i="6"/>
  <c r="M55" i="6"/>
  <c r="M60" i="6" s="1"/>
  <c r="L61" i="6" s="1"/>
  <c r="M64" i="6"/>
  <c r="M68" i="6"/>
  <c r="M59" i="6"/>
  <c r="M78" i="6"/>
  <c r="L79" i="6" s="1"/>
  <c r="H10" i="6"/>
  <c r="H14" i="6"/>
  <c r="H22" i="6"/>
  <c r="H30" i="6"/>
  <c r="H34" i="6"/>
  <c r="H42" i="6"/>
  <c r="H46" i="6"/>
  <c r="H27" i="6"/>
  <c r="H43" i="6"/>
  <c r="H12" i="6"/>
  <c r="H24" i="6"/>
  <c r="H36" i="6"/>
  <c r="H48" i="6"/>
  <c r="H6" i="6"/>
  <c r="H18" i="6"/>
  <c r="H26" i="6"/>
  <c r="H38" i="6"/>
  <c r="H7" i="6"/>
  <c r="H15" i="6"/>
  <c r="H19" i="6"/>
  <c r="H35" i="6"/>
  <c r="H16" i="6"/>
  <c r="H32" i="6"/>
  <c r="H44" i="6"/>
  <c r="H5" i="6"/>
  <c r="H9" i="6"/>
  <c r="H13" i="6"/>
  <c r="H17" i="6"/>
  <c r="H21" i="6"/>
  <c r="H25" i="6"/>
  <c r="H29" i="6"/>
  <c r="H33" i="6"/>
  <c r="H37" i="6"/>
  <c r="H41" i="6"/>
  <c r="H45" i="6"/>
  <c r="H49" i="6"/>
  <c r="H11" i="6"/>
  <c r="H23" i="6"/>
  <c r="H39" i="6"/>
  <c r="H8" i="6"/>
  <c r="H20" i="6"/>
  <c r="H28" i="6"/>
  <c r="H40" i="6"/>
  <c r="H31" i="6"/>
  <c r="H47" i="6"/>
  <c r="J59" i="6"/>
  <c r="I60" i="6" s="1"/>
  <c r="M3" i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S4" i="1"/>
  <c r="T4" i="1"/>
  <c r="J65" i="1"/>
  <c r="P23" i="1"/>
  <c r="G48" i="1"/>
  <c r="H48" i="1"/>
  <c r="I48" i="1" s="1"/>
  <c r="H52" i="1"/>
  <c r="I52" i="1" s="1"/>
  <c r="H40" i="1"/>
  <c r="I40" i="1" s="1"/>
  <c r="J40" i="1" s="1"/>
  <c r="H30" i="1"/>
  <c r="I30" i="1" s="1"/>
  <c r="J30" i="1" s="1"/>
  <c r="G55" i="1"/>
  <c r="G49" i="1"/>
  <c r="H49" i="1"/>
  <c r="I49" i="1" s="1"/>
  <c r="H50" i="1"/>
  <c r="I50" i="1" s="1"/>
  <c r="H51" i="1"/>
  <c r="I51" i="1" s="1"/>
  <c r="I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E3" i="5"/>
  <c r="E2" i="5"/>
  <c r="G43" i="1"/>
  <c r="G41" i="1"/>
  <c r="G37" i="1"/>
  <c r="G31" i="1"/>
  <c r="G26" i="1"/>
  <c r="G24" i="1"/>
  <c r="G20" i="1"/>
  <c r="G16" i="1"/>
  <c r="M69" i="6" l="1"/>
  <c r="L70" i="6" s="1"/>
  <c r="N13" i="1"/>
  <c r="G3" i="1"/>
  <c r="E1" i="5"/>
  <c r="F3" i="1"/>
  <c r="B58" i="6" s="1"/>
  <c r="H28" i="1"/>
  <c r="I28" i="1" s="1"/>
  <c r="J28" i="1" s="1"/>
  <c r="H35" i="1"/>
  <c r="I35" i="1" s="1"/>
  <c r="J35" i="1" s="1"/>
  <c r="H36" i="1"/>
  <c r="I36" i="1" s="1"/>
  <c r="J36" i="1" s="1"/>
  <c r="H47" i="1"/>
  <c r="I47" i="1" s="1"/>
  <c r="J47" i="1" s="1"/>
  <c r="H43" i="1"/>
  <c r="I43" i="1" s="1"/>
  <c r="J43" i="1" s="1"/>
  <c r="H41" i="1"/>
  <c r="I41" i="1" s="1"/>
  <c r="J41" i="1" s="1"/>
  <c r="H27" i="1"/>
  <c r="I27" i="1" s="1"/>
  <c r="J27" i="1" s="1"/>
  <c r="H25" i="1"/>
  <c r="I25" i="1" s="1"/>
  <c r="J25" i="1" s="1"/>
  <c r="H21" i="1"/>
  <c r="I21" i="1" s="1"/>
  <c r="J21" i="1" s="1"/>
  <c r="H19" i="1"/>
  <c r="I19" i="1" s="1"/>
  <c r="J19" i="1" s="1"/>
  <c r="J62" i="1" l="1"/>
  <c r="E56" i="6" s="1"/>
  <c r="G1" i="5"/>
  <c r="T3" i="1" l="1"/>
  <c r="M5" i="1" l="1"/>
  <c r="H13" i="1" l="1"/>
  <c r="Q16" i="1" l="1"/>
  <c r="I10" i="7" s="1"/>
  <c r="L10" i="7" s="1"/>
  <c r="I9" i="7"/>
  <c r="L9" i="7" s="1"/>
  <c r="N9" i="7" s="1"/>
  <c r="P9" i="7" s="1"/>
  <c r="Q9" i="7" s="1"/>
  <c r="Q17" i="1"/>
  <c r="N14" i="1"/>
  <c r="I11" i="7" l="1"/>
  <c r="L11" i="7" s="1"/>
  <c r="I12" i="7"/>
  <c r="L12" i="7" s="1"/>
  <c r="N15" i="1"/>
  <c r="P13" i="1"/>
  <c r="I13" i="1"/>
  <c r="Q19" i="1" l="1"/>
  <c r="I13" i="7" s="1"/>
  <c r="L13" i="7" s="1"/>
  <c r="N16" i="1"/>
  <c r="N17" i="1" s="1"/>
  <c r="N18" i="1" s="1"/>
  <c r="Q20" i="1" l="1"/>
  <c r="I15" i="7"/>
  <c r="L15" i="7" s="1"/>
  <c r="I14" i="7"/>
  <c r="L14" i="7" s="1"/>
  <c r="I16" i="7"/>
  <c r="L16" i="7" s="1"/>
  <c r="N19" i="1"/>
  <c r="C9" i="1"/>
  <c r="N21" i="1" l="1"/>
  <c r="N22" i="1" s="1"/>
  <c r="L53" i="5"/>
  <c r="I53" i="5" l="1"/>
  <c r="F53" i="5" l="1"/>
  <c r="J13" i="1" l="1"/>
  <c r="P14" i="1" s="1"/>
  <c r="O14" i="1" l="1"/>
  <c r="K53" i="5"/>
  <c r="K54" i="5" s="1"/>
  <c r="H14" i="1"/>
  <c r="H15" i="1"/>
  <c r="H16" i="1"/>
  <c r="H17" i="1"/>
  <c r="H18" i="1"/>
  <c r="H20" i="1"/>
  <c r="H22" i="1"/>
  <c r="H23" i="1"/>
  <c r="H24" i="1"/>
  <c r="H26" i="1"/>
  <c r="H29" i="1"/>
  <c r="H31" i="1"/>
  <c r="H32" i="1"/>
  <c r="H33" i="1"/>
  <c r="H34" i="1"/>
  <c r="H37" i="1"/>
  <c r="H38" i="1"/>
  <c r="H39" i="1"/>
  <c r="H42" i="1"/>
  <c r="H44" i="1"/>
  <c r="H45" i="1"/>
  <c r="H46" i="1"/>
  <c r="I37" i="1" l="1"/>
  <c r="J37" i="1" s="1"/>
  <c r="I14" i="1"/>
  <c r="J14" i="1" s="1"/>
  <c r="I24" i="1"/>
  <c r="I17" i="1"/>
  <c r="I34" i="1"/>
  <c r="J34" i="1" s="1"/>
  <c r="I15" i="1"/>
  <c r="J15" i="1" s="1"/>
  <c r="I31" i="1"/>
  <c r="J31" i="1" s="1"/>
  <c r="I46" i="1"/>
  <c r="J46" i="1" s="1"/>
  <c r="I45" i="1"/>
  <c r="I44" i="1"/>
  <c r="I23" i="1"/>
  <c r="J23" i="1" s="1"/>
  <c r="I33" i="1"/>
  <c r="J33" i="1" s="1"/>
  <c r="I42" i="1"/>
  <c r="I22" i="1"/>
  <c r="I32" i="1"/>
  <c r="I20" i="1"/>
  <c r="J20" i="1" s="1"/>
  <c r="I29" i="1"/>
  <c r="J29" i="1" s="1"/>
  <c r="I26" i="1"/>
  <c r="I39" i="1"/>
  <c r="J39" i="1" s="1"/>
  <c r="I38" i="1"/>
  <c r="J38" i="1" s="1"/>
  <c r="I18" i="1"/>
  <c r="I16" i="1"/>
  <c r="J17" i="1" l="1"/>
  <c r="J22" i="1"/>
  <c r="J32" i="1"/>
  <c r="J24" i="1"/>
  <c r="J18" i="1"/>
  <c r="J44" i="1"/>
  <c r="J42" i="1"/>
  <c r="J45" i="1"/>
  <c r="J26" i="1"/>
  <c r="J16" i="1"/>
  <c r="O16" i="1" l="1"/>
  <c r="P16" i="1"/>
  <c r="P17" i="1" l="1"/>
  <c r="H11" i="7" s="1"/>
  <c r="M11" i="7" s="1"/>
  <c r="N11" i="7" s="1"/>
  <c r="P11" i="7" s="1"/>
  <c r="Q11" i="7" s="1"/>
  <c r="H10" i="7"/>
  <c r="M10" i="7" s="1"/>
  <c r="N10" i="7" s="1"/>
  <c r="P10" i="7" s="1"/>
  <c r="Q10" i="7" s="1"/>
  <c r="O17" i="1"/>
  <c r="O18" i="1" s="1"/>
  <c r="P18" i="1" l="1"/>
  <c r="H12" i="7" s="1"/>
  <c r="M12" i="7" s="1"/>
  <c r="N12" i="7" s="1"/>
  <c r="P12" i="7" s="1"/>
  <c r="Q12" i="7" s="1"/>
  <c r="P19" i="1"/>
  <c r="O19" i="1"/>
  <c r="P20" i="1" l="1"/>
  <c r="H14" i="7" s="1"/>
  <c r="M14" i="7" s="1"/>
  <c r="N14" i="7" s="1"/>
  <c r="P14" i="7" s="1"/>
  <c r="Q14" i="7" s="1"/>
  <c r="H13" i="7"/>
  <c r="M13" i="7" s="1"/>
  <c r="N13" i="7" s="1"/>
  <c r="P13" i="7" s="1"/>
  <c r="Q13" i="7" s="1"/>
  <c r="J63" i="1"/>
  <c r="J64" i="1" l="1"/>
  <c r="E58" i="6" s="1"/>
  <c r="E57" i="6"/>
  <c r="P21" i="1"/>
  <c r="H15" i="7" s="1"/>
  <c r="M15" i="7" s="1"/>
  <c r="N15" i="7" s="1"/>
  <c r="P15" i="7" s="1"/>
  <c r="Q15" i="7" s="1"/>
  <c r="O21" i="1"/>
  <c r="J66" i="1"/>
  <c r="J69" i="1"/>
  <c r="J70" i="1"/>
  <c r="E64" i="6" s="1"/>
  <c r="O22" i="1" l="1"/>
  <c r="G16" i="7" s="1"/>
  <c r="J16" i="7" s="1"/>
  <c r="G15" i="7"/>
  <c r="J15" i="7" s="1"/>
  <c r="J71" i="1"/>
  <c r="E60" i="6"/>
  <c r="J73" i="1"/>
  <c r="P4" i="1" s="1"/>
  <c r="E63" i="6"/>
  <c r="D53" i="5"/>
  <c r="G54" i="5" s="1"/>
  <c r="J74" i="1" s="1"/>
  <c r="P5" i="1" s="1"/>
  <c r="P22" i="1"/>
  <c r="H16" i="7" s="1"/>
  <c r="M16" i="7" s="1"/>
  <c r="N16" i="7" s="1"/>
  <c r="P16" i="7" s="1"/>
  <c r="Q16" i="7" s="1"/>
  <c r="J72" i="1"/>
  <c r="E66" i="6" s="1"/>
  <c r="P3" i="1"/>
  <c r="L71" i="1" l="1"/>
  <c r="M71" i="1" s="1"/>
  <c r="E65" i="6"/>
  <c r="J9" i="1"/>
  <c r="Q30" i="1" l="1"/>
  <c r="B60" i="6"/>
  <c r="S5" i="1"/>
  <c r="T5" i="1"/>
  <c r="S6" i="1"/>
  <c r="T6" i="1"/>
  <c r="Q31" i="1" l="1"/>
  <c r="I20" i="7"/>
  <c r="L20" i="7" s="1"/>
  <c r="T8" i="1"/>
  <c r="S8" i="1"/>
  <c r="S7" i="1"/>
  <c r="S9" i="1" s="1"/>
  <c r="T7" i="1"/>
  <c r="T9" i="1" s="1"/>
  <c r="Q32" i="1" l="1"/>
  <c r="I21" i="7"/>
  <c r="L21" i="7" s="1"/>
  <c r="P30" i="1"/>
  <c r="H20" i="7" s="1"/>
  <c r="M20" i="7" s="1"/>
  <c r="N20" i="7" s="1"/>
  <c r="P20" i="7" s="1"/>
  <c r="Q20" i="7" s="1"/>
  <c r="Q33" i="1" l="1"/>
  <c r="I22" i="7"/>
  <c r="L22" i="7" s="1"/>
  <c r="M6" i="1"/>
  <c r="M7" i="1" s="1"/>
  <c r="Q34" i="1" l="1"/>
  <c r="I23" i="7"/>
  <c r="L23" i="7" s="1"/>
  <c r="M8" i="1"/>
  <c r="Q35" i="1" l="1"/>
  <c r="I24" i="7"/>
  <c r="L24" i="7" s="1"/>
  <c r="N32" i="1"/>
  <c r="N38" i="1"/>
  <c r="N37" i="1"/>
  <c r="N31" i="1"/>
  <c r="N34" i="1"/>
  <c r="N36" i="1"/>
  <c r="N30" i="1"/>
  <c r="N33" i="1"/>
  <c r="N35" i="1"/>
  <c r="Q36" i="1" l="1"/>
  <c r="I25" i="7"/>
  <c r="L25" i="7" s="1"/>
  <c r="O30" i="1"/>
  <c r="O31" i="1" l="1"/>
  <c r="G20" i="7"/>
  <c r="J20" i="7" s="1"/>
  <c r="Q37" i="1"/>
  <c r="I26" i="7"/>
  <c r="L26" i="7" s="1"/>
  <c r="P31" i="1"/>
  <c r="P32" i="1" l="1"/>
  <c r="H21" i="7"/>
  <c r="M21" i="7" s="1"/>
  <c r="N21" i="7" s="1"/>
  <c r="P21" i="7" s="1"/>
  <c r="Q21" i="7" s="1"/>
  <c r="Q38" i="1"/>
  <c r="I28" i="7" s="1"/>
  <c r="L28" i="7" s="1"/>
  <c r="I27" i="7"/>
  <c r="L27" i="7" s="1"/>
  <c r="O32" i="1"/>
  <c r="G21" i="7"/>
  <c r="J21" i="7" s="1"/>
  <c r="O33" i="1" l="1"/>
  <c r="G22" i="7"/>
  <c r="J22" i="7" s="1"/>
  <c r="P33" i="1"/>
  <c r="H22" i="7"/>
  <c r="M22" i="7" s="1"/>
  <c r="N22" i="7" s="1"/>
  <c r="P22" i="7" s="1"/>
  <c r="Q22" i="7" s="1"/>
  <c r="P34" i="1" l="1"/>
  <c r="H23" i="7"/>
  <c r="M23" i="7" s="1"/>
  <c r="N23" i="7" s="1"/>
  <c r="P23" i="7" s="1"/>
  <c r="Q23" i="7" s="1"/>
  <c r="O34" i="1"/>
  <c r="G23" i="7"/>
  <c r="J23" i="7" s="1"/>
  <c r="G24" i="7" l="1"/>
  <c r="J24" i="7" s="1"/>
  <c r="O35" i="1"/>
  <c r="P35" i="1"/>
  <c r="H24" i="7"/>
  <c r="M24" i="7" s="1"/>
  <c r="N24" i="7" s="1"/>
  <c r="P24" i="7" s="1"/>
  <c r="Q24" i="7" s="1"/>
  <c r="H25" i="7" l="1"/>
  <c r="M25" i="7" s="1"/>
  <c r="N25" i="7" s="1"/>
  <c r="P25" i="7" s="1"/>
  <c r="Q25" i="7" s="1"/>
  <c r="P36" i="1"/>
  <c r="O36" i="1"/>
  <c r="G25" i="7"/>
  <c r="J25" i="7" s="1"/>
  <c r="O37" i="1" l="1"/>
  <c r="G26" i="7"/>
  <c r="J26" i="7" s="1"/>
  <c r="P37" i="1"/>
  <c r="H26" i="7"/>
  <c r="M26" i="7" s="1"/>
  <c r="N26" i="7" s="1"/>
  <c r="P26" i="7" s="1"/>
  <c r="Q26" i="7" s="1"/>
  <c r="H27" i="7" l="1"/>
  <c r="M27" i="7" s="1"/>
  <c r="N27" i="7" s="1"/>
  <c r="P27" i="7" s="1"/>
  <c r="Q27" i="7" s="1"/>
  <c r="G27" i="7"/>
  <c r="J27" i="7" s="1"/>
  <c r="O38" i="1"/>
  <c r="O39" i="1" l="1"/>
  <c r="G28" i="7"/>
  <c r="J28" i="7" s="1"/>
  <c r="P38" i="1"/>
  <c r="H28" i="7" s="1"/>
  <c r="M28" i="7" s="1"/>
  <c r="N28" i="7" s="1"/>
  <c r="P28" i="7" s="1"/>
  <c r="Q28" i="7" s="1"/>
</calcChain>
</file>

<file path=xl/sharedStrings.xml><?xml version="1.0" encoding="utf-8"?>
<sst xmlns="http://schemas.openxmlformats.org/spreadsheetml/2006/main" count="619" uniqueCount="283">
  <si>
    <t>R2</t>
  </si>
  <si>
    <t>h2</t>
  </si>
  <si>
    <t>htot</t>
  </si>
  <si>
    <t>R1</t>
  </si>
  <si>
    <t>h1</t>
  </si>
  <si>
    <t>Stage</t>
  </si>
  <si>
    <t>Item</t>
  </si>
  <si>
    <t>Height</t>
  </si>
  <si>
    <t>Mass (kg)</t>
  </si>
  <si>
    <t>Distance (m)</t>
  </si>
  <si>
    <t>Moment (kgm)</t>
  </si>
  <si>
    <t>Thickness (m)</t>
  </si>
  <si>
    <t>Dist from CM (m)</t>
  </si>
  <si>
    <t>J0</t>
  </si>
  <si>
    <t>m*cm^2</t>
  </si>
  <si>
    <t>Jpitch/yaw</t>
  </si>
  <si>
    <t>Jroll</t>
  </si>
  <si>
    <t>Mass at Max q</t>
  </si>
  <si>
    <t>Product of Max q (kg * m)</t>
  </si>
  <si>
    <t>Distance from Max q CM</t>
  </si>
  <si>
    <t>Column2</t>
  </si>
  <si>
    <t>PLF</t>
  </si>
  <si>
    <t>Payload</t>
  </si>
  <si>
    <t>PAF</t>
  </si>
  <si>
    <t>Forward Skirt 2</t>
  </si>
  <si>
    <t>Avionics 2</t>
  </si>
  <si>
    <t>Wiring 2</t>
  </si>
  <si>
    <t>Fuel Dome Top 2</t>
  </si>
  <si>
    <t>Fuel Cylinder 2</t>
  </si>
  <si>
    <t>Fuel Dome Bottom 2</t>
  </si>
  <si>
    <t>Fuel Insulation 2</t>
  </si>
  <si>
    <t>Fuel Residual 2</t>
  </si>
  <si>
    <t>Intertank 2</t>
  </si>
  <si>
    <t>Ox Dome Top 2</t>
  </si>
  <si>
    <t>Ox Cylinder 2</t>
  </si>
  <si>
    <t>Ox Dome Bottom 2</t>
  </si>
  <si>
    <t>Ox Insulation 2</t>
  </si>
  <si>
    <t>Ox Residual 2</t>
  </si>
  <si>
    <t>Pressurant Tank 2</t>
  </si>
  <si>
    <t>Aft Skirt 2</t>
  </si>
  <si>
    <t>Thrust Structure 2</t>
  </si>
  <si>
    <t>Gimballs 2</t>
  </si>
  <si>
    <t>Engines 2</t>
  </si>
  <si>
    <t>Fuel 2</t>
  </si>
  <si>
    <t>Oxidizer 2</t>
  </si>
  <si>
    <t>Forward Skirt 1</t>
  </si>
  <si>
    <t>Avionics 1</t>
  </si>
  <si>
    <t>Wiring 1</t>
  </si>
  <si>
    <t>Fuel Dome Top 1</t>
  </si>
  <si>
    <t>Fuel Cylinder 1</t>
  </si>
  <si>
    <t>Fuel Dome Bottom 1</t>
  </si>
  <si>
    <t>Fuel Insulation 1</t>
  </si>
  <si>
    <t>Fuel Residual 1</t>
  </si>
  <si>
    <t>Intertank 1</t>
  </si>
  <si>
    <t>Ox Dome Top 1</t>
  </si>
  <si>
    <t>Ox Cylinder 1</t>
  </si>
  <si>
    <t>Ox Dome Bottom 1</t>
  </si>
  <si>
    <t>Ox Insulation 1</t>
  </si>
  <si>
    <t>Ox Residual 1</t>
  </si>
  <si>
    <t>Pressurant Tank 1</t>
  </si>
  <si>
    <t>Aft Skirt 1</t>
  </si>
  <si>
    <t>Thrust Structure 1</t>
  </si>
  <si>
    <t>Gimballs 1</t>
  </si>
  <si>
    <t>Engines 1</t>
  </si>
  <si>
    <t>Fuel 1</t>
  </si>
  <si>
    <t>Oxidizer 1</t>
  </si>
  <si>
    <t>Total</t>
  </si>
  <si>
    <t>CM</t>
  </si>
  <si>
    <t>J0/Jpitch</t>
  </si>
  <si>
    <t>kgm^3</t>
  </si>
  <si>
    <t>Max Q Conditions</t>
  </si>
  <si>
    <t>Propellant Left, Mass Flow, And CM</t>
  </si>
  <si>
    <t>Mass and Products for Conditional CM</t>
  </si>
  <si>
    <t>Vibration Analysis</t>
  </si>
  <si>
    <r>
      <t>t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(s)</t>
    </r>
  </si>
  <si>
    <r>
      <t>m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(kg)</t>
    </r>
  </si>
  <si>
    <t>Mass</t>
  </si>
  <si>
    <t>Product</t>
  </si>
  <si>
    <t>Stage 1 Wet, Stage 2 Wet</t>
  </si>
  <si>
    <r>
      <t>h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(m)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</si>
  <si>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maxq</t>
    </r>
    <r>
      <rPr>
        <sz val="11"/>
        <color theme="1"/>
        <rFont val="Calibri"/>
        <family val="2"/>
        <scheme val="minor"/>
      </rPr>
      <t xml:space="preserve"> (kg)</t>
    </r>
  </si>
  <si>
    <t>Total Full</t>
  </si>
  <si>
    <t>beta</t>
  </si>
  <si>
    <r>
      <t>v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</si>
  <si>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used</t>
    </r>
    <r>
      <rPr>
        <sz val="11"/>
        <color theme="1"/>
        <rFont val="Calibri"/>
        <family val="2"/>
        <scheme val="minor"/>
      </rPr>
      <t xml:space="preserve"> (kg)</t>
    </r>
  </si>
  <si>
    <t>Total Empty (Dry)</t>
  </si>
  <si>
    <t>E</t>
  </si>
  <si>
    <t>Pa</t>
  </si>
  <si>
    <r>
      <t>ρ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</si>
  <si>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total</t>
    </r>
    <r>
      <rPr>
        <sz val="11"/>
        <color theme="1"/>
        <rFont val="Calibri"/>
        <family val="2"/>
        <scheme val="minor"/>
      </rPr>
      <t xml:space="preserve"> (kg)</t>
    </r>
  </si>
  <si>
    <t>CM Position Full Max-q Conditions</t>
  </si>
  <si>
    <t>Rmean</t>
  </si>
  <si>
    <t>m</t>
  </si>
  <si>
    <r>
      <t>m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</si>
  <si>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propellant left</t>
    </r>
    <r>
      <rPr>
        <sz val="11"/>
        <color theme="1"/>
        <rFont val="Calibri"/>
        <family val="2"/>
        <scheme val="minor"/>
      </rPr>
      <t xml:space="preserve"> (kg)</t>
    </r>
  </si>
  <si>
    <t>CM Position Empty (Dry)</t>
  </si>
  <si>
    <t>I</t>
  </si>
  <si>
    <t>m^4</t>
  </si>
  <si>
    <r>
      <t>T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(s)</t>
    </r>
  </si>
  <si>
    <t>Fuel fraction</t>
  </si>
  <si>
    <t>Total for 1st Dry 2nd Full</t>
  </si>
  <si>
    <t>rhoA</t>
  </si>
  <si>
    <t>kg/m</t>
  </si>
  <si>
    <r>
      <t>n</t>
    </r>
    <r>
      <rPr>
        <vertAlign val="subscript"/>
        <sz val="11"/>
        <color theme="1"/>
        <rFont val="Calibri"/>
        <family val="2"/>
      </rPr>
      <t xml:space="preserve">max-q </t>
    </r>
    <r>
      <rPr>
        <sz val="11"/>
        <color theme="1"/>
        <rFont val="Calibri"/>
        <family val="2"/>
      </rPr>
      <t>(g0)</t>
    </r>
  </si>
  <si>
    <t>Oxidizer fraction</t>
  </si>
  <si>
    <t>CM for 1st Dry 2nd Full</t>
  </si>
  <si>
    <t>f1</t>
  </si>
  <si>
    <t>Hz</t>
  </si>
  <si>
    <r>
      <t>m</t>
    </r>
    <r>
      <rPr>
        <vertAlign val="subscript"/>
        <sz val="11"/>
        <color theme="1"/>
        <rFont val="Calibri"/>
        <family val="2"/>
        <scheme val="minor"/>
      </rPr>
      <t>fuel used</t>
    </r>
    <r>
      <rPr>
        <sz val="11"/>
        <color theme="1"/>
        <rFont val="Calibri"/>
        <family val="2"/>
        <scheme val="minor"/>
      </rPr>
      <t xml:space="preserve"> (kg)</t>
    </r>
  </si>
  <si>
    <t>Total for Only 2nd Full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</si>
  <si>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oxidizer used </t>
    </r>
    <r>
      <rPr>
        <sz val="11"/>
        <color theme="1"/>
        <rFont val="Calibri"/>
        <family val="2"/>
        <scheme val="minor"/>
      </rPr>
      <t>(kg)</t>
    </r>
  </si>
  <si>
    <t>CM for Only 2nd Full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</si>
  <si>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fuel remaining </t>
    </r>
    <r>
      <rPr>
        <sz val="11"/>
        <color theme="1"/>
        <rFont val="Calibri"/>
        <family val="2"/>
        <scheme val="minor"/>
      </rPr>
      <t>(kg)</t>
    </r>
  </si>
  <si>
    <t>Total for Only 2nd Empty</t>
  </si>
  <si>
    <t>Stage 1 Dry, Stage 2 Wet</t>
  </si>
  <si>
    <r>
      <t>m</t>
    </r>
    <r>
      <rPr>
        <vertAlign val="subscript"/>
        <sz val="11"/>
        <color theme="1"/>
        <rFont val="Calibri"/>
        <family val="2"/>
        <scheme val="minor"/>
      </rPr>
      <t>oxidizer left</t>
    </r>
    <r>
      <rPr>
        <sz val="11"/>
        <color theme="1"/>
        <rFont val="Calibri"/>
        <family val="2"/>
        <scheme val="minor"/>
      </rPr>
      <t xml:space="preserve"> (kg)</t>
    </r>
  </si>
  <si>
    <t>CM for Only 2nd Empty</t>
  </si>
  <si>
    <t>Max q</t>
  </si>
  <si>
    <r>
      <t>ṁ</t>
    </r>
    <r>
      <rPr>
        <vertAlign val="subscript"/>
        <sz val="12.55"/>
        <color theme="1"/>
        <rFont val="Calibri"/>
        <family val="2"/>
      </rPr>
      <t>max-q</t>
    </r>
    <r>
      <rPr>
        <sz val="11"/>
        <color theme="1"/>
        <rFont val="Calibri"/>
        <family val="2"/>
        <scheme val="minor"/>
      </rPr>
      <t xml:space="preserve"> (kg/s)</t>
    </r>
  </si>
  <si>
    <t>Total for Only 1st Empty</t>
  </si>
  <si>
    <t>fuel 1</t>
  </si>
  <si>
    <r>
      <t>CM</t>
    </r>
    <r>
      <rPr>
        <vertAlign val="subscript"/>
        <sz val="11"/>
        <color theme="1"/>
        <rFont val="Calibri"/>
        <family val="2"/>
      </rPr>
      <t>max-q</t>
    </r>
    <r>
      <rPr>
        <sz val="11"/>
        <color theme="1"/>
        <rFont val="Calibri"/>
        <family val="2"/>
      </rPr>
      <t xml:space="preserve"> (m)</t>
    </r>
  </si>
  <si>
    <t>CM for Only 1st Empty</t>
  </si>
  <si>
    <t>ox 1</t>
  </si>
  <si>
    <t>Stage 2 Wet</t>
  </si>
  <si>
    <t>Universal Values</t>
  </si>
  <si>
    <t>Stage 1</t>
  </si>
  <si>
    <t>Stage 2</t>
  </si>
  <si>
    <t>Max Q</t>
  </si>
  <si>
    <t>Max Q Mass and CM</t>
  </si>
  <si>
    <t>Cone</t>
  </si>
  <si>
    <t>Skirt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</si>
  <si>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(m)</t>
    </r>
  </si>
  <si>
    <r>
      <t>q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(Pa)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</si>
  <si>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prop left</t>
    </r>
    <r>
      <rPr>
        <sz val="11"/>
        <color theme="1"/>
        <rFont val="Calibri"/>
        <family val="2"/>
        <scheme val="minor"/>
      </rPr>
      <t xml:space="preserve"> (kg)</t>
    </r>
  </si>
  <si>
    <r>
      <t>C</t>
    </r>
    <r>
      <rPr>
        <vertAlign val="subscript"/>
        <sz val="11"/>
        <color theme="1"/>
        <rFont val="Calibri"/>
        <family val="2"/>
        <scheme val="minor"/>
      </rPr>
      <t>nalpha</t>
    </r>
    <r>
      <rPr>
        <sz val="11"/>
        <color theme="1"/>
        <rFont val="Calibri"/>
        <family val="2"/>
        <scheme val="minor"/>
      </rPr>
      <t xml:space="preserve"> (1/rad)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</si>
  <si>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</si>
  <si>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max-q</t>
    </r>
    <r>
      <rPr>
        <sz val="11"/>
        <color theme="1"/>
        <rFont val="Calibri"/>
        <family val="2"/>
        <scheme val="minor"/>
      </rPr>
      <t xml:space="preserve"> (km)</t>
    </r>
  </si>
  <si>
    <r>
      <t>v</t>
    </r>
    <r>
      <rPr>
        <vertAlign val="subscript"/>
        <sz val="11"/>
        <color theme="1"/>
        <rFont val="Calibri"/>
        <family val="2"/>
        <scheme val="minor"/>
      </rPr>
      <t>wind max-q</t>
    </r>
    <r>
      <rPr>
        <sz val="11"/>
        <color theme="1"/>
        <rFont val="Calibri"/>
        <family val="2"/>
        <scheme val="minor"/>
      </rPr>
      <t xml:space="preserve"> (m/s)</t>
    </r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</si>
  <si>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</si>
  <si>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(m)</t>
    </r>
  </si>
  <si>
    <r>
      <t>α</t>
    </r>
    <r>
      <rPr>
        <vertAlign val="subscript"/>
        <sz val="11"/>
        <color theme="1"/>
        <rFont val="Calibri"/>
        <family val="2"/>
      </rPr>
      <t>max-q</t>
    </r>
    <r>
      <rPr>
        <sz val="11"/>
        <color theme="1"/>
        <rFont val="Calibri"/>
        <family val="2"/>
      </rPr>
      <t xml:space="preserve"> (deg)</t>
    </r>
  </si>
  <si>
    <t>N (N)</t>
  </si>
  <si>
    <r>
      <t>ρ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</si>
  <si>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t>Required Trim Force (N)</t>
  </si>
  <si>
    <t>D (N)</t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</si>
  <si>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</si>
  <si>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r>
      <t>δ</t>
    </r>
    <r>
      <rPr>
        <vertAlign val="subscript"/>
        <sz val="11"/>
        <color theme="1"/>
        <rFont val="Calibri"/>
        <family val="2"/>
        <scheme val="minor"/>
      </rPr>
      <t>TVC</t>
    </r>
    <r>
      <rPr>
        <sz val="11"/>
        <color theme="1"/>
        <rFont val="Calibri"/>
        <family val="2"/>
        <scheme val="minor"/>
      </rPr>
      <t xml:space="preserve"> (deg)</t>
    </r>
  </si>
  <si>
    <t>Vi (N)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</si>
  <si>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</si>
  <si>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"/>
        <family val="2"/>
        <scheme val="minor"/>
      </rPr>
      <t>z max-q</t>
    </r>
    <r>
      <rPr>
        <sz val="11"/>
        <color theme="1"/>
        <rFont val="Calibri"/>
        <family val="2"/>
        <scheme val="minor"/>
      </rPr>
      <t xml:space="preserve"> (g0)</t>
    </r>
  </si>
  <si>
    <t>Ai (N)</t>
  </si>
  <si>
    <r>
      <t>h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(m)</t>
    </r>
  </si>
  <si>
    <t>Airload (Nm)</t>
  </si>
  <si>
    <t>Rocket Data</t>
  </si>
  <si>
    <t>Ground Forces</t>
  </si>
  <si>
    <t>HW10 Chart 1</t>
  </si>
  <si>
    <t>HW10 Chart 2</t>
  </si>
  <si>
    <t>HW10 Chart 3</t>
  </si>
  <si>
    <t>Ext or Int</t>
  </si>
  <si>
    <t>Height (m)</t>
  </si>
  <si>
    <t>CG (m)</t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</si>
  <si>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</si>
  <si>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scheme val="minor"/>
      </rPr>
      <t>ss</t>
    </r>
    <r>
      <rPr>
        <sz val="11"/>
        <color theme="1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</si>
  <si>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(m/s)</t>
    </r>
  </si>
  <si>
    <t>Wind (N)</t>
  </si>
  <si>
    <t>Num</t>
  </si>
  <si>
    <t>Location</t>
  </si>
  <si>
    <t>Shear Load (N)</t>
  </si>
  <si>
    <t>Bending Moment (Nm)</t>
  </si>
  <si>
    <t>Axial Load (N)</t>
  </si>
  <si>
    <t>Top of PLF</t>
  </si>
  <si>
    <t>-</t>
  </si>
  <si>
    <t>Top of Foreward Skirt 2</t>
  </si>
  <si>
    <t xml:space="preserve"> </t>
  </si>
  <si>
    <t>Top of Fuel Tank 2</t>
  </si>
  <si>
    <t>Bottom of Fuel Tank 2</t>
  </si>
  <si>
    <t>Top of Ox Tank 2</t>
  </si>
  <si>
    <t>Bottom of Ox Tank 2</t>
  </si>
  <si>
    <t>Top of Interstage</t>
  </si>
  <si>
    <t>Top of Fuel Tank 1</t>
  </si>
  <si>
    <t>Bottom of Fuel Tank 1</t>
  </si>
  <si>
    <t>Bottom of Aft Skirt 1</t>
  </si>
  <si>
    <t>Bottom</t>
  </si>
  <si>
    <t>Max Q Forces</t>
  </si>
  <si>
    <t>Inertia Relief (N)</t>
  </si>
  <si>
    <t>Axial Load (kN)</t>
  </si>
  <si>
    <t>HW11 Chart 1</t>
  </si>
  <si>
    <t>HW11 Chart 2</t>
  </si>
  <si>
    <t>HW11 Chart 3</t>
  </si>
  <si>
    <t>Solid Propellant Casing 1</t>
  </si>
  <si>
    <t>Solid Propellant Residual 1</t>
  </si>
  <si>
    <t>Nozzle 1</t>
  </si>
  <si>
    <t>Solid Propellant 1</t>
  </si>
  <si>
    <t>Nose Cone</t>
  </si>
  <si>
    <t>R0</t>
  </si>
  <si>
    <t>h0</t>
  </si>
  <si>
    <t>Forward Skirt 3</t>
  </si>
  <si>
    <t>Avionics 3</t>
  </si>
  <si>
    <t>Wiring 3</t>
  </si>
  <si>
    <t>Fuel Dome Top 3</t>
  </si>
  <si>
    <t>Fuel Cylinder 3</t>
  </si>
  <si>
    <t>Fuel Dome Bottom 3</t>
  </si>
  <si>
    <t>Fuel Insulation 3</t>
  </si>
  <si>
    <t>Fuel Residual 3</t>
  </si>
  <si>
    <t>Intertank 3</t>
  </si>
  <si>
    <t>Ox Dome Top 3</t>
  </si>
  <si>
    <t>Ox Cylinder 3</t>
  </si>
  <si>
    <t>Ox Dome Bottom 3</t>
  </si>
  <si>
    <t>Ox Insulation 3</t>
  </si>
  <si>
    <t>Ox Residual 3</t>
  </si>
  <si>
    <t>Pressurant Tank 3</t>
  </si>
  <si>
    <t>Aft Skirt 3</t>
  </si>
  <si>
    <t>Thrust Structure 3</t>
  </si>
  <si>
    <t>Gimballs 3</t>
  </si>
  <si>
    <t>Engines 3</t>
  </si>
  <si>
    <t>Fuel 3</t>
  </si>
  <si>
    <t>Oxidizer 3</t>
  </si>
  <si>
    <t>Solid Propellant Casing 2</t>
  </si>
  <si>
    <t>Solid Propellant Residual 2</t>
  </si>
  <si>
    <t>Nozzle 2</t>
  </si>
  <si>
    <t>Solid Propellant 2</t>
  </si>
  <si>
    <t>Nose Cone 1</t>
  </si>
  <si>
    <t>Radius</t>
  </si>
  <si>
    <t>Density</t>
  </si>
  <si>
    <t>LOx (kg/m^3)</t>
  </si>
  <si>
    <t>RP-1</t>
  </si>
  <si>
    <t>Stresses At Max Q</t>
  </si>
  <si>
    <t>Material</t>
  </si>
  <si>
    <t>Pressure (Pa)</t>
  </si>
  <si>
    <t>Shear (N)</t>
  </si>
  <si>
    <t>Axial Stress (N)</t>
  </si>
  <si>
    <t>τ (Mpa)</t>
  </si>
  <si>
    <r>
      <t>σ</t>
    </r>
    <r>
      <rPr>
        <vertAlign val="subscript"/>
        <sz val="11"/>
        <color theme="1"/>
        <rFont val="Calibri"/>
        <family val="2"/>
      </rPr>
      <t>axial</t>
    </r>
    <r>
      <rPr>
        <sz val="11"/>
        <color theme="1"/>
        <rFont val="Calibri"/>
        <family val="2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</si>
  <si>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</rPr>
      <t>a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</si>
  <si>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</si>
  <si>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max-vertical</t>
    </r>
    <r>
      <rPr>
        <sz val="11"/>
        <color theme="1"/>
        <rFont val="Calibri"/>
        <family val="2"/>
        <scheme val="minor"/>
      </rPr>
      <t xml:space="preserve"> (Mpa)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</si>
  <si>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max-horizontal</t>
    </r>
    <r>
      <rPr>
        <sz val="11"/>
        <color theme="1"/>
        <rFont val="Calibri"/>
        <family val="2"/>
        <scheme val="minor"/>
      </rPr>
      <t xml:space="preserve"> (Mpa)</t>
    </r>
  </si>
  <si>
    <r>
      <t>FS</t>
    </r>
    <r>
      <rPr>
        <vertAlign val="subscript"/>
        <sz val="11"/>
        <color theme="1"/>
        <rFont val="Calibri"/>
        <family val="2"/>
        <scheme val="minor"/>
      </rPr>
      <t>vertical</t>
    </r>
  </si>
  <si>
    <r>
      <t>MS</t>
    </r>
    <r>
      <rPr>
        <vertAlign val="subscript"/>
        <sz val="11"/>
        <color theme="1"/>
        <rFont val="Calibri"/>
        <family val="2"/>
        <scheme val="minor"/>
      </rPr>
      <t>vertical</t>
    </r>
  </si>
  <si>
    <r>
      <t>FS</t>
    </r>
    <r>
      <rPr>
        <vertAlign val="subscript"/>
        <sz val="11"/>
        <color theme="1"/>
        <rFont val="Calibri"/>
        <family val="2"/>
        <scheme val="minor"/>
      </rPr>
      <t>horizontal</t>
    </r>
  </si>
  <si>
    <r>
      <t>MS</t>
    </r>
    <r>
      <rPr>
        <vertAlign val="subscript"/>
        <sz val="11"/>
        <color theme="1"/>
        <rFont val="Calibri"/>
        <family val="2"/>
        <scheme val="minor"/>
      </rPr>
      <t>horizontal</t>
    </r>
  </si>
  <si>
    <t>AL 6061-T6 (20C)</t>
  </si>
  <si>
    <t>AL 2014-T6 (-173C)</t>
  </si>
  <si>
    <t>AL 2014-T6 (-183C)</t>
  </si>
  <si>
    <t>Stresses At Ground</t>
  </si>
  <si>
    <t>Max Stresses</t>
  </si>
  <si>
    <t>Load Case</t>
  </si>
  <si>
    <t>Stress (Mpa)</t>
  </si>
  <si>
    <t>Yield Stress (Mpa)</t>
  </si>
  <si>
    <t>MS</t>
  </si>
  <si>
    <t>Ground Load</t>
  </si>
  <si>
    <t>Component</t>
  </si>
  <si>
    <r>
      <t>Op Temp (C</t>
    </r>
    <r>
      <rPr>
        <sz val="11"/>
        <color theme="1"/>
        <rFont val="Calibri"/>
        <family val="2"/>
      </rPr>
      <t>°)</t>
    </r>
  </si>
  <si>
    <t>Elastic Modulus</t>
  </si>
  <si>
    <t>Yield Stress</t>
  </si>
  <si>
    <t>Source</t>
  </si>
  <si>
    <t>Website</t>
  </si>
  <si>
    <t>LO2 Tank</t>
  </si>
  <si>
    <t>AL 2219-T87 (-161.5C)</t>
  </si>
  <si>
    <t>AL 2219-T87</t>
  </si>
  <si>
    <t>www.matweb.com</t>
  </si>
  <si>
    <t>RP-1 Tank</t>
  </si>
  <si>
    <t>AL 2219-T87 (20C)</t>
  </si>
  <si>
    <t>AL 2219-T87 (-183C)</t>
  </si>
  <si>
    <t>Walls</t>
  </si>
  <si>
    <t>AL 6061-T6</t>
  </si>
  <si>
    <t>AL 2014-T6</t>
  </si>
  <si>
    <t>AL 7075-T6 (20C)</t>
  </si>
  <si>
    <t>AL 7075-T6</t>
  </si>
  <si>
    <t>LCH4 Tank</t>
  </si>
  <si>
    <t>Fairing</t>
  </si>
  <si>
    <t>AL 2219-T852 (20C)</t>
  </si>
  <si>
    <t>AL 2219-T852</t>
  </si>
  <si>
    <t>Mass Estimations</t>
  </si>
  <si>
    <r>
      <t>V</t>
    </r>
    <r>
      <rPr>
        <vertAlign val="subscript"/>
        <sz val="11"/>
        <color theme="1"/>
        <rFont val="Calibri"/>
        <family val="2"/>
        <scheme val="minor"/>
      </rPr>
      <t>wall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</si>
  <si>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wall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</si>
  <si>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(kg)</t>
    </r>
  </si>
  <si>
    <r>
      <t>M</t>
    </r>
    <r>
      <rPr>
        <vertAlign val="subscript"/>
        <sz val="11"/>
        <color theme="1"/>
        <rFont val="Calibri"/>
        <family val="2"/>
        <scheme val="minor"/>
      </rPr>
      <t>revised</t>
    </r>
    <r>
      <rPr>
        <sz val="11"/>
        <color theme="1"/>
        <rFont val="Calibri"/>
        <family val="2"/>
        <scheme val="minor"/>
      </rPr>
      <t xml:space="preserve"> (kg)</t>
    </r>
  </si>
  <si>
    <t>ΔM (kg)</t>
  </si>
  <si>
    <t>Top of Ox Tank 1</t>
  </si>
  <si>
    <t>Bottom of Ox Tank 1</t>
  </si>
  <si>
    <t>Total ΔM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</si>
</sst>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2.55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3" fillId="0" borderId="6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0" xfId="0" applyFill="1"/>
    <xf numFmtId="0" fontId="0" fillId="2" borderId="6" xfId="0" applyFill="1" applyBorder="1"/>
    <xf numFmtId="0" fontId="0" fillId="3" borderId="6" xfId="0" applyFill="1" applyBorder="1"/>
    <xf numFmtId="165" fontId="0" fillId="4" borderId="0" xfId="0" applyNumberFormat="1" applyFill="1" applyBorder="1" applyAlignment="1">
      <alignment horizontal="right"/>
    </xf>
    <xf numFmtId="165" fontId="0" fillId="3" borderId="0" xfId="0" applyNumberFormat="1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65" fontId="0" fillId="2" borderId="0" xfId="0" quotePrefix="1" applyNumberFormat="1" applyFill="1" applyBorder="1" applyAlignment="1">
      <alignment horizontal="right"/>
    </xf>
    <xf numFmtId="165" fontId="0" fillId="3" borderId="0" xfId="0" quotePrefix="1" applyNumberFormat="1" applyFill="1" applyBorder="1" applyAlignment="1">
      <alignment horizontal="right"/>
    </xf>
    <xf numFmtId="165" fontId="0" fillId="4" borderId="0" xfId="0" quotePrefix="1" applyNumberFormat="1" applyFill="1" applyBorder="1" applyAlignment="1">
      <alignment horizontal="right"/>
    </xf>
    <xf numFmtId="165" fontId="0" fillId="0" borderId="16" xfId="0" applyNumberFormat="1" applyBorder="1"/>
    <xf numFmtId="165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 applyAlignment="1">
      <alignment horizontal="right"/>
    </xf>
    <xf numFmtId="0" fontId="0" fillId="0" borderId="0" xfId="0" applyFill="1" applyBorder="1"/>
    <xf numFmtId="0" fontId="3" fillId="0" borderId="8" xfId="0" applyFont="1" applyFill="1" applyBorder="1"/>
    <xf numFmtId="0" fontId="3" fillId="0" borderId="0" xfId="0" applyFont="1" applyFill="1" applyBorder="1"/>
    <xf numFmtId="0" fontId="1" fillId="5" borderId="1" xfId="0" applyFont="1" applyFill="1" applyBorder="1" applyAlignment="1"/>
    <xf numFmtId="0" fontId="1" fillId="5" borderId="3" xfId="0" applyFont="1" applyFill="1" applyBorder="1" applyAlignment="1"/>
    <xf numFmtId="0" fontId="0" fillId="5" borderId="3" xfId="0" applyFill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6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indent="1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indent="1"/>
    </xf>
    <xf numFmtId="164" fontId="0" fillId="0" borderId="7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1" fontId="0" fillId="0" borderId="5" xfId="0" applyNumberFormat="1" applyBorder="1"/>
    <xf numFmtId="164" fontId="0" fillId="0" borderId="10" xfId="0" applyNumberFormat="1" applyFill="1" applyBorder="1"/>
    <xf numFmtId="0" fontId="1" fillId="0" borderId="0" xfId="0" applyFont="1" applyFill="1" applyBorder="1" applyAlignment="1"/>
    <xf numFmtId="164" fontId="0" fillId="0" borderId="10" xfId="0" applyNumberFormat="1" applyBorder="1"/>
    <xf numFmtId="166" fontId="0" fillId="0" borderId="7" xfId="0" applyNumberFormat="1" applyBorder="1"/>
    <xf numFmtId="0" fontId="1" fillId="0" borderId="18" xfId="0" applyFont="1" applyFill="1" applyBorder="1"/>
    <xf numFmtId="1" fontId="0" fillId="0" borderId="7" xfId="0" applyNumberFormat="1" applyBorder="1"/>
    <xf numFmtId="166" fontId="0" fillId="0" borderId="0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8" xfId="0" applyFill="1" applyBorder="1"/>
    <xf numFmtId="165" fontId="0" fillId="0" borderId="10" xfId="0" applyNumberFormat="1" applyBorder="1"/>
    <xf numFmtId="0" fontId="0" fillId="0" borderId="13" xfId="0" applyBorder="1"/>
    <xf numFmtId="0" fontId="0" fillId="0" borderId="15" xfId="0" applyBorder="1"/>
    <xf numFmtId="0" fontId="0" fillId="0" borderId="15" xfId="0" applyFill="1" applyBorder="1"/>
    <xf numFmtId="165" fontId="0" fillId="0" borderId="10" xfId="0" applyNumberFormat="1" applyFill="1" applyBorder="1"/>
    <xf numFmtId="2" fontId="0" fillId="0" borderId="6" xfId="0" applyNumberFormat="1" applyBorder="1"/>
    <xf numFmtId="1" fontId="0" fillId="0" borderId="6" xfId="0" applyNumberFormat="1" applyBorder="1"/>
    <xf numFmtId="166" fontId="0" fillId="0" borderId="6" xfId="0" applyNumberFormat="1" applyBorder="1"/>
    <xf numFmtId="165" fontId="0" fillId="0" borderId="5" xfId="0" applyNumberFormat="1" applyBorder="1"/>
    <xf numFmtId="1" fontId="0" fillId="0" borderId="17" xfId="0" applyNumberFormat="1" applyBorder="1"/>
    <xf numFmtId="0" fontId="0" fillId="5" borderId="7" xfId="0" applyFill="1" applyBorder="1"/>
    <xf numFmtId="165" fontId="0" fillId="2" borderId="7" xfId="0" applyNumberFormat="1" applyFill="1" applyBorder="1" applyAlignment="1">
      <alignment horizontal="right"/>
    </xf>
    <xf numFmtId="165" fontId="0" fillId="2" borderId="7" xfId="0" quotePrefix="1" applyNumberFormat="1" applyFill="1" applyBorder="1" applyAlignment="1">
      <alignment horizontal="right"/>
    </xf>
    <xf numFmtId="165" fontId="0" fillId="3" borderId="7" xfId="0" applyNumberFormat="1" applyFill="1" applyBorder="1" applyAlignment="1">
      <alignment horizontal="right"/>
    </xf>
    <xf numFmtId="165" fontId="0" fillId="3" borderId="7" xfId="0" quotePrefix="1" applyNumberFormat="1" applyFill="1" applyBorder="1" applyAlignment="1">
      <alignment horizontal="right"/>
    </xf>
    <xf numFmtId="1" fontId="0" fillId="3" borderId="7" xfId="0" quotePrefix="1" applyNumberFormat="1" applyFill="1" applyBorder="1" applyAlignment="1">
      <alignment horizontal="right"/>
    </xf>
    <xf numFmtId="165" fontId="0" fillId="4" borderId="7" xfId="0" quotePrefix="1" applyNumberFormat="1" applyFill="1" applyBorder="1" applyAlignment="1">
      <alignment horizontal="right"/>
    </xf>
    <xf numFmtId="1" fontId="0" fillId="0" borderId="0" xfId="0" applyNumberFormat="1" applyFill="1" applyBorder="1"/>
    <xf numFmtId="2" fontId="0" fillId="0" borderId="16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0" fontId="3" fillId="0" borderId="19" xfId="0" applyFont="1" applyFill="1" applyBorder="1"/>
    <xf numFmtId="165" fontId="0" fillId="0" borderId="20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3" borderId="0" xfId="0" applyNumberFormat="1" applyFill="1" applyAlignment="1">
      <alignment horizontal="right"/>
    </xf>
    <xf numFmtId="0" fontId="0" fillId="3" borderId="0" xfId="0" applyNumberFormat="1" applyFill="1"/>
    <xf numFmtId="0" fontId="0" fillId="4" borderId="0" xfId="0" applyNumberFormat="1" applyFill="1" applyAlignment="1">
      <alignment horizontal="right"/>
    </xf>
    <xf numFmtId="0" fontId="0" fillId="4" borderId="0" xfId="0" applyNumberFormat="1" applyFill="1"/>
    <xf numFmtId="165" fontId="0" fillId="0" borderId="0" xfId="0" applyNumberFormat="1" applyFill="1" applyBorder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right" indent="1"/>
    </xf>
    <xf numFmtId="0" fontId="0" fillId="6" borderId="0" xfId="0" applyNumberFormat="1" applyFill="1" applyAlignment="1">
      <alignment horizontal="right"/>
    </xf>
    <xf numFmtId="0" fontId="0" fillId="6" borderId="0" xfId="0" applyNumberFormat="1" applyFill="1"/>
    <xf numFmtId="164" fontId="0" fillId="6" borderId="0" xfId="0" applyNumberFormat="1" applyFill="1"/>
    <xf numFmtId="0" fontId="0" fillId="6" borderId="0" xfId="0" applyFill="1" applyBorder="1"/>
    <xf numFmtId="165" fontId="0" fillId="6" borderId="0" xfId="0" applyNumberFormat="1" applyFill="1" applyBorder="1" applyAlignment="1">
      <alignment horizontal="right"/>
    </xf>
    <xf numFmtId="165" fontId="0" fillId="6" borderId="0" xfId="0" quotePrefix="1" applyNumberFormat="1" applyFill="1" applyBorder="1" applyAlignment="1">
      <alignment horizontal="right"/>
    </xf>
    <xf numFmtId="164" fontId="0" fillId="4" borderId="0" xfId="0" applyNumberFormat="1" applyFill="1"/>
    <xf numFmtId="165" fontId="0" fillId="0" borderId="22" xfId="0" applyNumberFormat="1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165" fontId="0" fillId="0" borderId="24" xfId="0" applyNumberFormat="1" applyBorder="1"/>
    <xf numFmtId="0" fontId="0" fillId="0" borderId="24" xfId="0" applyBorder="1" applyAlignment="1">
      <alignment horizontal="right"/>
    </xf>
    <xf numFmtId="2" fontId="0" fillId="0" borderId="15" xfId="0" applyNumberFormat="1" applyBorder="1"/>
    <xf numFmtId="2" fontId="9" fillId="0" borderId="16" xfId="0" applyNumberFormat="1" applyFont="1" applyBorder="1"/>
    <xf numFmtId="0" fontId="0" fillId="0" borderId="16" xfId="0" applyBorder="1"/>
    <xf numFmtId="2" fontId="0" fillId="0" borderId="0" xfId="0" applyNumberFormat="1"/>
    <xf numFmtId="165" fontId="0" fillId="0" borderId="25" xfId="0" applyNumberFormat="1" applyBorder="1"/>
    <xf numFmtId="0" fontId="0" fillId="0" borderId="25" xfId="0" applyBorder="1" applyAlignment="1">
      <alignment horizontal="right"/>
    </xf>
    <xf numFmtId="0" fontId="0" fillId="0" borderId="26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10" xfId="0" applyBorder="1"/>
    <xf numFmtId="0" fontId="3" fillId="5" borderId="0" xfId="0" applyFont="1" applyFill="1"/>
    <xf numFmtId="11" fontId="0" fillId="0" borderId="0" xfId="0" applyNumberFormat="1"/>
    <xf numFmtId="0" fontId="0" fillId="0" borderId="0" xfId="0" applyAlignment="1">
      <alignment horizontal="right"/>
    </xf>
    <xf numFmtId="1" fontId="0" fillId="0" borderId="0" xfId="0" quotePrefix="1" applyNumberFormat="1"/>
    <xf numFmtId="166" fontId="0" fillId="0" borderId="0" xfId="0" applyNumberFormat="1"/>
    <xf numFmtId="9" fontId="0" fillId="0" borderId="0" xfId="1" applyFont="1"/>
    <xf numFmtId="0" fontId="0" fillId="0" borderId="0" xfId="0" quotePrefix="1"/>
    <xf numFmtId="164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1" applyFont="1" applyBorder="1"/>
    <xf numFmtId="9" fontId="0" fillId="0" borderId="0" xfId="1" applyFont="1" applyFill="1" applyBorder="1"/>
    <xf numFmtId="0" fontId="11" fillId="0" borderId="0" xfId="2"/>
    <xf numFmtId="165" fontId="0" fillId="3" borderId="0" xfId="0" applyNumberFormat="1" applyFill="1" applyAlignment="1">
      <alignment horizontal="right"/>
    </xf>
    <xf numFmtId="11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165" fontId="0" fillId="4" borderId="0" xfId="0" applyNumberFormat="1" applyFill="1" applyAlignment="1">
      <alignment horizontal="right"/>
    </xf>
    <xf numFmtId="11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6" fontId="0" fillId="2" borderId="0" xfId="0" applyNumberFormat="1" applyFill="1" applyAlignment="1">
      <alignment horizontal="right"/>
    </xf>
    <xf numFmtId="2" fontId="0" fillId="2" borderId="0" xfId="0" applyNumberFormat="1" applyFill="1"/>
    <xf numFmtId="165" fontId="0" fillId="6" borderId="0" xfId="0" applyNumberFormat="1" applyFill="1" applyAlignment="1">
      <alignment horizontal="right"/>
    </xf>
    <xf numFmtId="0" fontId="3" fillId="0" borderId="8" xfId="0" applyFont="1" applyBorder="1"/>
    <xf numFmtId="0" fontId="3" fillId="0" borderId="19" xfId="0" applyFont="1" applyBorder="1"/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6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27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</dxf>
    <dxf>
      <numFmt numFmtId="166" formatCode="0.0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numFmt numFmtId="166" formatCode="0.0"/>
    </dxf>
    <dxf>
      <numFmt numFmtId="166" formatCode="0.0"/>
    </dxf>
    <dxf>
      <numFmt numFmtId="165" formatCode="0.000"/>
    </dxf>
    <dxf>
      <numFmt numFmtId="15" formatCode="0.00E+00"/>
    </dxf>
    <dxf>
      <numFmt numFmtId="165" formatCode="0.000"/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3" formatCode="0%"/>
    </dxf>
    <dxf>
      <numFmt numFmtId="1" formatCode="0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5" formatCode="0.00E+00"/>
    </dxf>
    <dxf>
      <numFmt numFmtId="165" formatCode="0.000"/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4" formatCode="0.0000"/>
    </dxf>
    <dxf>
      <numFmt numFmtId="166" formatCode="0.0"/>
    </dxf>
    <dxf>
      <numFmt numFmtId="165" formatCode="0.000"/>
    </dxf>
    <dxf>
      <numFmt numFmtId="166" formatCode="0.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5" formatCode="0.00E+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3" formatCode="0%"/>
    </dxf>
    <dxf>
      <numFmt numFmtId="0" formatCode="General"/>
    </dxf>
    <dxf>
      <numFmt numFmtId="13" formatCode="0%"/>
    </dxf>
    <dxf>
      <numFmt numFmtId="165" formatCode="0.000"/>
    </dxf>
    <dxf>
      <numFmt numFmtId="166" formatCode="0.0"/>
      <fill>
        <patternFill patternType="none">
          <fgColor indexed="64"/>
          <bgColor indexed="65"/>
        </patternFill>
      </fill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0" formatCode="General"/>
      <alignment horizontal="right" vertical="bottom" textRotation="0" wrapText="0" indent="0" justifyLastLine="0" shrinkToFit="0" readingOrder="0"/>
    </dxf>
    <dxf>
      <numFmt numFmtId="15" formatCode="0.00E+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alignment horizontal="right" indent="0"/>
    </dxf>
    <dxf>
      <fill>
        <patternFill patternType="solid">
          <fgColor indexed="64"/>
          <bgColor theme="0" tint="-0.14999847407452621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610485153443"/>
          <c:y val="9.8121609798775156E-2"/>
          <c:w val="0.75131517852150609"/>
          <c:h val="0.758478856809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HW11'!$Q$12</c:f>
              <c:strCache>
                <c:ptCount val="1"/>
                <c:pt idx="0">
                  <c:v>Axial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7.0866592854168742</c:v>
                </c:pt>
                <c:pt idx="1">
                  <c:v>5.7366592854168736</c:v>
                </c:pt>
                <c:pt idx="2">
                  <c:v>5.4158259520835408</c:v>
                </c:pt>
                <c:pt idx="3">
                  <c:v>5.0719816390907084</c:v>
                </c:pt>
                <c:pt idx="4">
                  <c:v>4.6594816390907088</c:v>
                </c:pt>
                <c:pt idx="5">
                  <c:v>4.1004745812393475</c:v>
                </c:pt>
                <c:pt idx="6">
                  <c:v>3.7796412479060146</c:v>
                </c:pt>
                <c:pt idx="7">
                  <c:v>2.8406219295289197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HW11'!$Q$13:$Q$23</c:f>
              <c:numCache>
                <c:formatCode>0</c:formatCode>
                <c:ptCount val="11"/>
                <c:pt idx="0">
                  <c:v>0</c:v>
                </c:pt>
                <c:pt idx="1">
                  <c:v>1471.7134778305024</c:v>
                </c:pt>
                <c:pt idx="2">
                  <c:v>1628.5104868851568</c:v>
                </c:pt>
                <c:pt idx="3">
                  <c:v>1662.0443176823715</c:v>
                </c:pt>
                <c:pt idx="4">
                  <c:v>2264.7950064332704</c:v>
                </c:pt>
                <c:pt idx="5">
                  <c:v>2343.4172512509981</c:v>
                </c:pt>
                <c:pt idx="6">
                  <c:v>4441.8051799963541</c:v>
                </c:pt>
                <c:pt idx="7">
                  <c:v>7025.7274950793617</c:v>
                </c:pt>
                <c:pt idx="8">
                  <c:v>53670.977451038387</c:v>
                </c:pt>
                <c:pt idx="9">
                  <c:v>54462.30262596695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D-4F01-B262-8060BCC3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01568"/>
        <c:axId val="754962576"/>
      </c:scatterChart>
      <c:valAx>
        <c:axId val="562101568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50074075685293"/>
              <c:y val="0.91535783027121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2576"/>
        <c:crosses val="autoZero"/>
        <c:crossBetween val="midCat"/>
      </c:valAx>
      <c:valAx>
        <c:axId val="754962576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Moment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610485153443"/>
          <c:y val="9.8121609798775156E-2"/>
          <c:w val="0.75477295466234351"/>
          <c:h val="0.7621825605132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HW11'!$P$12</c:f>
              <c:strCache>
                <c:ptCount val="1"/>
                <c:pt idx="0">
                  <c:v>Bending Moment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7.0866592854168742</c:v>
                </c:pt>
                <c:pt idx="1">
                  <c:v>5.7366592854168736</c:v>
                </c:pt>
                <c:pt idx="2">
                  <c:v>5.4158259520835408</c:v>
                </c:pt>
                <c:pt idx="3">
                  <c:v>5.0719816390907084</c:v>
                </c:pt>
                <c:pt idx="4">
                  <c:v>4.6594816390907088</c:v>
                </c:pt>
                <c:pt idx="5">
                  <c:v>4.1004745812393475</c:v>
                </c:pt>
                <c:pt idx="6">
                  <c:v>3.7796412479060146</c:v>
                </c:pt>
                <c:pt idx="7">
                  <c:v>2.8406219295289197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HW11'!$P$13:$P$23</c:f>
              <c:numCache>
                <c:formatCode>0</c:formatCode>
                <c:ptCount val="11"/>
                <c:pt idx="0">
                  <c:v>0</c:v>
                </c:pt>
                <c:pt idx="1">
                  <c:v>142.01852250266103</c:v>
                </c:pt>
                <c:pt idx="2">
                  <c:v>361.5532358448711</c:v>
                </c:pt>
                <c:pt idx="3">
                  <c:v>641.41634719357648</c:v>
                </c:pt>
                <c:pt idx="4">
                  <c:v>1036.3315183539644</c:v>
                </c:pt>
                <c:pt idx="5">
                  <c:v>1670.693831983036</c:v>
                </c:pt>
                <c:pt idx="6">
                  <c:v>1988.2878875249637</c:v>
                </c:pt>
                <c:pt idx="7">
                  <c:v>3750.7027021901031</c:v>
                </c:pt>
                <c:pt idx="8">
                  <c:v>10862.784613153039</c:v>
                </c:pt>
                <c:pt idx="9">
                  <c:v>13052.622733086231</c:v>
                </c:pt>
                <c:pt idx="10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7-4CF5-B534-8665B8DD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77408"/>
        <c:axId val="783534224"/>
      </c:scatterChart>
      <c:valAx>
        <c:axId val="570377408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4948156083390123"/>
              <c:y val="0.91535783027121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4224"/>
        <c:crosses val="autoZero"/>
        <c:crossBetween val="midCat"/>
      </c:valAx>
      <c:valAx>
        <c:axId val="783534224"/>
        <c:scaling>
          <c:orientation val="minMax"/>
          <c:max val="14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2976211191833"/>
          <c:y val="9.8121609798775156E-2"/>
          <c:w val="0.76736777107628273"/>
          <c:h val="0.758478856809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HW11'!$O$12</c:f>
              <c:strCache>
                <c:ptCount val="1"/>
                <c:pt idx="0">
                  <c:v>Shear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7.0866592854168742</c:v>
                </c:pt>
                <c:pt idx="1">
                  <c:v>5.7366592854168736</c:v>
                </c:pt>
                <c:pt idx="2">
                  <c:v>5.4158259520835408</c:v>
                </c:pt>
                <c:pt idx="3">
                  <c:v>5.0719816390907084</c:v>
                </c:pt>
                <c:pt idx="4">
                  <c:v>4.6594816390907088</c:v>
                </c:pt>
                <c:pt idx="5">
                  <c:v>4.1004745812393475</c:v>
                </c:pt>
                <c:pt idx="6">
                  <c:v>3.7796412479060146</c:v>
                </c:pt>
                <c:pt idx="7">
                  <c:v>2.8406219295289197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HW11'!$O$13:$O$23</c:f>
              <c:numCache>
                <c:formatCode>0</c:formatCode>
                <c:ptCount val="11"/>
                <c:pt idx="0">
                  <c:v>0</c:v>
                </c:pt>
                <c:pt idx="1">
                  <c:v>720.07428054299828</c:v>
                </c:pt>
                <c:pt idx="2">
                  <c:v>844.47498610016737</c:v>
                </c:pt>
                <c:pt idx="3">
                  <c:v>974.40421934380083</c:v>
                </c:pt>
                <c:pt idx="4">
                  <c:v>1125.4404811882132</c:v>
                </c:pt>
                <c:pt idx="5">
                  <c:v>1321.2100417710376</c:v>
                </c:pt>
                <c:pt idx="6">
                  <c:v>1425.3369700573551</c:v>
                </c:pt>
                <c:pt idx="7">
                  <c:v>2328.3979748447678</c:v>
                </c:pt>
                <c:pt idx="8">
                  <c:v>3881.3408033267815</c:v>
                </c:pt>
                <c:pt idx="9">
                  <c:v>4081.70690552119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7-4E6D-A7EF-42DE57AF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4704"/>
        <c:axId val="783530480"/>
      </c:scatterChart>
      <c:valAx>
        <c:axId val="436814704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423393898967049"/>
              <c:y val="0.91535783027121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0480"/>
        <c:crosses val="autoZero"/>
        <c:crossBetween val="midCat"/>
      </c:valAx>
      <c:valAx>
        <c:axId val="783530480"/>
        <c:scaling>
          <c:orientation val="minMax"/>
          <c:max val="4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4445967044175"/>
          <c:y val="9.8121609798775156E-2"/>
          <c:w val="0.75131517852150609"/>
          <c:h val="0.7621825605132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HW11'!$Q$28</c:f>
              <c:strCache>
                <c:ptCount val="1"/>
                <c:pt idx="0">
                  <c:v>Axial Load 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7.0866592854168742</c:v>
                </c:pt>
                <c:pt idx="1">
                  <c:v>5.7366592854168736</c:v>
                </c:pt>
                <c:pt idx="2">
                  <c:v>5.4158259520835408</c:v>
                </c:pt>
                <c:pt idx="3">
                  <c:v>5.0719816390907084</c:v>
                </c:pt>
                <c:pt idx="4">
                  <c:v>4.6594816390907088</c:v>
                </c:pt>
                <c:pt idx="5">
                  <c:v>4.1004745812393475</c:v>
                </c:pt>
                <c:pt idx="6">
                  <c:v>3.7796412479060146</c:v>
                </c:pt>
                <c:pt idx="7">
                  <c:v>2.8406219295289197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HW11'!$Q$29:$Q$40</c:f>
              <c:numCache>
                <c:formatCode>0</c:formatCode>
                <c:ptCount val="12"/>
                <c:pt idx="0">
                  <c:v>0</c:v>
                </c:pt>
                <c:pt idx="1">
                  <c:v>3395.6058215823432</c:v>
                </c:pt>
                <c:pt idx="2">
                  <c:v>3757.3751773522863</c:v>
                </c:pt>
                <c:pt idx="3">
                  <c:v>4996.3234407436585</c:v>
                </c:pt>
                <c:pt idx="4">
                  <c:v>5225.4404300706774</c:v>
                </c:pt>
                <c:pt idx="5">
                  <c:v>9505.4764115306316</c:v>
                </c:pt>
                <c:pt idx="6">
                  <c:v>11653.482922162439</c:v>
                </c:pt>
                <c:pt idx="7">
                  <c:v>16210.085415749776</c:v>
                </c:pt>
                <c:pt idx="8">
                  <c:v>79203.175783236744</c:v>
                </c:pt>
                <c:pt idx="9">
                  <c:v>81028.95805079682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4-4B08-9799-C9DEC7DC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01568"/>
        <c:axId val="754962576"/>
      </c:scatterChart>
      <c:valAx>
        <c:axId val="562101568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206453647714"/>
              <c:y val="0.91913152522601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62576"/>
        <c:crosses val="autoZero"/>
        <c:crossBetween val="midCat"/>
      </c:valAx>
      <c:valAx>
        <c:axId val="754962576"/>
        <c:scaling>
          <c:orientation val="minMax"/>
          <c:max val="9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Moment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Moment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80775003262713"/>
          <c:y val="9.8121609798775156E-2"/>
          <c:w val="0.75477295466234351"/>
          <c:h val="0.74736774569845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HW11'!$P$28</c:f>
              <c:strCache>
                <c:ptCount val="1"/>
                <c:pt idx="0">
                  <c:v>Bending Moment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7.0866592854168742</c:v>
                </c:pt>
                <c:pt idx="1">
                  <c:v>5.7366592854168736</c:v>
                </c:pt>
                <c:pt idx="2">
                  <c:v>5.4158259520835408</c:v>
                </c:pt>
                <c:pt idx="3">
                  <c:v>5.0719816390907084</c:v>
                </c:pt>
                <c:pt idx="4">
                  <c:v>4.6594816390907088</c:v>
                </c:pt>
                <c:pt idx="5">
                  <c:v>4.1004745812393475</c:v>
                </c:pt>
                <c:pt idx="6">
                  <c:v>3.7796412479060146</c:v>
                </c:pt>
                <c:pt idx="7">
                  <c:v>2.8406219295289197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HW11'!$P$29:$P$39</c:f>
              <c:numCache>
                <c:formatCode>0</c:formatCode>
                <c:ptCount val="11"/>
                <c:pt idx="0">
                  <c:v>0</c:v>
                </c:pt>
                <c:pt idx="1">
                  <c:v>201.40881543638861</c:v>
                </c:pt>
                <c:pt idx="2">
                  <c:v>490.46700573599389</c:v>
                </c:pt>
                <c:pt idx="3">
                  <c:v>795.85241439424976</c:v>
                </c:pt>
                <c:pt idx="4">
                  <c:v>1144.1173917062508</c:v>
                </c:pt>
                <c:pt idx="5">
                  <c:v>1611.5398837437285</c:v>
                </c:pt>
                <c:pt idx="6">
                  <c:v>1831.1850660153864</c:v>
                </c:pt>
                <c:pt idx="7">
                  <c:v>2882.0855510741612</c:v>
                </c:pt>
                <c:pt idx="8">
                  <c:v>1857.7279606436507</c:v>
                </c:pt>
                <c:pt idx="9">
                  <c:v>-971.20395003167505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03E-B426-0CC22BA7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77408"/>
        <c:axId val="783534224"/>
      </c:scatterChart>
      <c:valAx>
        <c:axId val="570377408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0.44823916174842787"/>
              <c:y val="0.90757042869641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4224"/>
        <c:crosses val="autoZero"/>
        <c:crossBetween val="midCat"/>
      </c:valAx>
      <c:valAx>
        <c:axId val="783534224"/>
        <c:scaling>
          <c:orientation val="minMax"/>
          <c:max val="3200"/>
          <c:min val="-1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77408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1597593809062"/>
          <c:y val="9.8121609798775156E-2"/>
          <c:w val="0.76543815379080149"/>
          <c:h val="0.73996033829104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'HW10 and HW11'!$O$28</c:f>
              <c:strCache>
                <c:ptCount val="1"/>
                <c:pt idx="0">
                  <c:v>Shear 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'HW10 and HW11'!$N$13:$N$23</c:f>
              <c:numCache>
                <c:formatCode>0.000</c:formatCode>
                <c:ptCount val="11"/>
                <c:pt idx="0">
                  <c:v>7.0866592854168742</c:v>
                </c:pt>
                <c:pt idx="1">
                  <c:v>5.7366592854168736</c:v>
                </c:pt>
                <c:pt idx="2">
                  <c:v>5.4158259520835408</c:v>
                </c:pt>
                <c:pt idx="3">
                  <c:v>5.0719816390907084</c:v>
                </c:pt>
                <c:pt idx="4">
                  <c:v>4.6594816390907088</c:v>
                </c:pt>
                <c:pt idx="5">
                  <c:v>4.1004745812393475</c:v>
                </c:pt>
                <c:pt idx="6">
                  <c:v>3.7796412479060146</c:v>
                </c:pt>
                <c:pt idx="7">
                  <c:v>2.8406219295289197</c:v>
                </c:pt>
                <c:pt idx="8">
                  <c:v>0.54999999999999982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'HW10 and HW11'!$O$29:$O$39</c:f>
              <c:numCache>
                <c:formatCode>0</c:formatCode>
                <c:ptCount val="11"/>
                <c:pt idx="0">
                  <c:v>0</c:v>
                </c:pt>
                <c:pt idx="1">
                  <c:v>900.96059314162812</c:v>
                </c:pt>
                <c:pt idx="2">
                  <c:v>888.15023869428296</c:v>
                </c:pt>
                <c:pt idx="3">
                  <c:v>844.27873287757916</c:v>
                </c:pt>
                <c:pt idx="4">
                  <c:v>836.16563596548417</c:v>
                </c:pt>
                <c:pt idx="5">
                  <c:v>684.60836032724649</c:v>
                </c:pt>
                <c:pt idx="6">
                  <c:v>608.54684677578621</c:v>
                </c:pt>
                <c:pt idx="7">
                  <c:v>447.19627330258544</c:v>
                </c:pt>
                <c:pt idx="8">
                  <c:v>-1783.4067406639135</c:v>
                </c:pt>
                <c:pt idx="9">
                  <c:v>-1848.0582033101737</c:v>
                </c:pt>
                <c:pt idx="10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B-43EF-AE05-7E76B203E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4704"/>
        <c:axId val="783530480"/>
      </c:scatterChart>
      <c:valAx>
        <c:axId val="436814704"/>
        <c:scaling>
          <c:orientation val="maxMin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Height (m)</a:t>
                </a:r>
              </a:p>
            </c:rich>
          </c:tx>
          <c:layout>
            <c:manualLayout>
              <c:xMode val="edge"/>
              <c:yMode val="edge"/>
              <c:x val="0.44399551920650804"/>
              <c:y val="0.8951615631379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30480"/>
        <c:crosses val="autoZero"/>
        <c:crossBetween val="midCat"/>
      </c:valAx>
      <c:valAx>
        <c:axId val="783530480"/>
        <c:scaling>
          <c:orientation val="minMax"/>
          <c:max val="1000"/>
          <c:min val="-2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Shear Force (N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70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609598</xdr:colOff>
      <xdr:row>11</xdr:row>
      <xdr:rowOff>55220</xdr:rowOff>
    </xdr:from>
    <xdr:to>
      <xdr:col>50</xdr:col>
      <xdr:colOff>524254</xdr:colOff>
      <xdr:row>28</xdr:row>
      <xdr:rowOff>179045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C3CEFC2C-8E6A-4705-B80D-57E6602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6803</xdr:colOff>
      <xdr:row>11</xdr:row>
      <xdr:rowOff>39902</xdr:rowOff>
    </xdr:from>
    <xdr:to>
      <xdr:col>39</xdr:col>
      <xdr:colOff>531059</xdr:colOff>
      <xdr:row>28</xdr:row>
      <xdr:rowOff>163727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E1036232-F46A-4EB2-831E-5DF410028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</xdr:colOff>
      <xdr:row>11</xdr:row>
      <xdr:rowOff>21328</xdr:rowOff>
    </xdr:from>
    <xdr:to>
      <xdr:col>28</xdr:col>
      <xdr:colOff>576643</xdr:colOff>
      <xdr:row>28</xdr:row>
      <xdr:rowOff>145153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7EA7E242-A6BA-4A93-8BDC-CDAF3E3EE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20782</xdr:colOff>
      <xdr:row>38</xdr:row>
      <xdr:rowOff>85282</xdr:rowOff>
    </xdr:from>
    <xdr:to>
      <xdr:col>50</xdr:col>
      <xdr:colOff>545038</xdr:colOff>
      <xdr:row>56</xdr:row>
      <xdr:rowOff>85282</xdr:rowOff>
    </xdr:to>
    <xdr:graphicFrame macro="">
      <xdr:nvGraphicFramePr>
        <xdr:cNvPr id="200" name="Chart 199">
          <a:extLst>
            <a:ext uri="{FF2B5EF4-FFF2-40B4-BE49-F238E27FC236}">
              <a16:creationId xmlns:a16="http://schemas.microsoft.com/office/drawing/2014/main" id="{3AC36556-A7B9-402C-BE77-CB78E1CD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12987</xdr:colOff>
      <xdr:row>38</xdr:row>
      <xdr:rowOff>95569</xdr:rowOff>
    </xdr:from>
    <xdr:to>
      <xdr:col>39</xdr:col>
      <xdr:colOff>537243</xdr:colOff>
      <xdr:row>56</xdr:row>
      <xdr:rowOff>95569</xdr:rowOff>
    </xdr:to>
    <xdr:graphicFrame macro="">
      <xdr:nvGraphicFramePr>
        <xdr:cNvPr id="201" name="Chart 200">
          <a:extLst>
            <a:ext uri="{FF2B5EF4-FFF2-40B4-BE49-F238E27FC236}">
              <a16:creationId xmlns:a16="http://schemas.microsoft.com/office/drawing/2014/main" id="{482C035A-6507-42F8-8867-6F96053EA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36801</xdr:colOff>
      <xdr:row>38</xdr:row>
      <xdr:rowOff>93199</xdr:rowOff>
    </xdr:from>
    <xdr:to>
      <xdr:col>28</xdr:col>
      <xdr:colOff>561057</xdr:colOff>
      <xdr:row>56</xdr:row>
      <xdr:rowOff>93199</xdr:rowOff>
    </xdr:to>
    <xdr:graphicFrame macro="">
      <xdr:nvGraphicFramePr>
        <xdr:cNvPr id="4" name="Chart 201">
          <a:extLst>
            <a:ext uri="{FF2B5EF4-FFF2-40B4-BE49-F238E27FC236}">
              <a16:creationId xmlns:a16="http://schemas.microsoft.com/office/drawing/2014/main" id="{44E0BB16-8E77-42D5-A35F-AA1CF2DA7CD3}"/>
            </a:ext>
            <a:ext uri="{147F2762-F138-4A5C-976F-8EAC2B608ADB}">
              <a16:predDERef xmlns:a16="http://schemas.microsoft.com/office/drawing/2014/main" pred="{482C035A-6507-42F8-8867-6F96053EA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12%20-%20Edwards%20Lym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nerv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12"/>
      <sheetName val="HW10 and HW11"/>
      <sheetName val="HW7 - Max Q"/>
      <sheetName val="HW9 - CM and J0"/>
      <sheetName val="HW9 - Rocket Data"/>
      <sheetName val="HW9 - Drawing"/>
      <sheetName val="HW12 - Edwards Lyman"/>
    </sheetNames>
    <sheetDataSet>
      <sheetData sheetId="0"/>
      <sheetData sheetId="1">
        <row r="4">
          <cell r="F4">
            <v>7257.3625726340015</v>
          </cell>
          <cell r="M4">
            <v>13102.237619458259</v>
          </cell>
        </row>
        <row r="5">
          <cell r="M5">
            <v>52</v>
          </cell>
          <cell r="T5">
            <v>0.35342917352885178</v>
          </cell>
        </row>
        <row r="6">
          <cell r="C6">
            <v>1.2806999999999999</v>
          </cell>
          <cell r="J6">
            <v>273.12084572845822</v>
          </cell>
          <cell r="M6">
            <v>10.779638050142864</v>
          </cell>
          <cell r="P6">
            <v>2.8097059453158515</v>
          </cell>
        </row>
        <row r="7">
          <cell r="C7">
            <v>0.77</v>
          </cell>
          <cell r="M7">
            <v>4978.0139721340138</v>
          </cell>
        </row>
        <row r="8">
          <cell r="C8">
            <v>9.8059999999999992</v>
          </cell>
          <cell r="S8">
            <v>1507.9337889740839</v>
          </cell>
          <cell r="T8">
            <v>2725.1137981904944</v>
          </cell>
        </row>
        <row r="9">
          <cell r="J9">
            <v>5535.1635723704221</v>
          </cell>
          <cell r="M9">
            <v>0.1697021468271156</v>
          </cell>
          <cell r="S9">
            <v>467.12487414071694</v>
          </cell>
          <cell r="T9">
            <v>423.93946286387552</v>
          </cell>
        </row>
        <row r="10">
          <cell r="J10">
            <v>88066</v>
          </cell>
        </row>
        <row r="11">
          <cell r="J11">
            <v>1.5917911382742835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 and J0 for ACS"/>
      <sheetName val="HW10 and HW11"/>
      <sheetName val="HW9 - CM and J0"/>
      <sheetName val="Stresses"/>
      <sheetName val="Minerva 1"/>
    </sheetNames>
    <sheetDataSet>
      <sheetData sheetId="0"/>
      <sheetData sheetId="1">
        <row r="3">
          <cell r="C3">
            <v>0.42</v>
          </cell>
          <cell r="J3">
            <v>76</v>
          </cell>
          <cell r="X3">
            <v>10020.290834875366</v>
          </cell>
        </row>
        <row r="4">
          <cell r="C4">
            <v>0.45</v>
          </cell>
          <cell r="J4">
            <v>11061.525699064699</v>
          </cell>
        </row>
        <row r="5">
          <cell r="X5">
            <v>14293.52869406175</v>
          </cell>
        </row>
        <row r="6">
          <cell r="J6">
            <v>0.287968887587638</v>
          </cell>
        </row>
        <row r="7">
          <cell r="M7">
            <v>1.3483529124767057</v>
          </cell>
        </row>
        <row r="16">
          <cell r="E16">
            <v>20.039434139085799</v>
          </cell>
        </row>
        <row r="17">
          <cell r="E17">
            <v>12.485956757039199</v>
          </cell>
        </row>
        <row r="19">
          <cell r="D19">
            <v>0.22500000000000001</v>
          </cell>
        </row>
      </sheetData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8CC53F-6049-4AB9-AA6A-6CCF03E62F15}" name="Table16" displayName="Table16" ref="A4:P50" totalsRowCount="1" totalsRowDxfId="124">
  <autoFilter ref="A4:P49" xr:uid="{0F6C673D-7508-4F79-9486-A5BFC8E5FD95}"/>
  <tableColumns count="16">
    <tableColumn id="1" xr3:uid="{52164CD7-345D-4B42-9D42-6AF6B125FA14}" name="Stage" totalsRowLabel="Total" totalsRowDxfId="123"/>
    <tableColumn id="2" xr3:uid="{56124A24-BEB6-441D-AF90-4DE2237BE7F7}" name="Item" totalsRowDxfId="122"/>
    <tableColumn id="6" xr3:uid="{3BBDCD40-3B5A-4304-9CBD-B72519279B15}" name="Height" dataDxfId="121" totalsRowDxfId="120"/>
    <tableColumn id="3" xr3:uid="{71AD4CAE-9A07-497A-AC4C-2E96E2D04165}" name="Mass (kg)" totalsRowFunction="sum" totalsRowDxfId="119"/>
    <tableColumn id="4" xr3:uid="{80E49078-308C-413A-9A0C-4E0C7B78DD0A}" name="Distance (m)" totalsRowDxfId="118"/>
    <tableColumn id="5" xr3:uid="{BBCA2881-E0B3-47A1-A995-72ED2349F63A}" name="Moment (kgm)" totalsRowFunction="custom" totalsRowDxfId="117">
      <calculatedColumnFormula>D5*E5</calculatedColumnFormula>
      <totalsRowFormula>SUBTOTAL(109,F5:F49)</totalsRowFormula>
    </tableColumn>
    <tableColumn id="15" xr3:uid="{B999F8F1-5BFF-4477-BBED-2568D971847D}" name="Thickness (m)" dataDxfId="116" totalsRowDxfId="115"/>
    <tableColumn id="16" xr3:uid="{170A6B1C-964D-4002-B525-C6D117AC16C3}" name="Dist from CM (m)" dataDxfId="114" totalsRowDxfId="113">
      <calculatedColumnFormula>E5-$G$51</calculatedColumnFormula>
    </tableColumn>
    <tableColumn id="11" xr3:uid="{BB521CE7-A127-4603-BE34-4F48851419AF}" name="J0" totalsRowFunction="sum" dataDxfId="112" totalsRowDxfId="111">
      <calculatedColumnFormula>(#REF!*(((C1^2)/2)+((#REF!^2)/12)))</calculatedColumnFormula>
    </tableColumn>
    <tableColumn id="12" xr3:uid="{0C47AD7D-B764-4CBA-91EB-8F8054D0A271}" name="m*cm^2" dataDxfId="110" totalsRowDxfId="109">
      <calculatedColumnFormula>#REF!*(#REF!^2)</calculatedColumnFormula>
    </tableColumn>
    <tableColumn id="13" xr3:uid="{45181BF8-2968-44AE-934B-387D59267B79}" name="Jpitch/yaw" totalsRowFunction="sum" dataDxfId="108" totalsRowDxfId="107">
      <calculatedColumnFormula>#REF!+#REF!</calculatedColumnFormula>
    </tableColumn>
    <tableColumn id="10" xr3:uid="{B0CDBCE4-0F83-462E-A0DB-33731C56023C}" name="Jroll" totalsRowFunction="custom" dataDxfId="106" totalsRowDxfId="105">
      <totalsRowFormula>SUBTOTAL(109,#REF!)</totalsRowFormula>
    </tableColumn>
    <tableColumn id="7" xr3:uid="{73DC034F-7953-4E2E-ABDD-FC610EA969CF}" name="Mass at Max q" dataDxfId="104" totalsRowDxfId="103"/>
    <tableColumn id="8" xr3:uid="{FBE6F103-4D4F-4D26-8D06-FF6F2EAA0779}" name="Product of Max q (kg * m)" dataDxfId="102" totalsRowDxfId="101">
      <calculatedColumnFormula>M5*E5</calculatedColumnFormula>
    </tableColumn>
    <tableColumn id="9" xr3:uid="{D30CDF6A-7462-4E3C-BDB1-9D718B4380A9}" name="Distance from Max q CM" dataDxfId="100" totalsRowDxfId="99">
      <calculatedColumnFormula>E5-$I$57</calculatedColumnFormula>
    </tableColumn>
    <tableColumn id="14" xr3:uid="{2A6D8E42-FA27-4FEB-877F-6FD3EC614D5D}" name="Column2" dataDxfId="98" totalsRowDxfId="9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266B81-F454-453B-8F65-57F89F1823C3}" name="Table10" displayName="Table10" ref="B51:I63" totalsRowCount="1" headerRowDxfId="28" tableBorderDxfId="27">
  <autoFilter ref="B51:I62" xr:uid="{9D2C92C1-24EF-433D-AC68-BD0C051470D5}"/>
  <tableColumns count="8">
    <tableColumn id="1" xr3:uid="{F76F3526-B63F-4269-ACC5-F4328DEC19A5}" name="Num"/>
    <tableColumn id="2" xr3:uid="{61E48BB3-9142-4EE9-8C6E-EAE42D4355F4}" name="Location"/>
    <tableColumn id="5" xr3:uid="{C030C6A7-7187-49A4-8B83-169E09EAF25A}" name="Height" dataDxfId="26">
      <calculatedColumnFormula>VLOOKUP(Table10[[#This Row],[Location]],[2]!External_Loads[[Location]:[Height (m)]],2,FALSE)</calculatedColumnFormula>
    </tableColumn>
    <tableColumn id="3" xr3:uid="{412900E9-B7DC-40B8-8E26-13A69783ECDB}" name="Vwall (m3)" dataDxfId="25"/>
    <tableColumn id="4" xr3:uid="{AFB71B29-B98C-454D-A04F-A53B8CB062FE}" name="Mwall (kg)" dataDxfId="24">
      <calculatedColumnFormula>Table10[[#This Row],[Vwall (m3)]]*VLOOKUP(VLOOKUP(Table10[[#This Row],[Location]],Table37[[Location]:[Material]],2,FALSE),Table7[[Material]:[Source]],3,FALSE)</calculatedColumnFormula>
    </tableColumn>
    <tableColumn id="6" xr3:uid="{D18F87EE-8005-4555-A240-BB31DF817677}" name="Mprevious (kg)" dataDxfId="23"/>
    <tableColumn id="7" xr3:uid="{1FF7A1DE-E27D-4B77-A109-1266A57B2395}" name="Mrevised (kg)" totalsRowLabel="Total ΔM" dataDxfId="22" totalsRowDxfId="21"/>
    <tableColumn id="8" xr3:uid="{2A8B8838-3909-419D-90A1-91719624B05C}" name="ΔM (kg)" totalsRowFunction="sum" dataDxfId="20" totalsRowDxfId="19">
      <calculatedColumnFormula>Table10[[#This Row],[Mrevised (kg)]]-Table10[[#This Row],[Mprevious (kg)]]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E8CBD-B7D1-4B8D-8218-3F53B0ADDE29}" name="Rocket_Data" displayName="Rocket_Data" ref="B12:J59" totalsRowShown="0" headerRowDxfId="96" tableBorderDxfId="95">
  <autoFilter ref="B12:J59" xr:uid="{1774718E-1AC9-4985-B56D-071192113D44}"/>
  <tableColumns count="9">
    <tableColumn id="1" xr3:uid="{78033B97-0947-443E-9D9A-FFD9A89AB603}" name="Item"/>
    <tableColumn id="10" xr3:uid="{30181409-BBD6-41D4-8A27-06DD9E7F421B}" name="Ext or Int"/>
    <tableColumn id="2" xr3:uid="{EE0A3455-7CAB-4A1D-B081-B430CF69B628}" name="Height (m)" dataDxfId="94"/>
    <tableColumn id="3" xr3:uid="{EC61A65C-251D-4742-9FC7-68877FD6D6BB}" name="Mass (kg)" dataDxfId="93"/>
    <tableColumn id="4" xr3:uid="{D36C9B97-4E76-41C2-9B38-87FE5240C618}" name="CG (m)"/>
    <tableColumn id="8" xr3:uid="{C708A961-7693-4702-A2DB-DA7CD9FEEE88}" name="Area (m2)" dataDxfId="92"/>
    <tableColumn id="9" xr3:uid="{71308532-E378-4402-AD45-D9CBB31A62C9}" name="vss (m/s)" dataDxfId="91">
      <calculatedColumnFormula>IF(Rocket_Data[[#This Row],[Ext or Int]]="E",9.5*(Rocket_Data[[#This Row],[CG (m)]]^0.2),"-")</calculatedColumnFormula>
    </tableColumn>
    <tableColumn id="5" xr3:uid="{469414E7-2B61-45F8-A478-6A775636D763}" name="vr (m/s)" dataDxfId="90">
      <calculatedColumnFormula>IF(Rocket_Data[[#This Row],[vss (m/s)]]="-","-",SQRT(((1.25*Rocket_Data[[#This Row],[vss (m/s)]])^2)+((2.56*Rocket_Data[[#This Row],[vss (m/s)]])^2)))</calculatedColumnFormula>
    </tableColumn>
    <tableColumn id="6" xr3:uid="{3D7C659E-01CD-4DB5-AE3A-811F2FAFDAF6}" name="Wind (N)" dataDxfId="89">
      <calculatedColumnFormula>IF(Rocket_Data[[#This Row],[vr (m/s)]]="-","-",(1/2)*rho*(Rocket_Data[[#This Row],[vr (m/s)]]^2)*Rocket_Data[[#This Row],[Area (m2)]]*Cd)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93C18-AF47-43DE-927D-5B59E596645D}" name="External_Loads" displayName="External_Loads" ref="L12:Q23" totalsRowShown="0" headerRowDxfId="88" tableBorderDxfId="87">
  <autoFilter ref="L12:Q23" xr:uid="{04D5EAE5-48C2-4727-A1D5-A306083B0CD1}"/>
  <tableColumns count="6">
    <tableColumn id="1" xr3:uid="{CCC971EF-A9E3-4C5A-B88B-15B5695AA514}" name="Num"/>
    <tableColumn id="2" xr3:uid="{5E66C13B-E668-498D-8FF5-CD1E07D046C1}" name="Location"/>
    <tableColumn id="8" xr3:uid="{01653CCB-1757-44B1-9CF3-8851B93CC286}" name="Height (m)" dataDxfId="86"/>
    <tableColumn id="3" xr3:uid="{63697DB5-463B-4208-AA9F-1D7F2734139A}" name="Shear Load (N)" dataDxfId="85"/>
    <tableColumn id="6" xr3:uid="{37236E73-4040-412F-A9C8-089EEB4B79D3}" name="Bending Moment (Nm)" dataDxfId="84">
      <calculatedColumnFormula>External_Loads[[#This Row],[Shear Load (N)]]*External_Loads[[#This Row],[Height (m)]]</calculatedColumnFormula>
    </tableColumn>
    <tableColumn id="7" xr3:uid="{E61DB084-EF54-4452-B5E3-C1A231D055AF}" name="Axial Load (N)" dataDxfId="8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A686BD-DA52-4B4E-82EA-B05CC37878DF}" name="Table3" displayName="Table3" ref="L28:Q39" totalsRowShown="0" headerRowDxfId="82" tableBorderDxfId="81">
  <autoFilter ref="L28:Q39" xr:uid="{3CCB5809-8E74-4BF2-9045-0408BC224C3C}"/>
  <tableColumns count="6">
    <tableColumn id="1" xr3:uid="{E1F8CD46-3830-418C-978D-25FA3DCD567F}" name="Num"/>
    <tableColumn id="2" xr3:uid="{2BBD7659-D95A-4CBD-B5F5-7D8366948A99}" name="Location"/>
    <tableColumn id="7" xr3:uid="{49813717-4577-43EE-A78D-638DACAB8833}" name="Inertia Relief (N)" dataDxfId="80"/>
    <tableColumn id="3" xr3:uid="{5FC5697B-757D-4E8A-ABCF-460094EFBAA2}" name="Shear Load (N)" dataDxfId="79"/>
    <tableColumn id="4" xr3:uid="{2AD12196-F34B-457E-ADF3-D3FD7BF70ECC}" name="Bending Moment (Nm)" dataDxfId="78"/>
    <tableColumn id="5" xr3:uid="{FB56D202-227F-414B-918D-5E3621CCBC17}" name="Axial Load (kN)" dataDxfId="77">
      <calculatedColumnFormula>Q13*TAN(RADIANS(alpha))*Table3[[#This Row],[Inertia Relief (N)]]+Q13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F94CFA-99FD-4317-9DBE-116864080B44}" name="Table1" displayName="Table1" ref="A5:L53" totalsRowCount="1" totalsRowDxfId="76">
  <autoFilter ref="A5:L52" xr:uid="{F85DC791-C50E-4841-830D-EC2237A8FF43}"/>
  <tableColumns count="12">
    <tableColumn id="1" xr3:uid="{B67BB253-D664-4452-9855-7B0193FAF82C}" name="Stage" totalsRowLabel="Total" dataDxfId="18" totalsRowDxfId="11">
      <calculatedColumnFormula>A5+1</calculatedColumnFormula>
    </tableColumn>
    <tableColumn id="2" xr3:uid="{DEABA097-B562-4017-A6A4-3370C9DD4C69}" name="Item" totalsRowDxfId="10"/>
    <tableColumn id="6" xr3:uid="{7A56402C-82F4-4102-85C4-38F18399D3A5}" name="Height" dataDxfId="17" totalsRowDxfId="9"/>
    <tableColumn id="3" xr3:uid="{F1FF1536-1D81-424A-8258-C8F5A4848847}" name="Mass (kg)" totalsRowFunction="sum" totalsRowDxfId="8"/>
    <tableColumn id="4" xr3:uid="{AED4EA98-C7FD-4C8B-8840-906728CF1095}" name="Distance (m)" totalsRowDxfId="7"/>
    <tableColumn id="5" xr3:uid="{8F639793-00F5-4FDB-A754-122E249A7E6E}" name="Moment (kgm)" totalsRowFunction="sum" totalsRowDxfId="6">
      <calculatedColumnFormula>D6*E6</calculatedColumnFormula>
    </tableColumn>
    <tableColumn id="15" xr3:uid="{30900EBF-E458-4AD1-925D-DD0271E58DE6}" name="Thickness (m)" dataDxfId="16" totalsRowDxfId="5"/>
    <tableColumn id="16" xr3:uid="{E09633EF-AE2F-443C-84D1-BBB1EE699986}" name="Dist from CM (m)" dataDxfId="15" totalsRowDxfId="4">
      <calculatedColumnFormula>Table1[[#This Row],[Distance (m)]]-$G$54</calculatedColumnFormula>
    </tableColumn>
    <tableColumn id="11" xr3:uid="{0D6E2F7F-A9B0-4831-B494-D36ACED24846}" name="J0" totalsRowFunction="sum" dataDxfId="14" totalsRowDxfId="3">
      <calculatedColumnFormula>(Table1[[#This Row],[Mass (kg)]]*(((C1^2)/2)+((Table1[[#This Row],[Distance (m)]]^2)/12)))</calculatedColumnFormula>
    </tableColumn>
    <tableColumn id="12" xr3:uid="{4E55097A-37F7-428C-92B6-6F1F3A60F9DC}" name="m*cm^2" dataDxfId="13" totalsRowDxfId="2">
      <calculatedColumnFormula>Table1[[#This Row],[Mass (kg)]]*(Table1[[#This Row],[Dist from CM (m)]]^2)</calculatedColumnFormula>
    </tableColumn>
    <tableColumn id="13" xr3:uid="{B9660108-302F-4BA4-B2E4-5C257BAFA1F2}" name="Jpitch/yaw" totalsRowFunction="sum" dataDxfId="12" totalsRowDxfId="1">
      <calculatedColumnFormula>Table1[[#This Row],[m*cm^2]]+Table1[[#This Row],[J0]]</calculatedColumnFormula>
    </tableColumn>
    <tableColumn id="14" xr3:uid="{01D11996-526A-4E81-ABE1-7B665DD0AD15}" name="Jroll" totalsRowFunction="sum" totalsRowDxfId="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8BE07-37A1-4B27-BA34-3E8E2380376D}" name="Table37" displayName="Table37" ref="B7:S16" totalsRowShown="0" headerRowDxfId="75" tableBorderDxfId="74">
  <autoFilter ref="B7:S16" xr:uid="{686C91B3-A139-4527-A691-960BAF3FBA35}"/>
  <tableColumns count="18">
    <tableColumn id="1" xr3:uid="{2B380D61-C146-4B21-813F-F504C226B4FA}" name="Num"/>
    <tableColumn id="2" xr3:uid="{4C8D9670-4CA4-4E7B-92FB-71E0BAF00DE1}" name="Location"/>
    <tableColumn id="7" xr3:uid="{BFC3997C-BE66-42DA-8997-2D232BAFB15C}" name="Material" dataDxfId="73"/>
    <tableColumn id="3" xr3:uid="{2F382368-9DD1-41BA-8432-8454E2F718DF}" name="Thickness (m)" dataDxfId="72"/>
    <tableColumn id="14" xr3:uid="{F45B89D6-C17C-415E-8AC1-E185348F714B}" name="Pressure (Pa)" dataDxfId="71"/>
    <tableColumn id="11" xr3:uid="{7F916E2C-7B6C-4C59-9C39-510F5DF3C9C3}" name="Shear (N)" dataDxfId="70">
      <calculatedColumnFormula>VLOOKUP(Table37[[#This Row],[Location]],External_Loads[[Location]:[Axial Load (N)]],3,FALSE)</calculatedColumnFormula>
    </tableColumn>
    <tableColumn id="12" xr3:uid="{A834A731-FF00-45BF-B34E-838CCFB25C83}" name="Bending Moment (Nm)" dataDxfId="69">
      <calculatedColumnFormula>VLOOKUP(Table37[[#This Row],[Location]],External_Loads[[Location]:[Axial Load (N)]],4,FALSE)</calculatedColumnFormula>
    </tableColumn>
    <tableColumn id="13" xr3:uid="{2199614B-26E6-4C90-9AB5-23ED69CDC575}" name="Axial Stress (N)" dataDxfId="68">
      <calculatedColumnFormula>VLOOKUP(Table37[[#This Row],[Location]],External_Loads[[Location]:[Axial Load (N)]],5,FALSE)</calculatedColumnFormula>
    </tableColumn>
    <tableColumn id="4" xr3:uid="{4946EF6A-CBAB-40FF-B5F4-1BFA4B66238F}" name="τ (Mpa)" dataDxfId="67">
      <calculatedColumnFormula>(Table37[[#This Row],[Shear (N)]]/(2*PI()*$C$3*Table37[[#This Row],[Thickness (m)]]))/(10^6)</calculatedColumnFormula>
    </tableColumn>
    <tableColumn id="15" xr3:uid="{CB273449-B92D-45E8-A697-2251D1CCEA52}" name="σaxial (MPA)" dataDxfId="66"/>
    <tableColumn id="5" xr3:uid="{52D7737E-E477-44AA-BBA2-63F2B54AF32A}" name="σa (MPA)" dataDxfId="65">
      <calculatedColumnFormula>((-Table37[[#This Row],[Axial Stress (N)]]/(2*PI()*$C$3*Table37[[#This Row],[Thickness (m)]]))/(10^6))</calculatedColumnFormula>
    </tableColumn>
    <tableColumn id="6" xr3:uid="{F80F767B-A24C-423A-BC74-E288627D0202}" name="σb (Mpa)" dataDxfId="64">
      <calculatedColumnFormula>(Table37[[#This Row],[Bending Moment (Nm)]]/(PI()*($C$3^2)*Table37[[#This Row],[Thickness (m)]]))/(10^6)</calculatedColumnFormula>
    </tableColumn>
    <tableColumn id="8" xr3:uid="{AAB78A37-D3BA-4E6C-A172-EBE01A163B4F}" name="σmax-vertical (Mpa)" dataDxfId="63">
      <calculatedColumnFormula>-ABS(Table37[[#This Row],[σa (MPA)]])-ABS(Table37[[#This Row],[σb (Mpa)]])+Table37[[#This Row],[σaxial (MPA)]]</calculatedColumnFormula>
    </tableColumn>
    <tableColumn id="16" xr3:uid="{F2B8AC7C-2EFF-4490-945F-A82F5A8E7142}" name="σmax-horizontal (Mpa)" dataDxfId="62">
      <calculatedColumnFormula>Table37[[#This Row],[σaxial (MPA)]]*2</calculatedColumnFormula>
    </tableColumn>
    <tableColumn id="9" xr3:uid="{E6CF005B-0BB1-4117-8F31-7151D1DC5870}" name="FSvertical" dataDxfId="61">
      <calculatedColumnFormula>ABS(VLOOKUP(Table37[[#This Row],[Material]],Table7[[Material]:[Source]],5,FALSE)/Table37[[#This Row],[σmax-vertical (Mpa)]])</calculatedColumnFormula>
    </tableColumn>
    <tableColumn id="10" xr3:uid="{0AF66F7A-CC78-4A59-BCF4-F6E7B26595E0}" name="MSvertical" dataDxfId="60" dataCellStyle="Percent">
      <calculatedColumnFormula>(Table37[[#This Row],[FSvertical]]-1)</calculatedColumnFormula>
    </tableColumn>
    <tableColumn id="17" xr3:uid="{BF4539EF-0608-44A6-843D-2E65889A6FC0}" name="FShorizontal" dataDxfId="59"/>
    <tableColumn id="18" xr3:uid="{4D81C28E-048C-41D0-8233-54444B03CCE0}" name="MShorizontal" dataDxfId="58" dataCellStyle="Percent">
      <calculatedColumnFormula>(Table37[[#This Row],[FShorizontal]]-1)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69C21F-F760-40FB-A6C6-BEDF0FB03AAB}" name="Table7" displayName="Table7" ref="B40:I48" totalsRowShown="0" headerRowDxfId="57" tableBorderDxfId="56">
  <autoFilter ref="B40:I48" xr:uid="{D8F88899-6EB2-4171-9329-CA5FD19074B2}"/>
  <tableColumns count="8">
    <tableColumn id="7" xr3:uid="{04EF770A-FF31-47C3-95BB-77DBE452B632}" name="Component"/>
    <tableColumn id="1" xr3:uid="{5034DF9D-4275-4AD9-8024-6AD570366363}" name="Material" dataDxfId="55"/>
    <tableColumn id="2" xr3:uid="{7033ADFE-B3D7-432D-9ED9-9E8EDA42D678}" name="Op Temp (C°)"/>
    <tableColumn id="3" xr3:uid="{44057A12-2187-4E14-A619-98DADCB3629D}" name="Density"/>
    <tableColumn id="4" xr3:uid="{AB6A6FFE-8B9F-4690-A418-9FE9F11F00E4}" name="Elastic Modulus" dataDxfId="54">
      <calculatedColumnFormula>7.24*10^4</calculatedColumnFormula>
    </tableColumn>
    <tableColumn id="5" xr3:uid="{A7F62FAF-447C-453E-8C38-A7DE39130F2B}" name="Yield Stress"/>
    <tableColumn id="6" xr3:uid="{EAE22D75-1044-4EB2-8729-AD280D04E494}" name="Source"/>
    <tableColumn id="8" xr3:uid="{11DD3EC5-5CF4-4FB9-9E72-1A4C14443FD5}" name="Websit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DB37B1-5C90-4FD1-B52B-FF4D7F19060E}" name="Table379" displayName="Table379" ref="B19:S28" totalsRowShown="0" headerRowDxfId="53" tableBorderDxfId="52">
  <autoFilter ref="B19:S28" xr:uid="{85CF6C5F-7B80-4593-B788-11204DDFB036}"/>
  <tableColumns count="18">
    <tableColumn id="1" xr3:uid="{5F47C790-4F0A-4343-9639-EBDC351E3E7B}" name="Num"/>
    <tableColumn id="2" xr3:uid="{FFC8FDFF-BC31-4F95-B9B9-2DB08B97055F}" name="Location"/>
    <tableColumn id="7" xr3:uid="{54AB6D9B-909B-4EC3-A275-21F7E140174C}" name="Material" dataDxfId="51"/>
    <tableColumn id="3" xr3:uid="{0AC65802-4F13-49DC-9F8C-FC75ECF3A2BC}" name="Thickness (m)" dataDxfId="50"/>
    <tableColumn id="15" xr3:uid="{DF0D0B04-28DC-4A12-AF50-5A252133A61E}" name="Pressure (Pa)" dataDxfId="49"/>
    <tableColumn id="11" xr3:uid="{B518B38B-8445-41C8-8977-A6A5891A989A}" name="Shear (N)" dataDxfId="48">
      <calculatedColumnFormula>VLOOKUP(Table379[[#This Row],[Location]],Table3[[Location]:[Axial Load (kN)]],3,FALSE)</calculatedColumnFormula>
    </tableColumn>
    <tableColumn id="12" xr3:uid="{1554BE2B-029F-4C4A-8454-23312ED2578A}" name="Bending Moment (Nm)" dataDxfId="47">
      <calculatedColumnFormula>VLOOKUP(Table379[[#This Row],[Location]],Table3[[Location]:[Axial Load (kN)]],4,FALSE)</calculatedColumnFormula>
    </tableColumn>
    <tableColumn id="13" xr3:uid="{F4CF1B34-653E-48F0-9683-6B55BF0ECE2A}" name="Axial Stress (N)" dataDxfId="46">
      <calculatedColumnFormula>VLOOKUP(Table379[[#This Row],[Location]],Table3[[Location]:[Axial Load (kN)]],5,FALSE)</calculatedColumnFormula>
    </tableColumn>
    <tableColumn id="4" xr3:uid="{4806EFA4-3D26-4126-8F61-4563FFB0F32F}" name="τ (Mpa)" dataDxfId="45"/>
    <tableColumn id="16" xr3:uid="{5A41F8B5-BECB-45C2-AAE6-BA6543AE3250}" name="σaxial (MPA)" dataDxfId="44"/>
    <tableColumn id="5" xr3:uid="{28DB089D-F45C-4A96-9559-1038A6B65095}" name="σa (MPA)" dataDxfId="43">
      <calculatedColumnFormula>(-Table379[[#This Row],[Axial Stress (N)]]/(2*PI()*$C$3*Table379[[#This Row],[Thickness (m)]]))/(10^6)</calculatedColumnFormula>
    </tableColumn>
    <tableColumn id="6" xr3:uid="{3C38BFB2-BEAC-44BB-A02C-BB14BFB5E1E4}" name="σb (Mpa)" dataDxfId="42">
      <calculatedColumnFormula>(Table379[[#This Row],[Bending Moment (Nm)]]/(PI()*($C$3^2)*Table379[[#This Row],[Thickness (m)]]))/(10^6)</calculatedColumnFormula>
    </tableColumn>
    <tableColumn id="8" xr3:uid="{43297D95-55BD-4B0C-9424-6EA4C7581BDE}" name="σmax-vertical (Mpa)" dataDxfId="41">
      <calculatedColumnFormula>-ABS(Table379[[#This Row],[σa (MPA)]])-ABS(Table379[[#This Row],[σb (Mpa)]])</calculatedColumnFormula>
    </tableColumn>
    <tableColumn id="17" xr3:uid="{6512D7CA-5E9A-4698-8930-C6C5789A8B9D}" name="σmax-horizontal (Mpa)" dataDxfId="40">
      <calculatedColumnFormula>Table379[[#This Row],[σaxial (MPA)]]*2</calculatedColumnFormula>
    </tableColumn>
    <tableColumn id="9" xr3:uid="{61C91D80-B4AC-42E5-9793-AAD740266D2D}" name="FSvertical" dataDxfId="39">
      <calculatedColumnFormula>ABS(VLOOKUP(Table379[[#This Row],[Material]],Table7[[Material]:[Source]],5,FALSE)/Table379[[#This Row],[σmax-vertical (Mpa)]])</calculatedColumnFormula>
    </tableColumn>
    <tableColumn id="10" xr3:uid="{FC0AAAFD-BC43-4BC4-B072-220465D9768D}" name="MSvertical" dataCellStyle="Percent">
      <calculatedColumnFormula>(Table379[[#This Row],[FSvertical]]-1)</calculatedColumnFormula>
    </tableColumn>
    <tableColumn id="18" xr3:uid="{3744A3E8-AFA1-45FD-B8C8-EEDCD1AC9602}" name="FShorizontal" dataDxfId="38"/>
    <tableColumn id="19" xr3:uid="{60191385-364D-49AF-AE1A-21F313D8ED3B}" name="MShorizontal" dataDxfId="37">
      <calculatedColumnFormula>(Table379[[#This Row],[FShorizontal]]-1)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3A9649-A10A-4242-891F-334B26907482}" name="Table37910" displayName="Table37910" ref="B31:I37" totalsRowShown="0" headerRowDxfId="36" tableBorderDxfId="35">
  <autoFilter ref="B31:I37" xr:uid="{DFA50F3C-2610-4E5D-85E7-312AAE7BCB62}"/>
  <tableColumns count="8">
    <tableColumn id="1" xr3:uid="{CC44573D-70D5-415C-BDD2-CB5621E3A045}" name="Num"/>
    <tableColumn id="2" xr3:uid="{8A65DC95-E6E5-4984-BD32-57B1C3B2AFCB}" name="Location"/>
    <tableColumn id="7" xr3:uid="{DCA33515-75D4-4064-9241-AE2BA3A94F51}" name="Material" dataDxfId="34"/>
    <tableColumn id="3" xr3:uid="{678A3A87-EFF5-4BF6-A77D-218597A7D520}" name="Thickness (m)" dataDxfId="33"/>
    <tableColumn id="8" xr3:uid="{39ACACDD-6E1D-48AB-B5E8-D82718319BD0}" name="Load Case" dataDxfId="32"/>
    <tableColumn id="4" xr3:uid="{6D5E923B-5A06-425E-A22F-F9C9CC565251}" name="Stress (Mpa)" dataDxfId="31"/>
    <tableColumn id="5" xr3:uid="{12109D3B-BDEA-49D5-BF13-F9ADF3663B62}" name="Yield Stress (Mpa)" dataDxfId="30">
      <calculatedColumnFormula>VLOOKUP(Table37910[[#This Row],[Material]],Table7[[Material]:[Website]],5,FALSE)</calculatedColumnFormula>
    </tableColumn>
    <tableColumn id="6" xr3:uid="{ECA27F17-47D8-4C3F-A3C1-89B5BB88602E}" name="MS" dataDxfId="29" dataCellStyle="Percent">
      <calculatedColumnFormula>(Table37910[[#This Row],[Yield Stress (Mpa)]]/Table37910[[#This Row],[Stress (Mpa)]])-1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tweb.com/search/DataSheet.aspx?MatGUID=e5de9f1161d34f71a34ae016723d097f" TargetMode="External"/><Relationship Id="rId13" Type="http://schemas.openxmlformats.org/officeDocument/2006/relationships/hyperlink" Target="http://www.matweb.com/search/DataSheet.aspx?MatGUID=053c1a9682d1498baef14f959f459617" TargetMode="External"/><Relationship Id="rId18" Type="http://schemas.openxmlformats.org/officeDocument/2006/relationships/table" Target="../tables/table7.xml"/><Relationship Id="rId3" Type="http://schemas.openxmlformats.org/officeDocument/2006/relationships/hyperlink" Target="http://www.matweb.com/search/DataSheet.aspx?MatGUID=86215ca4233a49fdb6b556235fc726b7" TargetMode="External"/><Relationship Id="rId21" Type="http://schemas.openxmlformats.org/officeDocument/2006/relationships/table" Target="../tables/table10.xml"/><Relationship Id="rId7" Type="http://schemas.openxmlformats.org/officeDocument/2006/relationships/hyperlink" Target="http://www.matweb.com/" TargetMode="External"/><Relationship Id="rId12" Type="http://schemas.openxmlformats.org/officeDocument/2006/relationships/hyperlink" Target="http://www.matweb.com/" TargetMode="External"/><Relationship Id="rId17" Type="http://schemas.openxmlformats.org/officeDocument/2006/relationships/table" Target="../tables/table6.xml"/><Relationship Id="rId2" Type="http://schemas.openxmlformats.org/officeDocument/2006/relationships/hyperlink" Target="http://www.matweb.com/search/DataSheet.aspx?MatGUID=86215ca4233a49fdb6b556235fc726b7" TargetMode="External"/><Relationship Id="rId16" Type="http://schemas.openxmlformats.org/officeDocument/2006/relationships/hyperlink" Target="http://www.matweb.com/search/DataSheet.aspx?MatGUID=e5de9f1161d34f71a34ae016723d097f" TargetMode="External"/><Relationship Id="rId20" Type="http://schemas.openxmlformats.org/officeDocument/2006/relationships/table" Target="../tables/table9.xml"/><Relationship Id="rId1" Type="http://schemas.openxmlformats.org/officeDocument/2006/relationships/hyperlink" Target="http://www.matweb.com/search/DataSheet.aspx?MatGUID=86215ca4233a49fdb6b556235fc726b7" TargetMode="External"/><Relationship Id="rId6" Type="http://schemas.openxmlformats.org/officeDocument/2006/relationships/hyperlink" Target="http://www.matweb.com/" TargetMode="External"/><Relationship Id="rId11" Type="http://schemas.openxmlformats.org/officeDocument/2006/relationships/hyperlink" Target="http://www.matweb.com/search/DataSheet.aspx?MatGUID=4f19a42be94546b686bbf43f79c51b7d" TargetMode="External"/><Relationship Id="rId5" Type="http://schemas.openxmlformats.org/officeDocument/2006/relationships/hyperlink" Target="http://www.matweb.com/" TargetMode="External"/><Relationship Id="rId15" Type="http://schemas.openxmlformats.org/officeDocument/2006/relationships/hyperlink" Target="http://www.matweb.com/" TargetMode="External"/><Relationship Id="rId10" Type="http://schemas.openxmlformats.org/officeDocument/2006/relationships/hyperlink" Target="http://www.matweb.com/search/DataSheet.aspx?MatGUID=b8d536e0b9b54bd7b69e4124d8f1d20a" TargetMode="External"/><Relationship Id="rId19" Type="http://schemas.openxmlformats.org/officeDocument/2006/relationships/table" Target="../tables/table8.xml"/><Relationship Id="rId4" Type="http://schemas.openxmlformats.org/officeDocument/2006/relationships/hyperlink" Target="http://www.matweb.com/" TargetMode="External"/><Relationship Id="rId9" Type="http://schemas.openxmlformats.org/officeDocument/2006/relationships/hyperlink" Target="http://www.matweb.com/" TargetMode="External"/><Relationship Id="rId14" Type="http://schemas.openxmlformats.org/officeDocument/2006/relationships/hyperlink" Target="http://www.matwe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A5E8-C04D-41FC-A2DD-B2D2BF14A94B}">
  <dimension ref="A1:P79"/>
  <sheetViews>
    <sheetView workbookViewId="0"/>
  </sheetViews>
  <sheetFormatPr defaultRowHeight="15" x14ac:dyDescent="0.25"/>
  <cols>
    <col min="1" max="1" width="24" customWidth="1"/>
    <col min="2" max="2" width="23.5703125" bestFit="1" customWidth="1"/>
    <col min="4" max="4" width="15.140625" customWidth="1"/>
    <col min="5" max="5" width="18.85546875" customWidth="1"/>
    <col min="6" max="6" width="16.5703125" bestFit="1" customWidth="1"/>
    <col min="7" max="7" width="24" customWidth="1"/>
    <col min="8" max="8" width="18.42578125" bestFit="1" customWidth="1"/>
    <col min="9" max="9" width="16.5703125" customWidth="1"/>
    <col min="10" max="10" width="12" bestFit="1" customWidth="1"/>
    <col min="11" max="11" width="10.5703125" bestFit="1" customWidth="1"/>
    <col min="12" max="16" width="16.140625" customWidth="1"/>
  </cols>
  <sheetData>
    <row r="1" spans="1:16" x14ac:dyDescent="0.25">
      <c r="A1" t="s">
        <v>0</v>
      </c>
      <c r="C1">
        <v>0.55000000000000004</v>
      </c>
      <c r="D1" t="s">
        <v>1</v>
      </c>
      <c r="E1">
        <f>C5+C8+C16+C23+C12+C18</f>
        <v>4.1426909206033544</v>
      </c>
      <c r="F1" t="s">
        <v>2</v>
      </c>
      <c r="G1">
        <f>SUM(E1:E2)</f>
        <v>11.328932054350705</v>
      </c>
    </row>
    <row r="2" spans="1:16" x14ac:dyDescent="0.25">
      <c r="A2" t="s">
        <v>3</v>
      </c>
      <c r="C2">
        <v>0.82</v>
      </c>
      <c r="D2" t="s">
        <v>4</v>
      </c>
      <c r="E2">
        <f>C44+C39+C37+C33+C29</f>
        <v>7.1862411337473517</v>
      </c>
    </row>
    <row r="4" spans="1:16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</row>
    <row r="5" spans="1:16" x14ac:dyDescent="0.25">
      <c r="A5">
        <v>0</v>
      </c>
      <c r="B5" s="42" t="s">
        <v>21</v>
      </c>
      <c r="C5" s="43">
        <v>1.37</v>
      </c>
      <c r="D5" s="42">
        <v>37.144152119307101</v>
      </c>
      <c r="E5" s="42">
        <v>11.315598721017301</v>
      </c>
      <c r="F5" s="42">
        <v>420.30832021450601</v>
      </c>
      <c r="G5" s="42">
        <v>5.0000000000000001E-3</v>
      </c>
      <c r="H5" s="43">
        <f t="shared" ref="H5:H49" si="0">E5-$G$51</f>
        <v>6.3963836511653591</v>
      </c>
      <c r="I5" s="42">
        <v>5.7535259850803397</v>
      </c>
      <c r="J5" s="42">
        <v>1519.7055810735401</v>
      </c>
      <c r="K5" s="42">
        <v>1526.1019647247099</v>
      </c>
      <c r="L5" s="42">
        <v>7.5216908041596797</v>
      </c>
      <c r="M5" s="42">
        <v>37.144152119307101</v>
      </c>
      <c r="N5" s="42">
        <f t="shared" ref="N5:N49" si="1">M5*E5</f>
        <v>420.30832021450351</v>
      </c>
      <c r="O5" s="42">
        <f t="shared" ref="O5:O49" si="2">E5-$I$57</f>
        <v>5.9388222437319049</v>
      </c>
      <c r="P5" s="42"/>
    </row>
    <row r="6" spans="1:16" x14ac:dyDescent="0.25">
      <c r="A6">
        <v>1</v>
      </c>
      <c r="B6" s="42" t="s">
        <v>22</v>
      </c>
      <c r="C6" s="43">
        <v>1.37</v>
      </c>
      <c r="D6" s="42">
        <v>30</v>
      </c>
      <c r="E6" s="42">
        <v>11.315598721017301</v>
      </c>
      <c r="F6" s="42">
        <v>339.46796163052102</v>
      </c>
      <c r="G6" s="42">
        <v>0</v>
      </c>
      <c r="H6" s="43">
        <f t="shared" si="0"/>
        <v>6.3963836511653591</v>
      </c>
      <c r="I6" s="42">
        <v>4.6922499999999996</v>
      </c>
      <c r="J6" s="42">
        <v>1227.41171438689</v>
      </c>
      <c r="K6" s="42">
        <v>1233.8080980380601</v>
      </c>
      <c r="L6" s="42">
        <v>6.0750000000000002</v>
      </c>
      <c r="M6" s="42">
        <v>30</v>
      </c>
      <c r="N6" s="42">
        <f t="shared" si="1"/>
        <v>339.46796163051903</v>
      </c>
      <c r="O6" s="42">
        <f t="shared" si="2"/>
        <v>5.9388222437319049</v>
      </c>
      <c r="P6" s="42"/>
    </row>
    <row r="7" spans="1:16" x14ac:dyDescent="0.25">
      <c r="A7">
        <v>2</v>
      </c>
      <c r="B7" s="42" t="s">
        <v>23</v>
      </c>
      <c r="C7" s="43">
        <v>0</v>
      </c>
      <c r="D7" s="42">
        <v>19.5</v>
      </c>
      <c r="E7" s="42">
        <v>10.858932054350699</v>
      </c>
      <c r="F7" s="42">
        <v>211.749175059838</v>
      </c>
      <c r="G7" s="42">
        <v>0</v>
      </c>
      <c r="H7" s="43">
        <f t="shared" si="0"/>
        <v>5.9397169844987578</v>
      </c>
      <c r="I7" s="42">
        <v>1.974375</v>
      </c>
      <c r="J7" s="42">
        <v>687.96463819089195</v>
      </c>
      <c r="K7" s="42">
        <v>693.90435517539095</v>
      </c>
      <c r="L7" s="42">
        <v>3.94875</v>
      </c>
      <c r="M7" s="42">
        <v>19.5</v>
      </c>
      <c r="N7" s="42">
        <f t="shared" si="1"/>
        <v>211.74917505983865</v>
      </c>
      <c r="O7" s="42">
        <f t="shared" si="2"/>
        <v>5.4821555770653037</v>
      </c>
      <c r="P7" s="42"/>
    </row>
    <row r="8" spans="1:16" x14ac:dyDescent="0.25">
      <c r="A8">
        <v>3</v>
      </c>
      <c r="B8" s="45" t="s">
        <v>24</v>
      </c>
      <c r="C8" s="46">
        <v>0.52500000000000002</v>
      </c>
      <c r="D8" s="45">
        <v>20.039434139085799</v>
      </c>
      <c r="E8" s="45">
        <v>10.5964320543507</v>
      </c>
      <c r="F8" s="45">
        <v>212.34650226245901</v>
      </c>
      <c r="G8" s="45">
        <v>5.0000000000000001E-3</v>
      </c>
      <c r="H8" s="46">
        <f t="shared" si="0"/>
        <v>5.6772169844987586</v>
      </c>
      <c r="I8" s="45">
        <v>2.4892734594645698</v>
      </c>
      <c r="J8" s="45">
        <v>645.88684734337699</v>
      </c>
      <c r="K8" s="45">
        <v>651.56406432787503</v>
      </c>
      <c r="L8" s="45">
        <v>4.0579854131648903</v>
      </c>
      <c r="M8" s="45">
        <v>20.039434139085799</v>
      </c>
      <c r="N8" s="45">
        <f t="shared" si="1"/>
        <v>212.34650226245847</v>
      </c>
      <c r="O8" s="45">
        <f t="shared" si="2"/>
        <v>5.2196555770653044</v>
      </c>
      <c r="P8" s="45"/>
    </row>
    <row r="9" spans="1:16" x14ac:dyDescent="0.25">
      <c r="A9">
        <v>4</v>
      </c>
      <c r="B9" s="45" t="s">
        <v>25</v>
      </c>
      <c r="C9" s="46">
        <v>0</v>
      </c>
      <c r="D9" s="45">
        <v>12.485956757039199</v>
      </c>
      <c r="E9" s="45">
        <v>10.5964320543507</v>
      </c>
      <c r="F9" s="45">
        <v>132.30659240952701</v>
      </c>
      <c r="G9" s="45">
        <v>0</v>
      </c>
      <c r="H9" s="46">
        <f t="shared" si="0"/>
        <v>5.6772169844987586</v>
      </c>
      <c r="I9" s="45">
        <v>1.2642031216502201</v>
      </c>
      <c r="J9" s="45">
        <v>402.43228376096698</v>
      </c>
      <c r="K9" s="45">
        <v>408.10950074546599</v>
      </c>
      <c r="L9" s="45">
        <v>2.5284062433004499</v>
      </c>
      <c r="M9" s="45">
        <v>12.485956757039199</v>
      </c>
      <c r="N9" s="45">
        <f t="shared" si="1"/>
        <v>132.30659240952687</v>
      </c>
      <c r="O9" s="45">
        <f t="shared" si="2"/>
        <v>5.2196555770653044</v>
      </c>
      <c r="P9" s="45"/>
    </row>
    <row r="10" spans="1:16" x14ac:dyDescent="0.25">
      <c r="A10">
        <v>5</v>
      </c>
      <c r="B10" s="45" t="s">
        <v>26</v>
      </c>
      <c r="C10" s="46">
        <v>0.69317273015083802</v>
      </c>
      <c r="D10" s="45">
        <v>45.060999454279603</v>
      </c>
      <c r="E10" s="45">
        <v>0</v>
      </c>
      <c r="F10" s="45">
        <v>0</v>
      </c>
      <c r="G10" s="45">
        <v>0</v>
      </c>
      <c r="H10" s="46">
        <f t="shared" si="0"/>
        <v>-4.9192150698519415</v>
      </c>
      <c r="I10" s="45">
        <v>4.56242619474581</v>
      </c>
      <c r="J10" s="45">
        <v>0</v>
      </c>
      <c r="K10" s="45">
        <v>0</v>
      </c>
      <c r="L10" s="45">
        <v>9.12485238949162</v>
      </c>
      <c r="M10" s="45">
        <v>45.060999454279603</v>
      </c>
      <c r="N10" s="45">
        <f t="shared" si="1"/>
        <v>0</v>
      </c>
      <c r="O10" s="45">
        <f t="shared" si="2"/>
        <v>-5.3767764772853957</v>
      </c>
      <c r="P10" s="45"/>
    </row>
    <row r="11" spans="1:16" x14ac:dyDescent="0.25">
      <c r="A11">
        <v>6</v>
      </c>
      <c r="B11" s="45" t="s">
        <v>27</v>
      </c>
      <c r="C11" s="46">
        <v>0.22500000000000001</v>
      </c>
      <c r="D11" s="45">
        <v>1.12984238193703</v>
      </c>
      <c r="E11" s="45">
        <v>10.4294250202058</v>
      </c>
      <c r="F11" s="45">
        <v>11.783606407063001</v>
      </c>
      <c r="G11" s="45">
        <v>5.0000000000000001E-3</v>
      </c>
      <c r="H11" s="46">
        <f t="shared" si="0"/>
        <v>5.5102099503538584</v>
      </c>
      <c r="I11" s="45">
        <v>0.22879308234224899</v>
      </c>
      <c r="J11" s="45">
        <v>34.304741812752603</v>
      </c>
      <c r="K11" s="45">
        <v>39.8149517631065</v>
      </c>
      <c r="L11" s="45">
        <v>0.22879308234224899</v>
      </c>
      <c r="M11" s="45">
        <v>1.12984238193703</v>
      </c>
      <c r="N11" s="45">
        <f t="shared" si="1"/>
        <v>11.783606407062978</v>
      </c>
      <c r="O11" s="45">
        <f t="shared" si="2"/>
        <v>5.0526485429204042</v>
      </c>
      <c r="P11" s="45"/>
    </row>
    <row r="12" spans="1:16" x14ac:dyDescent="0.25">
      <c r="A12">
        <v>7</v>
      </c>
      <c r="B12" s="45" t="s">
        <v>28</v>
      </c>
      <c r="C12" s="46">
        <v>0.28085796757168902</v>
      </c>
      <c r="D12" s="45">
        <v>2.11550156711461</v>
      </c>
      <c r="E12" s="45">
        <v>10.1935030705648</v>
      </c>
      <c r="F12" s="45">
        <v>21.5643717201676</v>
      </c>
      <c r="G12" s="45">
        <v>5.0000000000000001E-3</v>
      </c>
      <c r="H12" s="46">
        <f t="shared" si="0"/>
        <v>5.2742880007128585</v>
      </c>
      <c r="I12" s="45">
        <v>0.22810064182668199</v>
      </c>
      <c r="J12" s="45">
        <v>58.849263580222299</v>
      </c>
      <c r="K12" s="45">
        <v>64.123551580935199</v>
      </c>
      <c r="L12" s="45">
        <v>0.42838906734070897</v>
      </c>
      <c r="M12" s="45">
        <v>2.11550156711461</v>
      </c>
      <c r="N12" s="45">
        <f t="shared" si="1"/>
        <v>21.564371720167422</v>
      </c>
      <c r="O12" s="45">
        <f t="shared" si="2"/>
        <v>4.8167265932794043</v>
      </c>
      <c r="P12" s="45"/>
    </row>
    <row r="13" spans="1:16" x14ac:dyDescent="0.25">
      <c r="A13">
        <v>8</v>
      </c>
      <c r="B13" s="45" t="s">
        <v>29</v>
      </c>
      <c r="C13" s="46">
        <v>0.22500000000000001</v>
      </c>
      <c r="D13" s="45">
        <v>1.12984238193703</v>
      </c>
      <c r="E13" s="45">
        <v>9.95758112092388</v>
      </c>
      <c r="F13" s="45">
        <v>11.2504971719958</v>
      </c>
      <c r="G13" s="45">
        <v>5.0000000000000001E-3</v>
      </c>
      <c r="H13" s="46">
        <f t="shared" si="0"/>
        <v>5.0383660510719386</v>
      </c>
      <c r="I13" s="45">
        <v>0.22879308234224899</v>
      </c>
      <c r="J13" s="45">
        <v>28.6811985295843</v>
      </c>
      <c r="K13" s="45">
        <v>33.719564580656296</v>
      </c>
      <c r="L13" s="45">
        <v>0.22879308234224899</v>
      </c>
      <c r="M13" s="45">
        <v>1.12984238193703</v>
      </c>
      <c r="N13" s="45">
        <f t="shared" si="1"/>
        <v>11.250497171995837</v>
      </c>
      <c r="O13" s="45">
        <f t="shared" si="2"/>
        <v>4.5808046436384844</v>
      </c>
      <c r="P13" s="45"/>
    </row>
    <row r="14" spans="1:16" x14ac:dyDescent="0.25">
      <c r="A14">
        <v>9</v>
      </c>
      <c r="B14" s="45" t="s">
        <v>30</v>
      </c>
      <c r="C14" s="46">
        <v>0.73085796757168997</v>
      </c>
      <c r="D14" s="45">
        <v>0</v>
      </c>
      <c r="E14" s="45">
        <v>10.1935030705648</v>
      </c>
      <c r="F14" s="45">
        <v>0</v>
      </c>
      <c r="G14" s="45">
        <v>0</v>
      </c>
      <c r="H14" s="46">
        <f t="shared" si="0"/>
        <v>5.2742880007128585</v>
      </c>
      <c r="I14" s="45">
        <v>0</v>
      </c>
      <c r="J14" s="45">
        <v>0</v>
      </c>
      <c r="K14" s="45">
        <v>5.2742880007129296</v>
      </c>
      <c r="L14" s="45">
        <v>0</v>
      </c>
      <c r="M14" s="45">
        <v>0</v>
      </c>
      <c r="N14" s="45">
        <f t="shared" si="1"/>
        <v>0</v>
      </c>
      <c r="O14" s="45">
        <f t="shared" si="2"/>
        <v>4.8167265932794043</v>
      </c>
      <c r="P14" s="45"/>
    </row>
    <row r="15" spans="1:16" x14ac:dyDescent="0.25">
      <c r="A15">
        <v>10</v>
      </c>
      <c r="B15" s="45" t="s">
        <v>31</v>
      </c>
      <c r="C15" s="46">
        <v>0</v>
      </c>
      <c r="D15" s="45">
        <v>5.9124139607955097</v>
      </c>
      <c r="E15" s="45">
        <v>0</v>
      </c>
      <c r="F15" s="45">
        <v>0</v>
      </c>
      <c r="G15" s="45">
        <v>0</v>
      </c>
      <c r="H15" s="46">
        <f t="shared" si="0"/>
        <v>-4.9192150698519415</v>
      </c>
      <c r="I15" s="45">
        <v>0</v>
      </c>
      <c r="J15" s="45">
        <v>143.072595156787</v>
      </c>
      <c r="K15" s="45">
        <v>138.15338008693499</v>
      </c>
      <c r="L15" s="45">
        <v>0</v>
      </c>
      <c r="M15" s="45">
        <v>5.9124139607955097</v>
      </c>
      <c r="N15" s="45">
        <f t="shared" si="1"/>
        <v>0</v>
      </c>
      <c r="O15" s="45">
        <f t="shared" si="2"/>
        <v>-5.3767764772853957</v>
      </c>
      <c r="P15" s="45"/>
    </row>
    <row r="16" spans="1:16" x14ac:dyDescent="0.25">
      <c r="A16">
        <v>11</v>
      </c>
      <c r="B16" s="45" t="s">
        <v>32</v>
      </c>
      <c r="C16" s="46">
        <v>0.67500000000000004</v>
      </c>
      <c r="D16" s="45">
        <v>25.7649867502532</v>
      </c>
      <c r="E16" s="45">
        <v>9.7155740867790197</v>
      </c>
      <c r="F16" s="45">
        <v>250.32163761696501</v>
      </c>
      <c r="G16" s="45">
        <v>5.0000000000000001E-3</v>
      </c>
      <c r="H16" s="46">
        <f t="shared" si="0"/>
        <v>4.7963590169270782</v>
      </c>
      <c r="I16" s="45">
        <v>3.5869692491368199</v>
      </c>
      <c r="J16" s="45">
        <v>592.72506143195994</v>
      </c>
      <c r="K16" s="45">
        <v>597.52142044888706</v>
      </c>
      <c r="L16" s="45">
        <v>5.2174098169262901</v>
      </c>
      <c r="M16" s="45">
        <v>25.7649867502532</v>
      </c>
      <c r="N16" s="45">
        <f t="shared" si="1"/>
        <v>250.32163761696478</v>
      </c>
      <c r="O16" s="45">
        <f t="shared" si="2"/>
        <v>4.338797609493624</v>
      </c>
      <c r="P16" s="45"/>
    </row>
    <row r="17" spans="1:16" x14ac:dyDescent="0.25">
      <c r="A17">
        <v>12</v>
      </c>
      <c r="B17" s="45" t="s">
        <v>33</v>
      </c>
      <c r="C17" s="46">
        <v>0.22500000000000001</v>
      </c>
      <c r="D17" s="45">
        <v>1.0407089999168999</v>
      </c>
      <c r="E17" s="45">
        <v>9.4735670526341593</v>
      </c>
      <c r="F17" s="45">
        <v>9.8592264929926596</v>
      </c>
      <c r="G17" s="45">
        <v>5.0000000000000001E-3</v>
      </c>
      <c r="H17" s="46">
        <f t="shared" si="0"/>
        <v>4.5543519827822179</v>
      </c>
      <c r="I17" s="45">
        <v>0.21074357248317299</v>
      </c>
      <c r="J17" s="45">
        <v>21.5865130251577</v>
      </c>
      <c r="K17" s="45">
        <v>26.140865007939901</v>
      </c>
      <c r="L17" s="45">
        <v>0.21074357248317299</v>
      </c>
      <c r="M17" s="45">
        <v>1.0407089999168999</v>
      </c>
      <c r="N17" s="45">
        <f t="shared" si="1"/>
        <v>9.8592264929925886</v>
      </c>
      <c r="O17" s="45">
        <f t="shared" si="2"/>
        <v>4.0967905753487637</v>
      </c>
      <c r="P17" s="45"/>
    </row>
    <row r="18" spans="1:16" x14ac:dyDescent="0.25">
      <c r="A18">
        <v>13</v>
      </c>
      <c r="B18" s="45" t="s">
        <v>34</v>
      </c>
      <c r="C18" s="46">
        <v>0.76683295303166499</v>
      </c>
      <c r="D18" s="45">
        <v>5.3203330376860896</v>
      </c>
      <c r="E18" s="45">
        <v>8.9946576102631894</v>
      </c>
      <c r="F18" s="45">
        <v>47.854574046557801</v>
      </c>
      <c r="G18" s="45">
        <v>5.0000000000000001E-3</v>
      </c>
      <c r="H18" s="46">
        <f t="shared" si="0"/>
        <v>4.075442540411248</v>
      </c>
      <c r="I18" s="45">
        <v>0.79939457133785696</v>
      </c>
      <c r="J18" s="45">
        <v>88.366645209190395</v>
      </c>
      <c r="K18" s="45">
        <v>92.442087749601697</v>
      </c>
      <c r="L18" s="45">
        <v>1.0773674401314299</v>
      </c>
      <c r="M18" s="45">
        <v>5.3203330376860896</v>
      </c>
      <c r="N18" s="45">
        <f t="shared" si="1"/>
        <v>47.854574046557858</v>
      </c>
      <c r="O18" s="45">
        <f t="shared" si="2"/>
        <v>3.6178811329777938</v>
      </c>
      <c r="P18" s="45"/>
    </row>
    <row r="19" spans="1:16" x14ac:dyDescent="0.25">
      <c r="A19">
        <v>14</v>
      </c>
      <c r="B19" s="45" t="s">
        <v>35</v>
      </c>
      <c r="C19" s="46">
        <v>0.22500000000000001</v>
      </c>
      <c r="D19" s="45">
        <v>1.0407089999168999</v>
      </c>
      <c r="E19" s="45">
        <v>8.5157481678922196</v>
      </c>
      <c r="F19" s="45">
        <v>8.8624157593513502</v>
      </c>
      <c r="G19" s="45">
        <v>5.0000000000000001E-3</v>
      </c>
      <c r="H19" s="46">
        <f t="shared" si="0"/>
        <v>3.5965330980402781</v>
      </c>
      <c r="I19" s="45">
        <v>0.21074357248317299</v>
      </c>
      <c r="J19" s="45">
        <v>13.461623287917</v>
      </c>
      <c r="K19" s="45">
        <v>17.0581563859573</v>
      </c>
      <c r="L19" s="45">
        <v>0.21074357248317299</v>
      </c>
      <c r="M19" s="45">
        <v>1.0407089999168999</v>
      </c>
      <c r="N19" s="45">
        <f t="shared" si="1"/>
        <v>8.8624157593512844</v>
      </c>
      <c r="O19" s="45">
        <f t="shared" si="2"/>
        <v>3.1389716906068239</v>
      </c>
      <c r="P19" s="45"/>
    </row>
    <row r="20" spans="1:16" x14ac:dyDescent="0.25">
      <c r="A20">
        <v>15</v>
      </c>
      <c r="B20" s="45" t="s">
        <v>36</v>
      </c>
      <c r="C20" s="46">
        <v>1.2168329530316599</v>
      </c>
      <c r="D20" s="45">
        <v>4.4069050590937699</v>
      </c>
      <c r="E20" s="45">
        <v>8.9946576102631894</v>
      </c>
      <c r="F20" s="45">
        <v>39.6386021274852</v>
      </c>
      <c r="G20" s="45">
        <v>0</v>
      </c>
      <c r="H20" s="46">
        <f t="shared" si="0"/>
        <v>4.075442540411248</v>
      </c>
      <c r="I20" s="45">
        <v>0.989968046923693</v>
      </c>
      <c r="J20" s="45">
        <v>73.195308088625495</v>
      </c>
      <c r="K20" s="45">
        <v>77.270750629036797</v>
      </c>
      <c r="L20" s="45">
        <v>0.89239827446649</v>
      </c>
      <c r="M20" s="45">
        <v>4.4069050590937699</v>
      </c>
      <c r="N20" s="45">
        <f t="shared" si="1"/>
        <v>39.638602127485129</v>
      </c>
      <c r="O20" s="45">
        <f t="shared" si="2"/>
        <v>3.6178811329777938</v>
      </c>
      <c r="P20" s="45"/>
    </row>
    <row r="21" spans="1:16" x14ac:dyDescent="0.25">
      <c r="A21">
        <v>16</v>
      </c>
      <c r="B21" s="45" t="s">
        <v>37</v>
      </c>
      <c r="C21" s="46">
        <v>0</v>
      </c>
      <c r="D21" s="45">
        <v>13.8350486682615</v>
      </c>
      <c r="E21" s="45">
        <v>0</v>
      </c>
      <c r="F21" s="45">
        <v>0</v>
      </c>
      <c r="G21" s="45">
        <v>0</v>
      </c>
      <c r="H21" s="46">
        <f t="shared" si="0"/>
        <v>-4.9192150698519415</v>
      </c>
      <c r="I21" s="45">
        <v>0</v>
      </c>
      <c r="J21" s="45">
        <v>334.78987266688301</v>
      </c>
      <c r="K21" s="45">
        <v>329.87065759703103</v>
      </c>
      <c r="L21" s="45">
        <v>0</v>
      </c>
      <c r="M21" s="45">
        <v>13.8350486682615</v>
      </c>
      <c r="N21" s="45">
        <f t="shared" si="1"/>
        <v>0</v>
      </c>
      <c r="O21" s="45">
        <f t="shared" si="2"/>
        <v>-5.3767764772853957</v>
      </c>
      <c r="P21" s="45"/>
    </row>
    <row r="22" spans="1:16" x14ac:dyDescent="0.25">
      <c r="B22" s="45" t="s">
        <v>38</v>
      </c>
      <c r="C22" s="46">
        <v>0.44978998569310802</v>
      </c>
      <c r="D22" s="45">
        <v>3.8347742403979401</v>
      </c>
      <c r="E22" s="45">
        <v>8.9946576102631894</v>
      </c>
      <c r="F22" s="45">
        <v>34.492481305036598</v>
      </c>
      <c r="G22" s="45">
        <v>5.0000000000000001E-3</v>
      </c>
      <c r="H22" s="46">
        <f t="shared" si="0"/>
        <v>4.075442540411248</v>
      </c>
      <c r="I22" s="45">
        <v>0.77654178368058302</v>
      </c>
      <c r="J22" s="45">
        <v>63.692654643658599</v>
      </c>
      <c r="K22" s="45">
        <v>67.768097184069902</v>
      </c>
      <c r="L22" s="45">
        <v>0.77654178368058302</v>
      </c>
      <c r="M22" s="45">
        <v>3.8347742403979401</v>
      </c>
      <c r="N22" s="45">
        <f t="shared" si="1"/>
        <v>34.492481305036577</v>
      </c>
      <c r="O22" s="45">
        <f t="shared" si="2"/>
        <v>3.6178811329777938</v>
      </c>
      <c r="P22" s="45"/>
    </row>
    <row r="23" spans="1:16" x14ac:dyDescent="0.25">
      <c r="A23">
        <v>17</v>
      </c>
      <c r="B23" s="45" t="s">
        <v>39</v>
      </c>
      <c r="C23" s="46">
        <v>0.52500000000000002</v>
      </c>
      <c r="D23" s="45">
        <v>20.039434139085799</v>
      </c>
      <c r="E23" s="45">
        <v>7.8987411337473601</v>
      </c>
      <c r="F23" s="45">
        <v>158.286302731418</v>
      </c>
      <c r="G23" s="45">
        <v>5.0000000000000001E-3</v>
      </c>
      <c r="H23" s="46">
        <f t="shared" si="0"/>
        <v>2.9795260638954186</v>
      </c>
      <c r="I23" s="45">
        <v>4.5182661660470202</v>
      </c>
      <c r="J23" s="45">
        <v>177.90159085823501</v>
      </c>
      <c r="K23" s="45">
        <v>180.88111692213101</v>
      </c>
      <c r="L23" s="45">
        <v>4.0579854131648903</v>
      </c>
      <c r="M23" s="45">
        <v>20.039434139085799</v>
      </c>
      <c r="N23" s="45">
        <f t="shared" si="1"/>
        <v>158.28630273141812</v>
      </c>
      <c r="O23" s="45">
        <f t="shared" si="2"/>
        <v>2.5219646564619644</v>
      </c>
      <c r="P23" s="45"/>
    </row>
    <row r="24" spans="1:16" x14ac:dyDescent="0.25">
      <c r="A24">
        <v>18</v>
      </c>
      <c r="B24" s="45" t="s">
        <v>40</v>
      </c>
      <c r="C24" s="46">
        <v>0.26250000000000001</v>
      </c>
      <c r="D24" s="45">
        <v>2.8604194987660998</v>
      </c>
      <c r="E24" s="45">
        <v>7.7674911337473604</v>
      </c>
      <c r="F24" s="45">
        <v>22.2182830954638</v>
      </c>
      <c r="G24" s="45">
        <v>0</v>
      </c>
      <c r="H24" s="46">
        <f t="shared" si="0"/>
        <v>2.848276063895419</v>
      </c>
      <c r="I24" s="45">
        <v>0</v>
      </c>
      <c r="J24" s="45">
        <v>23.2056581512132</v>
      </c>
      <c r="K24" s="45">
        <v>26.053934215108601</v>
      </c>
      <c r="L24" s="45">
        <v>0.57923494850013701</v>
      </c>
      <c r="M24" s="45">
        <v>2.8604194987660998</v>
      </c>
      <c r="N24" s="45">
        <f t="shared" si="1"/>
        <v>22.21828309546375</v>
      </c>
      <c r="O24" s="45">
        <f t="shared" si="2"/>
        <v>2.3907146564619648</v>
      </c>
      <c r="P24" s="45"/>
    </row>
    <row r="25" spans="1:16" x14ac:dyDescent="0.25">
      <c r="A25">
        <v>19</v>
      </c>
      <c r="B25" s="45" t="s">
        <v>41</v>
      </c>
      <c r="C25" s="46">
        <v>0</v>
      </c>
      <c r="D25" s="45">
        <v>0.41964765633555001</v>
      </c>
      <c r="E25" s="45">
        <v>8.1678573743701701</v>
      </c>
      <c r="F25" s="45">
        <v>3.4276222044374798</v>
      </c>
      <c r="G25" s="45">
        <v>0</v>
      </c>
      <c r="H25" s="46">
        <f t="shared" si="0"/>
        <v>3.2486423045182287</v>
      </c>
      <c r="I25" s="45">
        <v>0</v>
      </c>
      <c r="J25" s="45">
        <v>4.4288257443711903</v>
      </c>
      <c r="K25" s="45">
        <v>7.6774680488894296</v>
      </c>
      <c r="L25" s="45">
        <v>0</v>
      </c>
      <c r="M25" s="45">
        <v>0.41964765633555001</v>
      </c>
      <c r="N25" s="45">
        <f t="shared" si="1"/>
        <v>3.4276222044374811</v>
      </c>
      <c r="O25" s="45">
        <f t="shared" si="2"/>
        <v>2.7910808970847745</v>
      </c>
      <c r="P25" s="45"/>
    </row>
    <row r="26" spans="1:16" x14ac:dyDescent="0.25">
      <c r="A26">
        <v>20</v>
      </c>
      <c r="B26" s="45" t="s">
        <v>42</v>
      </c>
      <c r="C26" s="46">
        <v>0.53161624062281199</v>
      </c>
      <c r="D26" s="45">
        <v>69.533825840061695</v>
      </c>
      <c r="E26" s="45">
        <v>7.7487411337473597</v>
      </c>
      <c r="F26" s="45">
        <v>538.79961647371101</v>
      </c>
      <c r="G26" s="45">
        <v>0</v>
      </c>
      <c r="H26" s="46">
        <f t="shared" si="0"/>
        <v>2.8295260638954183</v>
      </c>
      <c r="I26" s="45">
        <v>0</v>
      </c>
      <c r="J26" s="45">
        <v>556.70295040629901</v>
      </c>
      <c r="K26" s="45">
        <v>559.53247647019396</v>
      </c>
      <c r="L26" s="45">
        <v>0</v>
      </c>
      <c r="M26" s="45">
        <v>69.533825840061695</v>
      </c>
      <c r="N26" s="45">
        <f t="shared" si="1"/>
        <v>538.79961647371113</v>
      </c>
      <c r="O26" s="45">
        <f t="shared" si="2"/>
        <v>2.3719646564619641</v>
      </c>
      <c r="P26" s="45"/>
    </row>
    <row r="27" spans="1:16" x14ac:dyDescent="0.25">
      <c r="A27">
        <v>21</v>
      </c>
      <c r="B27" s="45" t="s">
        <v>43</v>
      </c>
      <c r="C27" s="46">
        <v>0.73085796757168997</v>
      </c>
      <c r="D27" s="45">
        <v>296.83513030949098</v>
      </c>
      <c r="E27" s="45">
        <v>10.1935030705648</v>
      </c>
      <c r="F27" s="45">
        <v>3025.7898122613201</v>
      </c>
      <c r="G27" s="45">
        <v>0</v>
      </c>
      <c r="H27" s="46">
        <f t="shared" si="0"/>
        <v>5.2742880007128585</v>
      </c>
      <c r="I27" s="45">
        <v>0</v>
      </c>
      <c r="J27" s="45">
        <v>8257.3934687643196</v>
      </c>
      <c r="K27" s="45">
        <v>8262.6677567650295</v>
      </c>
      <c r="L27" s="45">
        <v>0</v>
      </c>
      <c r="M27" s="45">
        <v>296.83513030949098</v>
      </c>
      <c r="N27" s="45">
        <f t="shared" si="1"/>
        <v>3025.7898122612987</v>
      </c>
      <c r="O27" s="45">
        <f t="shared" si="2"/>
        <v>4.8167265932794043</v>
      </c>
      <c r="P27" s="45"/>
    </row>
    <row r="28" spans="1:16" x14ac:dyDescent="0.25">
      <c r="A28">
        <v>22</v>
      </c>
      <c r="B28" s="45" t="s">
        <v>44</v>
      </c>
      <c r="C28" s="46">
        <v>1.2168329530316599</v>
      </c>
      <c r="D28" s="45">
        <v>694.59420492420998</v>
      </c>
      <c r="E28" s="45">
        <v>8.9946576102631894</v>
      </c>
      <c r="F28" s="45">
        <v>6247.6370513662596</v>
      </c>
      <c r="G28" s="45">
        <v>0</v>
      </c>
      <c r="H28" s="46">
        <f t="shared" si="0"/>
        <v>4.075442540411248</v>
      </c>
      <c r="I28" s="45">
        <v>0</v>
      </c>
      <c r="J28" s="45">
        <v>11536.676226116901</v>
      </c>
      <c r="K28" s="45">
        <v>11540.7516686573</v>
      </c>
      <c r="L28" s="45">
        <v>0</v>
      </c>
      <c r="M28" s="45">
        <v>694.59420492420998</v>
      </c>
      <c r="N28" s="45">
        <f t="shared" si="1"/>
        <v>6247.637051366255</v>
      </c>
      <c r="O28" s="45">
        <f t="shared" si="2"/>
        <v>3.6178811329777938</v>
      </c>
      <c r="P28" s="45"/>
    </row>
    <row r="29" spans="1:16" x14ac:dyDescent="0.25">
      <c r="A29">
        <v>23</v>
      </c>
      <c r="B29" s="48" t="s">
        <v>45</v>
      </c>
      <c r="C29" s="49">
        <v>0.86911624062281201</v>
      </c>
      <c r="D29" s="48">
        <v>33.174471739372898</v>
      </c>
      <c r="E29" s="48">
        <v>7.2016830134359502</v>
      </c>
      <c r="F29" s="48">
        <v>238.91202960515301</v>
      </c>
      <c r="G29" s="48">
        <v>5.0000000000000001E-3</v>
      </c>
      <c r="H29" s="49">
        <f t="shared" si="0"/>
        <v>2.2824679435840087</v>
      </c>
      <c r="I29" s="48">
        <v>5.4471460814423303</v>
      </c>
      <c r="J29" s="48">
        <v>172.82771557177301</v>
      </c>
      <c r="K29" s="48">
        <v>175.11018351535699</v>
      </c>
      <c r="L29" s="48">
        <v>6.7178305272230103</v>
      </c>
      <c r="M29" s="48">
        <v>33.174471739372898</v>
      </c>
      <c r="N29" s="48">
        <f t="shared" si="1"/>
        <v>238.91202960515278</v>
      </c>
      <c r="O29" s="48">
        <f t="shared" si="2"/>
        <v>1.8249065361505545</v>
      </c>
      <c r="P29" s="48"/>
    </row>
    <row r="30" spans="1:16" x14ac:dyDescent="0.25">
      <c r="A30">
        <v>24</v>
      </c>
      <c r="B30" s="48" t="s">
        <v>46</v>
      </c>
      <c r="C30" s="49">
        <v>0</v>
      </c>
      <c r="D30" s="48">
        <v>19.102439643732598</v>
      </c>
      <c r="E30" s="48">
        <v>7.2016830134359502</v>
      </c>
      <c r="F30" s="48">
        <v>137.569715097455</v>
      </c>
      <c r="G30" s="48">
        <v>0</v>
      </c>
      <c r="H30" s="49">
        <f t="shared" si="0"/>
        <v>2.2824679435840087</v>
      </c>
      <c r="I30" s="48">
        <v>1.93412201392793</v>
      </c>
      <c r="J30" s="48">
        <v>99.517214061790398</v>
      </c>
      <c r="K30" s="48">
        <v>101.799682005374</v>
      </c>
      <c r="L30" s="48">
        <v>3.8682440278558601</v>
      </c>
      <c r="M30" s="48">
        <v>19.102439643732598</v>
      </c>
      <c r="N30" s="48">
        <f t="shared" si="1"/>
        <v>137.56971509745455</v>
      </c>
      <c r="O30" s="48">
        <f t="shared" si="2"/>
        <v>1.8249065361505545</v>
      </c>
      <c r="P30" s="48"/>
    </row>
    <row r="31" spans="1:16" x14ac:dyDescent="0.25">
      <c r="A31">
        <v>25</v>
      </c>
      <c r="B31" s="48" t="s">
        <v>47</v>
      </c>
      <c r="C31" s="49">
        <v>1.57928122328113</v>
      </c>
      <c r="D31" s="48">
        <v>99.764677369365302</v>
      </c>
      <c r="E31" s="48">
        <v>0</v>
      </c>
      <c r="F31" s="48">
        <v>0</v>
      </c>
      <c r="G31" s="48">
        <v>0</v>
      </c>
      <c r="H31" s="49">
        <f t="shared" si="0"/>
        <v>-4.9192150698519415</v>
      </c>
      <c r="I31" s="48">
        <v>10.101173583648199</v>
      </c>
      <c r="J31" s="48">
        <v>0</v>
      </c>
      <c r="K31" s="48">
        <v>0</v>
      </c>
      <c r="L31" s="48">
        <v>20.202347167296399</v>
      </c>
      <c r="M31" s="48">
        <v>99.764677369365302</v>
      </c>
      <c r="N31" s="48">
        <f t="shared" si="1"/>
        <v>0</v>
      </c>
      <c r="O31" s="48">
        <f t="shared" si="2"/>
        <v>-5.3767764772853957</v>
      </c>
      <c r="P31" s="48"/>
    </row>
    <row r="32" spans="1:16" x14ac:dyDescent="0.25">
      <c r="A32">
        <v>26</v>
      </c>
      <c r="B32" s="48" t="s">
        <v>48</v>
      </c>
      <c r="C32" s="49">
        <v>0.22500000000000001</v>
      </c>
      <c r="D32" s="48">
        <v>1.12984238193703</v>
      </c>
      <c r="E32" s="48">
        <v>6.8626178589796796</v>
      </c>
      <c r="F32" s="48">
        <v>7.7536765081132302</v>
      </c>
      <c r="G32" s="48">
        <v>5.0000000000000001E-3</v>
      </c>
      <c r="H32" s="49">
        <f t="shared" si="0"/>
        <v>1.9434027891277381</v>
      </c>
      <c r="I32" s="48">
        <v>0.22879308234224899</v>
      </c>
      <c r="J32" s="48">
        <v>4.2672049787221003</v>
      </c>
      <c r="K32" s="48">
        <v>6.2106077678498499</v>
      </c>
      <c r="L32" s="48">
        <v>0.22879308234224899</v>
      </c>
      <c r="M32" s="48">
        <v>1.12984238193703</v>
      </c>
      <c r="N32" s="48">
        <f t="shared" si="1"/>
        <v>7.7536765081132026</v>
      </c>
      <c r="O32" s="48">
        <f t="shared" si="2"/>
        <v>1.4858413816942839</v>
      </c>
      <c r="P32" s="48"/>
    </row>
    <row r="33" spans="1:16" x14ac:dyDescent="0.25">
      <c r="A33">
        <v>27</v>
      </c>
      <c r="B33" s="48" t="s">
        <v>49</v>
      </c>
      <c r="C33" s="49">
        <v>1.6452718738965699</v>
      </c>
      <c r="D33" s="48">
        <v>12.392652619582099</v>
      </c>
      <c r="E33" s="48">
        <v>5.9444889561762597</v>
      </c>
      <c r="F33" s="48">
        <v>73.667986634834605</v>
      </c>
      <c r="G33" s="48">
        <v>5.0000000000000001E-3</v>
      </c>
      <c r="H33" s="49">
        <f t="shared" si="0"/>
        <v>1.0252738863243183</v>
      </c>
      <c r="I33" s="48">
        <v>4.0502488707678497</v>
      </c>
      <c r="J33" s="48">
        <v>13.0269896531202</v>
      </c>
      <c r="K33" s="48">
        <v>14.0522635394445</v>
      </c>
      <c r="L33" s="48">
        <v>2.5095121554653699</v>
      </c>
      <c r="M33" s="48">
        <v>12.392652619582099</v>
      </c>
      <c r="N33" s="48">
        <f t="shared" si="1"/>
        <v>73.667986634834591</v>
      </c>
      <c r="O33" s="48">
        <f t="shared" si="2"/>
        <v>0.56771247889086407</v>
      </c>
      <c r="P33" s="48"/>
    </row>
    <row r="34" spans="1:16" x14ac:dyDescent="0.25">
      <c r="A34">
        <v>28</v>
      </c>
      <c r="B34" s="48" t="s">
        <v>50</v>
      </c>
      <c r="C34" s="49">
        <v>0.22500000000000001</v>
      </c>
      <c r="D34" s="48">
        <v>1.12984238193703</v>
      </c>
      <c r="E34" s="48">
        <v>5.0263600533728301</v>
      </c>
      <c r="F34" s="48">
        <v>5.6789946151759096</v>
      </c>
      <c r="G34" s="48">
        <v>5.0000000000000001E-3</v>
      </c>
      <c r="H34" s="49">
        <f t="shared" si="0"/>
        <v>0.10714498352088864</v>
      </c>
      <c r="I34" s="48">
        <v>0.22879308234224899</v>
      </c>
      <c r="J34" s="48">
        <v>1.29706442050241E-2</v>
      </c>
      <c r="K34" s="48">
        <v>0.12011562772591899</v>
      </c>
      <c r="L34" s="48">
        <v>0.22879308234224899</v>
      </c>
      <c r="M34" s="48">
        <v>1.12984238193703</v>
      </c>
      <c r="N34" s="48">
        <f t="shared" si="1"/>
        <v>5.6789946151758954</v>
      </c>
      <c r="O34" s="48">
        <f t="shared" si="2"/>
        <v>-0.35041642391256556</v>
      </c>
      <c r="P34" s="48"/>
    </row>
    <row r="35" spans="1:16" x14ac:dyDescent="0.25">
      <c r="A35">
        <v>29</v>
      </c>
      <c r="B35" s="48" t="s">
        <v>51</v>
      </c>
      <c r="C35" s="49">
        <v>2.0952718738965701</v>
      </c>
      <c r="D35" s="48">
        <v>0</v>
      </c>
      <c r="E35" s="48">
        <v>5.9444889561762597</v>
      </c>
      <c r="F35" s="48">
        <v>0</v>
      </c>
      <c r="G35" s="48">
        <v>0</v>
      </c>
      <c r="H35" s="49">
        <f t="shared" si="0"/>
        <v>1.0252738863243183</v>
      </c>
      <c r="I35" s="48">
        <v>0</v>
      </c>
      <c r="J35" s="48">
        <v>0</v>
      </c>
      <c r="K35" s="48">
        <v>1.02527388632432</v>
      </c>
      <c r="L35" s="48">
        <v>0</v>
      </c>
      <c r="M35" s="48">
        <v>0</v>
      </c>
      <c r="N35" s="48">
        <f t="shared" si="1"/>
        <v>0</v>
      </c>
      <c r="O35" s="48">
        <f t="shared" si="2"/>
        <v>0.56771247889086407</v>
      </c>
      <c r="P35" s="48"/>
    </row>
    <row r="36" spans="1:16" x14ac:dyDescent="0.25">
      <c r="A36">
        <v>30</v>
      </c>
      <c r="B36" s="48" t="s">
        <v>52</v>
      </c>
      <c r="C36" s="49">
        <v>0</v>
      </c>
      <c r="D36" s="48">
        <v>19.8004559235894</v>
      </c>
      <c r="E36" s="48">
        <v>0</v>
      </c>
      <c r="F36" s="48">
        <v>0</v>
      </c>
      <c r="G36" s="48">
        <v>0</v>
      </c>
      <c r="H36" s="49">
        <f t="shared" si="0"/>
        <v>-4.9192150698519415</v>
      </c>
      <c r="I36" s="48">
        <v>0</v>
      </c>
      <c r="J36" s="48">
        <v>479.14483543610999</v>
      </c>
      <c r="K36" s="48">
        <v>474.225620366258</v>
      </c>
      <c r="L36" s="48">
        <v>0</v>
      </c>
      <c r="M36" s="48">
        <v>19.8004559235894</v>
      </c>
      <c r="N36" s="48">
        <f t="shared" si="1"/>
        <v>0</v>
      </c>
      <c r="O36" s="48">
        <f t="shared" si="2"/>
        <v>-5.3767764772853957</v>
      </c>
      <c r="P36" s="48"/>
    </row>
    <row r="37" spans="1:16" x14ac:dyDescent="0.25">
      <c r="A37">
        <v>31</v>
      </c>
      <c r="B37" s="48" t="s">
        <v>53</v>
      </c>
      <c r="C37" s="49">
        <v>0.67500000000000004</v>
      </c>
      <c r="D37" s="48">
        <v>25.7649867502532</v>
      </c>
      <c r="E37" s="48">
        <v>4.7843530192279697</v>
      </c>
      <c r="F37" s="48">
        <v>123.26879214894301</v>
      </c>
      <c r="G37" s="48">
        <v>5.0000000000000001E-3</v>
      </c>
      <c r="H37" s="49">
        <f t="shared" si="0"/>
        <v>-0.13486205062397172</v>
      </c>
      <c r="I37" s="48">
        <v>3.5869692491368199</v>
      </c>
      <c r="J37" s="48">
        <v>0.46860772259351602</v>
      </c>
      <c r="K37" s="48">
        <v>0.33374567196954802</v>
      </c>
      <c r="L37" s="48">
        <v>5.2174098169262901</v>
      </c>
      <c r="M37" s="48">
        <v>25.7649867502532</v>
      </c>
      <c r="N37" s="48">
        <f t="shared" si="1"/>
        <v>123.26879214894254</v>
      </c>
      <c r="O37" s="48">
        <f t="shared" si="2"/>
        <v>-0.59242345805742591</v>
      </c>
      <c r="P37" s="48"/>
    </row>
    <row r="38" spans="1:16" x14ac:dyDescent="0.25">
      <c r="A38">
        <v>32</v>
      </c>
      <c r="B38" s="48" t="s">
        <v>54</v>
      </c>
      <c r="C38" s="49">
        <v>0.22500000000000001</v>
      </c>
      <c r="D38" s="48">
        <v>1.0946098034163101</v>
      </c>
      <c r="E38" s="48">
        <v>4.5423459850830996</v>
      </c>
      <c r="F38" s="48">
        <v>4.9720964457806902</v>
      </c>
      <c r="G38" s="48">
        <v>5.0000000000000001E-3</v>
      </c>
      <c r="H38" s="49">
        <f t="shared" si="0"/>
        <v>-0.37686908476884184</v>
      </c>
      <c r="I38" s="48">
        <v>0.22165848519180301</v>
      </c>
      <c r="J38" s="48">
        <v>0.15546776648408001</v>
      </c>
      <c r="K38" s="48">
        <v>-0.22140131828474999</v>
      </c>
      <c r="L38" s="48">
        <v>0.22165848519180301</v>
      </c>
      <c r="M38" s="48">
        <v>1.0946098034163101</v>
      </c>
      <c r="N38" s="48">
        <f t="shared" si="1"/>
        <v>4.9720964457806769</v>
      </c>
      <c r="O38" s="48">
        <f t="shared" si="2"/>
        <v>-0.83443049220229604</v>
      </c>
      <c r="P38" s="48"/>
    </row>
    <row r="39" spans="1:16" x14ac:dyDescent="0.25">
      <c r="A39">
        <v>33</v>
      </c>
      <c r="B39" s="48" t="s">
        <v>55</v>
      </c>
      <c r="C39" s="49">
        <v>3.0968530192279702</v>
      </c>
      <c r="D39" s="48">
        <v>22.598971163908899</v>
      </c>
      <c r="E39" s="48">
        <v>2.8984265096139801</v>
      </c>
      <c r="F39" s="48">
        <v>65.501457111475702</v>
      </c>
      <c r="G39" s="48">
        <v>5.0000000000000001E-3</v>
      </c>
      <c r="H39" s="49">
        <f t="shared" si="0"/>
        <v>-2.0207885602379614</v>
      </c>
      <c r="I39" s="48">
        <v>20.349429315507201</v>
      </c>
      <c r="J39" s="48">
        <v>92.284851416187394</v>
      </c>
      <c r="K39" s="48">
        <v>90.264062855949504</v>
      </c>
      <c r="L39" s="48">
        <v>4.5762916606915596</v>
      </c>
      <c r="M39" s="48">
        <v>22.598971163908899</v>
      </c>
      <c r="N39" s="48">
        <f t="shared" si="1"/>
        <v>65.50145711147546</v>
      </c>
      <c r="O39" s="48">
        <f t="shared" si="2"/>
        <v>-2.4783499676714156</v>
      </c>
      <c r="P39" s="48"/>
    </row>
    <row r="40" spans="1:16" x14ac:dyDescent="0.25">
      <c r="A40">
        <v>34</v>
      </c>
      <c r="B40" s="48" t="s">
        <v>56</v>
      </c>
      <c r="C40" s="49">
        <v>0.22500000000000001</v>
      </c>
      <c r="D40" s="48">
        <v>1.0946098034163101</v>
      </c>
      <c r="E40" s="48">
        <v>1.2545070341448601</v>
      </c>
      <c r="F40" s="48">
        <v>1.37319569802968</v>
      </c>
      <c r="G40" s="48">
        <v>5.0000000000000001E-3</v>
      </c>
      <c r="H40" s="49">
        <f t="shared" si="0"/>
        <v>-3.6647080357070814</v>
      </c>
      <c r="I40" s="48">
        <v>0.22165848519180301</v>
      </c>
      <c r="J40" s="48">
        <v>14.700702687458101</v>
      </c>
      <c r="K40" s="48">
        <v>11.0359946517511</v>
      </c>
      <c r="L40" s="48">
        <v>0.22165848519180301</v>
      </c>
      <c r="M40" s="48">
        <v>1.0946098034163101</v>
      </c>
      <c r="N40" s="48">
        <f t="shared" si="1"/>
        <v>1.3731956980296836</v>
      </c>
      <c r="O40" s="48">
        <f t="shared" si="2"/>
        <v>-4.1222694431405351</v>
      </c>
      <c r="P40" s="48"/>
    </row>
    <row r="41" spans="1:16" x14ac:dyDescent="0.25">
      <c r="A41">
        <v>35</v>
      </c>
      <c r="B41" s="48" t="s">
        <v>57</v>
      </c>
      <c r="C41" s="49">
        <v>3.5468530192279699</v>
      </c>
      <c r="D41" s="48">
        <v>11.8052027027455</v>
      </c>
      <c r="E41" s="48">
        <v>2.8984265096139801</v>
      </c>
      <c r="F41" s="48">
        <v>34.216512465004399</v>
      </c>
      <c r="G41" s="48">
        <v>0</v>
      </c>
      <c r="H41" s="49">
        <f t="shared" si="0"/>
        <v>-2.0207885602379614</v>
      </c>
      <c r="I41" s="48">
        <v>13.571227913489199</v>
      </c>
      <c r="J41" s="48">
        <v>48.207565267427299</v>
      </c>
      <c r="K41" s="48">
        <v>46.186776707189303</v>
      </c>
      <c r="L41" s="48">
        <v>2.39055354730597</v>
      </c>
      <c r="M41" s="48">
        <v>11.8052027027455</v>
      </c>
      <c r="N41" s="48">
        <f t="shared" si="1"/>
        <v>34.216512465004165</v>
      </c>
      <c r="O41" s="48">
        <f t="shared" si="2"/>
        <v>-2.4783499676714156</v>
      </c>
      <c r="P41" s="48"/>
    </row>
    <row r="42" spans="1:16" x14ac:dyDescent="0.25">
      <c r="A42">
        <v>36</v>
      </c>
      <c r="B42" s="48" t="s">
        <v>58</v>
      </c>
      <c r="C42" s="49">
        <v>0</v>
      </c>
      <c r="D42" s="48">
        <v>46.3330668611992</v>
      </c>
      <c r="E42" s="48">
        <v>0</v>
      </c>
      <c r="F42" s="48">
        <v>0</v>
      </c>
      <c r="G42" s="48">
        <v>0</v>
      </c>
      <c r="H42" s="49">
        <f t="shared" si="0"/>
        <v>-4.9192150698519415</v>
      </c>
      <c r="I42" s="48">
        <v>0</v>
      </c>
      <c r="J42" s="48">
        <v>1121.1989149204901</v>
      </c>
      <c r="K42" s="48">
        <v>1116.2796998506401</v>
      </c>
      <c r="L42" s="48">
        <v>0</v>
      </c>
      <c r="M42" s="48">
        <v>46.3330668611992</v>
      </c>
      <c r="N42" s="48">
        <f t="shared" si="1"/>
        <v>0</v>
      </c>
      <c r="O42" s="48">
        <f t="shared" si="2"/>
        <v>-5.3767764772853957</v>
      </c>
      <c r="P42" s="48"/>
    </row>
    <row r="43" spans="1:16" x14ac:dyDescent="0.25">
      <c r="B43" s="48" t="s">
        <v>59</v>
      </c>
      <c r="C43" s="49">
        <v>0.44977909418564999</v>
      </c>
      <c r="D43" s="48">
        <v>12.4330617308014</v>
      </c>
      <c r="E43" s="48">
        <v>2.8984265096139801</v>
      </c>
      <c r="F43" s="48">
        <v>36.036315716222099</v>
      </c>
      <c r="G43" s="48">
        <v>5.0000000000000001E-3</v>
      </c>
      <c r="H43" s="49">
        <f t="shared" si="0"/>
        <v>-2.0207885602379614</v>
      </c>
      <c r="I43" s="48">
        <v>2.51769500048729</v>
      </c>
      <c r="J43" s="48">
        <v>50.771481858771303</v>
      </c>
      <c r="K43" s="48">
        <v>48.750693298533399</v>
      </c>
      <c r="L43" s="48">
        <v>2.51769500048729</v>
      </c>
      <c r="M43" s="48">
        <v>12.4330617308014</v>
      </c>
      <c r="N43" s="48">
        <f t="shared" si="1"/>
        <v>36.03631571622185</v>
      </c>
      <c r="O43" s="48">
        <f t="shared" si="2"/>
        <v>-2.4783499676714156</v>
      </c>
      <c r="P43" s="48"/>
    </row>
    <row r="44" spans="1:16" x14ac:dyDescent="0.25">
      <c r="A44">
        <v>37</v>
      </c>
      <c r="B44" s="48" t="s">
        <v>60</v>
      </c>
      <c r="C44" s="49">
        <v>0.9</v>
      </c>
      <c r="D44" s="48">
        <v>34.353315667004303</v>
      </c>
      <c r="E44" s="48">
        <v>0.45</v>
      </c>
      <c r="F44" s="48">
        <v>15.458992050151901</v>
      </c>
      <c r="G44" s="48">
        <v>5.0000000000000001E-3</v>
      </c>
      <c r="H44" s="49">
        <f t="shared" si="0"/>
        <v>-4.4692150698519413</v>
      </c>
      <c r="I44" s="48">
        <v>9.2753952300911795</v>
      </c>
      <c r="J44" s="48">
        <v>686.16911949526605</v>
      </c>
      <c r="K44" s="48">
        <v>681.69990442541405</v>
      </c>
      <c r="L44" s="48">
        <v>6.9565464225683797</v>
      </c>
      <c r="M44" s="48">
        <v>34.353315667004303</v>
      </c>
      <c r="N44" s="48">
        <f t="shared" si="1"/>
        <v>15.458992050151936</v>
      </c>
      <c r="O44" s="48">
        <f t="shared" si="2"/>
        <v>-4.9267764772853955</v>
      </c>
      <c r="P44" s="48"/>
    </row>
    <row r="45" spans="1:16" x14ac:dyDescent="0.25">
      <c r="A45">
        <v>38</v>
      </c>
      <c r="B45" s="48" t="s">
        <v>61</v>
      </c>
      <c r="C45" s="49">
        <v>0.45</v>
      </c>
      <c r="D45" s="48">
        <v>16.1993323728957</v>
      </c>
      <c r="E45" s="48">
        <v>0.22500000000000001</v>
      </c>
      <c r="F45" s="48">
        <v>3.6448497839015399</v>
      </c>
      <c r="G45" s="48">
        <v>0</v>
      </c>
      <c r="H45" s="49">
        <f t="shared" si="0"/>
        <v>-4.6942150698519418</v>
      </c>
      <c r="I45" s="48">
        <v>0</v>
      </c>
      <c r="J45" s="48">
        <v>356.96290137618598</v>
      </c>
      <c r="K45" s="48">
        <v>352.26868630633402</v>
      </c>
      <c r="L45" s="48">
        <v>3.2803648055113799</v>
      </c>
      <c r="M45" s="48">
        <v>16.1993323728957</v>
      </c>
      <c r="N45" s="48">
        <f t="shared" si="1"/>
        <v>3.6448497839015328</v>
      </c>
      <c r="O45" s="48">
        <f t="shared" si="2"/>
        <v>-5.151776477285396</v>
      </c>
      <c r="P45" s="48"/>
    </row>
    <row r="46" spans="1:16" x14ac:dyDescent="0.25">
      <c r="A46">
        <v>39</v>
      </c>
      <c r="B46" s="48" t="s">
        <v>62</v>
      </c>
      <c r="C46" s="49">
        <v>0</v>
      </c>
      <c r="D46" s="104">
        <v>2.1324825041812199</v>
      </c>
      <c r="E46" s="48">
        <v>1.26512074848753</v>
      </c>
      <c r="F46" s="48">
        <v>2.69784786182632</v>
      </c>
      <c r="G46" s="48">
        <v>0</v>
      </c>
      <c r="H46" s="49">
        <f t="shared" si="0"/>
        <v>-3.6540943213644113</v>
      </c>
      <c r="I46" s="48">
        <v>0</v>
      </c>
      <c r="J46" s="48">
        <v>28.4737707110908</v>
      </c>
      <c r="K46" s="48">
        <v>24.8196763897264</v>
      </c>
      <c r="L46" s="48">
        <v>0</v>
      </c>
      <c r="M46" s="104">
        <v>2.1324825041812199</v>
      </c>
      <c r="N46" s="48">
        <f t="shared" si="1"/>
        <v>2.6978478618263071</v>
      </c>
      <c r="O46" s="48">
        <f t="shared" si="2"/>
        <v>-4.1116557287978655</v>
      </c>
      <c r="P46" s="48"/>
    </row>
    <row r="47" spans="1:16" x14ac:dyDescent="0.25">
      <c r="A47">
        <v>40</v>
      </c>
      <c r="B47" s="48" t="s">
        <v>63</v>
      </c>
      <c r="C47" s="49">
        <v>1.26512074848753</v>
      </c>
      <c r="D47" s="48">
        <v>118.655916209132</v>
      </c>
      <c r="E47" s="48">
        <v>0.1125</v>
      </c>
      <c r="F47" s="48">
        <v>13.3487905735273</v>
      </c>
      <c r="G47" s="48">
        <v>0</v>
      </c>
      <c r="H47" s="49">
        <f t="shared" si="0"/>
        <v>-4.8067150698519416</v>
      </c>
      <c r="I47" s="48">
        <v>0</v>
      </c>
      <c r="J47" s="48">
        <v>2741.4867744609501</v>
      </c>
      <c r="K47" s="48">
        <v>2736.6800593910998</v>
      </c>
      <c r="L47" s="48">
        <v>0</v>
      </c>
      <c r="M47" s="48">
        <v>118.655916209132</v>
      </c>
      <c r="N47" s="48">
        <f t="shared" si="1"/>
        <v>13.348790573527351</v>
      </c>
      <c r="O47" s="48">
        <f t="shared" si="2"/>
        <v>-5.2642764772853958</v>
      </c>
      <c r="P47" s="48"/>
    </row>
    <row r="48" spans="1:16" x14ac:dyDescent="0.25">
      <c r="A48">
        <v>41</v>
      </c>
      <c r="B48" s="48" t="s">
        <v>64</v>
      </c>
      <c r="C48" s="49">
        <v>2.0952718738965701</v>
      </c>
      <c r="D48" s="49">
        <v>996.90045590385103</v>
      </c>
      <c r="E48" s="48">
        <v>5.9444889561762597</v>
      </c>
      <c r="F48" s="48">
        <v>5926.0637505275199</v>
      </c>
      <c r="G48" s="48">
        <v>0</v>
      </c>
      <c r="H48" s="49">
        <f t="shared" si="0"/>
        <v>1.0252738863243183</v>
      </c>
      <c r="I48" s="48">
        <v>0</v>
      </c>
      <c r="J48" s="48">
        <v>1047.92834293843</v>
      </c>
      <c r="K48" s="48">
        <v>1048.95361682476</v>
      </c>
      <c r="L48" s="48">
        <v>0</v>
      </c>
      <c r="M48" s="48">
        <v>548.87004693455719</v>
      </c>
      <c r="N48" s="48">
        <f t="shared" si="1"/>
        <v>3262.7519323784204</v>
      </c>
      <c r="O48" s="48">
        <f t="shared" si="2"/>
        <v>0.56771247889086407</v>
      </c>
      <c r="P48" s="48"/>
    </row>
    <row r="49" spans="1:16" x14ac:dyDescent="0.25">
      <c r="A49">
        <v>42</v>
      </c>
      <c r="B49" s="48" t="s">
        <v>65</v>
      </c>
      <c r="C49" s="49">
        <v>3.5468530192279699</v>
      </c>
      <c r="D49" s="49">
        <v>2332.7470668150099</v>
      </c>
      <c r="E49" s="48">
        <v>2.8984265096139801</v>
      </c>
      <c r="F49" s="48">
        <v>6761.2959386808998</v>
      </c>
      <c r="G49" s="48">
        <v>0</v>
      </c>
      <c r="H49" s="49">
        <f t="shared" si="0"/>
        <v>-2.0207885602379614</v>
      </c>
      <c r="I49" s="48">
        <v>0</v>
      </c>
      <c r="J49" s="48">
        <v>9525.9742087893301</v>
      </c>
      <c r="K49" s="48">
        <v>9523.9534202290906</v>
      </c>
      <c r="L49" s="48">
        <v>0</v>
      </c>
      <c r="M49" s="48">
        <v>1284.3559098268638</v>
      </c>
      <c r="N49" s="48">
        <f t="shared" si="1"/>
        <v>3722.6112168215645</v>
      </c>
      <c r="O49" s="48">
        <f t="shared" si="2"/>
        <v>-2.4783499676714156</v>
      </c>
      <c r="P49" s="48"/>
    </row>
    <row r="50" spans="1:16" x14ac:dyDescent="0.25">
      <c r="A50" s="12" t="s">
        <v>66</v>
      </c>
      <c r="B50" s="12"/>
      <c r="C50" s="12"/>
      <c r="D50" s="12">
        <f>SUBTOTAL(109,Table16[Mass (kg)])</f>
        <v>5122.651731232304</v>
      </c>
      <c r="E50" s="12"/>
      <c r="F50" s="12">
        <f>SUBTOTAL(109,F5:F49)</f>
        <v>25199.425593881089</v>
      </c>
      <c r="G50" s="12"/>
      <c r="H50" s="12"/>
      <c r="I50" s="12">
        <f>SUBTOTAL(109,Table16[J0])</f>
        <v>104.24867792311056</v>
      </c>
      <c r="J50" s="12"/>
      <c r="K50" s="12">
        <f>SUBTOTAL(109,Table16[Jpitch/yaw])</f>
        <v>43033.758857097535</v>
      </c>
      <c r="L50" s="12" t="e">
        <f>SUBTOTAL(109,#REF!)</f>
        <v>#REF!</v>
      </c>
      <c r="M50" s="12"/>
      <c r="N50" s="12"/>
      <c r="O50" s="12"/>
      <c r="P50" s="12"/>
    </row>
    <row r="51" spans="1:16" x14ac:dyDescent="0.25">
      <c r="A51" s="42"/>
      <c r="B51" s="42"/>
      <c r="C51" s="42"/>
      <c r="D51" s="42"/>
      <c r="E51" s="42"/>
      <c r="F51" s="42" t="s">
        <v>67</v>
      </c>
      <c r="G51" s="42">
        <f>F50/D50</f>
        <v>4.9192150698519415</v>
      </c>
      <c r="H51" s="42"/>
      <c r="I51" s="42"/>
      <c r="J51" s="42" t="s">
        <v>68</v>
      </c>
      <c r="K51" s="42" t="e">
        <f>#REF!/#REF!</f>
        <v>#REF!</v>
      </c>
      <c r="L51" s="42" t="s">
        <v>69</v>
      </c>
    </row>
    <row r="52" spans="1:16" ht="15.75" thickBot="1" x14ac:dyDescent="0.3"/>
    <row r="53" spans="1:16" ht="15.75" thickBot="1" x14ac:dyDescent="0.3">
      <c r="A53" s="37" t="s">
        <v>70</v>
      </c>
      <c r="B53" s="39"/>
      <c r="D53" s="154" t="s">
        <v>71</v>
      </c>
      <c r="E53" s="155"/>
      <c r="G53" s="154" t="s">
        <v>72</v>
      </c>
      <c r="H53" s="156"/>
      <c r="I53" s="156"/>
      <c r="J53" s="157"/>
      <c r="L53" s="158" t="s">
        <v>73</v>
      </c>
      <c r="M53" s="159"/>
      <c r="N53" s="160"/>
    </row>
    <row r="54" spans="1:16" ht="18" x14ac:dyDescent="0.35">
      <c r="A54" s="1" t="s">
        <v>74</v>
      </c>
      <c r="B54" s="73">
        <f>timemaxq</f>
        <v>63</v>
      </c>
      <c r="D54" s="66" t="s">
        <v>75</v>
      </c>
      <c r="E54" s="105">
        <f>'HW10 and HW11'!J60</f>
        <v>0</v>
      </c>
      <c r="G54" s="106"/>
      <c r="H54" s="66" t="s">
        <v>76</v>
      </c>
      <c r="I54" s="107"/>
      <c r="J54" s="108" t="s">
        <v>77</v>
      </c>
      <c r="L54" s="151" t="s">
        <v>78</v>
      </c>
      <c r="M54" s="152"/>
      <c r="N54" s="153"/>
    </row>
    <row r="55" spans="1:16" ht="18" x14ac:dyDescent="0.35">
      <c r="A55" s="3" t="s">
        <v>79</v>
      </c>
      <c r="B55" s="52">
        <f>hmaxq</f>
        <v>10777.924781157901</v>
      </c>
      <c r="D55" s="67" t="s">
        <v>80</v>
      </c>
      <c r="E55" s="109">
        <f>'HW10 and HW11'!J61</f>
        <v>0</v>
      </c>
      <c r="G55" s="110" t="s">
        <v>81</v>
      </c>
      <c r="H55" s="111">
        <f>SUM(M5:M49)</f>
        <v>3626.2301652748638</v>
      </c>
      <c r="J55" s="112">
        <f>SUM(N5:N49)</f>
        <v>19497.42905387262</v>
      </c>
      <c r="L55" s="67" t="s">
        <v>82</v>
      </c>
      <c r="M55">
        <f>4.73004/G1</f>
        <v>0.41751861316738142</v>
      </c>
      <c r="N55" s="113"/>
    </row>
    <row r="56" spans="1:16" ht="18" x14ac:dyDescent="0.35">
      <c r="A56" s="3" t="s">
        <v>83</v>
      </c>
      <c r="B56" s="52">
        <f>vmaxq</f>
        <v>437.47286746779901</v>
      </c>
      <c r="D56" s="67" t="s">
        <v>84</v>
      </c>
      <c r="E56" s="109">
        <f>'HW10 and HW11'!J62</f>
        <v>5553.977424634606</v>
      </c>
      <c r="G56" s="110" t="s">
        <v>85</v>
      </c>
      <c r="H56" s="111">
        <f>SUM(D5:D26) + SUM(D29:D47)</f>
        <v>801.57487327974172</v>
      </c>
      <c r="J56" s="83">
        <f>SUM(N5:N26) + SUM(N29:N47)</f>
        <v>3238.639041045084</v>
      </c>
      <c r="L56" s="67" t="s">
        <v>86</v>
      </c>
      <c r="M56">
        <f>73000000000</f>
        <v>73000000000</v>
      </c>
      <c r="N56" s="113" t="s">
        <v>87</v>
      </c>
    </row>
    <row r="57" spans="1:16" ht="18.75" x14ac:dyDescent="0.35">
      <c r="A57" s="3" t="s">
        <v>88</v>
      </c>
      <c r="B57" s="52">
        <f>rhomaxq</f>
        <v>0.29885932689946798</v>
      </c>
      <c r="D57" s="67" t="s">
        <v>89</v>
      </c>
      <c r="E57" s="109">
        <f>'HW10 and HW11'!J63</f>
        <v>3581.4126486346158</v>
      </c>
      <c r="G57" s="110" t="s">
        <v>90</v>
      </c>
      <c r="H57" s="67"/>
      <c r="I57" s="114">
        <f>J55/H55</f>
        <v>5.3767764772853957</v>
      </c>
      <c r="J57" s="83"/>
      <c r="L57" s="67" t="s">
        <v>91</v>
      </c>
      <c r="M57">
        <f>SQRT(C2*C1)</f>
        <v>0.67156533561523257</v>
      </c>
      <c r="N57" s="113" t="s">
        <v>92</v>
      </c>
    </row>
    <row r="58" spans="1:16" ht="15" customHeight="1" x14ac:dyDescent="0.35">
      <c r="A58" s="3" t="s">
        <v>93</v>
      </c>
      <c r="B58" s="52">
        <f>massmaxq</f>
        <v>3581.4126486346158</v>
      </c>
      <c r="D58" s="67" t="s">
        <v>94</v>
      </c>
      <c r="E58" s="109">
        <f>'HW10 and HW11'!J64</f>
        <v>1972.5647759999902</v>
      </c>
      <c r="G58" s="110" t="s">
        <v>95</v>
      </c>
      <c r="H58" s="67"/>
      <c r="I58" s="114">
        <f>J56/H56</f>
        <v>4.0403450120558242</v>
      </c>
      <c r="J58" s="83"/>
      <c r="L58" s="67" t="s">
        <v>96</v>
      </c>
      <c r="M58">
        <f>PI()*(M57^3)*0.005</f>
        <v>4.7575645543662236E-3</v>
      </c>
      <c r="N58" s="113" t="s">
        <v>97</v>
      </c>
    </row>
    <row r="59" spans="1:16" ht="15" customHeight="1" x14ac:dyDescent="0.35">
      <c r="A59" s="3" t="s">
        <v>98</v>
      </c>
      <c r="B59" s="52">
        <f>Thrustmaxq</f>
        <v>81368.680564262002</v>
      </c>
      <c r="D59" s="67" t="s">
        <v>99</v>
      </c>
      <c r="E59" s="109">
        <f>'HW10 and HW11'!J65</f>
        <v>4055.417097005809</v>
      </c>
      <c r="G59" s="110" t="s">
        <v>100</v>
      </c>
      <c r="H59" s="111">
        <f>SUM(D5:D28) + SUM(D29:D47)</f>
        <v>1793.0042085134428</v>
      </c>
      <c r="J59" s="83">
        <f>SUM(N5:N28) + SUM(N29:N47)</f>
        <v>12512.065904672638</v>
      </c>
      <c r="L59" s="67" t="s">
        <v>101</v>
      </c>
      <c r="M59">
        <f>E54/G1</f>
        <v>0</v>
      </c>
      <c r="N59" s="113" t="s">
        <v>102</v>
      </c>
    </row>
    <row r="60" spans="1:16" ht="18.75" thickBot="1" x14ac:dyDescent="0.4">
      <c r="A60" s="146" t="s">
        <v>103</v>
      </c>
      <c r="B60" s="65">
        <f>nmax</f>
        <v>2.3072465345550199</v>
      </c>
      <c r="D60" s="67" t="s">
        <v>104</v>
      </c>
      <c r="E60" s="109">
        <f>'HW10 and HW11'!J66</f>
        <v>2082.8523210058188</v>
      </c>
      <c r="G60" s="110" t="s">
        <v>105</v>
      </c>
      <c r="H60" s="67"/>
      <c r="I60" s="114">
        <f>J59/H59</f>
        <v>6.9782691224390563</v>
      </c>
      <c r="J60" s="83"/>
      <c r="L60" s="67" t="s">
        <v>106</v>
      </c>
      <c r="M60" t="e">
        <f>((M55^2)/(2*PI()))*SQRT((M56*M58)/M59)</f>
        <v>#DIV/0!</v>
      </c>
      <c r="N60" s="113" t="s">
        <v>107</v>
      </c>
    </row>
    <row r="61" spans="1:16" ht="15" customHeight="1" thickBot="1" x14ac:dyDescent="0.4">
      <c r="D61" s="67" t="s">
        <v>108</v>
      </c>
      <c r="E61" s="109">
        <f>'HW10 and HW11'!J67</f>
        <v>1</v>
      </c>
      <c r="G61" s="110" t="s">
        <v>109</v>
      </c>
      <c r="H61" s="111">
        <f>SUM(D5:D28)</f>
        <v>1314.0442708849723</v>
      </c>
      <c r="J61" s="83">
        <f>SUM(N5:N28)</f>
        <v>11747.964652357045</v>
      </c>
      <c r="L61" s="148" t="e">
        <f>IF(M60&gt;1, "We are fine!", "Our diameter is too small!")</f>
        <v>#DIV/0!</v>
      </c>
      <c r="M61" s="149"/>
      <c r="N61" s="150"/>
    </row>
    <row r="62" spans="1:16" ht="15" customHeight="1" x14ac:dyDescent="0.35">
      <c r="A62">
        <v>996.90045590385103</v>
      </c>
      <c r="D62" s="67" t="s">
        <v>110</v>
      </c>
      <c r="E62" s="109">
        <f>'HW10 and HW11'!J68</f>
        <v>0</v>
      </c>
      <c r="G62" s="110" t="s">
        <v>111</v>
      </c>
      <c r="H62" s="67"/>
      <c r="I62" s="114">
        <f>J61/H61</f>
        <v>8.9403111543914093</v>
      </c>
      <c r="J62" s="83"/>
      <c r="L62" s="67"/>
      <c r="N62" s="113"/>
    </row>
    <row r="63" spans="1:16" ht="15" customHeight="1" x14ac:dyDescent="0.35">
      <c r="A63">
        <v>2332.7470668150099</v>
      </c>
      <c r="D63" s="67" t="s">
        <v>112</v>
      </c>
      <c r="E63" s="109">
        <f>'HW10 and HW11'!J69</f>
        <v>1972.5647759999902</v>
      </c>
      <c r="G63" s="110" t="s">
        <v>113</v>
      </c>
      <c r="H63" s="111">
        <f>SUM(D5:D26)</f>
        <v>322.61493565127125</v>
      </c>
      <c r="J63" s="83">
        <f>SUM(N5:N26)</f>
        <v>2474.5377887294917</v>
      </c>
      <c r="L63" s="151" t="s">
        <v>114</v>
      </c>
      <c r="M63" s="152"/>
      <c r="N63" s="153"/>
    </row>
    <row r="64" spans="1:16" ht="15" customHeight="1" x14ac:dyDescent="0.35">
      <c r="D64" s="67" t="s">
        <v>115</v>
      </c>
      <c r="E64" s="109">
        <f>'HW10 and HW11'!J70</f>
        <v>0</v>
      </c>
      <c r="G64" s="110" t="s">
        <v>116</v>
      </c>
      <c r="H64" s="67"/>
      <c r="I64" s="114">
        <f>J63/H63</f>
        <v>7.670251793315388</v>
      </c>
      <c r="J64" s="83"/>
      <c r="L64" s="67" t="s">
        <v>82</v>
      </c>
      <c r="M64">
        <f>4.73004/G1</f>
        <v>0.41751861316738142</v>
      </c>
      <c r="N64" s="113"/>
    </row>
    <row r="65" spans="1:14" ht="17.25" customHeight="1" x14ac:dyDescent="0.35">
      <c r="B65" t="s">
        <v>117</v>
      </c>
      <c r="D65" s="67" t="s">
        <v>118</v>
      </c>
      <c r="E65" s="109">
        <f>'HW10 and HW11'!J71</f>
        <v>2082.8523210058188</v>
      </c>
      <c r="G65" s="110" t="s">
        <v>119</v>
      </c>
      <c r="H65" s="111">
        <f>SUM(D29:D47)</f>
        <v>478.95993762847041</v>
      </c>
      <c r="J65" s="83">
        <f>SUM(N29:N47)</f>
        <v>764.10125231559255</v>
      </c>
      <c r="L65" s="67" t="s">
        <v>86</v>
      </c>
      <c r="M65">
        <f>73000000000</f>
        <v>73000000000</v>
      </c>
      <c r="N65" s="113" t="s">
        <v>87</v>
      </c>
    </row>
    <row r="66" spans="1:14" ht="18.75" thickBot="1" x14ac:dyDescent="0.4">
      <c r="A66" t="s">
        <v>120</v>
      </c>
      <c r="B66">
        <v>548.87004693455697</v>
      </c>
      <c r="D66" s="147" t="s">
        <v>121</v>
      </c>
      <c r="E66" s="115">
        <f>'HW10 and HW11'!J72</f>
        <v>0</v>
      </c>
      <c r="G66" s="116" t="s">
        <v>122</v>
      </c>
      <c r="H66" s="117"/>
      <c r="I66" s="118">
        <f>J65/H65</f>
        <v>1.5953343741002122</v>
      </c>
      <c r="J66" s="119"/>
      <c r="L66" s="67" t="s">
        <v>91</v>
      </c>
      <c r="M66">
        <f>SQRT(C1*C2)</f>
        <v>0.67156533561523257</v>
      </c>
      <c r="N66" s="113" t="s">
        <v>92</v>
      </c>
    </row>
    <row r="67" spans="1:14" x14ac:dyDescent="0.25">
      <c r="A67" t="s">
        <v>123</v>
      </c>
      <c r="B67">
        <v>1284.3559098268638</v>
      </c>
      <c r="L67" s="67" t="s">
        <v>96</v>
      </c>
      <c r="M67">
        <f>PI()*(M66^3)*0.005</f>
        <v>4.7575645543662236E-3</v>
      </c>
      <c r="N67" s="113" t="s">
        <v>97</v>
      </c>
    </row>
    <row r="68" spans="1:14" x14ac:dyDescent="0.25">
      <c r="L68" s="67" t="s">
        <v>101</v>
      </c>
      <c r="M68">
        <f>H59/G1</f>
        <v>158.26771666662671</v>
      </c>
      <c r="N68" s="113" t="s">
        <v>102</v>
      </c>
    </row>
    <row r="69" spans="1:14" ht="15.75" thickBot="1" x14ac:dyDescent="0.3">
      <c r="L69" s="67" t="s">
        <v>106</v>
      </c>
      <c r="M69">
        <f>((M64^2)/(2*PI()))*SQRT((M65*M67)/M68)</f>
        <v>41.098826425650358</v>
      </c>
      <c r="N69" s="113" t="s">
        <v>107</v>
      </c>
    </row>
    <row r="70" spans="1:14" ht="15.75" thickBot="1" x14ac:dyDescent="0.3">
      <c r="L70" s="148" t="str">
        <f>IF(M69&gt;1, "We are fine!", "Our diameter is too small!")</f>
        <v>We are fine!</v>
      </c>
      <c r="M70" s="149"/>
      <c r="N70" s="150"/>
    </row>
    <row r="71" spans="1:14" x14ac:dyDescent="0.25">
      <c r="L71" s="67"/>
      <c r="N71" s="113"/>
    </row>
    <row r="72" spans="1:14" x14ac:dyDescent="0.25">
      <c r="L72" s="151" t="s">
        <v>124</v>
      </c>
      <c r="M72" s="152"/>
      <c r="N72" s="153"/>
    </row>
    <row r="73" spans="1:14" x14ac:dyDescent="0.25">
      <c r="L73" s="67" t="s">
        <v>82</v>
      </c>
      <c r="M73">
        <f>4.73004/E1</f>
        <v>1.1417796042846233</v>
      </c>
      <c r="N73" s="113"/>
    </row>
    <row r="74" spans="1:14" x14ac:dyDescent="0.25">
      <c r="L74" s="67" t="s">
        <v>86</v>
      </c>
      <c r="M74">
        <f>73000000000</f>
        <v>73000000000</v>
      </c>
      <c r="N74" s="113" t="s">
        <v>87</v>
      </c>
    </row>
    <row r="75" spans="1:14" x14ac:dyDescent="0.25">
      <c r="L75" s="67" t="s">
        <v>91</v>
      </c>
      <c r="M75">
        <f>C1</f>
        <v>0.55000000000000004</v>
      </c>
      <c r="N75" s="113" t="s">
        <v>92</v>
      </c>
    </row>
    <row r="76" spans="1:14" x14ac:dyDescent="0.25">
      <c r="L76" s="67" t="s">
        <v>96</v>
      </c>
      <c r="M76">
        <f>PI()*(M75^3)*0.005</f>
        <v>2.6134123887050099E-3</v>
      </c>
      <c r="N76" s="113" t="s">
        <v>97</v>
      </c>
    </row>
    <row r="77" spans="1:14" x14ac:dyDescent="0.25">
      <c r="L77" s="67" t="s">
        <v>101</v>
      </c>
      <c r="M77">
        <f>H61/E1</f>
        <v>317.19582659417682</v>
      </c>
      <c r="N77" s="113" t="s">
        <v>102</v>
      </c>
    </row>
    <row r="78" spans="1:14" ht="15.75" thickBot="1" x14ac:dyDescent="0.3">
      <c r="L78" s="67" t="s">
        <v>106</v>
      </c>
      <c r="M78">
        <f>((M73^2)/(2*PI()))*SQRT((M74*M76)/M77)</f>
        <v>160.91123347395322</v>
      </c>
      <c r="N78" s="113" t="s">
        <v>107</v>
      </c>
    </row>
    <row r="79" spans="1:14" ht="15.75" thickBot="1" x14ac:dyDescent="0.3">
      <c r="L79" s="148" t="str">
        <f>IF(M78&gt;1, "We are fine!", "Our diameter is too small!")</f>
        <v>We are fine!</v>
      </c>
      <c r="M79" s="149"/>
      <c r="N79" s="150"/>
    </row>
  </sheetData>
  <mergeCells count="9">
    <mergeCell ref="L70:N70"/>
    <mergeCell ref="L72:N72"/>
    <mergeCell ref="L79:N79"/>
    <mergeCell ref="D53:E53"/>
    <mergeCell ref="G53:J53"/>
    <mergeCell ref="L53:N53"/>
    <mergeCell ref="L54:N54"/>
    <mergeCell ref="L61:N61"/>
    <mergeCell ref="L63:N63"/>
  </mergeCells>
  <conditionalFormatting sqref="L61 L70 L79">
    <cfRule type="containsText" dxfId="126" priority="1" operator="containsText" text="fine">
      <formula>NOT(ISERROR(SEARCH("fine",L61)))</formula>
    </cfRule>
    <cfRule type="containsText" dxfId="125" priority="2" operator="containsText" text="small">
      <formula>NOT(ISERROR(SEARCH("small",L61)))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79"/>
  <sheetViews>
    <sheetView tabSelected="1" topLeftCell="E1" zoomScaleNormal="100" workbookViewId="0">
      <selection activeCell="O46" sqref="O46"/>
    </sheetView>
  </sheetViews>
  <sheetFormatPr defaultRowHeight="15" x14ac:dyDescent="0.25"/>
  <cols>
    <col min="2" max="2" width="23.7109375" customWidth="1"/>
    <col min="3" max="3" width="11.140625" bestFit="1" customWidth="1"/>
    <col min="4" max="4" width="12.5703125" customWidth="1"/>
    <col min="5" max="5" width="16.7109375" customWidth="1"/>
    <col min="6" max="6" width="16.5703125" customWidth="1"/>
    <col min="7" max="7" width="13" bestFit="1" customWidth="1"/>
    <col min="8" max="8" width="13" customWidth="1"/>
    <col min="9" max="9" width="15.42578125" customWidth="1"/>
    <col min="10" max="10" width="19.7109375" customWidth="1"/>
    <col min="11" max="11" width="12.42578125" customWidth="1"/>
    <col min="12" max="12" width="8.28515625" customWidth="1"/>
    <col min="13" max="13" width="23.7109375" bestFit="1" customWidth="1"/>
    <col min="14" max="14" width="18.28515625" customWidth="1"/>
    <col min="15" max="15" width="16.28515625" bestFit="1" customWidth="1"/>
    <col min="16" max="16" width="23" customWidth="1"/>
    <col min="17" max="17" width="16.7109375" bestFit="1" customWidth="1"/>
    <col min="18" max="18" width="14.85546875" bestFit="1" customWidth="1"/>
  </cols>
  <sheetData>
    <row r="1" spans="2:51" ht="15.75" thickBot="1" x14ac:dyDescent="0.3"/>
    <row r="2" spans="2:51" ht="15.75" thickBot="1" x14ac:dyDescent="0.3">
      <c r="B2" s="32" t="s">
        <v>125</v>
      </c>
      <c r="C2" s="33"/>
      <c r="E2" s="37"/>
      <c r="F2" s="38" t="s">
        <v>126</v>
      </c>
      <c r="G2" s="39" t="s">
        <v>127</v>
      </c>
      <c r="I2" s="37" t="s">
        <v>70</v>
      </c>
      <c r="J2" s="39"/>
      <c r="K2" s="59"/>
      <c r="L2" s="37" t="s">
        <v>128</v>
      </c>
      <c r="M2" s="34"/>
      <c r="O2" s="164" t="s">
        <v>129</v>
      </c>
      <c r="P2" s="166"/>
      <c r="R2" s="37"/>
      <c r="S2" s="38" t="s">
        <v>130</v>
      </c>
      <c r="T2" s="39" t="s">
        <v>131</v>
      </c>
    </row>
    <row r="3" spans="2:51" ht="18.75" thickBot="1" x14ac:dyDescent="0.4">
      <c r="B3" s="1" t="s">
        <v>132</v>
      </c>
      <c r="C3" s="2">
        <v>0.27500000000000002</v>
      </c>
      <c r="E3" s="6" t="s">
        <v>8</v>
      </c>
      <c r="F3" s="35">
        <f>SUM(Rocket_Data[Mass (kg)])</f>
        <v>5553.977424634606</v>
      </c>
      <c r="G3" s="36">
        <f>SUM(E13:E36)</f>
        <v>515.07426655931954</v>
      </c>
      <c r="I3" s="1" t="s">
        <v>74</v>
      </c>
      <c r="J3" s="2">
        <v>63</v>
      </c>
      <c r="K3" s="4"/>
      <c r="L3" s="1" t="s">
        <v>133</v>
      </c>
      <c r="M3" s="54">
        <f>(1/2)*rhomaxq*(vmaxq^2)</f>
        <v>28598.22402517101</v>
      </c>
      <c r="O3" s="1" t="s">
        <v>134</v>
      </c>
      <c r="P3" s="54">
        <f>J66</f>
        <v>2082.8523210058188</v>
      </c>
      <c r="R3" s="1" t="s">
        <v>135</v>
      </c>
      <c r="S3" s="74">
        <v>2</v>
      </c>
      <c r="T3" s="73">
        <f>8*(areaskirt/G37)</f>
        <v>0</v>
      </c>
    </row>
    <row r="4" spans="2:51" ht="18.75" x14ac:dyDescent="0.35">
      <c r="B4" s="3" t="s">
        <v>136</v>
      </c>
      <c r="C4" s="5">
        <v>0.27500000000000002</v>
      </c>
      <c r="I4" s="3" t="s">
        <v>137</v>
      </c>
      <c r="J4" s="60">
        <v>10777.924781157901</v>
      </c>
      <c r="K4" s="4"/>
      <c r="L4" s="3" t="s">
        <v>138</v>
      </c>
      <c r="M4" s="5">
        <v>30</v>
      </c>
      <c r="O4" s="3" t="s">
        <v>118</v>
      </c>
      <c r="P4" s="53">
        <f>J73</f>
        <v>31.310551999999845</v>
      </c>
      <c r="R4" s="3" t="s">
        <v>139</v>
      </c>
      <c r="S4" s="24">
        <f>PI()*($C$3^2)</f>
        <v>0.23758294442772815</v>
      </c>
      <c r="T4" s="52">
        <f>(PI())*(($C$4^2)-($C$3^2))</f>
        <v>0</v>
      </c>
    </row>
    <row r="5" spans="2:51" ht="18.75" thickBot="1" x14ac:dyDescent="0.4">
      <c r="B5" s="3" t="s">
        <v>140</v>
      </c>
      <c r="C5" s="5">
        <v>0.27500000000000002</v>
      </c>
      <c r="I5" s="3" t="s">
        <v>83</v>
      </c>
      <c r="J5" s="58">
        <v>437.47286746779901</v>
      </c>
      <c r="K5" s="4"/>
      <c r="L5" s="3" t="s">
        <v>141</v>
      </c>
      <c r="M5" s="52">
        <f>DEGREES(ATAN(vwindmaxq/vmaxq))</f>
        <v>3.92295542171495</v>
      </c>
      <c r="O5" s="30" t="s">
        <v>121</v>
      </c>
      <c r="P5" s="69">
        <f>J74</f>
        <v>2.1119343961995467</v>
      </c>
      <c r="R5" s="3" t="s">
        <v>142</v>
      </c>
      <c r="S5" s="61">
        <f>RADIANS(alpha)*qmaxq*S4*S3</f>
        <v>930.41148049840081</v>
      </c>
      <c r="T5" s="60">
        <f>RADIANS(alpha)*qmaxq*T4*T3</f>
        <v>0</v>
      </c>
      <c r="U5" s="70"/>
    </row>
    <row r="6" spans="2:51" ht="18.75" x14ac:dyDescent="0.35">
      <c r="B6" s="7" t="s">
        <v>143</v>
      </c>
      <c r="C6" s="5">
        <v>1.2806999999999999</v>
      </c>
      <c r="I6" s="3" t="s">
        <v>88</v>
      </c>
      <c r="J6" s="52">
        <v>0.29885932689946798</v>
      </c>
      <c r="K6" s="4"/>
      <c r="L6" s="3" t="s">
        <v>144</v>
      </c>
      <c r="M6" s="58">
        <f>(S9+T9)/(cmmaxq)</f>
        <v>1848.0582033101737</v>
      </c>
      <c r="R6" s="3" t="s">
        <v>145</v>
      </c>
      <c r="S6" s="27">
        <f>0.2*qmaxq*S4</f>
        <v>1358.890053860785</v>
      </c>
      <c r="T6" s="60">
        <f>0.2*qmaxq*T4</f>
        <v>0</v>
      </c>
      <c r="U6" s="71"/>
    </row>
    <row r="7" spans="2:51" ht="18" x14ac:dyDescent="0.35">
      <c r="B7" s="3" t="s">
        <v>146</v>
      </c>
      <c r="C7" s="5">
        <v>0.77</v>
      </c>
      <c r="I7" s="3" t="s">
        <v>93</v>
      </c>
      <c r="J7" s="58">
        <f>mass1-1972.56477599999</f>
        <v>3581.4126486346158</v>
      </c>
      <c r="K7" s="4"/>
      <c r="L7" s="3" t="s">
        <v>147</v>
      </c>
      <c r="M7" s="51">
        <f>DEGREES(ASIN(reqtrim/Thrustmaxq))</f>
        <v>1.3014226128121629</v>
      </c>
      <c r="R7" s="3" t="s">
        <v>148</v>
      </c>
      <c r="S7" s="27">
        <f>(S5*COS(RADIANS(alpha)))+(S6*SIN(RADIANS(alpha)))</f>
        <v>1021.1999485324714</v>
      </c>
      <c r="T7" s="60">
        <f>(T5*COS(RADIANS(alpha)))+(T6*SIN(RADIANS(alpha)))</f>
        <v>0</v>
      </c>
      <c r="U7" s="72"/>
    </row>
    <row r="8" spans="2:51" ht="19.5" thickBot="1" x14ac:dyDescent="0.4">
      <c r="B8" s="3" t="s">
        <v>149</v>
      </c>
      <c r="C8" s="5">
        <v>9.8059999999999992</v>
      </c>
      <c r="I8" s="3" t="s">
        <v>98</v>
      </c>
      <c r="J8" s="5">
        <v>81368.680564262002</v>
      </c>
      <c r="K8" s="4"/>
      <c r="L8" s="6" t="s">
        <v>150</v>
      </c>
      <c r="M8" s="57">
        <f>(shearcone+shearskirt+reqtrim)/(massmaxq*g0)</f>
        <v>8.1700247502042078E-2</v>
      </c>
      <c r="R8" s="3" t="s">
        <v>151</v>
      </c>
      <c r="S8" s="27">
        <f>(S6*COS(RADIANS(alpha)))-(S5*SIN(RADIANS(alpha)))</f>
        <v>1292.0519984281868</v>
      </c>
      <c r="T8" s="60">
        <f>(T6*COS(RADIANS(alpha)))-(T5*SIN(RADIANS(alpha)))</f>
        <v>0</v>
      </c>
      <c r="U8" s="71"/>
    </row>
    <row r="9" spans="2:51" ht="18.75" thickBot="1" x14ac:dyDescent="0.4">
      <c r="B9" s="64" t="s">
        <v>152</v>
      </c>
      <c r="C9" s="65">
        <f>'HW9 - CM and J0'!G1</f>
        <v>7.0947120771973271</v>
      </c>
      <c r="I9" s="30" t="s">
        <v>103</v>
      </c>
      <c r="J9" s="55">
        <f>((Thrustmaxq-(0.2*qmaxq*(PI()*(1/4)*($C$4^2))))/(massmaxq*g0))</f>
        <v>2.3072465345550199</v>
      </c>
      <c r="R9" s="6" t="s">
        <v>153</v>
      </c>
      <c r="S9" s="62">
        <f>S7*(F13-cmmaxq)</f>
        <v>3902.9776857494908</v>
      </c>
      <c r="T9" s="63">
        <f>T7*(F37+-cmmaxq)</f>
        <v>0</v>
      </c>
      <c r="U9" s="71"/>
    </row>
    <row r="10" spans="2:51" ht="15.75" thickBot="1" x14ac:dyDescent="0.3">
      <c r="E10" s="31"/>
      <c r="F10" s="29"/>
      <c r="G10" s="29"/>
      <c r="H10" s="29"/>
    </row>
    <row r="11" spans="2:51" ht="15.75" thickBot="1" x14ac:dyDescent="0.3">
      <c r="B11" s="164" t="s">
        <v>154</v>
      </c>
      <c r="C11" s="165"/>
      <c r="D11" s="165"/>
      <c r="E11" s="165"/>
      <c r="F11" s="165"/>
      <c r="G11" s="165"/>
      <c r="H11" s="165"/>
      <c r="I11" s="165"/>
      <c r="J11" s="166"/>
      <c r="L11" s="161" t="s">
        <v>155</v>
      </c>
      <c r="M11" s="162"/>
      <c r="N11" s="162"/>
      <c r="O11" s="162"/>
      <c r="P11" s="162"/>
      <c r="Q11" s="163"/>
      <c r="S11" s="161" t="s">
        <v>156</v>
      </c>
      <c r="T11" s="162"/>
      <c r="U11" s="162"/>
      <c r="V11" s="162"/>
      <c r="W11" s="162"/>
      <c r="X11" s="162"/>
      <c r="Y11" s="162"/>
      <c r="Z11" s="162"/>
      <c r="AA11" s="162"/>
      <c r="AB11" s="162"/>
      <c r="AC11" s="163"/>
      <c r="AD11" s="161" t="s">
        <v>157</v>
      </c>
      <c r="AE11" s="162"/>
      <c r="AF11" s="162"/>
      <c r="AG11" s="162"/>
      <c r="AH11" s="162"/>
      <c r="AI11" s="162"/>
      <c r="AJ11" s="162"/>
      <c r="AK11" s="162"/>
      <c r="AL11" s="162"/>
      <c r="AM11" s="162"/>
      <c r="AN11" s="163"/>
      <c r="AO11" s="161" t="s">
        <v>158</v>
      </c>
      <c r="AP11" s="162"/>
      <c r="AQ11" s="162"/>
      <c r="AR11" s="162"/>
      <c r="AS11" s="162"/>
      <c r="AT11" s="162"/>
      <c r="AU11" s="162"/>
      <c r="AV11" s="162"/>
      <c r="AW11" s="162"/>
      <c r="AX11" s="162"/>
      <c r="AY11" s="163"/>
    </row>
    <row r="12" spans="2:51" ht="18.75" x14ac:dyDescent="0.35">
      <c r="B12" s="40" t="s">
        <v>6</v>
      </c>
      <c r="C12" s="11" t="s">
        <v>159</v>
      </c>
      <c r="D12" s="11" t="s">
        <v>160</v>
      </c>
      <c r="E12" s="11" t="s">
        <v>8</v>
      </c>
      <c r="F12" s="11" t="s">
        <v>161</v>
      </c>
      <c r="G12" s="11" t="s">
        <v>162</v>
      </c>
      <c r="H12" s="11" t="s">
        <v>163</v>
      </c>
      <c r="I12" s="11" t="s">
        <v>164</v>
      </c>
      <c r="J12" s="75" t="s">
        <v>165</v>
      </c>
      <c r="L12" s="11" t="s">
        <v>166</v>
      </c>
      <c r="M12" s="11" t="s">
        <v>167</v>
      </c>
      <c r="N12" s="11" t="s">
        <v>160</v>
      </c>
      <c r="O12" s="11" t="s">
        <v>168</v>
      </c>
      <c r="P12" s="12" t="s">
        <v>169</v>
      </c>
      <c r="Q12" s="12" t="s">
        <v>170</v>
      </c>
    </row>
    <row r="13" spans="2:51" x14ac:dyDescent="0.25">
      <c r="B13" s="13" t="s">
        <v>21</v>
      </c>
      <c r="C13" s="8" t="s">
        <v>86</v>
      </c>
      <c r="D13" s="43">
        <v>1.35</v>
      </c>
      <c r="E13" s="42">
        <v>25.832957151795199</v>
      </c>
      <c r="F13" s="42">
        <v>5.9338868858743803</v>
      </c>
      <c r="G13" s="18">
        <v>0.97799999999999998</v>
      </c>
      <c r="H13" s="17">
        <f>IF(Rocket_Data[[#This Row],[Ext or Int]]="E",9.5*(Rocket_Data[[#This Row],[CG (m)]]^0.2),"-")</f>
        <v>13.564114837015232</v>
      </c>
      <c r="I13" s="17">
        <f>IF(Rocket_Data[[#This Row],[vss (m/s)]]="-","-",SQRT(((1.25*Rocket_Data[[#This Row],[vss (m/s)]])^2)+((2.56*Rocket_Data[[#This Row],[vss (m/s)]])^2)))</f>
        <v>38.642494400946568</v>
      </c>
      <c r="J13" s="76">
        <f>IF(Rocket_Data[[#This Row],[vr (m/s)]]="-","-",(1/2)*rho*(Rocket_Data[[#This Row],[vr (m/s)]]^2)*Rocket_Data[[#This Row],[Area (m2)]]*Cd)</f>
        <v>720.07428054299828</v>
      </c>
      <c r="L13" s="4">
        <v>1</v>
      </c>
      <c r="M13" s="4" t="s">
        <v>171</v>
      </c>
      <c r="N13" s="25">
        <f>D13+D16+D20+D24+D26+D31+D37+D41+D43</f>
        <v>7.0866592854168742</v>
      </c>
      <c r="O13" s="27">
        <v>0</v>
      </c>
      <c r="P13" s="26">
        <f>External_Loads[[#This Row],[Shear Load (N)]]*External_Loads[[#This Row],[Height (m)]]</f>
        <v>0</v>
      </c>
      <c r="Q13" s="26">
        <v>0</v>
      </c>
    </row>
    <row r="14" spans="2:51" x14ac:dyDescent="0.25">
      <c r="B14" s="13" t="s">
        <v>22</v>
      </c>
      <c r="C14" s="8" t="s">
        <v>96</v>
      </c>
      <c r="D14" s="43">
        <v>1.35</v>
      </c>
      <c r="E14" s="42">
        <v>95</v>
      </c>
      <c r="F14" s="42">
        <v>5.9338868858743803</v>
      </c>
      <c r="G14" s="17" t="s">
        <v>172</v>
      </c>
      <c r="H14" s="17" t="str">
        <f>IF(Rocket_Data[[#This Row],[Ext or Int]]="E",9.5*(Rocket_Data[[#This Row],[CG (m)]]^0.2),"-")</f>
        <v>-</v>
      </c>
      <c r="I14" s="20" t="str">
        <f>IF(Rocket_Data[[#This Row],[vss (m/s)]]="-","-",SQRT(((1.25*Rocket_Data[[#This Row],[vss (m/s)]])^2)+((2.56*Rocket_Data[[#This Row],[vss (m/s)]])^2)))</f>
        <v>-</v>
      </c>
      <c r="J14" s="77" t="str">
        <f>IF(Rocket_Data[[#This Row],[vr (m/s)]]="-","-",(1/2)*rho*(Rocket_Data[[#This Row],[vr (m/s)]]^2)*Rocket_Data[[#This Row],[Area (m2)]]*Cd)</f>
        <v>-</v>
      </c>
      <c r="L14" s="4">
        <v>2</v>
      </c>
      <c r="M14" s="4" t="s">
        <v>173</v>
      </c>
      <c r="N14" s="24">
        <f>N13-D13</f>
        <v>5.7366592854168736</v>
      </c>
      <c r="O14" s="27">
        <f>J13</f>
        <v>720.07428054299828</v>
      </c>
      <c r="P14" s="26">
        <f>(J13*(F13-External_Loads[[#This Row],[Height (m)]]))+P13+((N13-N14)*O13)</f>
        <v>142.01852250266103</v>
      </c>
      <c r="Q14" s="26">
        <f>((E13+E14+E15)*g0)</f>
        <v>1471.7134778305024</v>
      </c>
    </row>
    <row r="15" spans="2:51" x14ac:dyDescent="0.25">
      <c r="B15" s="13" t="s">
        <v>23</v>
      </c>
      <c r="C15" s="8" t="s">
        <v>96</v>
      </c>
      <c r="D15" s="43" t="s">
        <v>174</v>
      </c>
      <c r="E15" s="42">
        <v>29.249999999999901</v>
      </c>
      <c r="F15" s="42">
        <v>5.4838868858743801</v>
      </c>
      <c r="G15" s="17" t="s">
        <v>172</v>
      </c>
      <c r="H15" s="17" t="str">
        <f>IF(Rocket_Data[[#This Row],[Ext or Int]]="E",9.5*(Rocket_Data[[#This Row],[CG (m)]]^0.2),"-")</f>
        <v>-</v>
      </c>
      <c r="I15" s="20" t="str">
        <f>IF(Rocket_Data[[#This Row],[vss (m/s)]]="-","-",SQRT(((1.25*Rocket_Data[[#This Row],[vss (m/s)]])^2)+((2.56*Rocket_Data[[#This Row],[vss (m/s)]])^2)))</f>
        <v>-</v>
      </c>
      <c r="J15" s="77" t="str">
        <f>IF(Rocket_Data[[#This Row],[vr (m/s)]]="-","-",(1/2)*rho*(Rocket_Data[[#This Row],[vr (m/s)]]^2)*Rocket_Data[[#This Row],[Area (m2)]]*Cd)</f>
        <v>-</v>
      </c>
      <c r="L15" s="4">
        <v>3</v>
      </c>
      <c r="M15" s="4" t="s">
        <v>175</v>
      </c>
      <c r="N15" s="24">
        <f>N14-D16</f>
        <v>5.4158259520835408</v>
      </c>
      <c r="O15" s="27">
        <f>O14+J16</f>
        <v>844.47498610016737</v>
      </c>
      <c r="P15" s="26">
        <f>(J16*(F16-External_Loads[[#This Row],[Height (m)]]))+P14+((N14-External_Loads[[#This Row],[Height (m)]])*O14)</f>
        <v>361.5532358448711</v>
      </c>
      <c r="Q15" s="26">
        <f>Q14+((E16+E17+E19)*g0)</f>
        <v>1628.5104868851568</v>
      </c>
    </row>
    <row r="16" spans="2:51" x14ac:dyDescent="0.25">
      <c r="B16" s="14" t="s">
        <v>45</v>
      </c>
      <c r="C16" s="9" t="s">
        <v>86</v>
      </c>
      <c r="D16" s="46">
        <v>0.32083333333333303</v>
      </c>
      <c r="E16" s="45">
        <v>7.4838627494734302</v>
      </c>
      <c r="F16" s="45">
        <v>5.3234702192077199</v>
      </c>
      <c r="G16" s="16">
        <f>$C$3*Rocket_Data[[#This Row],[Height (m)]]*2</f>
        <v>0.17645833333333319</v>
      </c>
      <c r="H16" s="16">
        <f>IF(Rocket_Data[[#This Row],[Ext or Int]]="E",9.5*(Rocket_Data[[#This Row],[CG (m)]]^0.2),"-")</f>
        <v>13.272800634018914</v>
      </c>
      <c r="I16" s="16">
        <f>IF(Rocket_Data[[#This Row],[vss (m/s)]]="-","-",SQRT(((1.25*Rocket_Data[[#This Row],[vss (m/s)]])^2)+((2.56*Rocket_Data[[#This Row],[vss (m/s)]])^2)))</f>
        <v>37.812576076495212</v>
      </c>
      <c r="J16" s="78">
        <f>IF(Rocket_Data[[#This Row],[vr (m/s)]]="-","-",(1/2)*rho*(Rocket_Data[[#This Row],[vr (m/s)]]^2)*Rocket_Data[[#This Row],[Area (m2)]]*Cd)</f>
        <v>124.40070555716906</v>
      </c>
      <c r="L16" s="4">
        <v>4</v>
      </c>
      <c r="M16" s="4" t="s">
        <v>176</v>
      </c>
      <c r="N16" s="24">
        <f>N15-D20</f>
        <v>5.0719816390907084</v>
      </c>
      <c r="O16" s="27">
        <f>O15+J20</f>
        <v>974.40421934380083</v>
      </c>
      <c r="P16" s="26">
        <f>(J20*(F20-External_Loads[[#This Row],[Height (m)]]))+P15+((N15-External_Loads[[#This Row],[Height (m)]])*O15)</f>
        <v>641.41634719357648</v>
      </c>
      <c r="Q16" s="26">
        <f>Q15+((E20+E22+E23)*g0)</f>
        <v>1662.0443176823715</v>
      </c>
    </row>
    <row r="17" spans="2:28" x14ac:dyDescent="0.25">
      <c r="B17" s="14" t="s">
        <v>46</v>
      </c>
      <c r="C17" s="9" t="s">
        <v>96</v>
      </c>
      <c r="D17" s="46" t="s">
        <v>174</v>
      </c>
      <c r="E17" s="45">
        <v>8.2412165255057008</v>
      </c>
      <c r="F17" s="45">
        <v>5.3234702192077199</v>
      </c>
      <c r="G17" s="16" t="s">
        <v>172</v>
      </c>
      <c r="H17" s="16" t="str">
        <f>IF(Rocket_Data[[#This Row],[Ext or Int]]="E",9.5*(Rocket_Data[[#This Row],[CG (m)]]^0.2),"-")</f>
        <v>-</v>
      </c>
      <c r="I17" s="21" t="str">
        <f>IF(Rocket_Data[[#This Row],[vss (m/s)]]="-","-",SQRT(((1.25*Rocket_Data[[#This Row],[vss (m/s)]])^2)+((2.56*Rocket_Data[[#This Row],[vss (m/s)]])^2)))</f>
        <v>-</v>
      </c>
      <c r="J17" s="79" t="str">
        <f>IF(Rocket_Data[[#This Row],[vr (m/s)]]="-","-",(1/2)*rho*(Rocket_Data[[#This Row],[vr (m/s)]]^2)*Rocket_Data[[#This Row],[Area (m2)]]*Cd)</f>
        <v>-</v>
      </c>
      <c r="L17" s="4">
        <v>5</v>
      </c>
      <c r="M17" s="4" t="s">
        <v>177</v>
      </c>
      <c r="N17" s="24">
        <f>N16-D24</f>
        <v>4.6594816390907088</v>
      </c>
      <c r="O17" s="27">
        <f>O16+J24</f>
        <v>1125.4404811882132</v>
      </c>
      <c r="P17" s="26">
        <f>(J24*(F24-External_Loads[[#This Row],[Height (m)]]))+P16+((N16-External_Loads[[#This Row],[Height (m)]])*O16)</f>
        <v>1036.3315183539644</v>
      </c>
      <c r="Q17" s="26">
        <f>Q16+((E24+E35+E25+E21)*g0)</f>
        <v>2264.7950064332704</v>
      </c>
    </row>
    <row r="18" spans="2:28" x14ac:dyDescent="0.25">
      <c r="B18" s="14" t="s">
        <v>47</v>
      </c>
      <c r="C18" s="9" t="s">
        <v>96</v>
      </c>
      <c r="D18" s="46">
        <v>0.48925450937771497</v>
      </c>
      <c r="E18" s="45">
        <v>23.2311345488482</v>
      </c>
      <c r="F18" s="45">
        <v>0</v>
      </c>
      <c r="G18" s="16" t="s">
        <v>172</v>
      </c>
      <c r="H18" s="16" t="str">
        <f>IF(Rocket_Data[[#This Row],[Ext or Int]]="E",9.5*(Rocket_Data[[#This Row],[CG (m)]]^0.2),"-")</f>
        <v>-</v>
      </c>
      <c r="I18" s="21" t="str">
        <f>IF(Rocket_Data[[#This Row],[vss (m/s)]]="-","-",SQRT(((1.25*Rocket_Data[[#This Row],[vss (m/s)]])^2)+((2.56*Rocket_Data[[#This Row],[vss (m/s)]])^2)))</f>
        <v>-</v>
      </c>
      <c r="J18" s="79" t="str">
        <f>IF(Rocket_Data[[#This Row],[vr (m/s)]]="-","-",(1/2)*rho*(Rocket_Data[[#This Row],[vr (m/s)]]^2)*Rocket_Data[[#This Row],[Area (m2)]]*Cd)</f>
        <v>-</v>
      </c>
      <c r="L18" s="4">
        <v>3</v>
      </c>
      <c r="M18" s="4" t="s">
        <v>178</v>
      </c>
      <c r="N18" s="24">
        <f>N17-D26</f>
        <v>4.1004745812393475</v>
      </c>
      <c r="O18" s="27">
        <f>O17+J26</f>
        <v>1321.2100417710376</v>
      </c>
      <c r="P18" s="26">
        <f>(J26*(F26-External_Loads[[#This Row],[Height (m)]]))+P17+((N17-External_Loads[[#This Row],[Height (m)]])*O17)</f>
        <v>1670.693831983036</v>
      </c>
      <c r="Q18" s="26">
        <f>Q17+((E26+E28+E29+E30)*g0)</f>
        <v>2343.4172512509981</v>
      </c>
    </row>
    <row r="19" spans="2:28" x14ac:dyDescent="0.25">
      <c r="B19" s="14" t="s">
        <v>48</v>
      </c>
      <c r="C19" s="9" t="s">
        <v>96</v>
      </c>
      <c r="D19" s="90">
        <v>0.13750000000000001</v>
      </c>
      <c r="E19" s="45">
        <v>0.26482578872210699</v>
      </c>
      <c r="F19" s="45">
        <v>5.2214103650080803</v>
      </c>
      <c r="G19" s="16"/>
      <c r="H19" s="16" t="str">
        <f>IF(Rocket_Data[[#This Row],[Ext or Int]]="E",9.5*(Rocket_Data[[#This Row],[CG (m)]]^0.2),"-")</f>
        <v>-</v>
      </c>
      <c r="I19" s="21" t="str">
        <f>IF(Rocket_Data[[#This Row],[vss (m/s)]]="-","-",SQRT(((1.25*Rocket_Data[[#This Row],[vss (m/s)]])^2)+((2.56*Rocket_Data[[#This Row],[vss (m/s)]])^2)))</f>
        <v>-</v>
      </c>
      <c r="J19" s="79" t="str">
        <f>IF(Rocket_Data[[#This Row],[vr (m/s)]]="-","-",(1/2)*rho*(Rocket_Data[[#This Row],[vr (m/s)]]^2)*Rocket_Data[[#This Row],[Area (m2)]]*Cd)</f>
        <v>-</v>
      </c>
      <c r="L19" s="4">
        <v>7</v>
      </c>
      <c r="M19" s="4" t="s">
        <v>179</v>
      </c>
      <c r="N19" s="24">
        <f>N18-D31</f>
        <v>3.7796412479060146</v>
      </c>
      <c r="O19" s="27">
        <f>O18+J31</f>
        <v>1425.3369700573551</v>
      </c>
      <c r="P19" s="26">
        <f>(J31*(F31-External_Loads[[#This Row],[Height (m)]]))+P17+((N17-External_Loads[[#This Row],[Height (m)]])*O17)</f>
        <v>1988.2878875249637</v>
      </c>
      <c r="Q19" s="26">
        <f>Q18+((E31+E32+E18+E36+E27)*g0)</f>
        <v>4441.8051799963541</v>
      </c>
    </row>
    <row r="20" spans="2:28" x14ac:dyDescent="0.25">
      <c r="B20" s="14" t="s">
        <v>49</v>
      </c>
      <c r="C20" s="9" t="s">
        <v>86</v>
      </c>
      <c r="D20" s="46">
        <v>0.34384431299283202</v>
      </c>
      <c r="E20" s="45">
        <v>0.99336917875568698</v>
      </c>
      <c r="F20" s="45">
        <v>4.9911313960446302</v>
      </c>
      <c r="G20" s="28">
        <f>Rocket_Data[[#This Row],[Height (m)]]*$C$3*2</f>
        <v>0.18911437214605764</v>
      </c>
      <c r="H20" s="16">
        <f>IF(Rocket_Data[[#This Row],[Ext or Int]]="E",9.5*(Rocket_Data[[#This Row],[CG (m)]]^0.2),"-")</f>
        <v>13.102778696543748</v>
      </c>
      <c r="I20" s="21">
        <f>IF(Rocket_Data[[#This Row],[vss (m/s)]]="-","-",SQRT(((1.25*Rocket_Data[[#This Row],[vss (m/s)]])^2)+((2.56*Rocket_Data[[#This Row],[vss (m/s)]])^2)))</f>
        <v>37.328204494134894</v>
      </c>
      <c r="J20" s="80">
        <f>IF(Rocket_Data[[#This Row],[vr (m/s)]]="-","-",(1/2)*rho*(Rocket_Data[[#This Row],[vr (m/s)]]^2)*Rocket_Data[[#This Row],[Area (m2)]]*Cd)</f>
        <v>129.92923324363349</v>
      </c>
      <c r="L20" s="4">
        <v>8</v>
      </c>
      <c r="M20" s="4" t="s">
        <v>180</v>
      </c>
      <c r="N20" s="24">
        <f>N19-D37</f>
        <v>2.8406219295289197</v>
      </c>
      <c r="O20" s="27">
        <f>O19+J37+J49+J48</f>
        <v>2328.3979748447678</v>
      </c>
      <c r="P20" s="26">
        <f>((J37+J48+J49)*(F37-External_Loads[[#This Row],[Height (m)]]))+P19+((N19-External_Loads[[#This Row],[Height (m)]])*O19)</f>
        <v>3750.7027021901031</v>
      </c>
      <c r="Q20" s="26">
        <f>Q19+((E33+E34+E37+E38+E49+E50+E48)*g0)</f>
        <v>7025.7274950793617</v>
      </c>
    </row>
    <row r="21" spans="2:28" x14ac:dyDescent="0.25">
      <c r="B21" s="14" t="s">
        <v>50</v>
      </c>
      <c r="C21" s="9" t="s">
        <v>96</v>
      </c>
      <c r="D21" s="90">
        <v>0.13750000000000001</v>
      </c>
      <c r="E21" s="45">
        <v>0.26482578872210699</v>
      </c>
      <c r="F21" s="45">
        <v>4.7608524270811898</v>
      </c>
      <c r="G21" s="16"/>
      <c r="H21" s="16" t="str">
        <f>IF(Rocket_Data[[#This Row],[Ext or Int]]="E",9.5*(Rocket_Data[[#This Row],[CG (m)]]^0.2),"-")</f>
        <v>-</v>
      </c>
      <c r="I21" s="21" t="str">
        <f>IF(Rocket_Data[[#This Row],[vss (m/s)]]="-","-",SQRT(((1.25*Rocket_Data[[#This Row],[vss (m/s)]])^2)+((2.56*Rocket_Data[[#This Row],[vss (m/s)]])^2)))</f>
        <v>-</v>
      </c>
      <c r="J21" s="79" t="str">
        <f>IF(Rocket_Data[[#This Row],[vr (m/s)]]="-","-",(1/2)*rho*(Rocket_Data[[#This Row],[vr (m/s)]]^2)*Rocket_Data[[#This Row],[Area (m2)]]*Cd)</f>
        <v>-</v>
      </c>
      <c r="L21" s="4">
        <v>9</v>
      </c>
      <c r="M21" s="4" t="s">
        <v>181</v>
      </c>
      <c r="N21" s="24">
        <f>N20-D41</f>
        <v>0.54999999999999982</v>
      </c>
      <c r="O21" s="27">
        <f>O20+J41+J53</f>
        <v>3881.3408033267815</v>
      </c>
      <c r="P21" s="26">
        <f>((J41+J53)*(F41-External_Loads[[#This Row],[Height (m)]]))+P20+((N20-External_Loads[[#This Row],[Height (m)]])*O20)</f>
        <v>10862.784613153039</v>
      </c>
      <c r="Q21" s="26">
        <f>Q20+((E42+E41+E39+E40+E47+E51+E53+E54+E59+E52)*g0)</f>
        <v>53670.977451038387</v>
      </c>
    </row>
    <row r="22" spans="2:28" x14ac:dyDescent="0.25">
      <c r="B22" s="14" t="s">
        <v>51</v>
      </c>
      <c r="C22" s="9" t="s">
        <v>96</v>
      </c>
      <c r="D22" s="46">
        <v>0.61884431299283205</v>
      </c>
      <c r="E22" s="45">
        <v>1.40367302021729</v>
      </c>
      <c r="F22" s="45">
        <v>4.9911313960446302</v>
      </c>
      <c r="G22" s="16" t="s">
        <v>172</v>
      </c>
      <c r="H22" s="16" t="str">
        <f>IF(Rocket_Data[[#This Row],[Ext or Int]]="E",9.5*(Rocket_Data[[#This Row],[CG (m)]]^0.2),"-")</f>
        <v>-</v>
      </c>
      <c r="I22" s="21" t="str">
        <f>IF(Rocket_Data[[#This Row],[vss (m/s)]]="-","-",SQRT(((1.25*Rocket_Data[[#This Row],[vss (m/s)]])^2)+((2.56*Rocket_Data[[#This Row],[vss (m/s)]])^2)))</f>
        <v>-</v>
      </c>
      <c r="J22" s="79" t="str">
        <f>IF(Rocket_Data[[#This Row],[vr (m/s)]]="-","-",(1/2)*rho*(Rocket_Data[[#This Row],[vr (m/s)]]^2)*Rocket_Data[[#This Row],[Area (m2)]]*Cd)</f>
        <v>-</v>
      </c>
      <c r="L22" s="4">
        <v>10</v>
      </c>
      <c r="M22" s="4" t="s">
        <v>182</v>
      </c>
      <c r="N22" s="24">
        <f>N21-D43</f>
        <v>0</v>
      </c>
      <c r="O22" s="27">
        <f>O21+J43+J55</f>
        <v>4081.70690552119</v>
      </c>
      <c r="P22" s="26">
        <f>((J43+J55)*(F43-External_Loads[[#This Row],[Height (m)]]))+P21+((N21-External_Loads[[#This Row],[Height (m)]])*O21)</f>
        <v>13052.622733086231</v>
      </c>
      <c r="Q22" s="26">
        <f>Q21+((E43+E44+E45+E46+E55+E56+E57+E58)*g0)</f>
        <v>54462.30262596695</v>
      </c>
    </row>
    <row r="23" spans="2:28" x14ac:dyDescent="0.25">
      <c r="B23" s="14" t="s">
        <v>52</v>
      </c>
      <c r="C23" s="9" t="s">
        <v>96</v>
      </c>
      <c r="D23" s="46" t="s">
        <v>174</v>
      </c>
      <c r="E23" s="45">
        <v>1.02268356048191</v>
      </c>
      <c r="F23" s="45">
        <v>0</v>
      </c>
      <c r="G23" s="16" t="s">
        <v>172</v>
      </c>
      <c r="H23" s="16" t="str">
        <f>IF(Rocket_Data[[#This Row],[Ext or Int]]="E",9.5*(Rocket_Data[[#This Row],[CG (m)]]^0.2),"-")</f>
        <v>-</v>
      </c>
      <c r="I23" s="21" t="str">
        <f>IF(Rocket_Data[[#This Row],[vss (m/s)]]="-","-",SQRT(((1.25*Rocket_Data[[#This Row],[vss (m/s)]])^2)+((2.56*Rocket_Data[[#This Row],[vss (m/s)]])^2)))</f>
        <v>-</v>
      </c>
      <c r="J23" s="79" t="str">
        <f>IF(Rocket_Data[[#This Row],[vr (m/s)]]="-","-",(1/2)*rho*(Rocket_Data[[#This Row],[vr (m/s)]]^2)*Rocket_Data[[#This Row],[Area (m2)]]*Cd)</f>
        <v>-</v>
      </c>
      <c r="L23" s="4">
        <v>11</v>
      </c>
      <c r="M23" s="4" t="s">
        <v>183</v>
      </c>
      <c r="N23" s="24">
        <v>0</v>
      </c>
      <c r="O23" s="24"/>
      <c r="P23" s="25">
        <f>External_Loads[[#This Row],[Shear Load (N)]]*External_Loads[[#This Row],[Height (m)]]</f>
        <v>0</v>
      </c>
      <c r="Q23" s="25"/>
    </row>
    <row r="24" spans="2:28" x14ac:dyDescent="0.25">
      <c r="B24" s="14" t="s">
        <v>53</v>
      </c>
      <c r="C24" s="9" t="s">
        <v>86</v>
      </c>
      <c r="D24" s="46">
        <v>0.41249999999999998</v>
      </c>
      <c r="E24" s="45">
        <v>9.6221092493229907</v>
      </c>
      <c r="F24" s="45">
        <v>4.6129592395482204</v>
      </c>
      <c r="G24" s="19">
        <f>Rocket_Data[[#This Row],[Height (m)]]*$C$3*2</f>
        <v>0.22687499999999999</v>
      </c>
      <c r="H24" s="16">
        <f>IF(Rocket_Data[[#This Row],[Ext or Int]]="E",9.5*(Rocket_Data[[#This Row],[CG (m)]]^0.2),"-")</f>
        <v>12.89791554064289</v>
      </c>
      <c r="I24" s="21">
        <f>IF(Rocket_Data[[#This Row],[vss (m/s)]]="-","-",SQRT(((1.25*Rocket_Data[[#This Row],[vss (m/s)]])^2)+((2.56*Rocket_Data[[#This Row],[vss (m/s)]])^2)))</f>
        <v>36.744574566934929</v>
      </c>
      <c r="J24" s="79">
        <f>IF(Rocket_Data[[#This Row],[vr (m/s)]]="-","-",(1/2)*rho*(Rocket_Data[[#This Row],[vr (m/s)]]^2)*Rocket_Data[[#This Row],[Area (m2)]]*Cd)</f>
        <v>151.03626184441242</v>
      </c>
      <c r="L24" s="4"/>
      <c r="M24" s="4"/>
      <c r="N24" s="24"/>
      <c r="O24" s="27"/>
      <c r="P24" s="26"/>
      <c r="Q24" s="26"/>
    </row>
    <row r="25" spans="2:28" x14ac:dyDescent="0.25">
      <c r="B25" s="14" t="s">
        <v>54</v>
      </c>
      <c r="C25" s="9" t="s">
        <v>96</v>
      </c>
      <c r="D25" s="90">
        <v>0.13750000000000001</v>
      </c>
      <c r="E25" s="45">
        <v>0.23984560102543601</v>
      </c>
      <c r="F25" s="45">
        <v>4.4650660520152403</v>
      </c>
      <c r="G25" s="16"/>
      <c r="H25" s="16" t="str">
        <f>IF(Rocket_Data[[#This Row],[Ext or Int]]="E",9.5*(Rocket_Data[[#This Row],[CG (m)]]^0.2),"-")</f>
        <v>-</v>
      </c>
      <c r="I25" s="21" t="str">
        <f>IF(Rocket_Data[[#This Row],[vss (m/s)]]="-","-",SQRT(((1.25*Rocket_Data[[#This Row],[vss (m/s)]])^2)+((2.56*Rocket_Data[[#This Row],[vss (m/s)]])^2)))</f>
        <v>-</v>
      </c>
      <c r="J25" s="79" t="str">
        <f>IF(Rocket_Data[[#This Row],[vr (m/s)]]="-","-",(1/2)*rho*(Rocket_Data[[#This Row],[vr (m/s)]]^2)*Rocket_Data[[#This Row],[Area (m2)]]*Cd)</f>
        <v>-</v>
      </c>
      <c r="L25" s="4"/>
      <c r="M25" s="4"/>
      <c r="N25" s="24"/>
      <c r="O25" s="24"/>
      <c r="P25" s="25"/>
      <c r="Q25" s="25"/>
      <c r="R25" s="56"/>
    </row>
    <row r="26" spans="2:28" ht="15.75" thickBot="1" x14ac:dyDescent="0.3">
      <c r="B26" s="14" t="s">
        <v>55</v>
      </c>
      <c r="C26" s="9" t="s">
        <v>86</v>
      </c>
      <c r="D26" s="46">
        <v>0.55900705785136096</v>
      </c>
      <c r="E26" s="45">
        <v>1.4626405501944</v>
      </c>
      <c r="F26" s="45">
        <v>4.1272057106225297</v>
      </c>
      <c r="G26" s="28">
        <f>Rocket_Data[[#This Row],[Height (m)]]*$C$3*2</f>
        <v>0.30745388181824856</v>
      </c>
      <c r="H26" s="16">
        <f>IF(Rocket_Data[[#This Row],[Ext or Int]]="E",9.5*(Rocket_Data[[#This Row],[CG (m)]]^0.2),"-")</f>
        <v>12.614058141662341</v>
      </c>
      <c r="I26" s="21">
        <f>IF(Rocket_Data[[#This Row],[vss (m/s)]]="-","-",SQRT(((1.25*Rocket_Data[[#This Row],[vss (m/s)]])^2)+((2.56*Rocket_Data[[#This Row],[vss (m/s)]])^2)))</f>
        <v>35.93589975972673</v>
      </c>
      <c r="J26" s="80">
        <f>IF(Rocket_Data[[#This Row],[vr (m/s)]]="-","-",(1/2)*rho*(Rocket_Data[[#This Row],[vr (m/s)]]^2)*Rocket_Data[[#This Row],[Area (m2)]]*Cd)</f>
        <v>195.76956058282448</v>
      </c>
      <c r="L26" s="4"/>
      <c r="N26" s="4"/>
    </row>
    <row r="27" spans="2:28" ht="15.75" thickBot="1" x14ac:dyDescent="0.3">
      <c r="B27" s="14" t="s">
        <v>56</v>
      </c>
      <c r="C27" s="9" t="s">
        <v>96</v>
      </c>
      <c r="D27" s="90">
        <v>0.13750000000000001</v>
      </c>
      <c r="E27" s="45">
        <v>0.23984560102543601</v>
      </c>
      <c r="F27" s="45">
        <v>3.7893453692298298</v>
      </c>
      <c r="G27" s="16"/>
      <c r="H27" s="16" t="str">
        <f>IF(Rocket_Data[[#This Row],[Ext or Int]]="E",9.5*(Rocket_Data[[#This Row],[CG (m)]]^0.2),"-")</f>
        <v>-</v>
      </c>
      <c r="I27" s="21" t="str">
        <f>IF(Rocket_Data[[#This Row],[vss (m/s)]]="-","-",SQRT(((1.25*Rocket_Data[[#This Row],[vss (m/s)]])^2)+((2.56*Rocket_Data[[#This Row],[vss (m/s)]])^2)))</f>
        <v>-</v>
      </c>
      <c r="J27" s="79" t="str">
        <f>IF(Rocket_Data[[#This Row],[vr (m/s)]]="-","-",(1/2)*rho*(Rocket_Data[[#This Row],[vr (m/s)]]^2)*Rocket_Data[[#This Row],[Area (m2)]]*Cd)</f>
        <v>-</v>
      </c>
      <c r="L27" s="161" t="s">
        <v>184</v>
      </c>
      <c r="M27" s="162"/>
      <c r="N27" s="162"/>
      <c r="O27" s="162"/>
      <c r="P27" s="162"/>
      <c r="Q27" s="163"/>
      <c r="AB27" s="27">
        <v>0</v>
      </c>
    </row>
    <row r="28" spans="2:28" x14ac:dyDescent="0.25">
      <c r="B28" s="14" t="s">
        <v>57</v>
      </c>
      <c r="C28" s="9" t="s">
        <v>96</v>
      </c>
      <c r="D28" s="90">
        <v>0.83400705785136098</v>
      </c>
      <c r="E28" s="45">
        <v>1.8211758221413801</v>
      </c>
      <c r="F28" s="45">
        <v>4.1272057106225297</v>
      </c>
      <c r="G28" s="16"/>
      <c r="H28" s="16" t="str">
        <f>IF(Rocket_Data[[#This Row],[Ext or Int]]="E",9.5*(Rocket_Data[[#This Row],[CG (m)]]^0.2),"-")</f>
        <v>-</v>
      </c>
      <c r="I28" s="21" t="str">
        <f>IF(Rocket_Data[[#This Row],[vss (m/s)]]="-","-",SQRT(((1.25*Rocket_Data[[#This Row],[vss (m/s)]])^2)+((2.56*Rocket_Data[[#This Row],[vss (m/s)]])^2)))</f>
        <v>-</v>
      </c>
      <c r="J28" s="79" t="str">
        <f>IF(Rocket_Data[[#This Row],[vr (m/s)]]="-","-",(1/2)*rho*(Rocket_Data[[#This Row],[vr (m/s)]]^2)*Rocket_Data[[#This Row],[Area (m2)]]*Cd)</f>
        <v>-</v>
      </c>
      <c r="L28" s="11" t="s">
        <v>166</v>
      </c>
      <c r="M28" s="11" t="s">
        <v>167</v>
      </c>
      <c r="N28" s="11" t="s">
        <v>185</v>
      </c>
      <c r="O28" s="11" t="s">
        <v>168</v>
      </c>
      <c r="P28" s="11" t="s">
        <v>169</v>
      </c>
      <c r="Q28" s="11" t="s">
        <v>186</v>
      </c>
    </row>
    <row r="29" spans="2:28" x14ac:dyDescent="0.25">
      <c r="B29" s="14" t="s">
        <v>58</v>
      </c>
      <c r="C29" s="9" t="s">
        <v>96</v>
      </c>
      <c r="D29" s="46" t="s">
        <v>174</v>
      </c>
      <c r="E29" s="45">
        <v>3.6305266397108</v>
      </c>
      <c r="F29" s="45">
        <v>0</v>
      </c>
      <c r="G29" s="16" t="s">
        <v>172</v>
      </c>
      <c r="H29" s="16" t="str">
        <f>IF(Rocket_Data[[#This Row],[Ext or Int]]="E",9.5*(Rocket_Data[[#This Row],[CG (m)]]^0.2),"-")</f>
        <v>-</v>
      </c>
      <c r="I29" s="21" t="str">
        <f>IF(Rocket_Data[[#This Row],[vss (m/s)]]="-","-",SQRT(((1.25*Rocket_Data[[#This Row],[vss (m/s)]])^2)+((2.56*Rocket_Data[[#This Row],[vss (m/s)]])^2)))</f>
        <v>-</v>
      </c>
      <c r="J29" s="79" t="str">
        <f>IF(Rocket_Data[[#This Row],[vr (m/s)]]="-","-",(1/2)*rho*(Rocket_Data[[#This Row],[vr (m/s)]]^2)*Rocket_Data[[#This Row],[Area (m2)]]*Cd)</f>
        <v>-</v>
      </c>
      <c r="L29" s="4">
        <v>1</v>
      </c>
      <c r="M29" s="4" t="s">
        <v>171</v>
      </c>
      <c r="N29" s="27">
        <v>0</v>
      </c>
      <c r="O29" s="26">
        <v>0</v>
      </c>
      <c r="P29" s="27">
        <v>0</v>
      </c>
      <c r="Q29" s="27">
        <v>0</v>
      </c>
    </row>
    <row r="30" spans="2:28" x14ac:dyDescent="0.25">
      <c r="B30" s="14" t="s">
        <v>38</v>
      </c>
      <c r="C30" s="9" t="s">
        <v>96</v>
      </c>
      <c r="D30" s="46">
        <v>0.27400963077823198</v>
      </c>
      <c r="E30" s="46">
        <v>1.1034261922903099</v>
      </c>
      <c r="F30" s="45">
        <v>4.1272057106225297</v>
      </c>
      <c r="G30" s="16"/>
      <c r="H30" s="16" t="str">
        <f>IF(Rocket_Data[[#This Row],[Ext or Int]]="E",9.5*(Rocket_Data[[#This Row],[CG (m)]]^0.2),"-")</f>
        <v>-</v>
      </c>
      <c r="I30" s="21" t="str">
        <f>IF(Rocket_Data[[#This Row],[vss (m/s)]]="-","-",SQRT(((1.25*Rocket_Data[[#This Row],[vss (m/s)]])^2)+((2.56*Rocket_Data[[#This Row],[vss (m/s)]])^2)))</f>
        <v>-</v>
      </c>
      <c r="J30" s="79" t="str">
        <f>IF(Rocket_Data[[#This Row],[vr (m/s)]]="-","-",(1/2)*rho*(Rocket_Data[[#This Row],[vr (m/s)]]^2)*Rocket_Data[[#This Row],[Area (m2)]]*Cd)</f>
        <v>-</v>
      </c>
      <c r="L30" s="4">
        <v>2</v>
      </c>
      <c r="M30" s="4" t="s">
        <v>173</v>
      </c>
      <c r="N30" s="27">
        <f>-g0*nzmaxq*SUM(E13:E15)</f>
        <v>-120.23935539084317</v>
      </c>
      <c r="O30" s="27">
        <f>Table3[[#This Row],[Inertia Relief (N)]]+O29+shearcone</f>
        <v>900.96059314162812</v>
      </c>
      <c r="P30" s="27">
        <f>(shearcone*((F13)-(N14)))+P29+(((N13)-(N14))*O29)</f>
        <v>201.40881543638861</v>
      </c>
      <c r="Q30" s="82">
        <f>Q29+(nmax*g0*SUM(E13:E15))</f>
        <v>3395.6058215823432</v>
      </c>
    </row>
    <row r="31" spans="2:28" x14ac:dyDescent="0.25">
      <c r="B31" s="14" t="s">
        <v>60</v>
      </c>
      <c r="C31" s="9" t="s">
        <v>86</v>
      </c>
      <c r="D31" s="46">
        <v>0.32083333333333303</v>
      </c>
      <c r="E31" s="45">
        <v>7.4838627494734302</v>
      </c>
      <c r="F31" s="45">
        <v>3.4122855150301898</v>
      </c>
      <c r="G31" s="16">
        <f>Rocket_Data[[#This Row],[Height (m)]]*$C$3*2</f>
        <v>0.17645833333333319</v>
      </c>
      <c r="H31" s="16">
        <f>IF(Rocket_Data[[#This Row],[Ext or Int]]="E",9.5*(Rocket_Data[[#This Row],[CG (m)]]^0.2),"-")</f>
        <v>12.14318685420932</v>
      </c>
      <c r="I31" s="21">
        <f>IF(Rocket_Data[[#This Row],[vss (m/s)]]="-","-",SQRT(((1.25*Rocket_Data[[#This Row],[vss (m/s)]])^2)+((2.56*Rocket_Data[[#This Row],[vss (m/s)]])^2)))</f>
        <v>34.594445392257384</v>
      </c>
      <c r="J31" s="79">
        <f>IF(Rocket_Data[[#This Row],[vr (m/s)]]="-","-",(1/2)*rho*(Rocket_Data[[#This Row],[vr (m/s)]]^2)*Rocket_Data[[#This Row],[Area (m2)]]*Cd)</f>
        <v>104.12692828631747</v>
      </c>
      <c r="L31" s="4">
        <v>3</v>
      </c>
      <c r="M31" s="4" t="s">
        <v>175</v>
      </c>
      <c r="N31" s="27">
        <f>-g0*nzmaxq*SUM(E16:E17,E19)</f>
        <v>-12.81035444734519</v>
      </c>
      <c r="O31" s="27">
        <f>O30+Table3[[#This Row],[Inertia Relief (N)]]</f>
        <v>888.15023869428296</v>
      </c>
      <c r="P31" s="27">
        <f>P30+(((N14)-(N15))*O30)</f>
        <v>490.46700573599389</v>
      </c>
      <c r="Q31" s="82">
        <f>Q30+(nmax*g0*SUM(E16:E17,E19))</f>
        <v>3757.3751773522863</v>
      </c>
    </row>
    <row r="32" spans="2:28" x14ac:dyDescent="0.25">
      <c r="B32" s="14" t="s">
        <v>61</v>
      </c>
      <c r="C32" s="9" t="s">
        <v>96</v>
      </c>
      <c r="D32" s="46">
        <v>0.16041666666666601</v>
      </c>
      <c r="E32" s="45">
        <v>0.77566725163672601</v>
      </c>
      <c r="F32" s="45">
        <v>3.33207718169685</v>
      </c>
      <c r="G32" s="16" t="s">
        <v>172</v>
      </c>
      <c r="H32" s="16" t="str">
        <f>IF(Rocket_Data[[#This Row],[Ext or Int]]="E",9.5*(Rocket_Data[[#This Row],[CG (m)]]^0.2),"-")</f>
        <v>-</v>
      </c>
      <c r="I32" s="21" t="str">
        <f>IF(Rocket_Data[[#This Row],[vss (m/s)]]="-","-",SQRT(((1.25*Rocket_Data[[#This Row],[vss (m/s)]])^2)+((2.56*Rocket_Data[[#This Row],[vss (m/s)]])^2)))</f>
        <v>-</v>
      </c>
      <c r="J32" s="79" t="str">
        <f>IF(Rocket_Data[[#This Row],[vr (m/s)]]="-","-",(1/2)*rho*(Rocket_Data[[#This Row],[vr (m/s)]]^2)*Rocket_Data[[#This Row],[Area (m2)]]*Cd)</f>
        <v>-</v>
      </c>
      <c r="L32" s="4">
        <v>4</v>
      </c>
      <c r="M32" s="4" t="s">
        <v>176</v>
      </c>
      <c r="N32" s="27">
        <f>-g0*nzmaxq*SUM(E20,E22:E23,E35)</f>
        <v>-43.871505816703831</v>
      </c>
      <c r="O32" s="27">
        <f>O31+Table3[[#This Row],[Inertia Relief (N)]]</f>
        <v>844.27873287757916</v>
      </c>
      <c r="P32" s="27">
        <f>P31+(((N15)-(N16))*O31)</f>
        <v>795.85241439424976</v>
      </c>
      <c r="Q32" s="82">
        <f>Q31+(nmax*g0*SUM(E20,E22:E23,E35))</f>
        <v>4996.3234407436585</v>
      </c>
    </row>
    <row r="33" spans="2:51" x14ac:dyDescent="0.25">
      <c r="B33" s="14" t="s">
        <v>62</v>
      </c>
      <c r="C33" s="9" t="s">
        <v>96</v>
      </c>
      <c r="D33" s="46" t="s">
        <v>174</v>
      </c>
      <c r="E33" s="45">
        <v>4.2840052552090897E-2</v>
      </c>
      <c r="F33" s="45">
        <v>3.57464432907142</v>
      </c>
      <c r="G33" s="16" t="s">
        <v>172</v>
      </c>
      <c r="H33" s="16" t="str">
        <f>IF(Rocket_Data[[#This Row],[Ext or Int]]="E",9.5*(Rocket_Data[[#This Row],[CG (m)]]^0.2),"-")</f>
        <v>-</v>
      </c>
      <c r="I33" s="21" t="str">
        <f>IF(Rocket_Data[[#This Row],[vss (m/s)]]="-","-",SQRT(((1.25*Rocket_Data[[#This Row],[vss (m/s)]])^2)+((2.56*Rocket_Data[[#This Row],[vss (m/s)]])^2)))</f>
        <v>-</v>
      </c>
      <c r="J33" s="79" t="str">
        <f>IF(Rocket_Data[[#This Row],[vr (m/s)]]="-","-",(1/2)*rho*(Rocket_Data[[#This Row],[vr (m/s)]]^2)*Rocket_Data[[#This Row],[Area (m2)]]*Cd)</f>
        <v>-</v>
      </c>
      <c r="L33" s="4">
        <v>5</v>
      </c>
      <c r="M33" s="4" t="s">
        <v>177</v>
      </c>
      <c r="N33" s="27">
        <f>-g0*nzmaxq*SUM(E24:E25,E21)</f>
        <v>-8.1130969120949796</v>
      </c>
      <c r="O33" s="27">
        <f>O32+Table3[[#This Row],[Inertia Relief (N)]]</f>
        <v>836.16563596548417</v>
      </c>
      <c r="P33" s="27">
        <f>P32+(((N16)-(N17))*O32)</f>
        <v>1144.1173917062508</v>
      </c>
      <c r="Q33" s="82">
        <f>Q32+(nmax*g0*SUM(E24:E25,E21))</f>
        <v>5225.4404300706774</v>
      </c>
    </row>
    <row r="34" spans="2:51" x14ac:dyDescent="0.25">
      <c r="B34" s="14" t="s">
        <v>63</v>
      </c>
      <c r="C34" s="9" t="s">
        <v>96</v>
      </c>
      <c r="D34" s="46">
        <v>0.32277548070789602</v>
      </c>
      <c r="E34" s="45">
        <v>62.063327384153403</v>
      </c>
      <c r="F34" s="45">
        <v>3.3206188483635199</v>
      </c>
      <c r="G34" s="16" t="s">
        <v>172</v>
      </c>
      <c r="H34" s="16" t="str">
        <f>IF(Rocket_Data[[#This Row],[Ext or Int]]="E",9.5*(Rocket_Data[[#This Row],[CG (m)]]^0.2),"-")</f>
        <v>-</v>
      </c>
      <c r="I34" s="21" t="str">
        <f>IF(Rocket_Data[[#This Row],[vss (m/s)]]="-","-",SQRT(((1.25*Rocket_Data[[#This Row],[vss (m/s)]])^2)+((2.56*Rocket_Data[[#This Row],[vss (m/s)]])^2)))</f>
        <v>-</v>
      </c>
      <c r="J34" s="79" t="str">
        <f>IF(Rocket_Data[[#This Row],[vr (m/s)]]="-","-",(1/2)*rho*(Rocket_Data[[#This Row],[vr (m/s)]]^2)*Rocket_Data[[#This Row],[Area (m2)]]*Cd)</f>
        <v>-</v>
      </c>
      <c r="L34" s="4">
        <v>3</v>
      </c>
      <c r="M34" s="4" t="s">
        <v>178</v>
      </c>
      <c r="N34" s="27">
        <f>-g0*nzmaxq*SUM(E26,E28:E29,E36)</f>
        <v>-151.55727563823768</v>
      </c>
      <c r="O34" s="27">
        <f>O33+Table3[[#This Row],[Inertia Relief (N)]]</f>
        <v>684.60836032724649</v>
      </c>
      <c r="P34" s="27">
        <f>P33+(((N17)-(N18))*O33)</f>
        <v>1611.5398837437285</v>
      </c>
      <c r="Q34" s="82">
        <f>Q33+(nmax*g0*SUM(E26,E28:E29,E36))</f>
        <v>9505.4764115306316</v>
      </c>
    </row>
    <row r="35" spans="2:51" x14ac:dyDescent="0.25">
      <c r="B35" s="14" t="s">
        <v>64</v>
      </c>
      <c r="C35" s="9" t="s">
        <v>96</v>
      </c>
      <c r="D35" s="90">
        <v>0.61884431299283205</v>
      </c>
      <c r="E35" s="45">
        <v>51.340758495224698</v>
      </c>
      <c r="F35" s="45">
        <v>4.9911313960446302</v>
      </c>
      <c r="G35" s="16"/>
      <c r="H35" s="16" t="str">
        <f>IF(Rocket_Data[[#This Row],[Ext or Int]]="E",9.5*(Rocket_Data[[#This Row],[CG (m)]]^0.2),"-")</f>
        <v>-</v>
      </c>
      <c r="I35" s="21" t="str">
        <f>IF(Rocket_Data[[#This Row],[vss (m/s)]]="-","-",SQRT(((1.25*Rocket_Data[[#This Row],[vss (m/s)]])^2)+((2.56*Rocket_Data[[#This Row],[vss (m/s)]])^2)))</f>
        <v>-</v>
      </c>
      <c r="J35" s="79" t="str">
        <f>IF(Rocket_Data[[#This Row],[vr (m/s)]]="-","-",(1/2)*rho*(Rocket_Data[[#This Row],[vr (m/s)]]^2)*Rocket_Data[[#This Row],[Area (m2)]]*Cd)</f>
        <v>-</v>
      </c>
      <c r="L35" s="4">
        <v>7</v>
      </c>
      <c r="M35" s="4" t="s">
        <v>179</v>
      </c>
      <c r="N35" s="27">
        <f>-g0*nzmaxq*SUM(E30:E34,E18,E27)</f>
        <v>-76.061513551460308</v>
      </c>
      <c r="O35" s="27">
        <f>O34+Table3[[#This Row],[Inertia Relief (N)]]</f>
        <v>608.54684677578621</v>
      </c>
      <c r="P35" s="27">
        <f>P34+(((N18)-(N19))*O34)</f>
        <v>1831.1850660153864</v>
      </c>
      <c r="Q35" s="82">
        <f>Q34+(nmax*g0*SUM(E30:E34,E18,E27))</f>
        <v>11653.482922162439</v>
      </c>
    </row>
    <row r="36" spans="2:51" x14ac:dyDescent="0.25">
      <c r="B36" s="14" t="s">
        <v>65</v>
      </c>
      <c r="C36" s="9" t="s">
        <v>96</v>
      </c>
      <c r="D36" s="90">
        <v>0.83400705785136098</v>
      </c>
      <c r="E36" s="45">
        <v>182.25969265804699</v>
      </c>
      <c r="F36" s="45">
        <v>4.1272057106225297</v>
      </c>
      <c r="G36" s="16"/>
      <c r="H36" s="16" t="str">
        <f>IF(Rocket_Data[[#This Row],[Ext or Int]]="E",9.5*(Rocket_Data[[#This Row],[CG (m)]]^0.2),"-")</f>
        <v>-</v>
      </c>
      <c r="I36" s="21" t="str">
        <f>IF(Rocket_Data[[#This Row],[vss (m/s)]]="-","-",SQRT(((1.25*Rocket_Data[[#This Row],[vss (m/s)]])^2)+((2.56*Rocket_Data[[#This Row],[vss (m/s)]])^2)))</f>
        <v>-</v>
      </c>
      <c r="J36" s="79" t="str">
        <f>IF(Rocket_Data[[#This Row],[vr (m/s)]]="-","-",(1/2)*rho*(Rocket_Data[[#This Row],[vr (m/s)]]^2)*Rocket_Data[[#This Row],[Area (m2)]]*Cd)</f>
        <v>-</v>
      </c>
      <c r="L36" s="4">
        <v>8</v>
      </c>
      <c r="M36" s="4" t="s">
        <v>180</v>
      </c>
      <c r="N36" s="27">
        <f>-g0*nzmaxq*SUM(E37:E38,E48:E50)</f>
        <v>-161.35057347320077</v>
      </c>
      <c r="O36" s="27">
        <f>O35+Table3[[#This Row],[Inertia Relief (N)]]</f>
        <v>447.19627330258544</v>
      </c>
      <c r="P36" s="27">
        <f>((shearcone)*((F37)-(N20)))+P35+(((N19)-(N20))*O35)</f>
        <v>2882.0855510741612</v>
      </c>
      <c r="Q36" s="82">
        <f>Q35+(nmax*g0*SUM(E37:E38,E48:E50))</f>
        <v>16210.085415749776</v>
      </c>
    </row>
    <row r="37" spans="2:51" ht="15.75" thickBot="1" x14ac:dyDescent="0.3">
      <c r="B37" s="48" t="s">
        <v>45</v>
      </c>
      <c r="C37" s="10" t="s">
        <v>86</v>
      </c>
      <c r="D37" s="49">
        <v>0.93901931837709496</v>
      </c>
      <c r="E37" s="48">
        <v>21.903870227028399</v>
      </c>
      <c r="F37" s="48">
        <v>3.31013158871747</v>
      </c>
      <c r="G37" s="15">
        <f>(((2*$C$3)+($C$4*2))/2)*Rocket_Data[[#This Row],[Height (m)]]</f>
        <v>0.51646062510740232</v>
      </c>
      <c r="H37" s="15">
        <f>IF(Rocket_Data[[#This Row],[Ext or Int]]="E",9.5*(Rocket_Data[[#This Row],[CG (m)]]^0.2),"-")</f>
        <v>12.069593877846959</v>
      </c>
      <c r="I37" s="22">
        <f>IF(Rocket_Data[[#This Row],[vss (m/s)]]="-","-",SQRT(((1.25*Rocket_Data[[#This Row],[vss (m/s)]])^2)+((2.56*Rocket_Data[[#This Row],[vss (m/s)]])^2)))</f>
        <v>34.384788056618277</v>
      </c>
      <c r="J37" s="81">
        <f>IF(Rocket_Data[[#This Row],[vr (m/s)]]="-","-",(1/2)*rho*(Rocket_Data[[#This Row],[vr (m/s)]]^2)*Rocket_Data[[#This Row],[Area (m2)]]*Cd)</f>
        <v>301.0773321540301</v>
      </c>
      <c r="L37" s="4">
        <v>9</v>
      </c>
      <c r="M37" s="4" t="s">
        <v>181</v>
      </c>
      <c r="N37" s="27">
        <f>-g0*nzmaxq*SUM(E39:E42,E51:E54,J71)</f>
        <v>-2230.603013966499</v>
      </c>
      <c r="O37" s="27">
        <f>O36+Table3[[#This Row],[Inertia Relief (N)]]</f>
        <v>-1783.4067406639135</v>
      </c>
      <c r="P37" s="27">
        <f>P36-(((N20)-(N21))*O36)</f>
        <v>1857.7279606436507</v>
      </c>
      <c r="Q37" s="82">
        <f>Q36+(nmax*g0*SUM(E39:E42,E51:E54,J71))</f>
        <v>79203.175783236744</v>
      </c>
    </row>
    <row r="38" spans="2:51" ht="15.75" thickBot="1" x14ac:dyDescent="0.3">
      <c r="B38" s="48" t="s">
        <v>46</v>
      </c>
      <c r="C38" s="10" t="s">
        <v>96</v>
      </c>
      <c r="D38" s="49" t="s">
        <v>174</v>
      </c>
      <c r="E38" s="48">
        <v>11.695107277301799</v>
      </c>
      <c r="F38" s="48">
        <v>3.31013158871747</v>
      </c>
      <c r="G38" s="15" t="s">
        <v>172</v>
      </c>
      <c r="H38" s="15" t="str">
        <f>IF(Rocket_Data[[#This Row],[Ext or Int]]="E",9.5*(Rocket_Data[[#This Row],[CG (m)]]^0.2),"-")</f>
        <v>-</v>
      </c>
      <c r="I38" s="22" t="str">
        <f>IF(Rocket_Data[[#This Row],[vss (m/s)]]="-","-",SQRT(((1.25*Rocket_Data[[#This Row],[vss (m/s)]])^2)+((2.56*Rocket_Data[[#This Row],[vss (m/s)]])^2)))</f>
        <v>-</v>
      </c>
      <c r="J38" s="81" t="str">
        <f>IF(Rocket_Data[[#This Row],[vr (m/s)]]="-","-",(1/2)*rho*(Rocket_Data[[#This Row],[vr (m/s)]]^2)*Rocket_Data[[#This Row],[Area (m2)]]*Cd)</f>
        <v>-</v>
      </c>
      <c r="L38" s="4">
        <v>10</v>
      </c>
      <c r="M38" s="4" t="s">
        <v>182</v>
      </c>
      <c r="N38" s="27">
        <f>-g0*nzmaxq*SUM(E43:E46,E55:E58)</f>
        <v>-64.651462646260242</v>
      </c>
      <c r="O38" s="27">
        <f>O37+Table3[[#This Row],[Inertia Relief (N)]]</f>
        <v>-1848.0582033101737</v>
      </c>
      <c r="P38" s="27">
        <f>P37+(((N21)-(N22))*O37)+Table3[[#This Row],[Shear Load (N)]]</f>
        <v>-971.20395003167505</v>
      </c>
      <c r="Q38" s="82">
        <f>Q37+(nmax*g0*SUM(E43:E46,E55:E58))</f>
        <v>81028.95805079682</v>
      </c>
      <c r="S38" s="161" t="s">
        <v>187</v>
      </c>
      <c r="T38" s="162"/>
      <c r="U38" s="162"/>
      <c r="V38" s="162"/>
      <c r="W38" s="162"/>
      <c r="X38" s="162"/>
      <c r="Y38" s="162"/>
      <c r="Z38" s="162"/>
      <c r="AA38" s="162"/>
      <c r="AB38" s="162"/>
      <c r="AC38" s="163"/>
      <c r="AD38" s="161" t="s">
        <v>188</v>
      </c>
      <c r="AE38" s="162"/>
      <c r="AF38" s="162"/>
      <c r="AG38" s="162"/>
      <c r="AH38" s="162"/>
      <c r="AI38" s="162"/>
      <c r="AJ38" s="162"/>
      <c r="AK38" s="162"/>
      <c r="AL38" s="162"/>
      <c r="AM38" s="162"/>
      <c r="AN38" s="163"/>
      <c r="AO38" s="161" t="s">
        <v>189</v>
      </c>
      <c r="AP38" s="162"/>
      <c r="AQ38" s="162"/>
      <c r="AR38" s="162"/>
      <c r="AS38" s="162"/>
      <c r="AT38" s="162"/>
      <c r="AU38" s="162"/>
      <c r="AV38" s="162"/>
      <c r="AW38" s="162"/>
      <c r="AX38" s="162"/>
      <c r="AY38" s="163"/>
    </row>
    <row r="39" spans="2:51" x14ac:dyDescent="0.25">
      <c r="B39" s="48" t="s">
        <v>47</v>
      </c>
      <c r="C39" s="10" t="s">
        <v>96</v>
      </c>
      <c r="D39" s="49">
        <v>0.71015548238223103</v>
      </c>
      <c r="E39" s="48">
        <v>8.2813135776515505</v>
      </c>
      <c r="F39" s="48">
        <v>0</v>
      </c>
      <c r="G39" s="15" t="s">
        <v>172</v>
      </c>
      <c r="H39" s="15" t="str">
        <f>IF(Rocket_Data[[#This Row],[Ext or Int]]="E",9.5*(Rocket_Data[[#This Row],[CG (m)]]^0.2),"-")</f>
        <v>-</v>
      </c>
      <c r="I39" s="22" t="str">
        <f>IF(Rocket_Data[[#This Row],[vss (m/s)]]="-","-",SQRT(((1.25*Rocket_Data[[#This Row],[vss (m/s)]])^2)+((2.56*Rocket_Data[[#This Row],[vss (m/s)]])^2)))</f>
        <v>-</v>
      </c>
      <c r="J39" s="81" t="str">
        <f>IF(Rocket_Data[[#This Row],[vr (m/s)]]="-","-",(1/2)*rho*(Rocket_Data[[#This Row],[vr (m/s)]]^2)*Rocket_Data[[#This Row],[Area (m2)]]*Cd)</f>
        <v>-</v>
      </c>
      <c r="L39" s="4">
        <v>11</v>
      </c>
      <c r="M39" s="4" t="s">
        <v>183</v>
      </c>
      <c r="N39" s="24"/>
      <c r="O39" s="24">
        <f>O38+reqtrim</f>
        <v>0</v>
      </c>
      <c r="P39" s="24"/>
      <c r="Q39" s="94"/>
    </row>
    <row r="40" spans="2:51" x14ac:dyDescent="0.25">
      <c r="B40" s="48" t="s">
        <v>59</v>
      </c>
      <c r="C40" s="10" t="s">
        <v>96</v>
      </c>
      <c r="D40" s="49">
        <v>0.54749383766919801</v>
      </c>
      <c r="E40" s="49">
        <v>0.62943265965641704</v>
      </c>
      <c r="F40" s="48">
        <v>3.2518688483635199</v>
      </c>
      <c r="G40" s="15"/>
      <c r="H40" s="15" t="str">
        <f>IF(Rocket_Data[[#This Row],[Ext or Int]]="E",9.5*(Rocket_Data[[#This Row],[CG (m)]]^0.2),"-")</f>
        <v>-</v>
      </c>
      <c r="I40" s="22" t="str">
        <f>IF(Rocket_Data[[#This Row],[vss (m/s)]]="-","-",SQRT(((1.25*Rocket_Data[[#This Row],[vss (m/s)]])^2)+((2.56*Rocket_Data[[#This Row],[vss (m/s)]])^2)))</f>
        <v>-</v>
      </c>
      <c r="J40" s="81" t="str">
        <f>IF(Rocket_Data[[#This Row],[vr (m/s)]]="-","-",(1/2)*rho*(Rocket_Data[[#This Row],[vr (m/s)]]^2)*Rocket_Data[[#This Row],[Area (m2)]]*Cd)</f>
        <v>-</v>
      </c>
      <c r="L40" s="4"/>
      <c r="M40" s="4"/>
      <c r="N40" s="27"/>
      <c r="O40" s="27"/>
      <c r="P40" s="27"/>
      <c r="Q40" s="82"/>
    </row>
    <row r="41" spans="2:51" x14ac:dyDescent="0.25">
      <c r="B41" s="48" t="s">
        <v>190</v>
      </c>
      <c r="C41" s="10" t="s">
        <v>86</v>
      </c>
      <c r="D41" s="92">
        <v>2.2906219295289199</v>
      </c>
      <c r="E41" s="48">
        <v>118.47117755742499</v>
      </c>
      <c r="F41" s="48">
        <v>1.69531096476446</v>
      </c>
      <c r="G41" s="15">
        <f>Rocket_Data[[#This Row],[Height (m)]]*C4*2</f>
        <v>1.259842061240906</v>
      </c>
      <c r="H41" s="15">
        <f>IF(Rocket_Data[[#This Row],[Ext or Int]]="E",9.5*(Rocket_Data[[#This Row],[CG (m)]]^0.2),"-")</f>
        <v>10.557801184319784</v>
      </c>
      <c r="I41" s="22">
        <f>IF(Rocket_Data[[#This Row],[vss (m/s)]]="-","-",SQRT(((1.25*Rocket_Data[[#This Row],[vss (m/s)]])^2)+((2.56*Rocket_Data[[#This Row],[vss (m/s)]])^2)))</f>
        <v>30.077876666013228</v>
      </c>
      <c r="J41" s="81">
        <f>IF(Rocket_Data[[#This Row],[vr (m/s)]]="-","-",(1/2)*rho*(Rocket_Data[[#This Row],[vr (m/s)]]^2)*Rocket_Data[[#This Row],[Area (m2)]]*Cd)</f>
        <v>561.97706401482935</v>
      </c>
      <c r="N41" s="24"/>
      <c r="O41" s="25"/>
      <c r="P41" s="24"/>
      <c r="Q41" s="25"/>
    </row>
    <row r="42" spans="2:51" x14ac:dyDescent="0.25">
      <c r="B42" s="48" t="s">
        <v>191</v>
      </c>
      <c r="C42" s="10" t="s">
        <v>96</v>
      </c>
      <c r="D42" s="49" t="s">
        <v>174</v>
      </c>
      <c r="E42" s="48">
        <v>17.085129083999998</v>
      </c>
      <c r="F42" s="48">
        <v>0</v>
      </c>
      <c r="G42" s="15" t="s">
        <v>172</v>
      </c>
      <c r="H42" s="15" t="str">
        <f>IF(Rocket_Data[[#This Row],[Ext or Int]]="E",9.5*(Rocket_Data[[#This Row],[CG (m)]]^0.2),"-")</f>
        <v>-</v>
      </c>
      <c r="I42" s="22" t="str">
        <f>IF(Rocket_Data[[#This Row],[vss (m/s)]]="-","-",SQRT(((1.25*Rocket_Data[[#This Row],[vss (m/s)]])^2)+((2.56*Rocket_Data[[#This Row],[vss (m/s)]])^2)))</f>
        <v>-</v>
      </c>
      <c r="J42" s="81" t="str">
        <f>IF(Rocket_Data[[#This Row],[vr (m/s)]]="-","-",(1/2)*rho*(Rocket_Data[[#This Row],[vr (m/s)]]^2)*Rocket_Data[[#This Row],[Area (m2)]]*Cd)</f>
        <v>-</v>
      </c>
    </row>
    <row r="43" spans="2:51" x14ac:dyDescent="0.25">
      <c r="B43" s="48" t="s">
        <v>60</v>
      </c>
      <c r="C43" s="10" t="s">
        <v>86</v>
      </c>
      <c r="D43" s="92">
        <v>0.55000000000000004</v>
      </c>
      <c r="E43" s="48">
        <v>12.829478999097301</v>
      </c>
      <c r="F43" s="48">
        <v>0.27500000000000002</v>
      </c>
      <c r="G43" s="15">
        <f>Rocket_Data[[#This Row],[Height (m)]]*C4*2</f>
        <v>0.30250000000000005</v>
      </c>
      <c r="H43" s="15">
        <f>IF(Rocket_Data[[#This Row],[Ext or Int]]="E",9.5*(Rocket_Data[[#This Row],[CG (m)]]^0.2),"-")</f>
        <v>7.3382101369874908</v>
      </c>
      <c r="I43" s="22">
        <f>IF(Rocket_Data[[#This Row],[vss (m/s)]]="-","-",SQRT(((1.25*Rocket_Data[[#This Row],[vss (m/s)]])^2)+((2.56*Rocket_Data[[#This Row],[vss (m/s)]])^2)))</f>
        <v>20.905657872910414</v>
      </c>
      <c r="J43" s="81">
        <f>IF(Rocket_Data[[#This Row],[vr (m/s)]]="-","-",(1/2)*rho*(Rocket_Data[[#This Row],[vr (m/s)]]^2)*Rocket_Data[[#This Row],[Area (m2)]]*Cd)</f>
        <v>65.187030156156837</v>
      </c>
    </row>
    <row r="44" spans="2:51" x14ac:dyDescent="0.25">
      <c r="B44" s="48" t="s">
        <v>61</v>
      </c>
      <c r="C44" s="10" t="s">
        <v>96</v>
      </c>
      <c r="D44" s="49">
        <v>0.27500000000000002</v>
      </c>
      <c r="E44" s="48">
        <v>4.3882208200771702</v>
      </c>
      <c r="F44" s="48">
        <v>0.13750000000000001</v>
      </c>
      <c r="G44" s="15" t="s">
        <v>172</v>
      </c>
      <c r="H44" s="15" t="str">
        <f>IF(Rocket_Data[[#This Row],[Ext or Int]]="E",9.5*(Rocket_Data[[#This Row],[CG (m)]]^0.2),"-")</f>
        <v>-</v>
      </c>
      <c r="I44" s="22" t="str">
        <f>IF(Rocket_Data[[#This Row],[vss (m/s)]]="-","-",SQRT(((1.25*Rocket_Data[[#This Row],[vss (m/s)]])^2)+((2.56*Rocket_Data[[#This Row],[vss (m/s)]])^2)))</f>
        <v>-</v>
      </c>
      <c r="J44" s="81" t="str">
        <f>IF(Rocket_Data[[#This Row],[vr (m/s)]]="-","-",(1/2)*rho*(Rocket_Data[[#This Row],[vr (m/s)]]^2)*Rocket_Data[[#This Row],[Area (m2)]]*Cd)</f>
        <v>-</v>
      </c>
    </row>
    <row r="45" spans="2:51" x14ac:dyDescent="0.25">
      <c r="B45" s="48" t="s">
        <v>62</v>
      </c>
      <c r="C45" s="10" t="s">
        <v>96</v>
      </c>
      <c r="D45" s="49" t="s">
        <v>174</v>
      </c>
      <c r="E45" s="48">
        <v>0.62679767127419395</v>
      </c>
      <c r="F45" s="48">
        <v>0.27500000000000002</v>
      </c>
      <c r="G45" s="15" t="s">
        <v>172</v>
      </c>
      <c r="H45" s="15" t="str">
        <f>IF(Rocket_Data[[#This Row],[Ext or Int]]="E",9.5*(Rocket_Data[[#This Row],[CG (m)]]^0.2),"-")</f>
        <v>-</v>
      </c>
      <c r="I45" s="22" t="str">
        <f>IF(Rocket_Data[[#This Row],[vss (m/s)]]="-","-",SQRT(((1.25*Rocket_Data[[#This Row],[vss (m/s)]])^2)+((2.56*Rocket_Data[[#This Row],[vss (m/s)]])^2)))</f>
        <v>-</v>
      </c>
      <c r="J45" s="81" t="str">
        <f>IF(Rocket_Data[[#This Row],[vr (m/s)]]="-","-",(1/2)*rho*(Rocket_Data[[#This Row],[vr (m/s)]]^2)*Rocket_Data[[#This Row],[Area (m2)]]*Cd)</f>
        <v>-</v>
      </c>
    </row>
    <row r="46" spans="2:51" x14ac:dyDescent="0.25">
      <c r="B46" s="48" t="s">
        <v>192</v>
      </c>
      <c r="C46" s="10" t="s">
        <v>96</v>
      </c>
      <c r="D46" s="49">
        <v>0.27500000000000002</v>
      </c>
      <c r="E46" s="48">
        <v>0</v>
      </c>
      <c r="F46" s="48">
        <v>6.8750000000000006E-2</v>
      </c>
      <c r="G46" s="15" t="s">
        <v>172</v>
      </c>
      <c r="H46" s="15" t="str">
        <f>IF(Rocket_Data[[#This Row],[Ext or Int]]="E",9.5*(Rocket_Data[[#This Row],[CG (m)]]^0.2),"-")</f>
        <v>-</v>
      </c>
      <c r="I46" s="22" t="str">
        <f>IF(Rocket_Data[[#This Row],[vss (m/s)]]="-","-",SQRT(((1.25*Rocket_Data[[#This Row],[vss (m/s)]])^2)+((2.56*Rocket_Data[[#This Row],[vss (m/s)]])^2)))</f>
        <v>-</v>
      </c>
      <c r="J46" s="81" t="str">
        <f>IF(Rocket_Data[[#This Row],[vr (m/s)]]="-","-",(1/2)*rho*(Rocket_Data[[#This Row],[vr (m/s)]]^2)*Rocket_Data[[#This Row],[Area (m2)]]*Cd)</f>
        <v>-</v>
      </c>
    </row>
    <row r="47" spans="2:51" x14ac:dyDescent="0.25">
      <c r="B47" s="48" t="s">
        <v>193</v>
      </c>
      <c r="C47" s="10" t="s">
        <v>96</v>
      </c>
      <c r="D47" s="92">
        <v>2.2906219295289199</v>
      </c>
      <c r="E47" s="48">
        <v>877.564278203149</v>
      </c>
      <c r="F47" s="48">
        <v>1.69531096476446</v>
      </c>
      <c r="G47" s="15"/>
      <c r="H47" s="15" t="str">
        <f>IF(Rocket_Data[[#This Row],[Ext or Int]]="E",9.5*(Rocket_Data[[#This Row],[CG (m)]]^0.2),"-")</f>
        <v>-</v>
      </c>
      <c r="I47" s="22" t="str">
        <f>IF(Rocket_Data[[#This Row],[vss (m/s)]]="-","-",SQRT(((1.25*Rocket_Data[[#This Row],[vss (m/s)]])^2)+((2.56*Rocket_Data[[#This Row],[vss (m/s)]])^2)))</f>
        <v>-</v>
      </c>
      <c r="J47" s="81" t="str">
        <f>IF(Rocket_Data[[#This Row],[vr (m/s)]]="-","-",(1/2)*rho*(Rocket_Data[[#This Row],[vr (m/s)]]^2)*Rocket_Data[[#This Row],[Area (m2)]]*Cd)</f>
        <v>-</v>
      </c>
    </row>
    <row r="48" spans="2:51" x14ac:dyDescent="0.25">
      <c r="B48" s="95" t="s">
        <v>194</v>
      </c>
      <c r="C48" s="101" t="s">
        <v>86</v>
      </c>
      <c r="D48" s="98">
        <v>0.55000000000000004</v>
      </c>
      <c r="E48" s="96">
        <v>28.687587157887499</v>
      </c>
      <c r="F48" s="95">
        <v>3.4941854417092402</v>
      </c>
      <c r="G48" s="102">
        <f>(1/2)*(2*C5)*C5</f>
        <v>7.5625000000000012E-2</v>
      </c>
      <c r="H48" s="102">
        <f>IF(Rocket_Data[[#This Row],[Ext or Int]]="E",9.5*(Rocket_Data[[#This Row],[CG (m)]]^0.2),"-")</f>
        <v>12.200926061432039</v>
      </c>
      <c r="I48" s="103">
        <f>IF(Rocket_Data[[#This Row],[vss (m/s)]]="-","-",SQRT(((1.25*Rocket_Data[[#This Row],[vss (m/s)]])^2)+((2.56*Rocket_Data[[#This Row],[vss (m/s)]])^2)))</f>
        <v>34.758937290079594</v>
      </c>
      <c r="J48" s="102">
        <f>IF(Rocket_Data[[#This Row],[vr (m/s)]]="-","-",(1/2)*rho*(Rocket_Data[[#This Row],[vr (m/s)]]^2)*Rocket_Data[[#This Row],[Area (m2)]]*Cd*4)</f>
        <v>180.20485940443632</v>
      </c>
    </row>
    <row r="49" spans="2:10" x14ac:dyDescent="0.25">
      <c r="B49" s="95" t="s">
        <v>45</v>
      </c>
      <c r="C49" s="101" t="s">
        <v>86</v>
      </c>
      <c r="D49" s="98">
        <v>0.68714094659375402</v>
      </c>
      <c r="E49" s="96">
        <v>64.113893409050306</v>
      </c>
      <c r="F49" s="95">
        <v>2.9672816350790301</v>
      </c>
      <c r="G49" s="102">
        <f>Rocket_Data[[#This Row],[Height (m)]]*C5</f>
        <v>0.18896376031328238</v>
      </c>
      <c r="H49" s="102">
        <f>IF(Rocket_Data[[#This Row],[Ext or Int]]="E",9.5*(Rocket_Data[[#This Row],[CG (m)]]^0.2),"-")</f>
        <v>11.808516996383556</v>
      </c>
      <c r="I49" s="103">
        <f>IF(Rocket_Data[[#This Row],[vss (m/s)]]="-","-",SQRT(((1.25*Rocket_Data[[#This Row],[vss (m/s)]])^2)+((2.56*Rocket_Data[[#This Row],[vss (m/s)]])^2)))</f>
        <v>33.641012141168552</v>
      </c>
      <c r="J49" s="102">
        <f>IF(Rocket_Data[[#This Row],[vr (m/s)]]="-","-",(1/2)*rho*(Rocket_Data[[#This Row],[vr (m/s)]]^2)*Rocket_Data[[#This Row],[Area (m2)]]*Cd*4)</f>
        <v>421.77881322894638</v>
      </c>
    </row>
    <row r="50" spans="2:10" x14ac:dyDescent="0.25">
      <c r="B50" s="95" t="s">
        <v>46</v>
      </c>
      <c r="C50" s="101" t="s">
        <v>96</v>
      </c>
      <c r="D50" s="98" t="s">
        <v>174</v>
      </c>
      <c r="E50" s="96">
        <v>74.997587737285301</v>
      </c>
      <c r="F50" s="95">
        <v>2.9672816350790301</v>
      </c>
      <c r="G50" s="102"/>
      <c r="H50" s="102" t="str">
        <f>IF(Rocket_Data[[#This Row],[Ext or Int]]="E",9.5*(Rocket_Data[[#This Row],[CG (m)]]^0.2),"-")</f>
        <v>-</v>
      </c>
      <c r="I50" s="103" t="str">
        <f>IF(Rocket_Data[[#This Row],[vss (m/s)]]="-","-",SQRT(((1.25*Rocket_Data[[#This Row],[vss (m/s)]])^2)+((2.56*Rocket_Data[[#This Row],[vss (m/s)]])^2)))</f>
        <v>-</v>
      </c>
      <c r="J50" s="102" t="str">
        <f>IF(Rocket_Data[[#This Row],[vr (m/s)]]="-","-",(1/2)*rho*(Rocket_Data[[#This Row],[vr (m/s)]]^2)*Rocket_Data[[#This Row],[Area (m2)]]*Cd)</f>
        <v>-</v>
      </c>
    </row>
    <row r="51" spans="2:10" x14ac:dyDescent="0.25">
      <c r="B51" s="95" t="s">
        <v>47</v>
      </c>
      <c r="C51" s="101" t="s">
        <v>96</v>
      </c>
      <c r="D51" s="98">
        <v>0.65592779044553895</v>
      </c>
      <c r="E51" s="96">
        <v>62.437422979051199</v>
      </c>
      <c r="F51" s="95">
        <v>0</v>
      </c>
      <c r="G51" s="102"/>
      <c r="H51" s="102" t="str">
        <f>IF(Rocket_Data[[#This Row],[Ext or Int]]="E",9.5*(Rocket_Data[[#This Row],[CG (m)]]^0.2),"-")</f>
        <v>-</v>
      </c>
      <c r="I51" s="103" t="str">
        <f>IF(Rocket_Data[[#This Row],[vss (m/s)]]="-","-",SQRT(((1.25*Rocket_Data[[#This Row],[vss (m/s)]])^2)+((2.56*Rocket_Data[[#This Row],[vss (m/s)]])^2)))</f>
        <v>-</v>
      </c>
      <c r="J51" s="102" t="str">
        <f>IF(Rocket_Data[[#This Row],[vr (m/s)]]="-","-",(1/2)*rho*(Rocket_Data[[#This Row],[vr (m/s)]]^2)*Rocket_Data[[#This Row],[Area (m2)]]*Cd)</f>
        <v>-</v>
      </c>
    </row>
    <row r="52" spans="2:10" x14ac:dyDescent="0.25">
      <c r="B52" s="95" t="s">
        <v>59</v>
      </c>
      <c r="C52" s="101" t="s">
        <v>96</v>
      </c>
      <c r="D52" s="98">
        <v>0.54964094659375395</v>
      </c>
      <c r="E52" s="96">
        <v>2.3158803107568802</v>
      </c>
      <c r="F52" s="95">
        <v>3.0360316350790302</v>
      </c>
      <c r="G52" s="102"/>
      <c r="H52" s="102" t="str">
        <f>IF(Rocket_Data[[#This Row],[Ext or Int]]="E",9.5*(Rocket_Data[[#This Row],[CG (m)]]^0.2),"-")</f>
        <v>-</v>
      </c>
      <c r="I52" s="103" t="str">
        <f>IF(Rocket_Data[[#This Row],[vss (m/s)]]="-","-",SQRT(((1.25*Rocket_Data[[#This Row],[vss (m/s)]])^2)+((2.56*Rocket_Data[[#This Row],[vss (m/s)]])^2)))</f>
        <v>-</v>
      </c>
      <c r="J52" s="102" t="str">
        <f>IF(Rocket_Data[[#This Row],[vr (m/s)]]="-","-",(1/2)*rho*(Rocket_Data[[#This Row],[vr (m/s)]]^2)*Rocket_Data[[#This Row],[Area (m2)]]*Cd)</f>
        <v>-</v>
      </c>
    </row>
    <row r="53" spans="2:10" x14ac:dyDescent="0.25">
      <c r="B53" s="95" t="s">
        <v>190</v>
      </c>
      <c r="C53" s="101" t="s">
        <v>86</v>
      </c>
      <c r="D53" s="98">
        <v>2.0737111617821502</v>
      </c>
      <c r="E53" s="96">
        <v>429.01013053835902</v>
      </c>
      <c r="F53" s="95">
        <v>1.58685558089107</v>
      </c>
      <c r="G53" s="102">
        <f>Rocket_Data[[#This Row],[Height (m)]]*C5</f>
        <v>0.57027056949009136</v>
      </c>
      <c r="H53" s="102">
        <f>IF(Rocket_Data[[#This Row],[Ext or Int]]="E",9.5*(Rocket_Data[[#This Row],[CG (m)]]^0.2),"-")</f>
        <v>10.419121104818327</v>
      </c>
      <c r="I53" s="103">
        <f>IF(Rocket_Data[[#This Row],[vss (m/s)]]="-","-",SQRT(((1.25*Rocket_Data[[#This Row],[vss (m/s)]])^2)+((2.56*Rocket_Data[[#This Row],[vss (m/s)]])^2)))</f>
        <v>29.682794181085143</v>
      </c>
      <c r="J53" s="145">
        <f>IF(Rocket_Data[[#This Row],[vr (m/s)]]="-","-",(1/2)*rho*(Rocket_Data[[#This Row],[vr (m/s)]]^2)*Rocket_Data[[#This Row],[Area (m2)]]*Cd*4)</f>
        <v>990.96576446718416</v>
      </c>
    </row>
    <row r="54" spans="2:10" x14ac:dyDescent="0.25">
      <c r="B54" s="95" t="s">
        <v>191</v>
      </c>
      <c r="C54" s="101" t="s">
        <v>96</v>
      </c>
      <c r="D54" s="98" t="s">
        <v>174</v>
      </c>
      <c r="E54" s="96">
        <v>63.159468699999998</v>
      </c>
      <c r="F54" s="95">
        <v>0</v>
      </c>
      <c r="G54" s="102"/>
      <c r="H54" s="102" t="str">
        <f>IF(Rocket_Data[[#This Row],[Ext or Int]]="E",9.5*(Rocket_Data[[#This Row],[CG (m)]]^0.2),"-")</f>
        <v>-</v>
      </c>
      <c r="I54" s="103" t="str">
        <f>IF(Rocket_Data[[#This Row],[vss (m/s)]]="-","-",SQRT(((1.25*Rocket_Data[[#This Row],[vss (m/s)]])^2)+((2.56*Rocket_Data[[#This Row],[vss (m/s)]])^2)))</f>
        <v>-</v>
      </c>
      <c r="J54" s="102" t="str">
        <f>IF(Rocket_Data[[#This Row],[vr (m/s)]]="-","-",(1/2)*rho*(Rocket_Data[[#This Row],[vr (m/s)]]^2)*Rocket_Data[[#This Row],[Area (m2)]]*Cd)</f>
        <v>-</v>
      </c>
    </row>
    <row r="55" spans="2:10" x14ac:dyDescent="0.25">
      <c r="B55" s="95" t="s">
        <v>60</v>
      </c>
      <c r="C55" s="101" t="s">
        <v>86</v>
      </c>
      <c r="D55" s="98">
        <v>0.55000000000000004</v>
      </c>
      <c r="E55" s="96">
        <v>51.317915996389203</v>
      </c>
      <c r="F55" s="95">
        <v>0.27500000000000002</v>
      </c>
      <c r="G55" s="102">
        <f>G53*C5</f>
        <v>0.15682440660977515</v>
      </c>
      <c r="H55" s="102">
        <f>IF(Rocket_Data[[#This Row],[Ext or Int]]="E",9.5*(Rocket_Data[[#This Row],[CG (m)]]^0.2),"-")</f>
        <v>7.3382101369874908</v>
      </c>
      <c r="I55" s="103">
        <f>IF(Rocket_Data[[#This Row],[vss (m/s)]]="-","-",SQRT(((1.25*Rocket_Data[[#This Row],[vss (m/s)]])^2)+((2.56*Rocket_Data[[#This Row],[vss (m/s)]])^2)))</f>
        <v>20.905657872910414</v>
      </c>
      <c r="J55" s="102">
        <f>IF(Rocket_Data[[#This Row],[vr (m/s)]]="-","-",(1/2)*rho*(Rocket_Data[[#This Row],[vr (m/s)]]^2)*Rocket_Data[[#This Row],[Area (m2)]]*Cd*4)</f>
        <v>135.17907203825206</v>
      </c>
    </row>
    <row r="56" spans="2:10" x14ac:dyDescent="0.25">
      <c r="B56" s="95" t="s">
        <v>61</v>
      </c>
      <c r="C56" s="101" t="s">
        <v>96</v>
      </c>
      <c r="D56" s="98">
        <v>0.27500000000000002</v>
      </c>
      <c r="E56" s="96">
        <v>11.5356463671864</v>
      </c>
      <c r="F56" s="95">
        <v>0.13750000000000001</v>
      </c>
      <c r="G56" s="102"/>
      <c r="H56" s="102" t="str">
        <f>IF(Rocket_Data[[#This Row],[Ext or Int]]="E",9.5*(Rocket_Data[[#This Row],[CG (m)]]^0.2),"-")</f>
        <v>-</v>
      </c>
      <c r="I56" s="103" t="str">
        <f>IF(Rocket_Data[[#This Row],[vss (m/s)]]="-","-",SQRT(((1.25*Rocket_Data[[#This Row],[vss (m/s)]])^2)+((2.56*Rocket_Data[[#This Row],[vss (m/s)]])^2)))</f>
        <v>-</v>
      </c>
      <c r="J56" s="102" t="str">
        <f>IF(Rocket_Data[[#This Row],[vr (m/s)]]="-","-",(1/2)*rho*(Rocket_Data[[#This Row],[vr (m/s)]]^2)*Rocket_Data[[#This Row],[Area (m2)]]*Cd)</f>
        <v>-</v>
      </c>
    </row>
    <row r="57" spans="2:10" x14ac:dyDescent="0.25">
      <c r="B57" s="95" t="s">
        <v>62</v>
      </c>
      <c r="C57" s="101" t="s">
        <v>96</v>
      </c>
      <c r="D57" s="98" t="s">
        <v>174</v>
      </c>
      <c r="E57" s="96">
        <v>0</v>
      </c>
      <c r="F57" s="95">
        <v>0.27500000000000002</v>
      </c>
      <c r="G57" s="102"/>
      <c r="H57" s="102" t="str">
        <f>IF(Rocket_Data[[#This Row],[Ext or Int]]="E",9.5*(Rocket_Data[[#This Row],[CG (m)]]^0.2),"-")</f>
        <v>-</v>
      </c>
      <c r="I57" s="103" t="str">
        <f>IF(Rocket_Data[[#This Row],[vss (m/s)]]="-","-",SQRT(((1.25*Rocket_Data[[#This Row],[vss (m/s)]])^2)+((2.56*Rocket_Data[[#This Row],[vss (m/s)]])^2)))</f>
        <v>-</v>
      </c>
      <c r="J57" s="102" t="str">
        <f>IF(Rocket_Data[[#This Row],[vr (m/s)]]="-","-",(1/2)*rho*(Rocket_Data[[#This Row],[vr (m/s)]]^2)*Rocket_Data[[#This Row],[Area (m2)]]*Cd)</f>
        <v>-</v>
      </c>
    </row>
    <row r="58" spans="2:10" x14ac:dyDescent="0.25">
      <c r="B58" s="95" t="s">
        <v>192</v>
      </c>
      <c r="C58" s="101" t="s">
        <v>96</v>
      </c>
      <c r="D58" s="98">
        <v>0.27500000000000002</v>
      </c>
      <c r="E58" s="96">
        <v>0</v>
      </c>
      <c r="F58" s="95">
        <v>6.8750000000000006E-2</v>
      </c>
      <c r="G58" s="102"/>
      <c r="H58" s="102" t="str">
        <f>IF(Rocket_Data[[#This Row],[Ext or Int]]="E",9.5*(Rocket_Data[[#This Row],[CG (m)]]^0.2),"-")</f>
        <v>-</v>
      </c>
      <c r="I58" s="103" t="str">
        <f>IF(Rocket_Data[[#This Row],[vss (m/s)]]="-","-",SQRT(((1.25*Rocket_Data[[#This Row],[vss (m/s)]])^2)+((2.56*Rocket_Data[[#This Row],[vss (m/s)]])^2)))</f>
        <v>-</v>
      </c>
      <c r="J58" s="102" t="str">
        <f>IF(Rocket_Data[[#This Row],[vr (m/s)]]="-","-",(1/2)*rho*(Rocket_Data[[#This Row],[vr (m/s)]]^2)*Rocket_Data[[#This Row],[Area (m2)]]*Cd)</f>
        <v>-</v>
      </c>
    </row>
    <row r="59" spans="2:10" ht="15" customHeight="1" x14ac:dyDescent="0.25">
      <c r="B59" s="95" t="s">
        <v>193</v>
      </c>
      <c r="C59" s="101" t="s">
        <v>96</v>
      </c>
      <c r="D59" s="98">
        <v>2.0737111617821502</v>
      </c>
      <c r="E59" s="96">
        <v>3177.8528188026598</v>
      </c>
      <c r="F59" s="95">
        <v>1.58685558089107</v>
      </c>
      <c r="G59" s="102"/>
      <c r="H59" s="102" t="str">
        <f>IF(Rocket_Data[[#This Row],[Ext or Int]]="E",9.5*(Rocket_Data[[#This Row],[CG (m)]]^0.2),"-")</f>
        <v>-</v>
      </c>
      <c r="I59" s="103" t="str">
        <f>IF(Rocket_Data[[#This Row],[vss (m/s)]]="-","-",SQRT(((1.25*Rocket_Data[[#This Row],[vss (m/s)]])^2)+((2.56*Rocket_Data[[#This Row],[vss (m/s)]])^2)))</f>
        <v>-</v>
      </c>
      <c r="J59" s="102" t="str">
        <f>IF(Rocket_Data[[#This Row],[vr (m/s)]]="-","-",(1/2)*rho*(Rocket_Data[[#This Row],[vr (m/s)]]^2)*Rocket_Data[[#This Row],[Area (m2)]]*Cd)</f>
        <v>-</v>
      </c>
    </row>
    <row r="60" spans="2:10" ht="15.75" thickBot="1" x14ac:dyDescent="0.3"/>
    <row r="61" spans="2:10" ht="15.75" thickBot="1" x14ac:dyDescent="0.3">
      <c r="B61" s="88"/>
      <c r="C61" s="88"/>
      <c r="D61" s="4"/>
      <c r="I61" s="154" t="s">
        <v>71</v>
      </c>
      <c r="J61" s="157"/>
    </row>
    <row r="62" spans="2:10" ht="18" x14ac:dyDescent="0.35">
      <c r="B62" s="88"/>
      <c r="C62" s="88"/>
      <c r="D62" s="4"/>
      <c r="I62" s="66" t="s">
        <v>75</v>
      </c>
      <c r="J62" s="84">
        <f>mass1</f>
        <v>5553.977424634606</v>
      </c>
    </row>
    <row r="63" spans="2:10" ht="18" x14ac:dyDescent="0.35">
      <c r="B63" s="88"/>
      <c r="C63" s="88"/>
      <c r="D63" s="4"/>
      <c r="I63" s="67" t="s">
        <v>80</v>
      </c>
      <c r="J63" s="85">
        <f>massmaxq</f>
        <v>3581.4126486346158</v>
      </c>
    </row>
    <row r="64" spans="2:10" ht="18" x14ac:dyDescent="0.35">
      <c r="B64" s="88"/>
      <c r="C64" s="88"/>
      <c r="D64" s="4"/>
      <c r="I64" s="67" t="s">
        <v>84</v>
      </c>
      <c r="J64" s="85">
        <f>J62-J63</f>
        <v>1972.5647759999902</v>
      </c>
    </row>
    <row r="65" spans="6:13" ht="18" x14ac:dyDescent="0.35">
      <c r="I65" s="67" t="s">
        <v>89</v>
      </c>
      <c r="J65" s="85">
        <f>SUM(E47,E59)</f>
        <v>4055.417097005809</v>
      </c>
    </row>
    <row r="66" spans="6:13" ht="18" x14ac:dyDescent="0.35">
      <c r="I66" s="67" t="s">
        <v>94</v>
      </c>
      <c r="J66" s="85">
        <f>J65-J64</f>
        <v>2082.8523210058188</v>
      </c>
    </row>
    <row r="67" spans="6:13" x14ac:dyDescent="0.25">
      <c r="I67" s="67" t="s">
        <v>99</v>
      </c>
      <c r="J67" s="23">
        <v>1</v>
      </c>
    </row>
    <row r="68" spans="6:13" x14ac:dyDescent="0.25">
      <c r="I68" s="67" t="s">
        <v>104</v>
      </c>
      <c r="J68" s="23">
        <v>0</v>
      </c>
    </row>
    <row r="69" spans="6:13" ht="18" x14ac:dyDescent="0.35">
      <c r="I69" s="68" t="s">
        <v>108</v>
      </c>
      <c r="J69" s="85">
        <f>J67*J64</f>
        <v>1972.5647759999902</v>
      </c>
    </row>
    <row r="70" spans="6:13" ht="18" x14ac:dyDescent="0.35">
      <c r="I70" s="68" t="s">
        <v>110</v>
      </c>
      <c r="J70" s="85">
        <f>J68*J64</f>
        <v>0</v>
      </c>
    </row>
    <row r="71" spans="6:13" ht="18" x14ac:dyDescent="0.35">
      <c r="I71" s="68" t="s">
        <v>112</v>
      </c>
      <c r="J71" s="85">
        <f>(J66*J67)</f>
        <v>2082.8523210058188</v>
      </c>
      <c r="L71">
        <f>J71/5</f>
        <v>416.57046420116376</v>
      </c>
      <c r="M71">
        <f>L71*4</f>
        <v>1666.281856804655</v>
      </c>
    </row>
    <row r="72" spans="6:13" ht="18" x14ac:dyDescent="0.35">
      <c r="I72" s="68" t="s">
        <v>115</v>
      </c>
      <c r="J72" s="85">
        <f>(J66*J68)-J70</f>
        <v>0</v>
      </c>
    </row>
    <row r="73" spans="6:13" ht="18.75" x14ac:dyDescent="0.35">
      <c r="I73" s="67" t="s">
        <v>118</v>
      </c>
      <c r="J73" s="83">
        <f>J69/timemaxq</f>
        <v>31.310551999999845</v>
      </c>
    </row>
    <row r="74" spans="6:13" ht="18.75" thickBot="1" x14ac:dyDescent="0.4">
      <c r="F74" s="89"/>
      <c r="G74" s="89"/>
      <c r="I74" s="86" t="s">
        <v>121</v>
      </c>
      <c r="J74" s="87">
        <f>'HW9 - CM and J0'!G54</f>
        <v>2.1119343961995467</v>
      </c>
    </row>
    <row r="75" spans="6:13" x14ac:dyDescent="0.25">
      <c r="F75" s="89"/>
      <c r="G75" s="89"/>
    </row>
    <row r="76" spans="6:13" x14ac:dyDescent="0.25">
      <c r="F76" s="89"/>
      <c r="G76" s="89"/>
    </row>
    <row r="77" spans="6:13" x14ac:dyDescent="0.25">
      <c r="F77" s="89"/>
      <c r="G77" s="89"/>
    </row>
    <row r="78" spans="6:13" x14ac:dyDescent="0.25">
      <c r="F78" s="89"/>
      <c r="G78" s="89"/>
    </row>
    <row r="79" spans="6:13" x14ac:dyDescent="0.25">
      <c r="F79" s="89"/>
      <c r="G79" s="89"/>
    </row>
  </sheetData>
  <mergeCells count="11">
    <mergeCell ref="B11:J11"/>
    <mergeCell ref="I61:J61"/>
    <mergeCell ref="O2:P2"/>
    <mergeCell ref="S11:AC11"/>
    <mergeCell ref="L11:Q11"/>
    <mergeCell ref="AO11:AY11"/>
    <mergeCell ref="S38:AC38"/>
    <mergeCell ref="AD38:AN38"/>
    <mergeCell ref="AO38:AY38"/>
    <mergeCell ref="L27:Q27"/>
    <mergeCell ref="AD11:AN11"/>
  </mergeCells>
  <phoneticPr fontId="2" type="noConversion"/>
  <pageMargins left="0.7" right="0.7" top="0.75" bottom="0.75" header="0.3" footer="0.3"/>
  <pageSetup orientation="portrait" r:id="rId1"/>
  <ignoredErrors>
    <ignoredError sqref="Q29 P14 P19" calculatedColumn="1"/>
  </ignoredErrors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D1A9-3E2B-44DD-A922-F44B8817F973}">
  <dimension ref="A1:M69"/>
  <sheetViews>
    <sheetView topLeftCell="A31" zoomScaleNormal="100" workbookViewId="0">
      <selection activeCell="L63" sqref="L63"/>
    </sheetView>
  </sheetViews>
  <sheetFormatPr defaultRowHeight="15" x14ac:dyDescent="0.25"/>
  <cols>
    <col min="1" max="1" width="11.28515625" bestFit="1" customWidth="1"/>
    <col min="2" max="2" width="23.5703125" bestFit="1" customWidth="1"/>
    <col min="3" max="3" width="9.140625" bestFit="1" customWidth="1"/>
    <col min="4" max="4" width="12" bestFit="1" customWidth="1"/>
    <col min="5" max="5" width="14.7109375" bestFit="1" customWidth="1"/>
    <col min="6" max="6" width="16.5703125" bestFit="1" customWidth="1"/>
    <col min="7" max="7" width="15.5703125" bestFit="1" customWidth="1"/>
    <col min="8" max="8" width="18.42578125" bestFit="1" customWidth="1"/>
    <col min="9" max="9" width="16.5703125" customWidth="1"/>
    <col min="10" max="10" width="12" bestFit="1" customWidth="1"/>
    <col min="11" max="11" width="10.5703125" bestFit="1" customWidth="1"/>
    <col min="12" max="12" width="12.85546875" bestFit="1" customWidth="1"/>
    <col min="13" max="13" width="7" bestFit="1" customWidth="1"/>
  </cols>
  <sheetData>
    <row r="1" spans="1:12" x14ac:dyDescent="0.25">
      <c r="A1" t="s">
        <v>0</v>
      </c>
      <c r="C1">
        <v>0.35</v>
      </c>
      <c r="D1" t="s">
        <v>1</v>
      </c>
      <c r="E1">
        <f>C6+C9+C17+C24+C13+C19</f>
        <v>3.315070829291312</v>
      </c>
      <c r="F1" t="s">
        <v>2</v>
      </c>
      <c r="G1">
        <f>SUM(E1:E2)</f>
        <v>7.0947120771973271</v>
      </c>
    </row>
    <row r="2" spans="1:12" x14ac:dyDescent="0.25">
      <c r="A2" t="s">
        <v>3</v>
      </c>
      <c r="C2">
        <v>1</v>
      </c>
      <c r="D2" t="s">
        <v>4</v>
      </c>
      <c r="E2">
        <f>C30+C34+C36</f>
        <v>3.7796412479060146</v>
      </c>
    </row>
    <row r="3" spans="1:12" x14ac:dyDescent="0.25">
      <c r="A3" t="s">
        <v>195</v>
      </c>
      <c r="C3">
        <v>0.3</v>
      </c>
      <c r="D3" t="s">
        <v>196</v>
      </c>
      <c r="E3">
        <f>C42+C46+C48</f>
        <v>3.3108521083759044</v>
      </c>
    </row>
    <row r="5" spans="1:12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</row>
    <row r="6" spans="1:12" x14ac:dyDescent="0.25">
      <c r="A6">
        <v>0</v>
      </c>
      <c r="B6" s="42" t="s">
        <v>21</v>
      </c>
      <c r="C6" s="43">
        <v>1.36</v>
      </c>
      <c r="D6" s="43">
        <v>25.680054178082401</v>
      </c>
      <c r="E6" s="42">
        <v>6.0807811718044702</v>
      </c>
      <c r="F6" s="42">
        <v>156.15478993700199</v>
      </c>
      <c r="G6" s="44">
        <v>5.0000000000000001E-3</v>
      </c>
      <c r="H6" s="42">
        <v>4.1451078529224397</v>
      </c>
      <c r="I6" s="42">
        <v>3.12428175807</v>
      </c>
      <c r="J6" s="42">
        <v>441.23261368881703</v>
      </c>
      <c r="K6" s="42">
        <v>445.37772154173899</v>
      </c>
      <c r="L6" s="42">
        <v>1.94205409721748</v>
      </c>
    </row>
    <row r="7" spans="1:12" x14ac:dyDescent="0.25">
      <c r="A7">
        <f t="shared" ref="A7:A52" si="0">A6+1</f>
        <v>1</v>
      </c>
      <c r="B7" s="42" t="s">
        <v>22</v>
      </c>
      <c r="C7" s="43">
        <v>1.36</v>
      </c>
      <c r="D7" s="43">
        <v>95</v>
      </c>
      <c r="E7" s="42">
        <v>5.8869396776548397</v>
      </c>
      <c r="F7" s="42">
        <v>559.25926937720897</v>
      </c>
      <c r="G7" s="44">
        <v>0</v>
      </c>
      <c r="H7" s="42">
        <v>3.9512663587727999</v>
      </c>
      <c r="I7" s="42">
        <v>14.642666666666599</v>
      </c>
      <c r="J7" s="42">
        <v>1483.18805460712</v>
      </c>
      <c r="K7" s="42">
        <v>1487.13932096589</v>
      </c>
      <c r="L7" s="42">
        <v>7.1843750000000002</v>
      </c>
    </row>
    <row r="8" spans="1:12" x14ac:dyDescent="0.25">
      <c r="A8">
        <f t="shared" si="0"/>
        <v>2</v>
      </c>
      <c r="B8" s="42" t="s">
        <v>23</v>
      </c>
      <c r="C8" s="43" t="s">
        <v>174</v>
      </c>
      <c r="D8" s="43">
        <v>29.249999999999901</v>
      </c>
      <c r="E8" s="42">
        <v>5.4819396776548404</v>
      </c>
      <c r="F8" s="42">
        <v>160.346735571404</v>
      </c>
      <c r="G8" s="44">
        <v>0</v>
      </c>
      <c r="H8" s="42">
        <v>3.5462663587728001</v>
      </c>
      <c r="I8" s="42">
        <v>1.10601562499999</v>
      </c>
      <c r="J8" s="42">
        <v>367.84814880538897</v>
      </c>
      <c r="K8" s="42">
        <v>371.39441516416201</v>
      </c>
      <c r="L8" s="42">
        <v>2.2120312499999901</v>
      </c>
    </row>
    <row r="9" spans="1:12" x14ac:dyDescent="0.25">
      <c r="A9">
        <f t="shared" si="0"/>
        <v>3</v>
      </c>
      <c r="B9" s="45" t="s">
        <v>197</v>
      </c>
      <c r="C9" s="46">
        <v>0.32083333333333303</v>
      </c>
      <c r="D9" s="45">
        <v>7.4838627494734302</v>
      </c>
      <c r="E9" s="45">
        <v>5.3215230109881704</v>
      </c>
      <c r="F9" s="45">
        <v>39.825547832400098</v>
      </c>
      <c r="G9" s="47">
        <v>5.0000000000000001E-3</v>
      </c>
      <c r="H9" s="45">
        <v>3.3858496921061398</v>
      </c>
      <c r="I9" s="45">
        <v>0.347178904892745</v>
      </c>
      <c r="J9" s="45">
        <v>85.794838944277899</v>
      </c>
      <c r="K9" s="45">
        <v>89.180688636384104</v>
      </c>
      <c r="L9" s="45">
        <v>0.56596712042892805</v>
      </c>
    </row>
    <row r="10" spans="1:12" x14ac:dyDescent="0.25">
      <c r="A10">
        <f t="shared" si="0"/>
        <v>4</v>
      </c>
      <c r="B10" s="45" t="s">
        <v>198</v>
      </c>
      <c r="C10" s="46" t="s">
        <v>174</v>
      </c>
      <c r="D10" s="45">
        <v>8.2412165255057008</v>
      </c>
      <c r="E10" s="45">
        <v>5.3215230109881704</v>
      </c>
      <c r="F10" s="45">
        <v>43.855823379014602</v>
      </c>
      <c r="G10" s="47">
        <v>0</v>
      </c>
      <c r="H10" s="45">
        <v>3.3858496921061398</v>
      </c>
      <c r="I10" s="45">
        <v>0.31162099987068398</v>
      </c>
      <c r="J10" s="45">
        <v>94.477126075091604</v>
      </c>
      <c r="K10" s="45">
        <v>97.862975767197796</v>
      </c>
      <c r="L10" s="45">
        <v>0.62324199974136896</v>
      </c>
    </row>
    <row r="11" spans="1:12" x14ac:dyDescent="0.25">
      <c r="A11">
        <f t="shared" si="0"/>
        <v>5</v>
      </c>
      <c r="B11" s="45" t="s">
        <v>199</v>
      </c>
      <c r="C11" s="46">
        <v>0.48876770732282798</v>
      </c>
      <c r="D11" s="45">
        <v>23.225353720121401</v>
      </c>
      <c r="E11" s="45">
        <v>0</v>
      </c>
      <c r="F11" s="45">
        <v>0</v>
      </c>
      <c r="G11" s="47">
        <v>0</v>
      </c>
      <c r="H11" s="45">
        <v>0</v>
      </c>
      <c r="I11" s="45">
        <v>0.87820868754209103</v>
      </c>
      <c r="J11" s="45">
        <v>0</v>
      </c>
      <c r="K11" s="45">
        <v>0</v>
      </c>
      <c r="L11" s="45">
        <v>1.7564173750841801</v>
      </c>
    </row>
    <row r="12" spans="1:12" x14ac:dyDescent="0.25">
      <c r="A12">
        <f t="shared" si="0"/>
        <v>6</v>
      </c>
      <c r="B12" s="45" t="s">
        <v>200</v>
      </c>
      <c r="C12" s="90">
        <v>0.13750000000000001</v>
      </c>
      <c r="D12" s="45">
        <v>4.5906779060832799</v>
      </c>
      <c r="E12" s="45">
        <v>5.2194631567885299</v>
      </c>
      <c r="F12" s="45">
        <v>23.960874195484799</v>
      </c>
      <c r="G12" s="46">
        <v>5.0000000000000001E-3</v>
      </c>
      <c r="H12" s="91">
        <v>3.2837898379064998</v>
      </c>
      <c r="I12" s="91">
        <v>0.34717001664754799</v>
      </c>
      <c r="J12" s="91">
        <v>49.502545509073897</v>
      </c>
      <c r="K12" s="91">
        <v>52.786335346980401</v>
      </c>
      <c r="L12" s="45">
        <v>0.34717001664754799</v>
      </c>
    </row>
    <row r="13" spans="1:12" x14ac:dyDescent="0.25">
      <c r="A13">
        <f t="shared" si="0"/>
        <v>7</v>
      </c>
      <c r="B13" s="45" t="s">
        <v>201</v>
      </c>
      <c r="C13" s="46">
        <v>0.34308015691118099</v>
      </c>
      <c r="D13" s="45">
        <v>8.2991993741934298</v>
      </c>
      <c r="E13" s="45">
        <v>4.9895662658659097</v>
      </c>
      <c r="F13" s="45">
        <v>41.4094052311711</v>
      </c>
      <c r="G13" s="47">
        <v>5.0000000000000001E-3</v>
      </c>
      <c r="H13" s="45">
        <v>3.05389294698388</v>
      </c>
      <c r="I13" s="45">
        <v>0.39521755249454599</v>
      </c>
      <c r="J13" s="45">
        <v>77.400508846453306</v>
      </c>
      <c r="K13" s="45">
        <v>80.4544017934371</v>
      </c>
      <c r="L13" s="45">
        <v>0.62762695267337798</v>
      </c>
    </row>
    <row r="14" spans="1:12" x14ac:dyDescent="0.25">
      <c r="A14">
        <f t="shared" si="0"/>
        <v>8</v>
      </c>
      <c r="B14" s="45" t="s">
        <v>202</v>
      </c>
      <c r="C14" s="90">
        <v>0.13750000000000001</v>
      </c>
      <c r="D14" s="45">
        <v>4.5906779060832799</v>
      </c>
      <c r="E14" s="45">
        <v>4.7596693749432903</v>
      </c>
      <c r="F14" s="45">
        <v>21.8501090398134</v>
      </c>
      <c r="G14" s="46">
        <v>5.0000000000000001E-3</v>
      </c>
      <c r="H14" s="91">
        <v>2.8239960560612598</v>
      </c>
      <c r="I14" s="91">
        <v>0.34717001664754799</v>
      </c>
      <c r="J14" s="91">
        <v>36.610443865785399</v>
      </c>
      <c r="K14" s="91">
        <v>39.434439921846597</v>
      </c>
      <c r="L14" s="45">
        <v>0.34717001664754799</v>
      </c>
    </row>
    <row r="15" spans="1:12" x14ac:dyDescent="0.25">
      <c r="A15">
        <f t="shared" si="0"/>
        <v>9</v>
      </c>
      <c r="B15" s="45" t="s">
        <v>203</v>
      </c>
      <c r="C15" s="46">
        <v>0.61808015691118101</v>
      </c>
      <c r="D15" s="45">
        <v>1.40219024816302</v>
      </c>
      <c r="E15" s="45">
        <v>4.9895662658659097</v>
      </c>
      <c r="F15" s="45">
        <v>6.9963211605603597</v>
      </c>
      <c r="G15" s="47">
        <v>0</v>
      </c>
      <c r="H15" s="45">
        <v>3.05389294698388</v>
      </c>
      <c r="I15" s="45">
        <v>9.7659405247355696E-2</v>
      </c>
      <c r="J15" s="45">
        <v>13.0771938127947</v>
      </c>
      <c r="K15" s="45">
        <v>16.131086759778601</v>
      </c>
      <c r="L15" s="45">
        <v>0.10604063751732801</v>
      </c>
    </row>
    <row r="16" spans="1:12" x14ac:dyDescent="0.25">
      <c r="A16">
        <f t="shared" si="0"/>
        <v>10</v>
      </c>
      <c r="B16" s="45" t="s">
        <v>204</v>
      </c>
      <c r="C16" s="46" t="s">
        <v>174</v>
      </c>
      <c r="D16" s="45">
        <v>1.02268356048191</v>
      </c>
      <c r="E16" s="45">
        <v>4.7492761874103202</v>
      </c>
      <c r="F16" s="45">
        <v>4.8570066810527797</v>
      </c>
      <c r="G16" s="47">
        <v>0</v>
      </c>
      <c r="H16" s="45">
        <v>2.8136028685282901</v>
      </c>
      <c r="I16" s="45">
        <v>0</v>
      </c>
      <c r="J16" s="45">
        <v>8.0959323576398106</v>
      </c>
      <c r="K16" s="45">
        <v>10.909535226168099</v>
      </c>
      <c r="L16" s="45">
        <v>0</v>
      </c>
    </row>
    <row r="17" spans="1:12" x14ac:dyDescent="0.25">
      <c r="A17">
        <f t="shared" si="0"/>
        <v>11</v>
      </c>
      <c r="B17" s="45" t="s">
        <v>205</v>
      </c>
      <c r="C17" s="46">
        <v>0.41249999999999998</v>
      </c>
      <c r="D17" s="45">
        <v>9.6221092493229907</v>
      </c>
      <c r="E17" s="45">
        <v>4.61177618741032</v>
      </c>
      <c r="F17" s="45">
        <v>44.375014308688399</v>
      </c>
      <c r="G17" s="47">
        <v>5.0000000000000001E-3</v>
      </c>
      <c r="H17" s="45">
        <v>2.6761028685282899</v>
      </c>
      <c r="I17" s="45">
        <v>0.50027450823628505</v>
      </c>
      <c r="J17" s="45">
        <v>68.908990980588698</v>
      </c>
      <c r="K17" s="45">
        <v>71.585093849117001</v>
      </c>
      <c r="L17" s="45">
        <v>0.72767201198005105</v>
      </c>
    </row>
    <row r="18" spans="1:12" x14ac:dyDescent="0.25">
      <c r="A18">
        <f t="shared" si="0"/>
        <v>12</v>
      </c>
      <c r="B18" s="45" t="s">
        <v>206</v>
      </c>
      <c r="C18" s="90">
        <v>0.13750000000000001</v>
      </c>
      <c r="D18" s="45">
        <v>4.5906779060832799</v>
      </c>
      <c r="E18" s="45">
        <v>4.4638829998773497</v>
      </c>
      <c r="F18" s="45">
        <v>20.492249062877701</v>
      </c>
      <c r="G18" s="46">
        <v>5.0000000000000001E-3</v>
      </c>
      <c r="H18" s="91">
        <v>2.5282096809953201</v>
      </c>
      <c r="I18" s="91">
        <v>0.34717001664754799</v>
      </c>
      <c r="J18" s="91">
        <v>29.342897907110601</v>
      </c>
      <c r="K18" s="91">
        <v>31.8711075881059</v>
      </c>
      <c r="L18" s="45">
        <v>0.34717001664754799</v>
      </c>
    </row>
    <row r="19" spans="1:12" x14ac:dyDescent="0.25">
      <c r="A19">
        <f t="shared" si="0"/>
        <v>13</v>
      </c>
      <c r="B19" s="45" t="s">
        <v>207</v>
      </c>
      <c r="C19" s="46">
        <v>0.55782400571346502</v>
      </c>
      <c r="D19" s="45">
        <v>13.493909647259899</v>
      </c>
      <c r="E19" s="45">
        <v>4.1266141845535902</v>
      </c>
      <c r="F19" s="45">
        <v>55.684158955467602</v>
      </c>
      <c r="G19" s="47">
        <v>5.0000000000000001E-3</v>
      </c>
      <c r="H19" s="45">
        <v>2.1909408656715499</v>
      </c>
      <c r="I19" s="45">
        <v>0.86014410584140399</v>
      </c>
      <c r="J19" s="45">
        <v>64.773760293279693</v>
      </c>
      <c r="K19" s="45">
        <v>66.9647011589512</v>
      </c>
      <c r="L19" s="45">
        <v>1.02047691707403</v>
      </c>
    </row>
    <row r="20" spans="1:12" x14ac:dyDescent="0.25">
      <c r="A20">
        <f t="shared" si="0"/>
        <v>14</v>
      </c>
      <c r="B20" s="45" t="s">
        <v>208</v>
      </c>
      <c r="C20" s="90">
        <v>0.13750000000000001</v>
      </c>
      <c r="D20" s="45">
        <v>4.5906779060832799</v>
      </c>
      <c r="E20" s="45">
        <v>3.7893453692298298</v>
      </c>
      <c r="F20" s="45">
        <v>17.3956640650423</v>
      </c>
      <c r="G20" s="46">
        <v>5.0000000000000001E-3</v>
      </c>
      <c r="H20" s="91">
        <v>1.8536720503477899</v>
      </c>
      <c r="I20" s="91">
        <v>0.34717001664754799</v>
      </c>
      <c r="J20" s="91">
        <v>15.774028675544701</v>
      </c>
      <c r="K20" s="91">
        <v>17.627700725892499</v>
      </c>
      <c r="L20" s="45">
        <v>0.34717001664754799</v>
      </c>
    </row>
    <row r="21" spans="1:12" x14ac:dyDescent="0.25">
      <c r="A21">
        <f t="shared" si="0"/>
        <v>15</v>
      </c>
      <c r="B21" s="45" t="s">
        <v>209</v>
      </c>
      <c r="C21" s="90">
        <v>0.83282400571346504</v>
      </c>
      <c r="D21" s="45">
        <v>1.81888022220971</v>
      </c>
      <c r="E21" s="45">
        <v>4.1266141845535902</v>
      </c>
      <c r="F21" s="45">
        <v>7.5058169249746003</v>
      </c>
      <c r="G21" s="46">
        <v>0</v>
      </c>
      <c r="H21" s="91">
        <v>2.1909408656715499</v>
      </c>
      <c r="I21" s="91">
        <v>0.17390705235037701</v>
      </c>
      <c r="J21" s="91">
        <v>8.7310286340565906</v>
      </c>
      <c r="K21" s="91">
        <v>10.9219694997281</v>
      </c>
      <c r="L21" s="45">
        <v>0.13755281680460901</v>
      </c>
    </row>
    <row r="22" spans="1:12" x14ac:dyDescent="0.25">
      <c r="A22">
        <f t="shared" si="0"/>
        <v>16</v>
      </c>
      <c r="B22" s="45" t="s">
        <v>210</v>
      </c>
      <c r="C22" s="46" t="s">
        <v>174</v>
      </c>
      <c r="D22" s="45">
        <v>3.6305266397108</v>
      </c>
      <c r="E22" s="45">
        <v>3.7789521816968499</v>
      </c>
      <c r="F22" s="45">
        <v>13.7195865658437</v>
      </c>
      <c r="G22" s="47">
        <v>0</v>
      </c>
      <c r="H22" s="45">
        <v>1.84327886281482</v>
      </c>
      <c r="I22" s="45">
        <v>0</v>
      </c>
      <c r="J22" s="45">
        <v>12.3353567385575</v>
      </c>
      <c r="K22" s="45">
        <v>14.178635601372299</v>
      </c>
      <c r="L22" s="45">
        <v>0</v>
      </c>
    </row>
    <row r="23" spans="1:12" x14ac:dyDescent="0.25">
      <c r="A23">
        <f t="shared" si="0"/>
        <v>17</v>
      </c>
      <c r="B23" s="45" t="s">
        <v>211</v>
      </c>
      <c r="C23" s="90">
        <v>0.27386946555713099</v>
      </c>
      <c r="D23" s="45">
        <v>3.18105274190812</v>
      </c>
      <c r="E23" s="45">
        <v>4.1266141845535902</v>
      </c>
      <c r="F23" s="45">
        <v>13.126977366571101</v>
      </c>
      <c r="G23" s="46">
        <v>5.0000000000000001E-3</v>
      </c>
      <c r="H23" s="91">
        <v>2.1909408656715499</v>
      </c>
      <c r="I23" s="91">
        <v>0.240567113606801</v>
      </c>
      <c r="J23" s="91">
        <v>15.2697589631835</v>
      </c>
      <c r="K23" s="91">
        <v>17.460699828854999</v>
      </c>
      <c r="L23" s="45">
        <v>0.240567113606801</v>
      </c>
    </row>
    <row r="24" spans="1:12" x14ac:dyDescent="0.25">
      <c r="A24">
        <f t="shared" si="0"/>
        <v>18</v>
      </c>
      <c r="B24" s="45" t="s">
        <v>212</v>
      </c>
      <c r="C24" s="46">
        <v>0.32083333333333303</v>
      </c>
      <c r="D24" s="45">
        <v>7.4838627494734302</v>
      </c>
      <c r="E24" s="45">
        <v>3.4122855150301898</v>
      </c>
      <c r="F24" s="45">
        <v>25.537076456502199</v>
      </c>
      <c r="G24" s="47">
        <v>5.0000000000000001E-3</v>
      </c>
      <c r="H24" s="45">
        <v>1.47661219614815</v>
      </c>
      <c r="I24" s="45">
        <v>0.63016246510720997</v>
      </c>
      <c r="J24" s="45">
        <v>16.317691437561901</v>
      </c>
      <c r="K24" s="45">
        <v>17.794303633710101</v>
      </c>
      <c r="L24" s="45">
        <v>0.56596712042892805</v>
      </c>
    </row>
    <row r="25" spans="1:12" x14ac:dyDescent="0.25">
      <c r="A25">
        <f t="shared" si="0"/>
        <v>19</v>
      </c>
      <c r="B25" s="45" t="s">
        <v>213</v>
      </c>
      <c r="C25" s="46">
        <v>0.16041666666666601</v>
      </c>
      <c r="D25" s="45">
        <v>0.77566725163672601</v>
      </c>
      <c r="E25" s="45">
        <v>3.33207718169685</v>
      </c>
      <c r="F25" s="45">
        <v>2.5845831497682399</v>
      </c>
      <c r="G25" s="47">
        <v>0</v>
      </c>
      <c r="H25" s="45">
        <v>1.3964038628148201</v>
      </c>
      <c r="I25" s="45">
        <v>0</v>
      </c>
      <c r="J25" s="45">
        <v>1.51250750792266</v>
      </c>
      <c r="K25" s="45">
        <v>2.9089113707374801</v>
      </c>
      <c r="L25" s="45">
        <v>5.8659835905027401E-2</v>
      </c>
    </row>
    <row r="26" spans="1:12" x14ac:dyDescent="0.25">
      <c r="A26">
        <f t="shared" si="0"/>
        <v>20</v>
      </c>
      <c r="B26" s="45" t="s">
        <v>214</v>
      </c>
      <c r="C26" s="46" t="s">
        <v>174</v>
      </c>
      <c r="D26" s="45">
        <v>4.2840052552090897E-2</v>
      </c>
      <c r="E26" s="45">
        <v>3.57464432907142</v>
      </c>
      <c r="F26" s="45">
        <v>0.153137950912453</v>
      </c>
      <c r="G26" s="47">
        <v>0</v>
      </c>
      <c r="H26" s="45">
        <v>1.63897101018938</v>
      </c>
      <c r="I26" s="45">
        <v>0</v>
      </c>
      <c r="J26" s="45">
        <v>0.11507806181760501</v>
      </c>
      <c r="K26" s="45">
        <v>1.7540490720069899</v>
      </c>
      <c r="L26" s="45">
        <v>0</v>
      </c>
    </row>
    <row r="27" spans="1:12" x14ac:dyDescent="0.25">
      <c r="A27">
        <f t="shared" si="0"/>
        <v>21</v>
      </c>
      <c r="B27" s="45" t="s">
        <v>215</v>
      </c>
      <c r="C27" s="46">
        <v>0.32277548070789602</v>
      </c>
      <c r="D27" s="45">
        <v>62.063327384153403</v>
      </c>
      <c r="E27" s="45">
        <v>3.3206188483635199</v>
      </c>
      <c r="F27" s="45">
        <v>206.088654703976</v>
      </c>
      <c r="G27" s="47">
        <v>0</v>
      </c>
      <c r="H27" s="45">
        <v>1.3849455294814901</v>
      </c>
      <c r="I27" s="45">
        <v>0</v>
      </c>
      <c r="J27" s="45">
        <v>119.04206203371599</v>
      </c>
      <c r="K27" s="45">
        <v>120.427007563198</v>
      </c>
      <c r="L27" s="45">
        <v>0</v>
      </c>
    </row>
    <row r="28" spans="1:12" x14ac:dyDescent="0.25">
      <c r="A28">
        <f t="shared" si="0"/>
        <v>22</v>
      </c>
      <c r="B28" s="45" t="s">
        <v>216</v>
      </c>
      <c r="C28" s="90">
        <v>0.61808015691118101</v>
      </c>
      <c r="D28" s="45">
        <v>51.340758495224698</v>
      </c>
      <c r="E28" s="45">
        <v>4.9895662658659097</v>
      </c>
      <c r="F28" s="45">
        <v>256.16811665174203</v>
      </c>
      <c r="G28" s="46">
        <v>0</v>
      </c>
      <c r="H28" s="91">
        <v>3.05389294698388</v>
      </c>
      <c r="I28" s="91">
        <v>0</v>
      </c>
      <c r="J28" s="91">
        <v>478.817371763582</v>
      </c>
      <c r="K28" s="91">
        <v>481.87126471056598</v>
      </c>
      <c r="L28" s="45">
        <v>0</v>
      </c>
    </row>
    <row r="29" spans="1:12" x14ac:dyDescent="0.25">
      <c r="A29">
        <f t="shared" si="0"/>
        <v>23</v>
      </c>
      <c r="B29" s="45" t="s">
        <v>217</v>
      </c>
      <c r="C29" s="90">
        <v>0.83282400571346504</v>
      </c>
      <c r="D29" s="45">
        <v>182.25969265804699</v>
      </c>
      <c r="E29" s="45">
        <v>4.9895662658659097</v>
      </c>
      <c r="F29" s="45">
        <v>909.39681411368497</v>
      </c>
      <c r="G29" s="46">
        <v>0</v>
      </c>
      <c r="H29" s="91">
        <v>3.05389294698388</v>
      </c>
      <c r="I29" s="91">
        <v>0</v>
      </c>
      <c r="J29" s="91">
        <v>1699.80166976071</v>
      </c>
      <c r="K29" s="91">
        <v>1702.8555627077001</v>
      </c>
      <c r="L29" s="45">
        <v>0</v>
      </c>
    </row>
    <row r="30" spans="1:12" x14ac:dyDescent="0.25">
      <c r="A30">
        <f t="shared" si="0"/>
        <v>24</v>
      </c>
      <c r="B30" s="48" t="s">
        <v>24</v>
      </c>
      <c r="C30" s="49">
        <v>0.93901931837709496</v>
      </c>
      <c r="D30" s="48">
        <v>21.903870227028399</v>
      </c>
      <c r="E30" s="48">
        <v>3.31013158871747</v>
      </c>
      <c r="F30" s="48">
        <v>72.504692753654794</v>
      </c>
      <c r="G30" s="50">
        <v>5.0000000000000001E-3</v>
      </c>
      <c r="H30" s="48">
        <v>1.3744582698354399</v>
      </c>
      <c r="I30" s="48">
        <v>2.4377315128852199</v>
      </c>
      <c r="J30" s="48">
        <v>41.379379611276697</v>
      </c>
      <c r="K30" s="48">
        <v>42.753837881112098</v>
      </c>
      <c r="L30" s="48">
        <v>1.6564801859190199</v>
      </c>
    </row>
    <row r="31" spans="1:12" x14ac:dyDescent="0.25">
      <c r="A31">
        <f t="shared" si="0"/>
        <v>25</v>
      </c>
      <c r="B31" s="48" t="s">
        <v>25</v>
      </c>
      <c r="C31" s="49" t="s">
        <v>174</v>
      </c>
      <c r="D31" s="48">
        <v>11.695107277301799</v>
      </c>
      <c r="E31" s="48">
        <v>3.31013158871747</v>
      </c>
      <c r="F31" s="48">
        <v>38.712344032036498</v>
      </c>
      <c r="G31" s="50">
        <v>0</v>
      </c>
      <c r="H31" s="48">
        <v>1.3744582698354399</v>
      </c>
      <c r="I31" s="48">
        <v>0.44222124392297701</v>
      </c>
      <c r="J31" s="48">
        <v>22.093642749258201</v>
      </c>
      <c r="K31" s="48">
        <v>23.468101019093599</v>
      </c>
      <c r="L31" s="48">
        <v>0.88444248784595403</v>
      </c>
    </row>
    <row r="32" spans="1:12" x14ac:dyDescent="0.25">
      <c r="A32">
        <f t="shared" si="0"/>
        <v>26</v>
      </c>
      <c r="B32" s="48" t="s">
        <v>26</v>
      </c>
      <c r="C32" s="49">
        <v>0.71015548238223103</v>
      </c>
      <c r="D32" s="48">
        <v>8.2813135776515505</v>
      </c>
      <c r="E32" s="48">
        <v>0</v>
      </c>
      <c r="F32" s="48">
        <v>0</v>
      </c>
      <c r="G32" s="50">
        <v>0</v>
      </c>
      <c r="H32" s="48">
        <v>0</v>
      </c>
      <c r="I32" s="48">
        <v>0.34803656369737901</v>
      </c>
      <c r="J32" s="48">
        <v>0</v>
      </c>
      <c r="K32" s="48">
        <v>0</v>
      </c>
      <c r="L32" s="48">
        <v>0.62627433930989795</v>
      </c>
    </row>
    <row r="33" spans="1:13" x14ac:dyDescent="0.25">
      <c r="A33">
        <f t="shared" si="0"/>
        <v>27</v>
      </c>
      <c r="B33" s="48" t="s">
        <v>38</v>
      </c>
      <c r="C33" s="92">
        <v>0.54749383766919801</v>
      </c>
      <c r="D33" s="48">
        <v>0.62943265965641704</v>
      </c>
      <c r="E33" s="48">
        <v>3.2518688483635199</v>
      </c>
      <c r="F33" s="48">
        <v>2.0468324580793</v>
      </c>
      <c r="G33" s="49">
        <v>5.0000000000000001E-3</v>
      </c>
      <c r="H33" s="93">
        <v>1.31619552948149</v>
      </c>
      <c r="I33" s="93">
        <v>4.7600844886516502E-2</v>
      </c>
      <c r="J33" s="93">
        <v>1.0904106794788799</v>
      </c>
      <c r="K33" s="93">
        <v>2.4066062089603699</v>
      </c>
      <c r="L33" s="48">
        <v>4.7600844886516502E-2</v>
      </c>
    </row>
    <row r="34" spans="1:13" x14ac:dyDescent="0.25">
      <c r="A34">
        <f t="shared" si="0"/>
        <v>28</v>
      </c>
      <c r="B34" s="48" t="s">
        <v>218</v>
      </c>
      <c r="C34" s="92">
        <v>2.2906219295289199</v>
      </c>
      <c r="D34" s="48">
        <v>118.47117755742499</v>
      </c>
      <c r="E34" s="48">
        <v>1.69531096476446</v>
      </c>
      <c r="F34" s="48">
        <v>200.84548632165999</v>
      </c>
      <c r="G34" s="49">
        <v>5.0000000000000001E-3</v>
      </c>
      <c r="H34" s="93">
        <v>-0.24036235411756901</v>
      </c>
      <c r="I34" s="93">
        <v>56.280708548675598</v>
      </c>
      <c r="J34" s="93">
        <v>6.8445610717539198</v>
      </c>
      <c r="K34" s="93">
        <v>6.6041987176363497</v>
      </c>
      <c r="L34" s="48">
        <v>8.9593828027802704</v>
      </c>
    </row>
    <row r="35" spans="1:13" x14ac:dyDescent="0.25">
      <c r="A35">
        <f t="shared" si="0"/>
        <v>29</v>
      </c>
      <c r="B35" s="48" t="s">
        <v>219</v>
      </c>
      <c r="C35" s="49" t="s">
        <v>174</v>
      </c>
      <c r="D35" s="48">
        <v>17.085129083999998</v>
      </c>
      <c r="E35" s="48">
        <v>1.69531096476446</v>
      </c>
      <c r="F35" s="48">
        <v>28.964606670521398</v>
      </c>
      <c r="G35" s="50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</row>
    <row r="36" spans="1:13" x14ac:dyDescent="0.25">
      <c r="A36">
        <f t="shared" si="0"/>
        <v>30</v>
      </c>
      <c r="B36" s="48" t="s">
        <v>39</v>
      </c>
      <c r="C36" s="92">
        <v>0.55000000000000004</v>
      </c>
      <c r="D36" s="48">
        <v>12.829478999097301</v>
      </c>
      <c r="E36" s="48">
        <v>0.27500000000000002</v>
      </c>
      <c r="F36" s="48">
        <v>3.5281067247517601</v>
      </c>
      <c r="G36" s="49">
        <v>5.0000000000000001E-3</v>
      </c>
      <c r="H36" s="93">
        <v>-1.66067331888203</v>
      </c>
      <c r="I36" s="93">
        <v>1.29363913240898</v>
      </c>
      <c r="J36" s="93">
        <v>35.381597403379899</v>
      </c>
      <c r="K36" s="93">
        <v>33.720924084497803</v>
      </c>
      <c r="L36" s="48">
        <v>0.97022934930673499</v>
      </c>
      <c r="M36" s="41"/>
    </row>
    <row r="37" spans="1:13" x14ac:dyDescent="0.25">
      <c r="A37">
        <f t="shared" si="0"/>
        <v>31</v>
      </c>
      <c r="B37" s="48" t="s">
        <v>40</v>
      </c>
      <c r="C37" s="49">
        <v>0.27500000000000002</v>
      </c>
      <c r="D37" s="48">
        <v>4.3882208200771702</v>
      </c>
      <c r="E37" s="48">
        <v>0.13750000000000001</v>
      </c>
      <c r="F37" s="48">
        <v>0.60338036276061202</v>
      </c>
      <c r="G37" s="50">
        <v>0</v>
      </c>
      <c r="H37" s="48">
        <v>-1.7981733188820299</v>
      </c>
      <c r="I37" s="48">
        <v>0</v>
      </c>
      <c r="J37" s="48">
        <v>14.1889929310982</v>
      </c>
      <c r="K37" s="48">
        <v>12.3908196122162</v>
      </c>
      <c r="L37" s="48">
        <v>0.33185919951833598</v>
      </c>
      <c r="M37" s="41"/>
    </row>
    <row r="38" spans="1:13" x14ac:dyDescent="0.25">
      <c r="A38">
        <f t="shared" si="0"/>
        <v>32</v>
      </c>
      <c r="B38" s="48" t="s">
        <v>41</v>
      </c>
      <c r="C38" s="49" t="s">
        <v>174</v>
      </c>
      <c r="D38" s="48">
        <v>0.62679767127419395</v>
      </c>
      <c r="E38" s="48">
        <v>0.27500000000000002</v>
      </c>
      <c r="F38" s="48">
        <v>0.172369359600403</v>
      </c>
      <c r="G38" s="50">
        <v>0</v>
      </c>
      <c r="H38" s="48">
        <v>-1.66067331888203</v>
      </c>
      <c r="I38" s="48">
        <v>0</v>
      </c>
      <c r="J38" s="48">
        <v>1.72860510235528</v>
      </c>
      <c r="K38" s="48">
        <v>6.7931783473253501E-2</v>
      </c>
      <c r="L38" s="48">
        <v>0</v>
      </c>
      <c r="M38" s="41"/>
    </row>
    <row r="39" spans="1:13" x14ac:dyDescent="0.25">
      <c r="A39">
        <f t="shared" si="0"/>
        <v>33</v>
      </c>
      <c r="B39" s="48" t="s">
        <v>220</v>
      </c>
      <c r="C39" s="49">
        <v>0.27500000000000002</v>
      </c>
      <c r="D39" s="48">
        <v>0</v>
      </c>
      <c r="E39" s="48">
        <v>6.8750000000000006E-2</v>
      </c>
      <c r="F39" s="48">
        <v>0</v>
      </c>
      <c r="G39" s="50">
        <v>0</v>
      </c>
      <c r="H39" s="48">
        <v>-1.86692331888203</v>
      </c>
      <c r="I39" s="48">
        <v>0</v>
      </c>
      <c r="J39" s="48">
        <v>0</v>
      </c>
      <c r="K39" s="48">
        <v>-1.86692331888203</v>
      </c>
      <c r="L39" s="48">
        <v>0</v>
      </c>
      <c r="M39" s="41"/>
    </row>
    <row r="40" spans="1:13" x14ac:dyDescent="0.25">
      <c r="A40">
        <f t="shared" si="0"/>
        <v>34</v>
      </c>
      <c r="B40" s="48" t="s">
        <v>221</v>
      </c>
      <c r="C40" s="92">
        <v>2.2906219295289199</v>
      </c>
      <c r="D40" s="48">
        <v>416.57046420116376</v>
      </c>
      <c r="E40" s="48">
        <v>1.69531096476446</v>
      </c>
      <c r="F40" s="48">
        <f>Table1[[#This Row],[Distance (m)]]*Table1[[#This Row],[Mass (kg)]]</f>
        <v>706.21647555725383</v>
      </c>
      <c r="G40" s="49">
        <v>0</v>
      </c>
      <c r="H40" s="93">
        <v>-0.24036235411756901</v>
      </c>
      <c r="I40" s="93">
        <v>0</v>
      </c>
      <c r="J40" s="93">
        <v>50.700452383362403</v>
      </c>
      <c r="K40" s="93">
        <v>50.460090029244803</v>
      </c>
      <c r="L40" s="48">
        <v>0</v>
      </c>
      <c r="M40" s="41"/>
    </row>
    <row r="41" spans="1:13" x14ac:dyDescent="0.25">
      <c r="A41">
        <f t="shared" si="0"/>
        <v>35</v>
      </c>
      <c r="B41" s="95" t="s">
        <v>222</v>
      </c>
      <c r="C41" s="96">
        <v>0.55000000000000004</v>
      </c>
      <c r="D41" s="95">
        <v>28.687587157887499</v>
      </c>
      <c r="E41" s="95">
        <v>3.4941854417092402</v>
      </c>
      <c r="F41" s="95">
        <v>100.239749404855</v>
      </c>
      <c r="G41" s="97">
        <v>5.0000000000000001E-3</v>
      </c>
      <c r="H41" s="95">
        <v>1.5585121228272101</v>
      </c>
      <c r="I41" s="95">
        <v>1.0244855344405299</v>
      </c>
      <c r="J41" s="95">
        <v>69.681002764445495</v>
      </c>
      <c r="K41" s="95">
        <v>71.239514887272705</v>
      </c>
      <c r="L41" s="95">
        <v>2.1694987788152398</v>
      </c>
      <c r="M41" s="41"/>
    </row>
    <row r="42" spans="1:13" x14ac:dyDescent="0.25">
      <c r="A42">
        <f t="shared" si="0"/>
        <v>36</v>
      </c>
      <c r="B42" s="95" t="s">
        <v>45</v>
      </c>
      <c r="C42" s="96">
        <v>0.68714094659375402</v>
      </c>
      <c r="D42" s="95">
        <v>64.113893409050306</v>
      </c>
      <c r="E42" s="95">
        <v>2.9672816350790301</v>
      </c>
      <c r="F42" s="95">
        <v>190.243978466089</v>
      </c>
      <c r="G42" s="97">
        <v>5.0000000000000001E-3</v>
      </c>
      <c r="H42" s="95">
        <v>1.031608316197</v>
      </c>
      <c r="I42" s="95">
        <v>4.9469889085626804</v>
      </c>
      <c r="J42" s="95">
        <v>68.231013111089098</v>
      </c>
      <c r="K42" s="95">
        <v>69.262621427286106</v>
      </c>
      <c r="L42" s="95">
        <v>4.8486131890594297</v>
      </c>
      <c r="M42" s="41"/>
    </row>
    <row r="43" spans="1:13" x14ac:dyDescent="0.25">
      <c r="A43">
        <f t="shared" si="0"/>
        <v>37</v>
      </c>
      <c r="B43" s="95" t="s">
        <v>46</v>
      </c>
      <c r="C43" s="98" t="s">
        <v>174</v>
      </c>
      <c r="D43" s="95">
        <v>74.997587737285301</v>
      </c>
      <c r="E43" s="95">
        <v>2.9672816350790301</v>
      </c>
      <c r="F43" s="95">
        <v>222.538964768075</v>
      </c>
      <c r="G43" s="96">
        <v>0</v>
      </c>
      <c r="H43" s="99">
        <v>1.031608316197</v>
      </c>
      <c r="I43" s="99">
        <v>2.8358462863160998</v>
      </c>
      <c r="J43" s="99">
        <v>79.813611685613694</v>
      </c>
      <c r="K43" s="99">
        <v>80.845220001810702</v>
      </c>
      <c r="L43" s="95">
        <v>5.6716925726321996</v>
      </c>
    </row>
    <row r="44" spans="1:13" x14ac:dyDescent="0.25">
      <c r="A44">
        <f t="shared" si="0"/>
        <v>38</v>
      </c>
      <c r="B44" s="95" t="s">
        <v>47</v>
      </c>
      <c r="C44" s="98">
        <v>0.65592779044553895</v>
      </c>
      <c r="D44" s="95">
        <v>62.437422979051199</v>
      </c>
      <c r="E44" s="95">
        <v>0</v>
      </c>
      <c r="F44" s="95">
        <v>0</v>
      </c>
      <c r="G44" s="96">
        <v>0</v>
      </c>
      <c r="H44" s="99">
        <v>0</v>
      </c>
      <c r="I44" s="99">
        <v>2.2385963271408298</v>
      </c>
      <c r="J44" s="99">
        <v>0</v>
      </c>
      <c r="K44" s="99">
        <v>0</v>
      </c>
      <c r="L44" s="95">
        <v>4.7218301127907498</v>
      </c>
    </row>
    <row r="45" spans="1:13" x14ac:dyDescent="0.25">
      <c r="A45">
        <f t="shared" si="0"/>
        <v>39</v>
      </c>
      <c r="B45" s="95" t="s">
        <v>59</v>
      </c>
      <c r="C45" s="98">
        <v>0.54964094659375395</v>
      </c>
      <c r="D45" s="95">
        <v>2.3158803107568802</v>
      </c>
      <c r="E45" s="95">
        <v>3.0360316350790302</v>
      </c>
      <c r="F45" s="95">
        <v>7.0310858865145498</v>
      </c>
      <c r="G45" s="96">
        <v>5.0000000000000001E-3</v>
      </c>
      <c r="H45" s="99">
        <v>1.1003583161970001</v>
      </c>
      <c r="I45" s="99">
        <v>0.175138448500989</v>
      </c>
      <c r="J45" s="99">
        <v>2.8040410716892898</v>
      </c>
      <c r="K45" s="99">
        <v>3.9043993878862899</v>
      </c>
      <c r="L45" s="95">
        <v>0.175138448500989</v>
      </c>
    </row>
    <row r="46" spans="1:13" x14ac:dyDescent="0.25">
      <c r="A46">
        <f t="shared" si="0"/>
        <v>40</v>
      </c>
      <c r="B46" s="95" t="s">
        <v>190</v>
      </c>
      <c r="C46" s="96">
        <v>2.0737111617821502</v>
      </c>
      <c r="D46" s="95">
        <v>429.01013053835902</v>
      </c>
      <c r="E46" s="95">
        <v>1.58685558089107</v>
      </c>
      <c r="F46" s="95">
        <v>680.77711990360399</v>
      </c>
      <c r="G46" s="97">
        <v>5.0000000000000001E-3</v>
      </c>
      <c r="H46" s="95">
        <v>-0.348817737990954</v>
      </c>
      <c r="I46" s="95">
        <v>169.960513779607</v>
      </c>
      <c r="J46" s="95">
        <v>52.199298971870597</v>
      </c>
      <c r="K46" s="95">
        <v>51.850481233879599</v>
      </c>
      <c r="L46" s="95">
        <v>32.443891121963397</v>
      </c>
    </row>
    <row r="47" spans="1:13" x14ac:dyDescent="0.25">
      <c r="A47">
        <f t="shared" si="0"/>
        <v>41</v>
      </c>
      <c r="B47" s="95" t="s">
        <v>191</v>
      </c>
      <c r="C47" s="96" t="s">
        <v>174</v>
      </c>
      <c r="D47" s="95">
        <v>63.159468699999998</v>
      </c>
      <c r="E47" s="95">
        <v>1.58685558089107</v>
      </c>
      <c r="F47" s="95">
        <v>100.22495539271</v>
      </c>
      <c r="G47" s="97">
        <v>0</v>
      </c>
      <c r="H47" s="95">
        <v>0</v>
      </c>
      <c r="I47" s="95">
        <v>0</v>
      </c>
      <c r="J47" s="95">
        <v>0</v>
      </c>
      <c r="K47" s="95">
        <v>0</v>
      </c>
      <c r="L47" s="95">
        <v>0</v>
      </c>
    </row>
    <row r="48" spans="1:13" x14ac:dyDescent="0.25">
      <c r="A48">
        <f t="shared" si="0"/>
        <v>42</v>
      </c>
      <c r="B48" s="95" t="s">
        <v>60</v>
      </c>
      <c r="C48" s="96">
        <v>0.55000000000000004</v>
      </c>
      <c r="D48" s="95">
        <v>51.317915996389203</v>
      </c>
      <c r="E48" s="95">
        <v>0.27500000000000002</v>
      </c>
      <c r="F48" s="95">
        <v>14.112426899007</v>
      </c>
      <c r="G48" s="97">
        <v>5.0000000000000001E-3</v>
      </c>
      <c r="H48" s="95">
        <v>-1.66067331888203</v>
      </c>
      <c r="I48" s="95">
        <v>5.1745565296359199</v>
      </c>
      <c r="J48" s="95">
        <v>141.526389613519</v>
      </c>
      <c r="K48" s="95">
        <v>139.865716294637</v>
      </c>
      <c r="L48" s="95">
        <v>3.88091739722694</v>
      </c>
    </row>
    <row r="49" spans="1:12" x14ac:dyDescent="0.25">
      <c r="A49">
        <f t="shared" si="0"/>
        <v>43</v>
      </c>
      <c r="B49" s="95" t="s">
        <v>61</v>
      </c>
      <c r="C49" s="96">
        <v>0.27500000000000002</v>
      </c>
      <c r="D49" s="100">
        <v>11.5356463671864</v>
      </c>
      <c r="E49" s="95">
        <v>0.13750000000000001</v>
      </c>
      <c r="F49" s="95">
        <v>1.58615137548814</v>
      </c>
      <c r="G49" s="97">
        <v>0</v>
      </c>
      <c r="H49" s="95">
        <v>-1.7981733188820299</v>
      </c>
      <c r="I49" s="95">
        <v>0</v>
      </c>
      <c r="J49" s="95">
        <v>37.299673710763699</v>
      </c>
      <c r="K49" s="95">
        <v>35.501500391881599</v>
      </c>
      <c r="L49" s="95">
        <v>0.87238325651847803</v>
      </c>
    </row>
    <row r="50" spans="1:12" x14ac:dyDescent="0.25">
      <c r="A50">
        <f t="shared" si="0"/>
        <v>44</v>
      </c>
      <c r="B50" s="95" t="s">
        <v>62</v>
      </c>
      <c r="C50" s="96" t="s">
        <v>174</v>
      </c>
      <c r="D50" s="95">
        <v>0</v>
      </c>
      <c r="E50" s="95">
        <v>0.27500000000000002</v>
      </c>
      <c r="F50" s="95">
        <v>0</v>
      </c>
      <c r="G50" s="97">
        <v>0</v>
      </c>
      <c r="H50" s="95">
        <v>-1.66067331888203</v>
      </c>
      <c r="I50" s="95">
        <v>0</v>
      </c>
      <c r="J50" s="95">
        <v>0</v>
      </c>
      <c r="K50" s="95">
        <v>-1.66067331888203</v>
      </c>
      <c r="L50" s="95">
        <v>0</v>
      </c>
    </row>
    <row r="51" spans="1:12" x14ac:dyDescent="0.25">
      <c r="A51">
        <f t="shared" si="0"/>
        <v>45</v>
      </c>
      <c r="B51" s="95" t="s">
        <v>192</v>
      </c>
      <c r="C51" s="98">
        <v>0.27500000000000002</v>
      </c>
      <c r="D51" s="95">
        <v>0</v>
      </c>
      <c r="E51" s="95">
        <v>6.8750000000000006E-2</v>
      </c>
      <c r="F51" s="95">
        <v>0</v>
      </c>
      <c r="G51" s="96">
        <v>0</v>
      </c>
      <c r="H51" s="99">
        <v>-1.86692331888203</v>
      </c>
      <c r="I51" s="99">
        <v>0</v>
      </c>
      <c r="J51" s="99">
        <v>0</v>
      </c>
      <c r="K51" s="99">
        <v>-1.86692331888203</v>
      </c>
      <c r="L51" s="95">
        <v>0</v>
      </c>
    </row>
    <row r="52" spans="1:12" x14ac:dyDescent="0.25">
      <c r="A52">
        <f t="shared" si="0"/>
        <v>46</v>
      </c>
      <c r="B52" s="95" t="s">
        <v>193</v>
      </c>
      <c r="C52" s="98">
        <v>2.0737111617821502</v>
      </c>
      <c r="D52" s="95">
        <v>1666.281856804655</v>
      </c>
      <c r="E52" s="95">
        <v>1.58685558089107</v>
      </c>
      <c r="F52" s="95">
        <f>Table1[[#This Row],[Distance (m)]]*Table1[[#This Row],[Mass (kg)]]</f>
        <v>2644.1486638080019</v>
      </c>
      <c r="G52" s="96">
        <v>0</v>
      </c>
      <c r="H52" s="99">
        <v>-0.348817737990954</v>
      </c>
      <c r="I52" s="99">
        <v>0</v>
      </c>
      <c r="J52" s="99">
        <v>386.66147386570799</v>
      </c>
      <c r="K52" s="99">
        <v>386.31265612771699</v>
      </c>
      <c r="L52" s="95">
        <v>0</v>
      </c>
    </row>
    <row r="53" spans="1:12" x14ac:dyDescent="0.25">
      <c r="A53" s="12" t="s">
        <v>66</v>
      </c>
      <c r="B53" s="12"/>
      <c r="C53" s="12"/>
      <c r="D53" s="12">
        <f>SUBTOTAL(109,Table1[Mass (kg)])</f>
        <v>3620.0182811471495</v>
      </c>
      <c r="E53" s="12"/>
      <c r="F53" s="12">
        <f>SUBTOTAL(109,Table1[Moment (kgm)])</f>
        <v>7645.2411228258261</v>
      </c>
      <c r="G53" s="12"/>
      <c r="H53" s="12"/>
      <c r="I53" s="12">
        <f>SUBTOTAL(109,Table1[J0])</f>
        <v>271.90264857219705</v>
      </c>
      <c r="J53" s="12"/>
      <c r="K53" s="12">
        <f>SUBTOTAL(109,Table1[Jpitch/yaw])</f>
        <v>6254.1520275654839</v>
      </c>
      <c r="L53" s="12">
        <f>SUBTOTAL(109,Table1[Jroll])</f>
        <v>87.41756440212643</v>
      </c>
    </row>
    <row r="54" spans="1:12" x14ac:dyDescent="0.25">
      <c r="A54" s="42"/>
      <c r="B54" s="42"/>
      <c r="C54" s="42"/>
      <c r="D54" s="42"/>
      <c r="E54" s="42"/>
      <c r="F54" s="42" t="s">
        <v>67</v>
      </c>
      <c r="G54" s="42">
        <f>Table1[[#Totals],[Moment (kgm)]]/Table1[[#Totals],[Mass (kg)]]</f>
        <v>2.1119343961995467</v>
      </c>
      <c r="H54" s="42"/>
      <c r="I54" s="42"/>
      <c r="J54" s="42" t="s">
        <v>68</v>
      </c>
      <c r="K54" s="42">
        <f>Table1[[#Totals],[J0]]/Table1[[#Totals],[Jpitch/yaw]]</f>
        <v>4.3475541907803443E-2</v>
      </c>
      <c r="L54" s="42" t="s">
        <v>69</v>
      </c>
    </row>
    <row r="66" spans="9:11" x14ac:dyDescent="0.25">
      <c r="J66" s="4"/>
      <c r="K66" s="4"/>
    </row>
    <row r="67" spans="9:11" x14ac:dyDescent="0.25">
      <c r="J67" s="4"/>
      <c r="K67" s="4"/>
    </row>
    <row r="68" spans="9:11" x14ac:dyDescent="0.25">
      <c r="I68" t="s">
        <v>174</v>
      </c>
      <c r="J68" s="29"/>
    </row>
    <row r="69" spans="9:11" x14ac:dyDescent="0.25">
      <c r="J69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A3EB-6ECC-4651-B493-601F7CE17114}">
  <dimension ref="B1:T63"/>
  <sheetViews>
    <sheetView topLeftCell="G1" zoomScale="70" zoomScaleNormal="70" workbookViewId="0">
      <selection activeCell="K10" sqref="K10"/>
    </sheetView>
  </sheetViews>
  <sheetFormatPr defaultRowHeight="15" x14ac:dyDescent="0.25"/>
  <cols>
    <col min="2" max="2" width="13.7109375" bestFit="1" customWidth="1"/>
    <col min="3" max="3" width="21.7109375" bestFit="1" customWidth="1"/>
    <col min="4" max="4" width="15" bestFit="1" customWidth="1"/>
    <col min="5" max="5" width="15.5703125" bestFit="1" customWidth="1"/>
    <col min="6" max="6" width="17.140625" bestFit="1" customWidth="1"/>
    <col min="7" max="7" width="14.28515625" bestFit="1" customWidth="1"/>
    <col min="8" max="8" width="24" bestFit="1" customWidth="1"/>
    <col min="9" max="9" width="18.140625" bestFit="1" customWidth="1"/>
    <col min="10" max="10" width="9.85546875" bestFit="1" customWidth="1"/>
    <col min="11" max="11" width="13" customWidth="1"/>
    <col min="12" max="12" width="11.28515625" customWidth="1"/>
    <col min="13" max="13" width="13.85546875" customWidth="1"/>
    <col min="14" max="14" width="17.28515625" customWidth="1"/>
    <col min="15" max="15" width="18.7109375" customWidth="1"/>
    <col min="16" max="16" width="9.42578125" customWidth="1"/>
    <col min="17" max="17" width="10.140625" customWidth="1"/>
    <col min="18" max="18" width="10.85546875" customWidth="1"/>
    <col min="19" max="19" width="11.5703125" customWidth="1"/>
  </cols>
  <sheetData>
    <row r="1" spans="2:20" ht="15.75" thickBot="1" x14ac:dyDescent="0.3"/>
    <row r="2" spans="2:20" ht="15.75" thickBot="1" x14ac:dyDescent="0.3">
      <c r="B2" s="161" t="s">
        <v>223</v>
      </c>
      <c r="C2" s="163"/>
      <c r="E2" s="161" t="s">
        <v>224</v>
      </c>
      <c r="F2" s="163"/>
    </row>
    <row r="3" spans="2:20" ht="18" x14ac:dyDescent="0.35">
      <c r="B3" s="1" t="s">
        <v>132</v>
      </c>
      <c r="C3" s="2">
        <f>'[2]HW10 and HW11'!C3</f>
        <v>0.42</v>
      </c>
      <c r="E3" s="1" t="s">
        <v>225</v>
      </c>
      <c r="F3" s="2">
        <v>1140</v>
      </c>
    </row>
    <row r="4" spans="2:20" ht="18.75" thickBot="1" x14ac:dyDescent="0.4">
      <c r="B4" s="6" t="s">
        <v>136</v>
      </c>
      <c r="C4" s="120">
        <f>'[2]HW10 and HW11'!C4</f>
        <v>0.45</v>
      </c>
      <c r="E4" s="6" t="s">
        <v>226</v>
      </c>
      <c r="F4" s="120">
        <v>820</v>
      </c>
    </row>
    <row r="5" spans="2:20" ht="15.75" thickBot="1" x14ac:dyDescent="0.3"/>
    <row r="6" spans="2:20" ht="15.75" thickBot="1" x14ac:dyDescent="0.3">
      <c r="B6" s="161" t="s">
        <v>227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20" ht="18.75" x14ac:dyDescent="0.35">
      <c r="B7" s="12" t="s">
        <v>166</v>
      </c>
      <c r="C7" s="12" t="s">
        <v>167</v>
      </c>
      <c r="D7" s="12" t="s">
        <v>228</v>
      </c>
      <c r="E7" s="12" t="s">
        <v>11</v>
      </c>
      <c r="F7" s="12" t="s">
        <v>229</v>
      </c>
      <c r="G7" s="12" t="s">
        <v>230</v>
      </c>
      <c r="H7" s="12" t="s">
        <v>169</v>
      </c>
      <c r="I7" s="12" t="s">
        <v>231</v>
      </c>
      <c r="J7" s="121" t="s">
        <v>232</v>
      </c>
      <c r="K7" s="121" t="s">
        <v>233</v>
      </c>
      <c r="L7" s="121" t="s">
        <v>234</v>
      </c>
      <c r="M7" s="12" t="s">
        <v>235</v>
      </c>
      <c r="N7" s="12" t="s">
        <v>236</v>
      </c>
      <c r="O7" s="12" t="s">
        <v>237</v>
      </c>
      <c r="P7" s="12" t="s">
        <v>238</v>
      </c>
      <c r="Q7" s="12" t="s">
        <v>239</v>
      </c>
      <c r="R7" s="12" t="s">
        <v>240</v>
      </c>
      <c r="S7" s="12" t="s">
        <v>241</v>
      </c>
    </row>
    <row r="8" spans="2:20" x14ac:dyDescent="0.25">
      <c r="B8">
        <v>1</v>
      </c>
      <c r="C8" t="s">
        <v>173</v>
      </c>
      <c r="D8" t="s">
        <v>242</v>
      </c>
      <c r="E8" s="122">
        <v>5.0000000000000001E-4</v>
      </c>
      <c r="F8" s="123"/>
      <c r="G8" s="26">
        <f>VLOOKUP(Table37[[#This Row],[Location]],External_Loads[[Location]:[Axial Load (N)]],3,FALSE)</f>
        <v>720.07428054299828</v>
      </c>
      <c r="H8" s="26">
        <f>VLOOKUP(Table37[[#This Row],[Location]],External_Loads[[Location]:[Axial Load (N)]],4,FALSE)</f>
        <v>142.01852250266103</v>
      </c>
      <c r="I8" s="26">
        <f>VLOOKUP(Table37[[#This Row],[Location]],External_Loads[[Location]:[Axial Load (N)]],5,FALSE)</f>
        <v>1471.7134778305024</v>
      </c>
      <c r="J8" s="114">
        <f>(Table37[[#This Row],[Shear (N)]]/(2*PI()*$C$3*Table37[[#This Row],[Thickness (m)]]))/(10^6)</f>
        <v>0.54573038638932569</v>
      </c>
      <c r="K8" s="26"/>
      <c r="L8" s="124">
        <f>((-Table37[[#This Row],[Axial Stress (N)]]/(2*PI()*$C$3*Table37[[#This Row],[Thickness (m)]]))/(10^6))</f>
        <v>-1.1153832133889954</v>
      </c>
      <c r="M8" s="125">
        <f>(Table37[[#This Row],[Bending Moment (Nm)]]/(PI()*($C$3^2)*Table37[[#This Row],[Thickness (m)]]))/(10^6)</f>
        <v>0.5125385457348316</v>
      </c>
      <c r="N8" s="125">
        <f>-ABS(Table37[[#This Row],[σa (MPA)]])-ABS(Table37[[#This Row],[σb (Mpa)]])+Table37[[#This Row],[σaxial (MPA)]]</f>
        <v>-1.6279217591238271</v>
      </c>
      <c r="O8" s="125"/>
      <c r="P8" s="25">
        <f>ABS(VLOOKUP(Table37[[#This Row],[Material]],Table7[[Material]:[Source]],5,FALSE)/Table37[[#This Row],[σmax-vertical (Mpa)]])</f>
        <v>169.5413176051824</v>
      </c>
      <c r="Q8" s="126">
        <f>(Table37[[#This Row],[FSvertical]]-1)</f>
        <v>168.5413176051824</v>
      </c>
      <c r="S8" s="126"/>
      <c r="T8" s="127"/>
    </row>
    <row r="9" spans="2:20" x14ac:dyDescent="0.25">
      <c r="B9">
        <v>2</v>
      </c>
      <c r="C9" t="s">
        <v>175</v>
      </c>
      <c r="D9" t="s">
        <v>243</v>
      </c>
      <c r="E9" s="122">
        <v>5.0000000000000001E-4</v>
      </c>
      <c r="F9" s="123"/>
      <c r="G9" s="26">
        <f>VLOOKUP(Table37[[#This Row],[Location]],External_Loads[[Location]:[Axial Load (N)]],3,FALSE)</f>
        <v>844.47498610016737</v>
      </c>
      <c r="H9" s="26">
        <f>VLOOKUP(Table37[[#This Row],[Location]],External_Loads[[Location]:[Axial Load (N)]],4,FALSE)</f>
        <v>361.5532358448711</v>
      </c>
      <c r="I9" s="26">
        <f>VLOOKUP(Table37[[#This Row],[Location]],External_Loads[[Location]:[Axial Load (N)]],5,FALSE)</f>
        <v>1628.5104868851568</v>
      </c>
      <c r="J9" s="114">
        <f>(Table37[[#This Row],[Shear (N)]]/(2*PI()*$C$3*Table37[[#This Row],[Thickness (m)]]))/(10^6)</f>
        <v>0.6400112778823871</v>
      </c>
      <c r="K9" s="26"/>
      <c r="L9" s="124">
        <f>((-Table37[[#This Row],[Axial Stress (N)]]/(2*PI()*$C$3*Table37[[#This Row],[Thickness (m)]]))/(10^6))</f>
        <v>-1.2342166374512473</v>
      </c>
      <c r="M9" s="125">
        <f>(Table37[[#This Row],[Bending Moment (Nm)]]/(PI()*($C$3^2)*Table37[[#This Row],[Thickness (m)]]))/(10^6)</f>
        <v>1.3048295844802964</v>
      </c>
      <c r="N9" s="125">
        <f>-ABS(Table37[[#This Row],[σa (MPA)]])-ABS(Table37[[#This Row],[σb (Mpa)]])+Table37[[#This Row],[σaxial (MPA)]]</f>
        <v>-2.5390462219315437</v>
      </c>
      <c r="O9" s="125"/>
      <c r="P9" s="25">
        <f>ABS(VLOOKUP(Table37[[#This Row],[Material]],Table7[[Material]:[Source]],5,FALSE)/Table37[[#This Row],[σmax-vertical (Mpa)]])</f>
        <v>191.60738225155347</v>
      </c>
      <c r="Q9" s="126">
        <f>(Table37[[#This Row],[FSvertical]]-1)</f>
        <v>190.60738225155347</v>
      </c>
      <c r="S9" s="126"/>
    </row>
    <row r="10" spans="2:20" x14ac:dyDescent="0.25">
      <c r="B10">
        <v>3</v>
      </c>
      <c r="C10" t="s">
        <v>176</v>
      </c>
      <c r="D10" t="s">
        <v>243</v>
      </c>
      <c r="E10" s="122">
        <v>5.0000000000000001E-4</v>
      </c>
      <c r="F10" s="123">
        <v>300000</v>
      </c>
      <c r="G10" s="26">
        <f>VLOOKUP(Table37[[#This Row],[Location]],External_Loads[[Location]:[Axial Load (N)]],3,FALSE)</f>
        <v>974.40421934380083</v>
      </c>
      <c r="H10" s="26">
        <f>VLOOKUP(Table37[[#This Row],[Location]],External_Loads[[Location]:[Axial Load (N)]],4,FALSE)</f>
        <v>641.41634719357648</v>
      </c>
      <c r="I10" s="26">
        <f>VLOOKUP(Table37[[#This Row],[Location]],External_Loads[[Location]:[Axial Load (N)]],5,FALSE)</f>
        <v>1662.0443176823715</v>
      </c>
      <c r="J10" s="114">
        <f>(Table37[[#This Row],[Shear (N)]]/(2*PI()*$C$3*Table37[[#This Row],[Thickness (m)]]))/(10^6)</f>
        <v>0.73848213370554927</v>
      </c>
      <c r="K10" s="26">
        <v>129.37699739999996</v>
      </c>
      <c r="L10" s="124">
        <f>((-Table37[[#This Row],[Axial Stress (N)]]/(2*PI()*$C$3*Table37[[#This Row],[Thickness (m)]]))/(10^6))</f>
        <v>-1.2596312799854568</v>
      </c>
      <c r="M10" s="125">
        <f>(Table37[[#This Row],[Bending Moment (Nm)]]/(PI()*($C$3^2)*Table37[[#This Row],[Thickness (m)]]))/(10^6)</f>
        <v>2.3148431345987537</v>
      </c>
      <c r="N10" s="125">
        <f>-ABS(Table37[[#This Row],[σa (MPA)]])-ABS(Table37[[#This Row],[σb (Mpa)]])+Table37[[#This Row],[σaxial (MPA)]]</f>
        <v>125.80252298541575</v>
      </c>
      <c r="O10" s="125">
        <f>Table37[[#This Row],[σaxial (MPA)]]*2</f>
        <v>258.75399479999993</v>
      </c>
      <c r="P10" s="25">
        <f>ABS(VLOOKUP(Table37[[#This Row],[Material]],Table7[[Material]:[Source]],5,FALSE)/Table37[[#This Row],[σmax-vertical (Mpa)]])</f>
        <v>3.8671720443667081</v>
      </c>
      <c r="Q10" s="126">
        <f>(Table37[[#This Row],[FSvertical]]-1)</f>
        <v>2.8671720443667081</v>
      </c>
      <c r="R10" s="25">
        <f>ABS(VLOOKUP(Table37[[#This Row],[Material]],Table7[[Material]:[Source]],5,FALSE)/Table37[[#This Row],[σmax-horizontal (Mpa)]])</f>
        <v>1.8801642091594875</v>
      </c>
      <c r="S10" s="126">
        <f>(Table37[[#This Row],[FShorizontal]]-1)</f>
        <v>0.88016420915948745</v>
      </c>
    </row>
    <row r="11" spans="2:20" x14ac:dyDescent="0.25">
      <c r="B11">
        <v>4</v>
      </c>
      <c r="C11" t="s">
        <v>177</v>
      </c>
      <c r="D11" t="s">
        <v>244</v>
      </c>
      <c r="E11" s="122">
        <v>5.9119762763545935E-4</v>
      </c>
      <c r="F11" s="123"/>
      <c r="G11" s="26">
        <f>VLOOKUP(Table37[[#This Row],[Location]],External_Loads[[Location]:[Axial Load (N)]],3,FALSE)</f>
        <v>1125.4404811882132</v>
      </c>
      <c r="H11" s="26">
        <f>VLOOKUP(Table37[[#This Row],[Location]],External_Loads[[Location]:[Axial Load (N)]],4,FALSE)</f>
        <v>1036.3315183539644</v>
      </c>
      <c r="I11" s="26">
        <f>VLOOKUP(Table37[[#This Row],[Location]],External_Loads[[Location]:[Axial Load (N)]],5,FALSE)</f>
        <v>2264.7950064332704</v>
      </c>
      <c r="J11" s="114">
        <f>(Table37[[#This Row],[Shear (N)]]/(2*PI()*$C$3*Table37[[#This Row],[Thickness (m)]]))/(10^6)</f>
        <v>0.72137434157020008</v>
      </c>
      <c r="K11" s="26"/>
      <c r="L11" s="26">
        <f>((-Table37[[#This Row],[Axial Stress (N)]]/(2*PI()*$C$3*Table37[[#This Row],[Thickness (m)]]))/(10^6))</f>
        <v>-1.4516671773103338</v>
      </c>
      <c r="M11" s="125">
        <f>(Table37[[#This Row],[Bending Moment (Nm)]]/(PI()*($C$3^2)*Table37[[#This Row],[Thickness (m)]]))/(10^6)</f>
        <v>3.1631338560828013</v>
      </c>
      <c r="N11" s="125">
        <f>-ABS(Table37[[#This Row],[σa (MPA)]])-ABS(Table37[[#This Row],[σb (Mpa)]])+Table37[[#This Row],[σaxial (MPA)]]</f>
        <v>-4.6148010333931353</v>
      </c>
      <c r="O11" s="125"/>
      <c r="P11" s="25">
        <f>ABS(VLOOKUP(Table37[[#This Row],[Material]],Table7[[Material]:[Source]],5,FALSE)/Table37[[#This Row],[σmax-vertical (Mpa)]])</f>
        <v>106.31010881075309</v>
      </c>
      <c r="Q11" s="126">
        <f>(Table37[[#This Row],[FSvertical]]-1)</f>
        <v>105.31010881075309</v>
      </c>
      <c r="R11" s="25"/>
      <c r="S11" s="126"/>
    </row>
    <row r="12" spans="2:20" x14ac:dyDescent="0.25">
      <c r="B12">
        <v>5</v>
      </c>
      <c r="C12" t="s">
        <v>178</v>
      </c>
      <c r="D12" t="s">
        <v>244</v>
      </c>
      <c r="E12" s="122">
        <v>5.8644606828182943E-4</v>
      </c>
      <c r="F12" s="123">
        <v>300000</v>
      </c>
      <c r="G12" s="26">
        <f>VLOOKUP(Table37[[#This Row],[Location]],External_Loads[[Location]:[Axial Load (N)]],3,FALSE)</f>
        <v>1321.2100417710376</v>
      </c>
      <c r="H12" s="26">
        <f>VLOOKUP(Table37[[#This Row],[Location]],External_Loads[[Location]:[Axial Load (N)]],4,FALSE)</f>
        <v>1670.693831983036</v>
      </c>
      <c r="I12" s="26">
        <f>VLOOKUP(Table37[[#This Row],[Location]],External_Loads[[Location]:[Axial Load (N)]],5,FALSE)</f>
        <v>2343.4172512509981</v>
      </c>
      <c r="J12" s="114">
        <f>(Table37[[#This Row],[Shear (N)]]/(2*PI()*$C$3*Table37[[#This Row],[Thickness (m)]]))/(10^6)</f>
        <v>0.8537183731578103</v>
      </c>
      <c r="K12" s="26">
        <v>111.4296189101499</v>
      </c>
      <c r="L12" s="26">
        <f>((-Table37[[#This Row],[Axial Stress (N)]]/(2*PI()*$C$3*Table37[[#This Row],[Thickness (m)]]))/(10^6))</f>
        <v>-1.5142318784424225</v>
      </c>
      <c r="M12" s="125">
        <f>(Table37[[#This Row],[Bending Moment (Nm)]]/(PI()*($C$3^2)*Table37[[#This Row],[Thickness (m)]]))/(10^6)</f>
        <v>5.1406772334297708</v>
      </c>
      <c r="N12" s="125">
        <f>-ABS(Table37[[#This Row],[σa (MPA)]])-ABS(Table37[[#This Row],[σb (Mpa)]])+Table37[[#This Row],[σaxial (MPA)]]</f>
        <v>104.77470979827771</v>
      </c>
      <c r="O12" s="125">
        <f>Table37[[#This Row],[σaxial (MPA)]]*2</f>
        <v>222.8592378202998</v>
      </c>
      <c r="P12" s="25">
        <f>ABS(VLOOKUP(Table37[[#This Row],[Material]],Table7[[Material]:[Source]],5,FALSE)/Table37[[#This Row],[σmax-vertical (Mpa)]])</f>
        <v>4.6824276673688718</v>
      </c>
      <c r="Q12" s="126">
        <f>(Table37[[#This Row],[FSvertical]]-1)</f>
        <v>3.6824276673688718</v>
      </c>
      <c r="R12" s="25">
        <f>ABS(VLOOKUP(Table37[[#This Row],[Material]],Table7[[Material]:[Source]],5,FALSE)/Table37[[#This Row],[σmax-horizontal (Mpa)]])</f>
        <v>2.2013895623011606</v>
      </c>
      <c r="S12" s="126">
        <f>(Table37[[#This Row],[FShorizontal]]-1)</f>
        <v>1.2013895623011606</v>
      </c>
    </row>
    <row r="13" spans="2:20" x14ac:dyDescent="0.25">
      <c r="B13">
        <v>6</v>
      </c>
      <c r="C13" t="s">
        <v>179</v>
      </c>
      <c r="D13" t="s">
        <v>242</v>
      </c>
      <c r="E13" s="122">
        <v>5.0000000000000001E-4</v>
      </c>
      <c r="F13" s="123"/>
      <c r="G13" s="26">
        <f>VLOOKUP(Table37[[#This Row],[Location]],External_Loads[[Location]:[Axial Load (N)]],3,FALSE)</f>
        <v>1425.3369700573551</v>
      </c>
      <c r="H13" s="26">
        <f>VLOOKUP(Table37[[#This Row],[Location]],External_Loads[[Location]:[Axial Load (N)]],4,FALSE)</f>
        <v>1988.2878875249637</v>
      </c>
      <c r="I13" s="26">
        <f>VLOOKUP(Table37[[#This Row],[Location]],External_Loads[[Location]:[Axial Load (N)]],5,FALSE)</f>
        <v>4441.8051799963541</v>
      </c>
      <c r="J13" s="114">
        <f>(Table37[[#This Row],[Shear (N)]]/(2*PI()*(($C$4+$C$3)/2)*Table37[[#This Row],[Thickness (m)]]))/(10^6)</f>
        <v>1.0429858591092085</v>
      </c>
      <c r="K13" s="26"/>
      <c r="L13" s="26">
        <f>((-Table37[[#This Row],[Axial Stress (N)]]/(2*PI()*$C$3*Table37[[#This Row],[Thickness (m)]]))/(10^6))</f>
        <v>-3.3663583364171701</v>
      </c>
      <c r="M13" s="125">
        <f>(Table37[[#This Row],[Bending Moment (Nm)]]/(PI()*((($C$4+$C$3)/2)^2)*Table37[[#This Row],[Thickness (m)]]))/(10^6)</f>
        <v>6.6893031172274364</v>
      </c>
      <c r="N13" s="125">
        <f>-ABS(Table37[[#This Row],[σa (MPA)]])-ABS(Table37[[#This Row],[σb (Mpa)]])+Table37[[#This Row],[σaxial (MPA)]]</f>
        <v>-10.055661453644607</v>
      </c>
      <c r="O13" s="125"/>
      <c r="P13" s="25">
        <f>ABS(VLOOKUP(Table37[[#This Row],[Material]],Table7[[Material]:[Source]],5,FALSE)/Table37[[#This Row],[σmax-vertical (Mpa)]])</f>
        <v>27.447224757150675</v>
      </c>
      <c r="Q13" s="126">
        <f>(Table37[[#This Row],[FSvertical]]-1)</f>
        <v>26.447224757150675</v>
      </c>
      <c r="R13" s="25"/>
      <c r="S13" s="126"/>
    </row>
    <row r="14" spans="2:20" x14ac:dyDescent="0.25">
      <c r="B14">
        <v>7</v>
      </c>
      <c r="C14" t="s">
        <v>180</v>
      </c>
      <c r="D14" t="s">
        <v>242</v>
      </c>
      <c r="E14" s="122">
        <v>5.0000000000000001E-4</v>
      </c>
      <c r="F14" s="123"/>
      <c r="G14" s="26">
        <f>VLOOKUP(Table37[[#This Row],[Location]],External_Loads[[Location]:[Axial Load (N)]],3,FALSE)</f>
        <v>2328.3979748447678</v>
      </c>
      <c r="H14" s="26">
        <f>VLOOKUP(Table37[[#This Row],[Location]],External_Loads[[Location]:[Axial Load (N)]],4,FALSE)</f>
        <v>3750.7027021901031</v>
      </c>
      <c r="I14" s="26">
        <f>VLOOKUP(Table37[[#This Row],[Location]],External_Loads[[Location]:[Axial Load (N)]],5,FALSE)</f>
        <v>7025.7274950793617</v>
      </c>
      <c r="J14" s="114">
        <f>(Table37[[#This Row],[Shear (N)]]/(2*PI()*$C$4*Table37[[#This Row],[Thickness (m)]]))/(10^6)</f>
        <v>1.647004654140904</v>
      </c>
      <c r="K14" s="26"/>
      <c r="L14" s="26">
        <f>((-Table37[[#This Row],[Axial Stress (N)]]/(2*PI()*$C$3*Table37[[#This Row],[Thickness (m)]]))/(10^6))</f>
        <v>-5.3246631412310501</v>
      </c>
      <c r="M14" s="125">
        <f>(Table37[[#This Row],[Bending Moment (Nm)]]/(PI()*($C$3^2)*Table37[[#This Row],[Thickness (m)]]))/(10^6)</f>
        <v>13.536119617271744</v>
      </c>
      <c r="N14" s="125">
        <f>-ABS(Table37[[#This Row],[σa (MPA)]])-ABS(Table37[[#This Row],[σb (Mpa)]])+Table37[[#This Row],[σaxial (MPA)]]</f>
        <v>-18.860782758502793</v>
      </c>
      <c r="O14" s="125"/>
      <c r="P14" s="25">
        <f>ABS(VLOOKUP(Table37[[#This Row],[Material]],Table7[[Material]:[Source]],5,FALSE)/Table37[[#This Row],[σmax-vertical (Mpa)]])</f>
        <v>14.633538996443509</v>
      </c>
      <c r="Q14" s="126">
        <f>(Table37[[#This Row],[FSvertical]]-1)</f>
        <v>13.633538996443509</v>
      </c>
      <c r="R14" s="25"/>
      <c r="S14" s="126"/>
    </row>
    <row r="15" spans="2:20" x14ac:dyDescent="0.25">
      <c r="B15">
        <v>8</v>
      </c>
      <c r="C15" t="s">
        <v>181</v>
      </c>
      <c r="D15" t="s">
        <v>242</v>
      </c>
      <c r="E15" s="122">
        <v>8.6699268126284065E-4</v>
      </c>
      <c r="F15" s="123">
        <v>300000</v>
      </c>
      <c r="G15" s="26">
        <f>VLOOKUP(Table37[[#This Row],[Location]],External_Loads[[Location]:[Axial Load (N)]],3,FALSE)</f>
        <v>3881.3408033267815</v>
      </c>
      <c r="H15" s="26">
        <f>VLOOKUP(Table37[[#This Row],[Location]],External_Loads[[Location]:[Axial Load (N)]],4,FALSE)</f>
        <v>10862.784613153039</v>
      </c>
      <c r="I15" s="26">
        <f>VLOOKUP(Table37[[#This Row],[Location]],External_Loads[[Location]:[Axial Load (N)]],5,FALSE)</f>
        <v>53670.977451038387</v>
      </c>
      <c r="J15" s="114">
        <f>(Table37[[#This Row],[Shear (N)]]/(2*PI()*$C$4*Table37[[#This Row],[Thickness (m)]]))/(10^6)</f>
        <v>1.5833392010592753</v>
      </c>
      <c r="K15" s="26">
        <v>74.612508384472505</v>
      </c>
      <c r="L15" s="26">
        <f>((-Table37[[#This Row],[Axial Stress (N)]]/(2*PI()*$C$3*Table37[[#This Row],[Thickness (m)]]))/(10^6))</f>
        <v>-23.458212416632595</v>
      </c>
      <c r="M15" s="125">
        <f>(Table37[[#This Row],[Bending Moment (Nm)]]/(PI()*($C$3^2)*Table37[[#This Row],[Thickness (m)]]))/(10^6)</f>
        <v>22.608788105881256</v>
      </c>
      <c r="N15" s="125">
        <f>-ABS(Table37[[#This Row],[σa (MPA)]])-ABS(Table37[[#This Row],[σb (Mpa)]])+Table37[[#This Row],[σaxial (MPA)]]</f>
        <v>28.545507861958654</v>
      </c>
      <c r="O15" s="125">
        <f>Table37[[#This Row],[σaxial (MPA)]]*2</f>
        <v>149.22501676894501</v>
      </c>
      <c r="P15" s="25">
        <f>ABS(VLOOKUP(Table37[[#This Row],[Material]],Table7[[Material]:[Source]],5,FALSE)/Table37[[#This Row],[σmax-vertical (Mpa)]])</f>
        <v>9.6687717498210315</v>
      </c>
      <c r="Q15" s="126">
        <f>(Table37[[#This Row],[FSvertical]]-1)</f>
        <v>8.6687717498210315</v>
      </c>
      <c r="R15" s="25">
        <f>ABS(VLOOKUP(Table37[[#This Row],[Material]],Table7[[Material]:[Source]],5,FALSE)/Table37[[#This Row],[σmax-horizontal (Mpa)]])</f>
        <v>1.8495558316964313</v>
      </c>
      <c r="S15" s="126">
        <f>(Table37[[#This Row],[FShorizontal]]-1)</f>
        <v>0.84955583169643134</v>
      </c>
    </row>
    <row r="16" spans="2:20" x14ac:dyDescent="0.25">
      <c r="B16">
        <v>11</v>
      </c>
      <c r="C16" t="s">
        <v>182</v>
      </c>
      <c r="D16" t="s">
        <v>242</v>
      </c>
      <c r="E16" s="122">
        <v>5.0000000000000001E-4</v>
      </c>
      <c r="F16" s="123"/>
      <c r="G16" s="26">
        <f>VLOOKUP(Table37[[#This Row],[Location]],External_Loads[[Location]:[Axial Load (N)]],3,FALSE)</f>
        <v>4081.70690552119</v>
      </c>
      <c r="H16" s="26">
        <f>VLOOKUP(Table37[[#This Row],[Location]],External_Loads[[Location]:[Axial Load (N)]],4,FALSE)</f>
        <v>13052.622733086231</v>
      </c>
      <c r="I16" s="26">
        <f>VLOOKUP(Table37[[#This Row],[Location]],External_Loads[[Location]:[Axial Load (N)]],5,FALSE)</f>
        <v>54462.30262596695</v>
      </c>
      <c r="J16" s="114">
        <f>(Table37[[#This Row],[Shear (N)]]/(2*PI()*$C$4*Table37[[#This Row],[Thickness (m)]]))/(10^6)</f>
        <v>2.8872170234045389</v>
      </c>
      <c r="K16" s="26"/>
      <c r="L16" s="26">
        <f>((-Table37[[#This Row],[Axial Stress (N)]]/(2*PI()*$C$3*Table37[[#This Row],[Thickness (m)]]))/(10^6))</f>
        <v>-41.275927024235017</v>
      </c>
      <c r="M16" s="125">
        <f>(Table37[[#This Row],[Bending Moment (Nm)]]/(PI()*($C$3^2)*Table37[[#This Row],[Thickness (m)]]))/(10^6)</f>
        <v>47.106336242274793</v>
      </c>
      <c r="N16" s="125">
        <f>-ABS(Table37[[#This Row],[σa (MPA)]])-ABS(Table37[[#This Row],[σb (Mpa)]])+Table37[[#This Row],[σaxial (MPA)]]</f>
        <v>-88.38226326650981</v>
      </c>
      <c r="O16" s="125"/>
      <c r="P16" s="25">
        <f>ABS(VLOOKUP(Table37[[#This Row],[Material]],Table7[[Material]:[Source]],5,FALSE)/Table37[[#This Row],[σmax-vertical (Mpa)]])</f>
        <v>3.1227985095577782</v>
      </c>
      <c r="Q16" s="126">
        <f>(Table37[[#This Row],[FSvertical]]-1)</f>
        <v>2.1227985095577782</v>
      </c>
      <c r="S16" s="126"/>
    </row>
    <row r="17" spans="2:19" ht="15.75" thickBot="1" x14ac:dyDescent="0.3">
      <c r="D17" s="26"/>
      <c r="E17" s="26"/>
      <c r="F17" s="26"/>
      <c r="G17" s="26"/>
    </row>
    <row r="18" spans="2:19" ht="15.75" thickBot="1" x14ac:dyDescent="0.3">
      <c r="B18" s="161" t="s">
        <v>245</v>
      </c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3"/>
    </row>
    <row r="19" spans="2:19" ht="18.75" x14ac:dyDescent="0.35">
      <c r="B19" s="12" t="s">
        <v>166</v>
      </c>
      <c r="C19" s="12" t="s">
        <v>167</v>
      </c>
      <c r="D19" s="12" t="s">
        <v>228</v>
      </c>
      <c r="E19" s="12" t="s">
        <v>11</v>
      </c>
      <c r="F19" s="12" t="s">
        <v>229</v>
      </c>
      <c r="G19" s="12" t="s">
        <v>230</v>
      </c>
      <c r="H19" s="12" t="s">
        <v>169</v>
      </c>
      <c r="I19" s="12" t="s">
        <v>231</v>
      </c>
      <c r="J19" s="121" t="s">
        <v>232</v>
      </c>
      <c r="K19" s="121" t="s">
        <v>233</v>
      </c>
      <c r="L19" s="121" t="s">
        <v>234</v>
      </c>
      <c r="M19" s="12" t="s">
        <v>235</v>
      </c>
      <c r="N19" s="12" t="s">
        <v>236</v>
      </c>
      <c r="O19" s="12" t="s">
        <v>237</v>
      </c>
      <c r="P19" s="12" t="s">
        <v>238</v>
      </c>
      <c r="Q19" s="12" t="s">
        <v>239</v>
      </c>
      <c r="R19" s="12" t="s">
        <v>240</v>
      </c>
      <c r="S19" s="12" t="s">
        <v>241</v>
      </c>
    </row>
    <row r="20" spans="2:19" x14ac:dyDescent="0.25">
      <c r="B20">
        <v>1</v>
      </c>
      <c r="C20" t="s">
        <v>173</v>
      </c>
      <c r="D20" t="s">
        <v>242</v>
      </c>
      <c r="E20" s="122">
        <v>5.0000000000000001E-4</v>
      </c>
      <c r="G20" s="26">
        <f>VLOOKUP(Table379[[#This Row],[Location]],Table3[[Location]:[Axial Load (kN)]],3,FALSE)</f>
        <v>900.96059314162812</v>
      </c>
      <c r="H20" s="26">
        <f>VLOOKUP(Table379[[#This Row],[Location]],Table3[[Location]:[Axial Load (kN)]],4,FALSE)</f>
        <v>201.40881543638861</v>
      </c>
      <c r="I20" s="26">
        <f>VLOOKUP(Table379[[#This Row],[Location]],Table3[[Location]:[Axial Load (kN)]],5,FALSE)</f>
        <v>3395.6058215823432</v>
      </c>
      <c r="J20" s="26">
        <f>(Table379[[#This Row],[Shear (N)]]/(2*PI()*$C$3*Table379[[#This Row],[Thickness (m)]]))/(10^6)</f>
        <v>0.68282062823569578</v>
      </c>
      <c r="K20" s="26"/>
      <c r="L20" s="26">
        <f>(-Table379[[#This Row],[Axial Stress (N)]]/(2*PI()*$C$3*Table379[[#This Row],[Thickness (m)]]))/(10^6)</f>
        <v>-2.5734640537926019</v>
      </c>
      <c r="M20" s="125">
        <f>(Table379[[#This Row],[Bending Moment (Nm)]]/(PI()*($C$3^2)*Table379[[#This Row],[Thickness (m)]]))/(10^6)</f>
        <v>0.72687547752799264</v>
      </c>
      <c r="N20" s="125">
        <f>-ABS(Table379[[#This Row],[σa (MPA)]])-ABS(Table379[[#This Row],[σb (Mpa)]])</f>
        <v>-3.3003395313205948</v>
      </c>
      <c r="O20" s="125"/>
      <c r="P20" s="25">
        <f>ABS(VLOOKUP(Table379[[#This Row],[Material]],Table7[[Material]:[Source]],5,FALSE)/Table379[[#This Row],[σmax-vertical (Mpa)]])</f>
        <v>83.627759320133222</v>
      </c>
      <c r="Q20" s="126">
        <f>(Table379[[#This Row],[FSvertical]]-1)</f>
        <v>82.627759320133222</v>
      </c>
      <c r="R20" s="125"/>
      <c r="S20" s="125"/>
    </row>
    <row r="21" spans="2:19" x14ac:dyDescent="0.25">
      <c r="B21">
        <v>2</v>
      </c>
      <c r="C21" t="s">
        <v>175</v>
      </c>
      <c r="D21" t="s">
        <v>243</v>
      </c>
      <c r="E21" s="122">
        <v>5.0000000000000001E-4</v>
      </c>
      <c r="G21" s="26">
        <f>VLOOKUP(Table379[[#This Row],[Location]],Table3[[Location]:[Axial Load (kN)]],3,FALSE)</f>
        <v>888.15023869428296</v>
      </c>
      <c r="H21" s="26">
        <f>VLOOKUP(Table379[[#This Row],[Location]],Table3[[Location]:[Axial Load (kN)]],4,FALSE)</f>
        <v>490.46700573599389</v>
      </c>
      <c r="I21" s="26">
        <f>VLOOKUP(Table379[[#This Row],[Location]],Table3[[Location]:[Axial Load (kN)]],5,FALSE)</f>
        <v>3757.3751773522863</v>
      </c>
      <c r="J21" s="26">
        <f>(Table379[[#This Row],[Shear (N)]]/(2*PI()*$C$3*Table379[[#This Row],[Thickness (m)]]))/(10^6)</f>
        <v>0.67311190807829469</v>
      </c>
      <c r="K21" s="26"/>
      <c r="L21" s="26">
        <f>(-Table379[[#This Row],[Axial Stress (N)]]/(2*PI()*$C$3*Table379[[#This Row],[Thickness (m)]]))/(10^6)</f>
        <v>-2.84764205964954</v>
      </c>
      <c r="M21" s="125">
        <f>(Table379[[#This Row],[Bending Moment (Nm)]]/(PI()*($C$3^2)*Table379[[#This Row],[Thickness (m)]]))/(10^6)</f>
        <v>1.7700736595547486</v>
      </c>
      <c r="N21" s="125">
        <f>-ABS(Table379[[#This Row],[σa (MPA)]])-ABS(Table379[[#This Row],[σb (Mpa)]])</f>
        <v>-4.6177157192042886</v>
      </c>
      <c r="O21" s="125"/>
      <c r="P21" s="25">
        <f>ABS(VLOOKUP(Table379[[#This Row],[Material]],Table7[[Material]:[Source]],5,FALSE)/Table379[[#This Row],[σmax-vertical (Mpa)]])</f>
        <v>105.355121359405</v>
      </c>
      <c r="Q21" s="126">
        <f>(Table379[[#This Row],[FSvertical]]-1)</f>
        <v>104.355121359405</v>
      </c>
      <c r="R21" s="128"/>
      <c r="S21" s="126"/>
    </row>
    <row r="22" spans="2:19" x14ac:dyDescent="0.25">
      <c r="B22">
        <v>3</v>
      </c>
      <c r="C22" t="s">
        <v>176</v>
      </c>
      <c r="D22" t="s">
        <v>243</v>
      </c>
      <c r="E22" s="122">
        <v>5.0000000000000001E-4</v>
      </c>
      <c r="F22">
        <v>0</v>
      </c>
      <c r="G22" s="26">
        <f>VLOOKUP(Table379[[#This Row],[Location]],Table3[[Location]:[Axial Load (kN)]],3,FALSE)</f>
        <v>844.27873287757916</v>
      </c>
      <c r="H22" s="26">
        <f>VLOOKUP(Table379[[#This Row],[Location]],Table3[[Location]:[Axial Load (kN)]],4,FALSE)</f>
        <v>795.85241439424976</v>
      </c>
      <c r="I22" s="26">
        <f>VLOOKUP(Table379[[#This Row],[Location]],Table3[[Location]:[Axial Load (kN)]],5,FALSE)</f>
        <v>4996.3234407436585</v>
      </c>
      <c r="J22" s="26">
        <f>(Table379[[#This Row],[Shear (N)]]/(2*PI()*$C$3*Table379[[#This Row],[Thickness (m)]]))/(10^6)</f>
        <v>0.63986254135632692</v>
      </c>
      <c r="K22" s="26">
        <f>((((Table379[[#This Row],[Pressure (Pa)]]+(F4*'[2]HW10 and HW11'!$D$19))*$C$3)/(2*Table379[[#This Row],[Thickness (m)]])))/(10^6)</f>
        <v>7.7490000000000003E-2</v>
      </c>
      <c r="L22" s="26">
        <f>(-Table379[[#This Row],[Axial Stress (N)]]/(2*PI()*$C$3*Table379[[#This Row],[Thickness (m)]]))/(10^6)</f>
        <v>-3.7866170137155226</v>
      </c>
      <c r="M22" s="125">
        <f>(Table379[[#This Row],[Bending Moment (Nm)]]/(PI()*($C$3^2)*Table379[[#This Row],[Thickness (m)]]))/(10^6)</f>
        <v>2.8721960481284428</v>
      </c>
      <c r="N22" s="125">
        <f>-ABS(Table379[[#This Row],[σa (MPA)]])-ABS(Table379[[#This Row],[σb (Mpa)]])</f>
        <v>-6.6588130618439649</v>
      </c>
      <c r="O22" s="125">
        <f>Table379[[#This Row],[σaxial (MPA)]]*2</f>
        <v>0.15498000000000001</v>
      </c>
      <c r="P22" s="25">
        <f>ABS(VLOOKUP(Table379[[#This Row],[Material]],Table7[[Material]:[Source]],5,FALSE)/Table379[[#This Row],[σmax-vertical (Mpa)]])</f>
        <v>73.061068914476778</v>
      </c>
      <c r="Q22" s="126">
        <f>(Table379[[#This Row],[FSvertical]]-1)</f>
        <v>72.061068914476778</v>
      </c>
      <c r="R22" s="128">
        <f>ABS(VLOOKUP(Table379[[#This Row],[Material]],Table7[[Material]:[Source]],5,FALSE)/Table379[[#This Row],[σmax-horizontal (Mpa)]])</f>
        <v>3139.1147244805779</v>
      </c>
      <c r="S22" s="126">
        <f>(Table379[[#This Row],[FShorizontal]]-1)</f>
        <v>3138.1147244805779</v>
      </c>
    </row>
    <row r="23" spans="2:19" x14ac:dyDescent="0.25">
      <c r="B23">
        <v>4</v>
      </c>
      <c r="C23" t="s">
        <v>177</v>
      </c>
      <c r="D23" t="s">
        <v>244</v>
      </c>
      <c r="E23" s="122">
        <v>5.0000000000000001E-4</v>
      </c>
      <c r="G23" s="26">
        <f>VLOOKUP(Table379[[#This Row],[Location]],Table3[[Location]:[Axial Load (kN)]],3,FALSE)</f>
        <v>836.16563596548417</v>
      </c>
      <c r="H23" s="26">
        <f>VLOOKUP(Table379[[#This Row],[Location]],Table3[[Location]:[Axial Load (kN)]],4,FALSE)</f>
        <v>1144.1173917062508</v>
      </c>
      <c r="I23" s="26">
        <f>VLOOKUP(Table379[[#This Row],[Location]],Table3[[Location]:[Axial Load (kN)]],5,FALSE)</f>
        <v>5225.4404300706774</v>
      </c>
      <c r="J23" s="26">
        <f>(Table379[[#This Row],[Shear (N)]]/(2*PI()*$C$3*Table379[[#This Row],[Thickness (m)]]))/(10^6)</f>
        <v>0.6337137819404054</v>
      </c>
      <c r="K23" s="26"/>
      <c r="L23" s="26">
        <f>(-Table379[[#This Row],[Axial Stress (N)]]/(2*PI()*$C$3*Table379[[#This Row],[Thickness (m)]]))/(10^6)</f>
        <v>-3.9602603537047045</v>
      </c>
      <c r="M23" s="125">
        <f>(Table379[[#This Row],[Bending Moment (Nm)]]/(PI()*($C$3^2)*Table379[[#This Row],[Thickness (m)]]))/(10^6)</f>
        <v>4.1290688972212264</v>
      </c>
      <c r="N23" s="125">
        <f>-ABS(Table379[[#This Row],[σa (MPA)]])-ABS(Table379[[#This Row],[σb (Mpa)]])</f>
        <v>-8.0893292509259318</v>
      </c>
      <c r="O23" s="125"/>
      <c r="P23" s="25">
        <f>ABS(VLOOKUP(Table379[[#This Row],[Material]],Table7[[Material]:[Source]],5,FALSE)/Table379[[#This Row],[σmax-vertical (Mpa)]])</f>
        <v>60.647797213080963</v>
      </c>
      <c r="Q23" s="126">
        <f>(Table379[[#This Row],[FSvertical]]-1)</f>
        <v>59.647797213080963</v>
      </c>
      <c r="R23" s="125"/>
      <c r="S23" s="128"/>
    </row>
    <row r="24" spans="2:19" x14ac:dyDescent="0.25">
      <c r="B24">
        <v>5</v>
      </c>
      <c r="C24" t="s">
        <v>178</v>
      </c>
      <c r="D24" t="s">
        <v>244</v>
      </c>
      <c r="E24" s="122">
        <v>5.0000000000000001E-4</v>
      </c>
      <c r="F24">
        <v>0</v>
      </c>
      <c r="G24" s="26">
        <f>VLOOKUP(Table379[[#This Row],[Location]],Table3[[Location]:[Axial Load (kN)]],3,FALSE)</f>
        <v>684.60836032724649</v>
      </c>
      <c r="H24" s="26">
        <f>VLOOKUP(Table379[[#This Row],[Location]],Table3[[Location]:[Axial Load (kN)]],4,FALSE)</f>
        <v>1611.5398837437285</v>
      </c>
      <c r="I24" s="26">
        <f>VLOOKUP(Table379[[#This Row],[Location]],Table3[[Location]:[Axial Load (kN)]],5,FALSE)</f>
        <v>9505.4764115306316</v>
      </c>
      <c r="J24" s="26">
        <f>(Table379[[#This Row],[Shear (N)]]/(2*PI()*$C$3*Table379[[#This Row],[Thickness (m)]]))/(10^6)</f>
        <v>0.51885145061008908</v>
      </c>
      <c r="K24" s="26">
        <v>4.6949237999999989</v>
      </c>
      <c r="L24" s="26">
        <f>(-Table379[[#This Row],[Axial Stress (N)]]/(2*PI()*$C$3*Table379[[#This Row],[Thickness (m)]]))/(10^6)</f>
        <v>-7.2040169397071976</v>
      </c>
      <c r="M24" s="125">
        <f>(Table379[[#This Row],[Bending Moment (Nm)]]/(PI()*($C$3^2)*Table379[[#This Row],[Thickness (m)]]))/(10^6)</f>
        <v>5.8159759294229643</v>
      </c>
      <c r="N24" s="125">
        <f>-ABS(Table379[[#This Row],[σa (MPA)]])-ABS(Table379[[#This Row],[σb (Mpa)]])</f>
        <v>-13.019992869130162</v>
      </c>
      <c r="O24" s="125">
        <f>Table379[[#This Row],[σaxial (MPA)]]*2</f>
        <v>9.3898475999999977</v>
      </c>
      <c r="P24" s="25">
        <f>ABS(VLOOKUP(Table379[[#This Row],[Material]],Table7[[Material]:[Source]],5,FALSE)/Table379[[#This Row],[σmax-vertical (Mpa)]])</f>
        <v>37.680512188542849</v>
      </c>
      <c r="Q24" s="126">
        <f>(Table379[[#This Row],[FSvertical]]-1)</f>
        <v>36.680512188542849</v>
      </c>
      <c r="R24" s="128">
        <f>ABS(VLOOKUP(Table379[[#This Row],[Material]],Table7[[Material]:[Source]],5,FALSE)/Table379[[#This Row],[σmax-horizontal (Mpa)]])</f>
        <v>52.247919337902793</v>
      </c>
      <c r="S24" s="126">
        <f>(Table379[[#This Row],[FShorizontal]]-1)</f>
        <v>51.247919337902793</v>
      </c>
    </row>
    <row r="25" spans="2:19" x14ac:dyDescent="0.25">
      <c r="B25">
        <v>6</v>
      </c>
      <c r="C25" t="s">
        <v>179</v>
      </c>
      <c r="D25" t="s">
        <v>242</v>
      </c>
      <c r="E25" s="122">
        <v>5.0000000000000001E-4</v>
      </c>
      <c r="G25" s="26">
        <f>VLOOKUP(Table379[[#This Row],[Location]],Table3[[Location]:[Axial Load (kN)]],3,FALSE)</f>
        <v>608.54684677578621</v>
      </c>
      <c r="H25" s="26">
        <f>VLOOKUP(Table379[[#This Row],[Location]],Table3[[Location]:[Axial Load (kN)]],4,FALSE)</f>
        <v>1831.1850660153864</v>
      </c>
      <c r="I25" s="26">
        <f>VLOOKUP(Table379[[#This Row],[Location]],Table3[[Location]:[Axial Load (kN)]],5,FALSE)</f>
        <v>11653.482922162439</v>
      </c>
      <c r="J25" s="26">
        <f>(Table379[[#This Row],[Shear (N)]]/(2*PI()*(($C$4+$C$3)/2)*Table379[[#This Row],[Thickness (m)]]))/(10^6)</f>
        <v>0.44530224720621892</v>
      </c>
      <c r="K25" s="26"/>
      <c r="L25" s="26">
        <f>(-Table379[[#This Row],[Axial Stress (N)]]/(2*PI()*(($C$4+$C$3)/2)*Table379[[#This Row],[Thickness (m)]]))/(10^6)</f>
        <v>-8.5273995921799415</v>
      </c>
      <c r="M25" s="125">
        <f>(Table379[[#This Row],[Bending Moment (Nm)]]/(PI()*((($C$4+$C$3)/2)^2)*Table379[[#This Row],[Thickness (m)]]))/(10^6)</f>
        <v>6.1607537053223922</v>
      </c>
      <c r="N25" s="125">
        <f>-ABS(Table379[[#This Row],[σa (MPA)]])-ABS(Table379[[#This Row],[σb (Mpa)]])</f>
        <v>-14.688153297502334</v>
      </c>
      <c r="O25" s="125"/>
      <c r="P25" s="25">
        <f>ABS(VLOOKUP(Table379[[#This Row],[Material]],Table7[[Material]:[Source]],5,FALSE)/Table379[[#This Row],[σmax-vertical (Mpa)]])</f>
        <v>18.790653556627351</v>
      </c>
      <c r="Q25" s="126">
        <f>(Table379[[#This Row],[FSvertical]]-1)</f>
        <v>17.790653556627351</v>
      </c>
      <c r="R25" s="128"/>
      <c r="S25" s="126"/>
    </row>
    <row r="26" spans="2:19" x14ac:dyDescent="0.25">
      <c r="B26">
        <v>7</v>
      </c>
      <c r="C26" t="s">
        <v>180</v>
      </c>
      <c r="D26" t="s">
        <v>242</v>
      </c>
      <c r="E26" s="122">
        <v>5.0000000000000001E-4</v>
      </c>
      <c r="G26" s="26">
        <f>VLOOKUP(Table379[[#This Row],[Location]],Table3[[Location]:[Axial Load (kN)]],3,FALSE)</f>
        <v>447.19627330258544</v>
      </c>
      <c r="H26" s="26">
        <f>VLOOKUP(Table379[[#This Row],[Location]],Table3[[Location]:[Axial Load (kN)]],4,FALSE)</f>
        <v>2882.0855510741612</v>
      </c>
      <c r="I26" s="26">
        <f>VLOOKUP(Table379[[#This Row],[Location]],Table3[[Location]:[Axial Load (kN)]],5,FALSE)</f>
        <v>16210.085415749776</v>
      </c>
      <c r="J26" s="26">
        <f>(Table379[[#This Row],[Shear (N)]]/(2*PI()*$C$4*Table379[[#This Row],[Thickness (m)]]))/(10^6)</f>
        <v>0.3163266552372474</v>
      </c>
      <c r="K26" s="26"/>
      <c r="L26" s="26">
        <f>(-Table379[[#This Row],[Axial Stress (N)]]/(2*PI()*$C$3*Table379[[#This Row],[Thickness (m)]]))/(10^6)</f>
        <v>-12.285310580278184</v>
      </c>
      <c r="M26" s="125">
        <f>(Table379[[#This Row],[Bending Moment (Nm)]]/(PI()*($C$3^2)*Table379[[#This Row],[Thickness (m)]]))/(10^6)</f>
        <v>10.401318863201404</v>
      </c>
      <c r="N26" s="125">
        <f>-ABS(Table379[[#This Row],[σa (MPA)]])-ABS(Table379[[#This Row],[σb (Mpa)]])</f>
        <v>-22.686629443479589</v>
      </c>
      <c r="O26" s="125"/>
      <c r="P26" s="25">
        <f>ABS(VLOOKUP(Table379[[#This Row],[Material]],Table7[[Material]:[Source]],5,FALSE)/Table379[[#This Row],[σmax-vertical (Mpa)]])</f>
        <v>12.165756076177535</v>
      </c>
      <c r="Q26" s="126">
        <f>(Table379[[#This Row],[FSvertical]]-1)</f>
        <v>11.165756076177535</v>
      </c>
      <c r="R26" s="128"/>
      <c r="S26" s="126"/>
    </row>
    <row r="27" spans="2:19" x14ac:dyDescent="0.25">
      <c r="B27">
        <v>8</v>
      </c>
      <c r="C27" t="s">
        <v>181</v>
      </c>
      <c r="D27" t="s">
        <v>242</v>
      </c>
      <c r="E27" s="122">
        <v>5.0000000000000001E-4</v>
      </c>
      <c r="F27">
        <v>0</v>
      </c>
      <c r="G27" s="26">
        <f>VLOOKUP(Table379[[#This Row],[Location]],Table3[[Location]:[Axial Load (kN)]],3,FALSE)</f>
        <v>-1783.4067406639135</v>
      </c>
      <c r="H27" s="26">
        <f>VLOOKUP(Table379[[#This Row],[Location]],Table3[[Location]:[Axial Load (kN)]],4,FALSE)</f>
        <v>1857.7279606436507</v>
      </c>
      <c r="I27" s="26">
        <f>VLOOKUP(Table379[[#This Row],[Location]],Table3[[Location]:[Axial Load (kN)]],5,FALSE)</f>
        <v>79203.175783236744</v>
      </c>
      <c r="J27" s="26">
        <f>(Table379[[#This Row],[Shear (N)]]/(2*PI()*$C$4*Table379[[#This Row],[Thickness (m)]]))/(10^6)</f>
        <v>-1.2615022147558566</v>
      </c>
      <c r="K27" s="26">
        <v>3.3769973999999996</v>
      </c>
      <c r="L27" s="26">
        <f>(-Table379[[#This Row],[Axial Stress (N)]]/(2*PI()*$C$3*Table379[[#This Row],[Thickness (m)]]))/(10^6)</f>
        <v>-60.026556830849664</v>
      </c>
      <c r="M27" s="125">
        <f>(Table379[[#This Row],[Bending Moment (Nm)]]/(PI()*($C$3^2)*Table379[[#This Row],[Thickness (m)]]))/(10^6)</f>
        <v>6.7044577745229708</v>
      </c>
      <c r="N27" s="125">
        <f>-ABS(Table379[[#This Row],[σa (MPA)]])-ABS(Table379[[#This Row],[σb (Mpa)]])</f>
        <v>-66.731014605372636</v>
      </c>
      <c r="O27" s="125">
        <f>Table379[[#This Row],[σaxial (MPA)]]*2</f>
        <v>6.7539947999999992</v>
      </c>
      <c r="P27" s="25">
        <f>ABS(VLOOKUP(Table379[[#This Row],[Material]],Table7[[Material]:[Source]],5,FALSE)/Table379[[#This Row],[σmax-vertical (Mpa)]])</f>
        <v>4.1360078463092744</v>
      </c>
      <c r="Q27" s="126">
        <f>(Table379[[#This Row],[FSvertical]]-1)</f>
        <v>3.1360078463092744</v>
      </c>
      <c r="R27" s="128">
        <f>ABS(VLOOKUP(Table379[[#This Row],[Material]],Table7[[Material]:[Source]],5,FALSE)/Table379[[#This Row],[σmax-horizontal (Mpa)]])</f>
        <v>40.864704248809907</v>
      </c>
      <c r="S27" s="126">
        <f>(Table379[[#This Row],[FShorizontal]]-1)</f>
        <v>39.864704248809907</v>
      </c>
    </row>
    <row r="28" spans="2:19" x14ac:dyDescent="0.25">
      <c r="B28">
        <v>9</v>
      </c>
      <c r="C28" t="s">
        <v>182</v>
      </c>
      <c r="D28" t="s">
        <v>242</v>
      </c>
      <c r="E28" s="122">
        <v>5.0000000000000001E-4</v>
      </c>
      <c r="G28" s="26">
        <f>VLOOKUP(Table379[[#This Row],[Location]],Table3[[Location]:[Axial Load (kN)]],3,FALSE)</f>
        <v>-1848.0582033101737</v>
      </c>
      <c r="H28" s="26">
        <f>VLOOKUP(Table379[[#This Row],[Location]],Table3[[Location]:[Axial Load (kN)]],4,FALSE)</f>
        <v>-971.20395003167505</v>
      </c>
      <c r="I28" s="26">
        <f>VLOOKUP(Table379[[#This Row],[Location]],Table3[[Location]:[Axial Load (kN)]],5,FALSE)</f>
        <v>81028.95805079682</v>
      </c>
      <c r="J28" s="26">
        <f>(Table379[[#This Row],[Shear (N)]]/(2*PI()*$C$4*Table379[[#This Row],[Thickness (m)]]))/(10^6)</f>
        <v>-1.3072337696815159</v>
      </c>
      <c r="K28" s="26"/>
      <c r="L28" s="26">
        <f>(-Table379[[#This Row],[Axial Stress (N)]]/(2*PI()*$C$3*Table379[[#This Row],[Thickness (m)]]))/(10^6)</f>
        <v>-61.410281939857832</v>
      </c>
      <c r="M28" s="125">
        <f>(Table379[[#This Row],[Bending Moment (Nm)]]/(PI()*($C$3^2)*Table379[[#This Row],[Thickness (m)]]))/(10^6)</f>
        <v>-3.505031959136399</v>
      </c>
      <c r="N28" s="125">
        <f>-ABS(Table379[[#This Row],[σa (MPA)]])-ABS(Table379[[#This Row],[σb (Mpa)]])</f>
        <v>-64.915313898994228</v>
      </c>
      <c r="O28" s="125"/>
      <c r="P28" s="25">
        <f>ABS(VLOOKUP(Table379[[#This Row],[Material]],Table7[[Material]:[Source]],5,FALSE)/Table379[[#This Row],[σmax-vertical (Mpa)]])</f>
        <v>4.2516932203308073</v>
      </c>
      <c r="Q28" s="126">
        <f>(Table379[[#This Row],[FSvertical]]-1)</f>
        <v>3.2516932203308073</v>
      </c>
      <c r="R28" s="125"/>
      <c r="S28" s="125"/>
    </row>
    <row r="29" spans="2:19" ht="15.75" thickBot="1" x14ac:dyDescent="0.3">
      <c r="D29" s="26"/>
      <c r="E29" s="26"/>
      <c r="F29" s="26"/>
      <c r="G29" s="26"/>
    </row>
    <row r="30" spans="2:19" ht="15.75" thickBot="1" x14ac:dyDescent="0.3">
      <c r="B30" s="161" t="s">
        <v>246</v>
      </c>
      <c r="C30" s="162"/>
      <c r="D30" s="162"/>
      <c r="E30" s="162"/>
      <c r="F30" s="162"/>
      <c r="G30" s="162"/>
      <c r="H30" s="162"/>
      <c r="I30" s="163"/>
    </row>
    <row r="31" spans="2:19" x14ac:dyDescent="0.25">
      <c r="B31" s="12" t="s">
        <v>166</v>
      </c>
      <c r="C31" s="12" t="s">
        <v>167</v>
      </c>
      <c r="D31" s="12" t="s">
        <v>228</v>
      </c>
      <c r="E31" s="12" t="s">
        <v>11</v>
      </c>
      <c r="F31" s="12" t="s">
        <v>247</v>
      </c>
      <c r="G31" s="12" t="s">
        <v>248</v>
      </c>
      <c r="H31" s="12" t="s">
        <v>249</v>
      </c>
      <c r="I31" s="12" t="s">
        <v>250</v>
      </c>
    </row>
    <row r="32" spans="2:19" x14ac:dyDescent="0.25">
      <c r="B32">
        <v>1</v>
      </c>
      <c r="C32" t="str">
        <f>C11</f>
        <v>Top of Ox Tank 2</v>
      </c>
      <c r="D32" t="s">
        <v>244</v>
      </c>
      <c r="E32" s="122">
        <f>E11</f>
        <v>5.9119762763545935E-4</v>
      </c>
      <c r="F32" s="129" t="s">
        <v>128</v>
      </c>
      <c r="G32" s="26">
        <f>O10</f>
        <v>258.75399479999993</v>
      </c>
      <c r="H32" s="26">
        <f>VLOOKUP(Table37910[[#This Row],[Material]],Table7[[Material]:[Website]],5,FALSE)</f>
        <v>490.6</v>
      </c>
      <c r="I32" s="130">
        <f>(Table37910[[#This Row],[Yield Stress (Mpa)]]/Table37910[[#This Row],[Stress (Mpa)]])-1</f>
        <v>0.89600937515651502</v>
      </c>
    </row>
    <row r="33" spans="2:9" x14ac:dyDescent="0.25">
      <c r="B33">
        <v>2</v>
      </c>
      <c r="C33" t="str">
        <f>C12</f>
        <v>Bottom of Ox Tank 2</v>
      </c>
      <c r="D33" t="s">
        <v>242</v>
      </c>
      <c r="E33" s="122">
        <f>E12</f>
        <v>5.8644606828182943E-4</v>
      </c>
      <c r="F33" s="129" t="s">
        <v>128</v>
      </c>
      <c r="G33" s="26">
        <f>O12</f>
        <v>222.8592378202998</v>
      </c>
      <c r="H33" s="26">
        <f>VLOOKUP(Table37910[[#This Row],[Material]],Table7[[Material]:[Website]],5,FALSE)</f>
        <v>276</v>
      </c>
      <c r="I33" s="130">
        <f>(Table37910[[#This Row],[Yield Stress (Mpa)]]/Table37910[[#This Row],[Stress (Mpa)]])-1</f>
        <v>0.23844989644337611</v>
      </c>
    </row>
    <row r="34" spans="2:9" x14ac:dyDescent="0.25">
      <c r="B34">
        <v>3</v>
      </c>
      <c r="C34" t="str">
        <f>C26</f>
        <v>Top of Fuel Tank 1</v>
      </c>
      <c r="D34" t="s">
        <v>242</v>
      </c>
      <c r="E34" s="122">
        <f>E26</f>
        <v>5.0000000000000001E-4</v>
      </c>
      <c r="F34" s="129" t="s">
        <v>251</v>
      </c>
      <c r="G34" s="26">
        <v>55</v>
      </c>
      <c r="H34" s="26">
        <f>VLOOKUP(Table37910[[#This Row],[Material]],Table7[[Material]:[Website]],5,FALSE)</f>
        <v>276</v>
      </c>
      <c r="I34" s="130">
        <f>(Table37910[[#This Row],[Yield Stress (Mpa)]]/Table37910[[#This Row],[Stress (Mpa)]])-1</f>
        <v>4.0181818181818185</v>
      </c>
    </row>
    <row r="35" spans="2:9" x14ac:dyDescent="0.25">
      <c r="B35">
        <v>4</v>
      </c>
      <c r="C35" t="str">
        <f>C27</f>
        <v>Bottom of Fuel Tank 1</v>
      </c>
      <c r="D35" t="s">
        <v>242</v>
      </c>
      <c r="E35" s="122">
        <v>5.0000000000000001E-4</v>
      </c>
      <c r="F35" s="129" t="s">
        <v>128</v>
      </c>
      <c r="G35" s="26">
        <f>O15</f>
        <v>149.22501676894501</v>
      </c>
      <c r="H35" s="26">
        <f>VLOOKUP(Table37910[[#This Row],[Material]],Table7[[Material]:[Website]],5,FALSE)</f>
        <v>276</v>
      </c>
      <c r="I35" s="130">
        <f>(Table37910[[#This Row],[Yield Stress (Mpa)]]/Table37910[[#This Row],[Stress (Mpa)]])-1</f>
        <v>0.84955583169643134</v>
      </c>
    </row>
    <row r="36" spans="2:9" x14ac:dyDescent="0.25">
      <c r="B36">
        <v>5</v>
      </c>
      <c r="C36" t="str">
        <f>C15</f>
        <v>Bottom of Fuel Tank 1</v>
      </c>
      <c r="D36" t="s">
        <v>242</v>
      </c>
      <c r="E36" s="122">
        <v>5.0000000000000001E-4</v>
      </c>
      <c r="F36" s="129" t="s">
        <v>251</v>
      </c>
      <c r="G36" s="26">
        <v>66</v>
      </c>
      <c r="H36" s="26">
        <f>VLOOKUP(Table37910[[#This Row],[Material]],Table7[[Material]:[Website]],5,FALSE)</f>
        <v>276</v>
      </c>
      <c r="I36" s="130">
        <f>(Table37910[[#This Row],[Yield Stress (Mpa)]]/Table37910[[#This Row],[Stress (Mpa)]])-1</f>
        <v>3.1818181818181817</v>
      </c>
    </row>
    <row r="37" spans="2:9" x14ac:dyDescent="0.25">
      <c r="B37">
        <v>6</v>
      </c>
      <c r="C37" t="s">
        <v>182</v>
      </c>
      <c r="D37" t="s">
        <v>242</v>
      </c>
      <c r="E37" s="122">
        <v>5.0000000000000001E-4</v>
      </c>
      <c r="F37" s="129" t="s">
        <v>251</v>
      </c>
      <c r="G37" s="26">
        <v>73</v>
      </c>
      <c r="H37" s="26">
        <f>VLOOKUP(Table37910[[#This Row],[Material]],Table7[[Material]:[Website]],5,FALSE)</f>
        <v>276</v>
      </c>
      <c r="I37" s="130">
        <f>(Table37910[[#This Row],[Yield Stress (Mpa)]]/Table37910[[#This Row],[Stress (Mpa)]])-1</f>
        <v>2.7808219178082192</v>
      </c>
    </row>
    <row r="38" spans="2:9" ht="15.75" thickBot="1" x14ac:dyDescent="0.3">
      <c r="E38" s="122"/>
      <c r="F38" s="129"/>
      <c r="G38" s="26"/>
      <c r="H38" s="26"/>
      <c r="I38" s="131"/>
    </row>
    <row r="39" spans="2:9" ht="15.75" thickBot="1" x14ac:dyDescent="0.3">
      <c r="B39" s="161" t="s">
        <v>228</v>
      </c>
      <c r="C39" s="167"/>
      <c r="D39" s="167"/>
      <c r="E39" s="167"/>
      <c r="F39" s="167"/>
      <c r="G39" s="167"/>
      <c r="H39" s="167"/>
      <c r="I39" s="168"/>
    </row>
    <row r="40" spans="2:9" x14ac:dyDescent="0.25">
      <c r="B40" s="12" t="s">
        <v>252</v>
      </c>
      <c r="C40" s="12" t="s">
        <v>228</v>
      </c>
      <c r="D40" s="12" t="s">
        <v>253</v>
      </c>
      <c r="E40" s="12" t="s">
        <v>224</v>
      </c>
      <c r="F40" s="12" t="s">
        <v>254</v>
      </c>
      <c r="G40" s="12" t="s">
        <v>255</v>
      </c>
      <c r="H40" s="12" t="s">
        <v>256</v>
      </c>
      <c r="I40" s="12" t="s">
        <v>257</v>
      </c>
    </row>
    <row r="41" spans="2:9" x14ac:dyDescent="0.25">
      <c r="B41" t="s">
        <v>258</v>
      </c>
      <c r="C41" t="s">
        <v>259</v>
      </c>
      <c r="D41">
        <v>-161.5</v>
      </c>
      <c r="E41">
        <v>2840</v>
      </c>
      <c r="F41">
        <f>7.31*10^4</f>
        <v>73100</v>
      </c>
      <c r="G41">
        <v>393</v>
      </c>
      <c r="H41" s="132" t="s">
        <v>260</v>
      </c>
      <c r="I41" s="132" t="s">
        <v>261</v>
      </c>
    </row>
    <row r="42" spans="2:9" x14ac:dyDescent="0.25">
      <c r="B42" t="s">
        <v>262</v>
      </c>
      <c r="C42" t="s">
        <v>263</v>
      </c>
      <c r="D42">
        <v>20</v>
      </c>
      <c r="E42">
        <v>2840</v>
      </c>
      <c r="F42">
        <f>7.31*10^4</f>
        <v>73100</v>
      </c>
      <c r="G42">
        <v>393</v>
      </c>
      <c r="H42" s="132" t="s">
        <v>260</v>
      </c>
      <c r="I42" s="132" t="s">
        <v>261</v>
      </c>
    </row>
    <row r="43" spans="2:9" x14ac:dyDescent="0.25">
      <c r="B43" t="s">
        <v>258</v>
      </c>
      <c r="C43" t="s">
        <v>264</v>
      </c>
      <c r="D43">
        <v>-183</v>
      </c>
      <c r="E43">
        <v>2840</v>
      </c>
      <c r="F43">
        <f>7.31*10^4</f>
        <v>73100</v>
      </c>
      <c r="G43">
        <v>393</v>
      </c>
      <c r="H43" s="132" t="s">
        <v>260</v>
      </c>
      <c r="I43" s="132" t="s">
        <v>261</v>
      </c>
    </row>
    <row r="44" spans="2:9" x14ac:dyDescent="0.25">
      <c r="B44" t="s">
        <v>265</v>
      </c>
      <c r="C44" t="s">
        <v>242</v>
      </c>
      <c r="D44">
        <v>20</v>
      </c>
      <c r="E44">
        <v>2700</v>
      </c>
      <c r="F44">
        <f>7.24*10^4</f>
        <v>72400</v>
      </c>
      <c r="G44">
        <v>276</v>
      </c>
      <c r="H44" s="132" t="s">
        <v>266</v>
      </c>
      <c r="I44" s="132" t="s">
        <v>261</v>
      </c>
    </row>
    <row r="45" spans="2:9" x14ac:dyDescent="0.25">
      <c r="B45" t="s">
        <v>258</v>
      </c>
      <c r="C45" t="s">
        <v>244</v>
      </c>
      <c r="D45">
        <v>-183</v>
      </c>
      <c r="E45">
        <v>2800</v>
      </c>
      <c r="F45">
        <v>73100</v>
      </c>
      <c r="G45">
        <v>490.6</v>
      </c>
      <c r="H45" s="132" t="s">
        <v>267</v>
      </c>
      <c r="I45" s="132" t="s">
        <v>261</v>
      </c>
    </row>
    <row r="46" spans="2:9" x14ac:dyDescent="0.25">
      <c r="B46" t="s">
        <v>265</v>
      </c>
      <c r="C46" t="s">
        <v>268</v>
      </c>
      <c r="D46">
        <v>20</v>
      </c>
      <c r="E46">
        <v>2810</v>
      </c>
      <c r="F46">
        <v>71700</v>
      </c>
      <c r="G46">
        <v>503</v>
      </c>
      <c r="H46" s="132" t="s">
        <v>269</v>
      </c>
      <c r="I46" s="132" t="s">
        <v>261</v>
      </c>
    </row>
    <row r="47" spans="2:9" x14ac:dyDescent="0.25">
      <c r="B47" t="s">
        <v>270</v>
      </c>
      <c r="C47" t="s">
        <v>243</v>
      </c>
      <c r="D47">
        <v>-173</v>
      </c>
      <c r="E47">
        <v>2800</v>
      </c>
      <c r="F47">
        <f>7.24*10^4</f>
        <v>72400</v>
      </c>
      <c r="G47">
        <v>486.5</v>
      </c>
      <c r="H47" s="132" t="s">
        <v>267</v>
      </c>
      <c r="I47" s="132" t="s">
        <v>261</v>
      </c>
    </row>
    <row r="48" spans="2:9" x14ac:dyDescent="0.25">
      <c r="B48" t="s">
        <v>271</v>
      </c>
      <c r="C48" t="s">
        <v>272</v>
      </c>
      <c r="D48">
        <v>20</v>
      </c>
      <c r="E48">
        <v>3100</v>
      </c>
      <c r="F48">
        <f>7.24*10^4</f>
        <v>72400</v>
      </c>
      <c r="G48">
        <v>290</v>
      </c>
      <c r="H48" s="132" t="s">
        <v>273</v>
      </c>
      <c r="I48" s="132" t="s">
        <v>261</v>
      </c>
    </row>
    <row r="49" spans="2:9" ht="15.75" thickBot="1" x14ac:dyDescent="0.3"/>
    <row r="50" spans="2:9" ht="15.75" thickBot="1" x14ac:dyDescent="0.3">
      <c r="B50" s="161" t="s">
        <v>274</v>
      </c>
      <c r="C50" s="167"/>
      <c r="D50" s="167"/>
      <c r="E50" s="167"/>
      <c r="F50" s="167"/>
      <c r="G50" s="167"/>
      <c r="H50" s="167"/>
      <c r="I50" s="168"/>
    </row>
    <row r="51" spans="2:9" ht="18.75" x14ac:dyDescent="0.35">
      <c r="B51" s="12" t="s">
        <v>166</v>
      </c>
      <c r="C51" s="12" t="s">
        <v>167</v>
      </c>
      <c r="D51" s="12" t="s">
        <v>7</v>
      </c>
      <c r="E51" s="12" t="s">
        <v>275</v>
      </c>
      <c r="F51" s="12" t="s">
        <v>276</v>
      </c>
      <c r="G51" s="12" t="s">
        <v>277</v>
      </c>
      <c r="H51" s="12" t="s">
        <v>278</v>
      </c>
      <c r="I51" s="121" t="s">
        <v>279</v>
      </c>
    </row>
    <row r="52" spans="2:9" x14ac:dyDescent="0.25">
      <c r="B52" s="45">
        <v>1</v>
      </c>
      <c r="C52" s="45" t="s">
        <v>173</v>
      </c>
      <c r="D52" s="133" t="e">
        <f>VLOOKUP(Table10[[#This Row],[Location]],[2]!External_Loads[[Location]:[Height (m)]],2,FALSE)</f>
        <v>#REF!</v>
      </c>
      <c r="E52" s="134" t="e">
        <f>PI()*($C$3*2)*Table10[[#This Row],[Height]]*0.0005</f>
        <v>#REF!</v>
      </c>
      <c r="F52" s="135" t="e">
        <f>Table10[[#This Row],[Vwall (m3)]]*VLOOKUP(VLOOKUP(Table10[[#This Row],[Location]],Table37[[Location]:[Material]],2,FALSE),Table7[[Material]:[Source]],3,FALSE)</f>
        <v>#REF!</v>
      </c>
      <c r="G52" s="136">
        <f>SUM('[2]HW10 and HW11'!E16:E17)</f>
        <v>32.525390896124996</v>
      </c>
      <c r="H52" s="136" t="e">
        <f>Table10[[#This Row],[Mwall (kg)]]+'[2]HW10 and HW11'!E17</f>
        <v>#REF!</v>
      </c>
      <c r="I52" s="137" t="e">
        <f>Table10[[#This Row],[Mrevised (kg)]]-Table10[[#This Row],[Mprevious (kg)]]</f>
        <v>#REF!</v>
      </c>
    </row>
    <row r="53" spans="2:9" x14ac:dyDescent="0.25">
      <c r="B53" s="45">
        <v>2</v>
      </c>
      <c r="C53" s="45" t="s">
        <v>175</v>
      </c>
      <c r="D53" s="133" t="e">
        <f>VLOOKUP(Table10[[#This Row],[Location]],[2]!External_Loads[[Location]:[Height (m)]],2,FALSE)</f>
        <v>#REF!</v>
      </c>
      <c r="E53" s="134" t="e">
        <f>PI()*($C$3*2)*Table10[[#This Row],[Height]]*0.0005</f>
        <v>#REF!</v>
      </c>
      <c r="F53" s="135" t="e">
        <f>Table10[[#This Row],[Vwall (m3)]]*VLOOKUP(VLOOKUP(Table10[[#This Row],[Location]],Table37[[Location]:[Material]],2,FALSE),Table7[[Material]:[Source]],3,FALSE)</f>
        <v>#REF!</v>
      </c>
      <c r="G53" s="136">
        <f>SUM('[2]HW10 and HW11'!D19)</f>
        <v>0.22500000000000001</v>
      </c>
      <c r="H53" s="136" t="e">
        <f>Table10[[#This Row],[Mwall (kg)]]</f>
        <v>#REF!</v>
      </c>
      <c r="I53" s="137" t="e">
        <f>Table10[[#This Row],[Mrevised (kg)]]-Table10[[#This Row],[Mprevious (kg)]]</f>
        <v>#REF!</v>
      </c>
    </row>
    <row r="54" spans="2:9" x14ac:dyDescent="0.25">
      <c r="B54" s="45">
        <v>3</v>
      </c>
      <c r="C54" s="45" t="s">
        <v>176</v>
      </c>
      <c r="D54" s="133" t="e">
        <f>VLOOKUP(Table10[[#This Row],[Location]],[2]!External_Loads[[Location]:[Height (m)]],2,FALSE)</f>
        <v>#REF!</v>
      </c>
      <c r="E54" s="134" t="e">
        <f>PI()*($C$3*2)*Table10[[#This Row],[Height]]*0.0005</f>
        <v>#REF!</v>
      </c>
      <c r="F54" s="135" t="e">
        <f>Table10[[#This Row],[Vwall (m3)]]*VLOOKUP(VLOOKUP(Table10[[#This Row],[Location]],Table37[[Location]:[Material]],2,FALSE),Table7[[Material]:[Source]],3,FALSE)</f>
        <v>#REF!</v>
      </c>
      <c r="G54" s="136">
        <v>354.67267299411566</v>
      </c>
      <c r="H54" s="136">
        <v>384.9711816868172</v>
      </c>
      <c r="I54" s="137">
        <f>Table10[[#This Row],[Mrevised (kg)]]-Table10[[#This Row],[Mprevious (kg)]]</f>
        <v>30.298508692701546</v>
      </c>
    </row>
    <row r="55" spans="2:9" x14ac:dyDescent="0.25">
      <c r="B55" s="45">
        <v>4</v>
      </c>
      <c r="C55" s="45" t="s">
        <v>177</v>
      </c>
      <c r="D55" s="133" t="e">
        <f>VLOOKUP(Table10[[#This Row],[Location]],[2]!External_Loads[[Location]:[Height (m)]],2,FALSE)</f>
        <v>#REF!</v>
      </c>
      <c r="E55" s="134" t="e">
        <f>PI()*($C$3^2)*Table10[[#This Row],[Height]]*VLOOKUP(Table10[[#This Row],[Location]],Table37910[[Location]:[MS]],3,FALSE)</f>
        <v>#REF!</v>
      </c>
      <c r="F55" s="135" t="e">
        <f>Table10[[#This Row],[Vwall (m3)]]*VLOOKUP(VLOOKUP(Table10[[#This Row],[Location]],Table37[[Location]:[Material]],2,FALSE),Table7[[Material]:[Source]],3,FALSE)</f>
        <v>#REF!</v>
      </c>
      <c r="G55" s="136">
        <v>1234.0211358099173</v>
      </c>
      <c r="H55" s="136">
        <v>1238.8526669423786</v>
      </c>
      <c r="I55" s="137">
        <f>Table10[[#This Row],[Mrevised (kg)]]-Table10[[#This Row],[Mprevious (kg)]]</f>
        <v>4.8315311324613504</v>
      </c>
    </row>
    <row r="56" spans="2:9" x14ac:dyDescent="0.25">
      <c r="B56" s="45">
        <v>5</v>
      </c>
      <c r="C56" s="45" t="s">
        <v>178</v>
      </c>
      <c r="D56" s="133" t="e">
        <f>VLOOKUP(Table10[[#This Row],[Location]],[2]!External_Loads[[Location]:[Height (m)]],2,FALSE)</f>
        <v>#REF!</v>
      </c>
      <c r="E56" s="134" t="e">
        <f>(PI()*($C$3*2)*Table10[[#This Row],[Height]]*E12)+((4/3)*PI()*($C$3^3)*E12)</f>
        <v>#REF!</v>
      </c>
      <c r="F56" s="135" t="e">
        <f>Table10[[#This Row],[Vwall (m3)]]*VLOOKUP(VLOOKUP(Table10[[#This Row],[Location]],Table37[[Location]:[Material]],2,FALSE),Table7[[Material]:[Source]],3,FALSE)</f>
        <v>#REF!</v>
      </c>
      <c r="G56" s="136">
        <v>167.85952177691374</v>
      </c>
      <c r="H56" s="136">
        <v>182.80131095821554</v>
      </c>
      <c r="I56" s="137">
        <f>Table10[[#This Row],[Mrevised (kg)]]-Table10[[#This Row],[Mprevious (kg)]]</f>
        <v>14.9417891813018</v>
      </c>
    </row>
    <row r="57" spans="2:9" x14ac:dyDescent="0.25">
      <c r="B57" s="48">
        <v>6</v>
      </c>
      <c r="C57" s="48" t="s">
        <v>179</v>
      </c>
      <c r="D57" s="138" t="e">
        <f>VLOOKUP(Table10[[#This Row],[Location]],[2]!External_Loads[[Location]:[Height (m)]],2,FALSE)</f>
        <v>#REF!</v>
      </c>
      <c r="E57" s="139" t="e">
        <f>PI()*($C$4*2)*Table10[[#This Row],[Height]]*0.0005</f>
        <v>#REF!</v>
      </c>
      <c r="F57" s="140" t="e">
        <f>Table10[[#This Row],[Vwall (m3)]]*VLOOKUP(VLOOKUP(Table10[[#This Row],[Location]],Table37[[Location]:[Material]],2,FALSE),Table7[[Material]:[Source]],3,FALSE)</f>
        <v>#REF!</v>
      </c>
      <c r="G57" s="141">
        <v>54.708686031026886</v>
      </c>
      <c r="H57" s="141">
        <v>32.141698785986001</v>
      </c>
      <c r="I57" s="142">
        <f>Table10[[#This Row],[Mrevised (kg)]]-Table10[[#This Row],[Mprevious (kg)]]</f>
        <v>-22.566987245040885</v>
      </c>
    </row>
    <row r="58" spans="2:9" x14ac:dyDescent="0.25">
      <c r="B58" s="48">
        <v>7</v>
      </c>
      <c r="C58" s="48" t="s">
        <v>280</v>
      </c>
      <c r="D58" s="138" t="e">
        <f>VLOOKUP(Table10[[#This Row],[Location]],[2]!External_Loads[[Location]:[Height (m)]],2,FALSE)</f>
        <v>#REF!</v>
      </c>
      <c r="E58" s="139" t="e">
        <f>PI()*($C$4*2)*Table10[[#This Row],[Height]]*0.0005</f>
        <v>#REF!</v>
      </c>
      <c r="F58" s="140" t="e">
        <f>Table10[[#This Row],[Vwall (m3)]]*VLOOKUP(VLOOKUP(Table10[[#This Row],[Location]],Table37[[Location]:[Material]],2,FALSE),Table7[[Material]:[Source]],3,FALSE)</f>
        <v>#REF!</v>
      </c>
      <c r="G58" s="141">
        <v>346.63950605517482</v>
      </c>
      <c r="H58" s="141">
        <v>314.91515351234841</v>
      </c>
      <c r="I58" s="142">
        <f>Table10[[#This Row],[Mrevised (kg)]]-Table10[[#This Row],[Mprevious (kg)]]</f>
        <v>-31.724352542826409</v>
      </c>
    </row>
    <row r="59" spans="2:9" x14ac:dyDescent="0.25">
      <c r="B59" s="48">
        <v>8</v>
      </c>
      <c r="C59" s="48" t="s">
        <v>281</v>
      </c>
      <c r="D59" s="140" t="e">
        <f>VLOOKUP(Table10[[#This Row],[Location]],[2]!External_Loads[[Location]:[Height (m)]],2,FALSE)</f>
        <v>#REF!</v>
      </c>
      <c r="E59" s="139" t="e">
        <f>PI()*($C$4*2)*Table10[[#This Row],[Height]]*0.0005</f>
        <v>#REF!</v>
      </c>
      <c r="F59" s="140" t="e">
        <f>Table10[[#This Row],[Vwall (m3)]]*VLOOKUP(VLOOKUP(Table10[[#This Row],[Location]],Table37[[Location]:[Material]],2,FALSE),Table7[[Material]:[Source]],3,FALSE)</f>
        <v>#REF!</v>
      </c>
      <c r="G59" s="141">
        <v>4425.5754608428488</v>
      </c>
      <c r="H59" s="141">
        <v>4383.5059571583843</v>
      </c>
      <c r="I59" s="142">
        <f>Table10[[#This Row],[Mrevised (kg)]]-Table10[[#This Row],[Mprevious (kg)]]</f>
        <v>-42.069503684464507</v>
      </c>
    </row>
    <row r="60" spans="2:9" x14ac:dyDescent="0.25">
      <c r="B60" s="48">
        <v>9</v>
      </c>
      <c r="C60" s="48" t="s">
        <v>180</v>
      </c>
      <c r="D60" s="138" t="e">
        <f>VLOOKUP(Table10[[#This Row],[Location]],[2]!External_Loads[[Location]:[Height (m)]],2,FALSE)</f>
        <v>#REF!</v>
      </c>
      <c r="E60" s="139" t="e">
        <f>PI()*($C$4*2)*Table10[[#This Row],[Height]]*0.0005</f>
        <v>#REF!</v>
      </c>
      <c r="F60" s="140" t="e">
        <f>Table10[[#This Row],[Vwall (m3)]]*VLOOKUP(VLOOKUP(Table10[[#This Row],[Location]],Table37[[Location]:[Material]],2,FALSE),Table7[[Material]:[Source]],3,FALSE)</f>
        <v>#REF!</v>
      </c>
      <c r="G60" s="141">
        <v>42.305472071403557</v>
      </c>
      <c r="H60" s="141" t="e">
        <f>Table10[[#This Row],[Mwall (kg)]]</f>
        <v>#REF!</v>
      </c>
      <c r="I60" s="142" t="e">
        <f>Table10[[#This Row],[Mrevised (kg)]]-Table10[[#This Row],[Mprevious (kg)]]</f>
        <v>#REF!</v>
      </c>
    </row>
    <row r="61" spans="2:9" x14ac:dyDescent="0.25">
      <c r="B61" s="48">
        <v>10</v>
      </c>
      <c r="C61" s="48" t="s">
        <v>181</v>
      </c>
      <c r="D61" s="140" t="e">
        <f>VLOOKUP(Table10[[#This Row],[Location]],[2]!External_Loads[[Location]:[Height (m)]],2,FALSE)</f>
        <v>#REF!</v>
      </c>
      <c r="E61" s="139" t="e">
        <f>PI()*($C$4*2)*Table10[[#This Row],[Height]]*0.0005</f>
        <v>#REF!</v>
      </c>
      <c r="F61" s="140" t="e">
        <f>Table10[[#This Row],[Vwall (m3)]]*VLOOKUP(VLOOKUP(Table10[[#This Row],[Location]],Table37[[Location]:[Material]],2,FALSE),Table7[[Material]:[Source]],3,FALSE)</f>
        <v>#REF!</v>
      </c>
      <c r="G61" s="141">
        <v>1209.0431455989853</v>
      </c>
      <c r="H61" s="141">
        <v>1249.3110257721289</v>
      </c>
      <c r="I61" s="142">
        <f>Table10[[#This Row],[Mrevised (kg)]]-Table10[[#This Row],[Mprevious (kg)]]</f>
        <v>40.267880173143567</v>
      </c>
    </row>
    <row r="62" spans="2:9" x14ac:dyDescent="0.25">
      <c r="B62" s="48">
        <v>11</v>
      </c>
      <c r="C62" s="48" t="s">
        <v>182</v>
      </c>
      <c r="D62" s="138" t="e">
        <f>VLOOKUP(Table10[[#This Row],[Location]],[2]!External_Loads[[Location]:[Height (m)]],2,FALSE)</f>
        <v>#REF!</v>
      </c>
      <c r="E62" s="139" t="e">
        <f>PI()*($C$4*2)*Table10[[#This Row],[Height]]*0.0005</f>
        <v>#REF!</v>
      </c>
      <c r="F62" s="140" t="e">
        <f>Table10[[#This Row],[Vwall (m3)]]*VLOOKUP(VLOOKUP(Table10[[#This Row],[Location]],Table37[[Location]:[Material]],2,FALSE),Table7[[Material]:[Source]],3,FALSE)</f>
        <v>#REF!</v>
      </c>
      <c r="G62" s="141">
        <v>257.59244442734587</v>
      </c>
      <c r="H62" s="141">
        <v>216.53866476770034</v>
      </c>
      <c r="I62" s="142">
        <f>Table10[[#This Row],[Mrevised (kg)]]-Table10[[#This Row],[Mprevious (kg)]]</f>
        <v>-41.053779659645528</v>
      </c>
    </row>
    <row r="63" spans="2:9" x14ac:dyDescent="0.25">
      <c r="H63" s="143" t="s">
        <v>282</v>
      </c>
      <c r="I63" s="144" t="e">
        <f>SUBTOTAL(109,Table10[ΔM (kg)])</f>
        <v>#REF!</v>
      </c>
    </row>
  </sheetData>
  <mergeCells count="7">
    <mergeCell ref="B50:I50"/>
    <mergeCell ref="B2:C2"/>
    <mergeCell ref="E2:F2"/>
    <mergeCell ref="B6:S6"/>
    <mergeCell ref="B18:S18"/>
    <mergeCell ref="B30:I30"/>
    <mergeCell ref="B39:I39"/>
  </mergeCells>
  <hyperlinks>
    <hyperlink ref="H41" r:id="rId1" xr:uid="{5E0996A7-AD10-46C5-B966-13A13D016FFD}"/>
    <hyperlink ref="H42" r:id="rId2" xr:uid="{0779483F-5A3E-4735-9BF4-CB46D807E77F}"/>
    <hyperlink ref="H43" r:id="rId3" xr:uid="{D3D16DF4-7C51-42F3-8C3D-2D029F6F1CDA}"/>
    <hyperlink ref="I41" r:id="rId4" xr:uid="{0554858A-5F1F-4AC6-9115-EE4229A5E1B6}"/>
    <hyperlink ref="I42" r:id="rId5" xr:uid="{7F1836C5-3A2A-41E7-A2AE-128FBE335297}"/>
    <hyperlink ref="I43" r:id="rId6" xr:uid="{8D1408E9-B102-4E74-9C97-FE75DB8F2553}"/>
    <hyperlink ref="I45" r:id="rId7" xr:uid="{2B074D5F-8640-446C-91C9-CEFD8865EF65}"/>
    <hyperlink ref="H45" r:id="rId8" xr:uid="{2FA09D59-38DD-449F-ACFA-772BDC1C7583}"/>
    <hyperlink ref="I44" r:id="rId9" xr:uid="{80D2AA55-8F9B-42DF-8A71-6C8C3034A82B}"/>
    <hyperlink ref="H44" r:id="rId10" xr:uid="{95EC8508-BB03-4FCA-BE5D-11C0183A9CCF}"/>
    <hyperlink ref="H46" r:id="rId11" xr:uid="{A365F595-F81C-4C29-92D6-F4A95BE25CC2}"/>
    <hyperlink ref="I46" r:id="rId12" xr:uid="{9A6A8A7B-3FCC-4700-979F-88B03864A437}"/>
    <hyperlink ref="H48" r:id="rId13" xr:uid="{5B83955B-FD84-40E9-AC35-D63C784BB38A}"/>
    <hyperlink ref="I48" r:id="rId14" xr:uid="{DA690DE4-059F-4A00-A32D-5A67BC07EDD9}"/>
    <hyperlink ref="I47" r:id="rId15" xr:uid="{7E85465D-87C5-4374-9040-F9381647426F}"/>
    <hyperlink ref="H47" r:id="rId16" xr:uid="{1D40F2FF-C863-4469-99C5-F9F7B6977566}"/>
  </hyperlinks>
  <pageMargins left="0.7" right="0.7" top="0.75" bottom="0.75" header="0.3" footer="0.3"/>
  <tableParts count="5"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CM and J0 for ACS</vt:lpstr>
      <vt:lpstr>HW10 and HW11</vt:lpstr>
      <vt:lpstr>HW9 - CM and J0</vt:lpstr>
      <vt:lpstr>Stresses</vt:lpstr>
      <vt:lpstr>airloadcone</vt:lpstr>
      <vt:lpstr>airloadskirt</vt:lpstr>
      <vt:lpstr>alpha</vt:lpstr>
      <vt:lpstr>areacone</vt:lpstr>
      <vt:lpstr>areaskirt</vt:lpstr>
      <vt:lpstr>axialcone</vt:lpstr>
      <vt:lpstr>axialskirt</vt:lpstr>
      <vt:lpstr>Cd</vt:lpstr>
      <vt:lpstr>cmmaxq</vt:lpstr>
      <vt:lpstr>cnalphacone</vt:lpstr>
      <vt:lpstr>cnalphaskirt</vt:lpstr>
      <vt:lpstr>deltatvc</vt:lpstr>
      <vt:lpstr>dragcone</vt:lpstr>
      <vt:lpstr>dragskirt</vt:lpstr>
      <vt:lpstr>g0</vt:lpstr>
      <vt:lpstr>hmaxq</vt:lpstr>
      <vt:lpstr>htotal</vt:lpstr>
      <vt:lpstr>I_sp1</vt:lpstr>
      <vt:lpstr>I_sp2</vt:lpstr>
      <vt:lpstr>mass1</vt:lpstr>
      <vt:lpstr>mass2</vt:lpstr>
      <vt:lpstr>massmaxq</vt:lpstr>
      <vt:lpstr>mdotmaxq</vt:lpstr>
      <vt:lpstr>mprop_left</vt:lpstr>
      <vt:lpstr>nmax</vt:lpstr>
      <vt:lpstr>normalcone</vt:lpstr>
      <vt:lpstr>normalskirt</vt:lpstr>
      <vt:lpstr>nzmaxq</vt:lpstr>
      <vt:lpstr>nzmaxqtest</vt:lpstr>
      <vt:lpstr>qmaxq</vt:lpstr>
      <vt:lpstr>radius1</vt:lpstr>
      <vt:lpstr>radius2</vt:lpstr>
      <vt:lpstr>reqtrim</vt:lpstr>
      <vt:lpstr>rho</vt:lpstr>
      <vt:lpstr>rhomaxq</vt:lpstr>
      <vt:lpstr>shearcone</vt:lpstr>
      <vt:lpstr>shearskirt</vt:lpstr>
      <vt:lpstr>Struct1</vt:lpstr>
      <vt:lpstr>Struct2</vt:lpstr>
      <vt:lpstr>Thrust</vt:lpstr>
      <vt:lpstr>Thrustmaxq</vt:lpstr>
      <vt:lpstr>ThrustW1</vt:lpstr>
      <vt:lpstr>ThrustW2</vt:lpstr>
      <vt:lpstr>Thurst</vt:lpstr>
      <vt:lpstr>timemaxq</vt:lpstr>
      <vt:lpstr>Vloss</vt:lpstr>
      <vt:lpstr>Vloss1</vt:lpstr>
      <vt:lpstr>Vloss2</vt:lpstr>
      <vt:lpstr>vmaxq</vt:lpstr>
      <vt:lpstr>vwindmaxq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Russell</cp:lastModifiedBy>
  <cp:revision/>
  <dcterms:created xsi:type="dcterms:W3CDTF">2020-10-16T19:44:22Z</dcterms:created>
  <dcterms:modified xsi:type="dcterms:W3CDTF">2021-03-20T01:35:51Z</dcterms:modified>
  <cp:category/>
  <cp:contentStatus/>
</cp:coreProperties>
</file>