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1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ivecsupomona-my.sharepoint.com/personal/vpsheinkman_cpp_edu/Documents/ARO 4711L/Senior Design/Coding Folder/Excel/Ground and Wind Loads/"/>
    </mc:Choice>
  </mc:AlternateContent>
  <xr:revisionPtr revIDLastSave="832" documentId="13_ncr:1_{01B36A90-C5DC-4BD2-A6FE-4394F7CCA889}" xr6:coauthVersionLast="46" xr6:coauthVersionMax="46" xr10:uidLastSave="{D36B378D-531F-40CD-A4F7-B56C02034678}"/>
  <bookViews>
    <workbookView xWindow="-120" yWindow="-120" windowWidth="29040" windowHeight="15840" firstSheet="1" activeTab="1" xr2:uid="{00000000-000D-0000-FFFF-FFFF00000000}"/>
  </bookViews>
  <sheets>
    <sheet name="CM and J0 for ACS" sheetId="6" r:id="rId1"/>
    <sheet name="HW10 and HW11" sheetId="1" r:id="rId2"/>
    <sheet name="HW9 - CM and J0" sheetId="5" r:id="rId3"/>
    <sheet name="Stresses" sheetId="8" r:id="rId4"/>
  </sheets>
  <externalReferences>
    <externalReference r:id="rId5"/>
  </externalReferences>
  <definedNames>
    <definedName name="airloadcone">'HW10 and HW11'!$S$9</definedName>
    <definedName name="airloadskirt">'HW10 and HW11'!$T$9</definedName>
    <definedName name="alpha" localSheetId="3">'[1]HW10 and HW11'!$M$6</definedName>
    <definedName name="alpha">'HW10 and HW11'!$M$5</definedName>
    <definedName name="areacone">'HW10 and HW11'!$S$4</definedName>
    <definedName name="areaskirt" localSheetId="3">'[1]HW10 and HW11'!$T$5</definedName>
    <definedName name="areaskirt">'HW10 and HW11'!$T$4</definedName>
    <definedName name="axialcone" localSheetId="3">'[1]HW10 and HW11'!$S$9</definedName>
    <definedName name="axialcone">'HW10 and HW11'!$S$8</definedName>
    <definedName name="axialskirt" localSheetId="3">'[1]HW10 and HW11'!$T$9</definedName>
    <definedName name="axialskirt">'HW10 and HW11'!$T$8</definedName>
    <definedName name="Cd" localSheetId="3">'[1]HW10 and HW11'!$C$7</definedName>
    <definedName name="Cd">'HW10 and HW11'!$C$6</definedName>
    <definedName name="cmmaxq" localSheetId="3">'[1]HW10 and HW11'!$P$6</definedName>
    <definedName name="cmmaxq">'HW10 and HW11'!$P$5</definedName>
    <definedName name="cnalpha" localSheetId="3">'[1]HW10 and HW11'!#REF!</definedName>
    <definedName name="cnalpha">'HW10 and HW11'!#REF!</definedName>
    <definedName name="cnalphacone">'HW10 and HW11'!$S$3</definedName>
    <definedName name="cnalphaskirt">'HW10 and HW11'!$T$3</definedName>
    <definedName name="deltatvc" localSheetId="3">'HW10 and HW11'!$M$7</definedName>
    <definedName name="deltatvc">'HW10 and HW11'!$M$7</definedName>
    <definedName name="dragcone">'HW10 and HW11'!$S$6</definedName>
    <definedName name="dragskirt">'HW10 and HW11'!$T$6</definedName>
    <definedName name="g0" localSheetId="3">'[1]HW10 and HW11'!$C$8</definedName>
    <definedName name="g0">'HW10 and HW11'!$C$7</definedName>
    <definedName name="g0maxq" localSheetId="3">'[1]HW10 and HW11'!#REF!</definedName>
    <definedName name="g0maxq">'HW10 and HW11'!#REF!</definedName>
    <definedName name="hfin" localSheetId="3">'[1]HW10 and HW11'!#REF!</definedName>
    <definedName name="hfin">'HW10 and HW11'!#REF!</definedName>
    <definedName name="hmaxq" localSheetId="3">'HW10 and HW11'!$J$4</definedName>
    <definedName name="hmaxq">'HW10 and HW11'!$J$4</definedName>
    <definedName name="htotal">'HW10 and HW11'!$C$8</definedName>
    <definedName name="I_sp1" localSheetId="3">'HW10 and HW11'!#REF!</definedName>
    <definedName name="I_sp1">'HW10 and HW11'!#REF!</definedName>
    <definedName name="I_sp2">'HW10 and HW11'!$G$7</definedName>
    <definedName name="lfin" localSheetId="3">'[1]HW10 and HW11'!#REF!</definedName>
    <definedName name="lfin">'HW10 and HW11'!#REF!</definedName>
    <definedName name="machmaxq" localSheetId="3">'HW10 and HW11'!#REF!</definedName>
    <definedName name="machmaxq">'HW10 and HW11'!#REF!</definedName>
    <definedName name="mass1" localSheetId="3">'[1]HW10 and HW11'!$F$4</definedName>
    <definedName name="mass1">'HW10 and HW11'!$F$3</definedName>
    <definedName name="mass2">'HW10 and HW11'!$G$3</definedName>
    <definedName name="massmaxq" localSheetId="3">'[1]HW10 and HW11'!$J$9</definedName>
    <definedName name="massmaxq">'HW10 and HW11'!$J$7</definedName>
    <definedName name="mdotmaxq">'HW10 and HW11'!$P$4</definedName>
    <definedName name="mprop_left">'HW10 and HW11'!$P$3</definedName>
    <definedName name="nmax" localSheetId="3">'[1]HW10 and HW11'!$J$11</definedName>
    <definedName name="nmax">'HW10 and HW11'!$J$9</definedName>
    <definedName name="normalcone">'HW10 and HW11'!$S$5</definedName>
    <definedName name="normalskirt">'HW10 and HW11'!$T$5</definedName>
    <definedName name="nx" localSheetId="3">'[1]HW10 and HW11'!#REF!</definedName>
    <definedName name="nx">'HW10 and HW11'!#REF!</definedName>
    <definedName name="nz" localSheetId="3">'[1]HW10 and HW11'!#REF!</definedName>
    <definedName name="nz">'HW10 and HW11'!#REF!</definedName>
    <definedName name="nzmaxq" localSheetId="3">'[1]HW10 and HW11'!$M$9</definedName>
    <definedName name="nzmaxq">'HW10 and HW11'!$M$8</definedName>
    <definedName name="nzmaxqtest">'HW10 and HW11'!$P$7</definedName>
    <definedName name="qmaxq" localSheetId="3">'[1]HW10 and HW11'!$M$4</definedName>
    <definedName name="qmaxq">'HW10 and HW11'!$M$3</definedName>
    <definedName name="radius1">'HW10 and HW11'!$B$4</definedName>
    <definedName name="radius2">'HW10 and HW11'!$B$3</definedName>
    <definedName name="reqtrim" localSheetId="3">'[1]HW10 and HW11'!$M$7</definedName>
    <definedName name="reqtrim">'HW10 and HW11'!$M$6</definedName>
    <definedName name="rho" localSheetId="3">'[1]HW10 and HW11'!$C$6</definedName>
    <definedName name="rho">'HW10 and HW11'!$C$5</definedName>
    <definedName name="rhomaxq" localSheetId="3">'HW10 and HW11'!$J$6</definedName>
    <definedName name="rhomaxq">'HW10 and HW11'!$J$6</definedName>
    <definedName name="shearcone" localSheetId="3">'[1]HW10 and HW11'!$S$8</definedName>
    <definedName name="shearcone">'HW10 and HW11'!$S$7</definedName>
    <definedName name="shearskirt" localSheetId="3">'[1]HW10 and HW11'!$T$8</definedName>
    <definedName name="shearskirt">'HW10 and HW11'!$T$7</definedName>
    <definedName name="solver_eng" localSheetId="3" hidden="1">1</definedName>
    <definedName name="solver_neg" localSheetId="3" hidden="1">1</definedName>
    <definedName name="solver_num" localSheetId="3" hidden="1">0</definedName>
    <definedName name="solver_opt" localSheetId="3" hidden="1">Stresses!$R$10</definedName>
    <definedName name="solver_typ" localSheetId="3" hidden="1">1</definedName>
    <definedName name="solver_val" localSheetId="3" hidden="1">0</definedName>
    <definedName name="solver_ver" localSheetId="3" hidden="1">3</definedName>
    <definedName name="Struct1" localSheetId="3">'HW10 and HW11'!$X$5</definedName>
    <definedName name="Struct1">'HW10 and HW11'!$X$5</definedName>
    <definedName name="Struct2">'HW10 and HW11'!$G$8</definedName>
    <definedName name="Td">'HW10 and HW11'!$X$3</definedName>
    <definedName name="Thrust">'HW10 and HW11'!$G$5</definedName>
    <definedName name="Thrustmaxq" localSheetId="3">'[1]HW10 and HW11'!$J$10</definedName>
    <definedName name="Thrustmaxq">'HW10 and HW11'!$J$8</definedName>
    <definedName name="ThrustW1">'HW10 and HW11'!$F$4</definedName>
    <definedName name="ThrustW2">'HW10 and HW11'!$G$4</definedName>
    <definedName name="Thurst">'HW10 and HW11'!$X$3</definedName>
    <definedName name="timemaxq" localSheetId="3">'HW10 and HW11'!$J$3</definedName>
    <definedName name="timemaxq">'HW10 and HW11'!$J$3</definedName>
    <definedName name="tmaxq" localSheetId="3">'[1]HW10 and HW11'!#REF!</definedName>
    <definedName name="tmaxq">'HW10 and HW11'!#REF!</definedName>
    <definedName name="TW" localSheetId="3">'[1]HW10 and HW11'!#REF!</definedName>
    <definedName name="TW">'HW10 and HW11'!#REF!</definedName>
    <definedName name="v" localSheetId="3">'[1]HW10 and HW11'!#REF!</definedName>
    <definedName name="v">'HW10 and HW11'!#REF!</definedName>
    <definedName name="Vloss">'HW10 and HW11'!$F$9</definedName>
    <definedName name="Vloss1">'HW10 and HW11'!$F$9</definedName>
    <definedName name="Vloss2">'HW10 and HW11'!$G$9</definedName>
    <definedName name="vmaxq" localSheetId="3">'[1]HW10 and HW11'!$J$6</definedName>
    <definedName name="vmaxq">'HW10 and HW11'!$J$5</definedName>
    <definedName name="vw" localSheetId="3">'[1]HW10 and HW11'!#REF!</definedName>
    <definedName name="vw">'HW10 and HW11'!#REF!</definedName>
    <definedName name="vwindmaxq" localSheetId="3">'[1]HW10 and HW11'!$M$5</definedName>
    <definedName name="vwindmaxq">'HW10 and HW11'!$M$4</definedName>
    <definedName name="wfin" localSheetId="3">'[1]HW10 and HW11'!#REF!</definedName>
    <definedName name="wfin">'HW10 and HW11'!#REF!</definedName>
  </definedName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7" i="1" l="1"/>
  <c r="S11" i="8"/>
  <c r="S12" i="8"/>
  <c r="S13" i="8"/>
  <c r="S14" i="8"/>
  <c r="S15" i="8"/>
  <c r="S16" i="8"/>
  <c r="S17" i="8"/>
  <c r="S18" i="8"/>
  <c r="S8" i="8"/>
  <c r="S9" i="8"/>
  <c r="R8" i="8"/>
  <c r="R9" i="8"/>
  <c r="R10" i="8"/>
  <c r="R11" i="8"/>
  <c r="R12" i="8"/>
  <c r="R13" i="8"/>
  <c r="R14" i="8"/>
  <c r="R15" i="8"/>
  <c r="R16" i="8"/>
  <c r="R18" i="8"/>
  <c r="O11" i="8"/>
  <c r="O12" i="8"/>
  <c r="O13" i="8"/>
  <c r="O14" i="8"/>
  <c r="O15" i="8"/>
  <c r="O16" i="8"/>
  <c r="O17" i="8"/>
  <c r="O18" i="8"/>
  <c r="O8" i="8"/>
  <c r="O9" i="8"/>
  <c r="P11" i="8"/>
  <c r="P10" i="8"/>
  <c r="J10" i="8"/>
  <c r="K13" i="8"/>
  <c r="N13" i="8" s="1"/>
  <c r="P13" i="8" s="1"/>
  <c r="Q13" i="8" s="1"/>
  <c r="K9" i="8"/>
  <c r="N9" i="8" s="1"/>
  <c r="P9" i="8" s="1"/>
  <c r="Q9" i="8" s="1"/>
  <c r="K12" i="8"/>
  <c r="N12" i="8" s="1"/>
  <c r="P12" i="8" s="1"/>
  <c r="Q12" i="8" s="1"/>
  <c r="K14" i="8"/>
  <c r="N14" i="8" s="1"/>
  <c r="P14" i="8" s="1"/>
  <c r="Q14" i="8" s="1"/>
  <c r="K15" i="8"/>
  <c r="K16" i="8"/>
  <c r="N16" i="8" s="1"/>
  <c r="P16" i="8" s="1"/>
  <c r="Q16" i="8" s="1"/>
  <c r="K17" i="8"/>
  <c r="K18" i="8"/>
  <c r="N18" i="8" s="1"/>
  <c r="P18" i="8" s="1"/>
  <c r="Q18" i="8" s="1"/>
  <c r="K8" i="8"/>
  <c r="N8" i="8" s="1"/>
  <c r="P8" i="8" s="1"/>
  <c r="Q8" i="8" s="1"/>
  <c r="K10" i="8"/>
  <c r="K11" i="8"/>
  <c r="N17" i="8"/>
  <c r="P17" i="8" s="1"/>
  <c r="Q17" i="8" s="1"/>
  <c r="N15" i="8"/>
  <c r="P15" i="8" s="1"/>
  <c r="Q15" i="8" s="1"/>
  <c r="N11" i="8"/>
  <c r="I10" i="8"/>
  <c r="M10" i="8"/>
  <c r="L10" i="8"/>
  <c r="L8" i="8"/>
  <c r="L9" i="8"/>
  <c r="L11" i="8"/>
  <c r="L12" i="8"/>
  <c r="L13" i="8"/>
  <c r="L14" i="8"/>
  <c r="L15" i="8"/>
  <c r="L16" i="8"/>
  <c r="L17" i="8"/>
  <c r="L18" i="8"/>
  <c r="I8" i="8"/>
  <c r="I9" i="8"/>
  <c r="I11" i="8"/>
  <c r="I12" i="8"/>
  <c r="I13" i="8"/>
  <c r="I14" i="8"/>
  <c r="I15" i="8"/>
  <c r="I16" i="8"/>
  <c r="I17" i="8"/>
  <c r="I18" i="8"/>
  <c r="Q11" i="8" l="1"/>
  <c r="O10" i="8"/>
  <c r="N10" i="8"/>
  <c r="Q10" i="8"/>
  <c r="D66" i="8"/>
  <c r="G57" i="8"/>
  <c r="G56" i="8"/>
  <c r="F52" i="8"/>
  <c r="F51" i="8"/>
  <c r="F48" i="8"/>
  <c r="F47" i="8"/>
  <c r="F46" i="8"/>
  <c r="F45" i="8"/>
  <c r="H41" i="8"/>
  <c r="I41" i="8" s="1"/>
  <c r="H40" i="8"/>
  <c r="I40" i="8" s="1"/>
  <c r="C40" i="8"/>
  <c r="H39" i="8"/>
  <c r="C39" i="8"/>
  <c r="H38" i="8"/>
  <c r="I38" i="8" s="1"/>
  <c r="E38" i="8"/>
  <c r="C38" i="8"/>
  <c r="H37" i="8"/>
  <c r="E37" i="8"/>
  <c r="C37" i="8"/>
  <c r="H36" i="8"/>
  <c r="E36" i="8"/>
  <c r="C36" i="8"/>
  <c r="R17" i="8"/>
  <c r="G39" i="8"/>
  <c r="I39" i="8" s="1"/>
  <c r="G37" i="8"/>
  <c r="C4" i="8"/>
  <c r="C3" i="8"/>
  <c r="G36" i="8" l="1"/>
  <c r="I36" i="8" s="1"/>
  <c r="S10" i="8"/>
  <c r="I37" i="8"/>
  <c r="E66" i="8"/>
  <c r="F66" i="8" s="1"/>
  <c r="I66" i="8" s="1"/>
  <c r="F49" i="5" l="1"/>
  <c r="F48" i="5"/>
  <c r="H55" i="6" l="1"/>
  <c r="E2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12" i="5"/>
  <c r="N5" i="5"/>
  <c r="M75" i="6"/>
  <c r="M76" i="6" s="1"/>
  <c r="M74" i="6"/>
  <c r="M66" i="6"/>
  <c r="M67" i="6" s="1"/>
  <c r="M65" i="6"/>
  <c r="M56" i="6"/>
  <c r="M57" i="6"/>
  <c r="M58" i="6" s="1"/>
  <c r="H65" i="6"/>
  <c r="H63" i="6"/>
  <c r="H61" i="6"/>
  <c r="H59" i="6"/>
  <c r="H56" i="6"/>
  <c r="X5" i="1"/>
  <c r="AA4" i="1" s="1"/>
  <c r="AD5" i="1" s="1"/>
  <c r="AG4" i="1" s="1"/>
  <c r="B59" i="6"/>
  <c r="B57" i="6"/>
  <c r="B56" i="6"/>
  <c r="B55" i="6"/>
  <c r="B54" i="6"/>
  <c r="L50" i="6"/>
  <c r="K50" i="6"/>
  <c r="I50" i="6"/>
  <c r="K51" i="6" s="1"/>
  <c r="F50" i="6"/>
  <c r="G51" i="6" s="1"/>
  <c r="D50" i="6"/>
  <c r="E1" i="6"/>
  <c r="M73" i="6" s="1"/>
  <c r="G1" i="6" l="1"/>
  <c r="M55" i="6" s="1"/>
  <c r="J55" i="6"/>
  <c r="I57" i="6" s="1"/>
  <c r="M77" i="6"/>
  <c r="M78" i="6" s="1"/>
  <c r="L79" i="6" s="1"/>
  <c r="J65" i="6"/>
  <c r="J56" i="6"/>
  <c r="J61" i="6"/>
  <c r="I62" i="6" s="1"/>
  <c r="J59" i="6"/>
  <c r="I60" i="6" s="1"/>
  <c r="J63" i="6"/>
  <c r="I64" i="6" s="1"/>
  <c r="T4" i="1"/>
  <c r="T3" i="1" s="1"/>
  <c r="S4" i="1"/>
  <c r="J66" i="1"/>
  <c r="E60" i="6" s="1"/>
  <c r="J63" i="1"/>
  <c r="E57" i="6" s="1"/>
  <c r="M3" i="1"/>
  <c r="J9" i="1" s="1"/>
  <c r="H51" i="1"/>
  <c r="I51" i="1" s="1"/>
  <c r="J51" i="1" s="1"/>
  <c r="H30" i="1"/>
  <c r="I30" i="1" s="1"/>
  <c r="J30" i="1" s="1"/>
  <c r="G52" i="1"/>
  <c r="G47" i="1"/>
  <c r="G45" i="1"/>
  <c r="G41" i="1"/>
  <c r="G37" i="1"/>
  <c r="G31" i="1"/>
  <c r="G26" i="1"/>
  <c r="G24" i="1"/>
  <c r="G20" i="1"/>
  <c r="G16" i="1"/>
  <c r="G3" i="1"/>
  <c r="N13" i="1"/>
  <c r="E1" i="5"/>
  <c r="F3" i="1"/>
  <c r="H49" i="1"/>
  <c r="I49" i="1" s="1"/>
  <c r="J49" i="1" s="1"/>
  <c r="H28" i="1"/>
  <c r="I28" i="1" s="1"/>
  <c r="J28" i="1" s="1"/>
  <c r="E2" i="5"/>
  <c r="H57" i="1"/>
  <c r="I57" i="1" s="1"/>
  <c r="J57" i="1" s="1"/>
  <c r="H56" i="1"/>
  <c r="I56" i="1" s="1"/>
  <c r="J56" i="1" s="1"/>
  <c r="H35" i="1"/>
  <c r="I35" i="1" s="1"/>
  <c r="J35" i="1" s="1"/>
  <c r="H36" i="1"/>
  <c r="I36" i="1" s="1"/>
  <c r="J36" i="1" s="1"/>
  <c r="H48" i="1"/>
  <c r="I48" i="1" s="1"/>
  <c r="J48" i="1" s="1"/>
  <c r="H46" i="1"/>
  <c r="I46" i="1" s="1"/>
  <c r="J46" i="1" s="1"/>
  <c r="H42" i="1"/>
  <c r="I42" i="1" s="1"/>
  <c r="J42" i="1" s="1"/>
  <c r="H40" i="1"/>
  <c r="I40" i="1" s="1"/>
  <c r="J40" i="1" s="1"/>
  <c r="H27" i="1"/>
  <c r="I27" i="1" s="1"/>
  <c r="J27" i="1" s="1"/>
  <c r="H25" i="1"/>
  <c r="I25" i="1" s="1"/>
  <c r="J25" i="1" s="1"/>
  <c r="H21" i="1"/>
  <c r="I21" i="1" s="1"/>
  <c r="J21" i="1" s="1"/>
  <c r="H19" i="1"/>
  <c r="I19" i="1" s="1"/>
  <c r="J19" i="1" s="1"/>
  <c r="J65" i="1" l="1"/>
  <c r="E59" i="6" s="1"/>
  <c r="O8" i="6"/>
  <c r="O14" i="6"/>
  <c r="O20" i="6"/>
  <c r="O26" i="6"/>
  <c r="O32" i="6"/>
  <c r="O38" i="6"/>
  <c r="O44" i="6"/>
  <c r="O9" i="6"/>
  <c r="O15" i="6"/>
  <c r="O21" i="6"/>
  <c r="O27" i="6"/>
  <c r="O33" i="6"/>
  <c r="O39" i="6"/>
  <c r="O45" i="6"/>
  <c r="O10" i="6"/>
  <c r="O16" i="6"/>
  <c r="O22" i="6"/>
  <c r="O28" i="6"/>
  <c r="O34" i="6"/>
  <c r="O40" i="6"/>
  <c r="O46" i="6"/>
  <c r="O5" i="6"/>
  <c r="O11" i="6"/>
  <c r="O17" i="6"/>
  <c r="O23" i="6"/>
  <c r="O29" i="6"/>
  <c r="O35" i="6"/>
  <c r="O41" i="6"/>
  <c r="O47" i="6"/>
  <c r="O6" i="6"/>
  <c r="O12" i="6"/>
  <c r="O18" i="6"/>
  <c r="O24" i="6"/>
  <c r="O30" i="6"/>
  <c r="O36" i="6"/>
  <c r="O42" i="6"/>
  <c r="O48" i="6"/>
  <c r="O7" i="6"/>
  <c r="O13" i="6"/>
  <c r="O19" i="6"/>
  <c r="O25" i="6"/>
  <c r="O31" i="6"/>
  <c r="O37" i="6"/>
  <c r="O43" i="6"/>
  <c r="O49" i="6"/>
  <c r="H5" i="6"/>
  <c r="H11" i="6"/>
  <c r="H17" i="6"/>
  <c r="H23" i="6"/>
  <c r="H29" i="6"/>
  <c r="H35" i="6"/>
  <c r="H41" i="6"/>
  <c r="H47" i="6"/>
  <c r="H6" i="6"/>
  <c r="H12" i="6"/>
  <c r="H18" i="6"/>
  <c r="H24" i="6"/>
  <c r="H30" i="6"/>
  <c r="H36" i="6"/>
  <c r="H42" i="6"/>
  <c r="H48" i="6"/>
  <c r="H7" i="6"/>
  <c r="H13" i="6"/>
  <c r="H19" i="6"/>
  <c r="H25" i="6"/>
  <c r="H31" i="6"/>
  <c r="H37" i="6"/>
  <c r="H43" i="6"/>
  <c r="H49" i="6"/>
  <c r="H10" i="6"/>
  <c r="H16" i="6"/>
  <c r="H22" i="6"/>
  <c r="H28" i="6"/>
  <c r="H34" i="6"/>
  <c r="H40" i="6"/>
  <c r="H46" i="6"/>
  <c r="H8" i="6"/>
  <c r="H14" i="6"/>
  <c r="H20" i="6"/>
  <c r="H26" i="6"/>
  <c r="H32" i="6"/>
  <c r="H38" i="6"/>
  <c r="H44" i="6"/>
  <c r="H9" i="6"/>
  <c r="H15" i="6"/>
  <c r="H21" i="6"/>
  <c r="H27" i="6"/>
  <c r="H33" i="6"/>
  <c r="H39" i="6"/>
  <c r="H45" i="6"/>
  <c r="M64" i="6"/>
  <c r="M68" i="6"/>
  <c r="J60" i="1"/>
  <c r="E54" i="6" s="1"/>
  <c r="M59" i="6" s="1"/>
  <c r="B58" i="6"/>
  <c r="G1" i="5"/>
  <c r="P25" i="1"/>
  <c r="M60" i="6" l="1"/>
  <c r="L61" i="6" s="1"/>
  <c r="M69" i="6"/>
  <c r="L70" i="6" s="1"/>
  <c r="K58" i="5"/>
  <c r="M5" i="1" l="1"/>
  <c r="Q14" i="1" l="1"/>
  <c r="H13" i="1"/>
  <c r="Q15" i="1" l="1"/>
  <c r="N14" i="1"/>
  <c r="D56" i="8" s="1"/>
  <c r="E56" i="8" s="1"/>
  <c r="F56" i="8" s="1"/>
  <c r="H56" i="8" s="1"/>
  <c r="I56" i="8" s="1"/>
  <c r="Q16" i="1" l="1"/>
  <c r="N15" i="1"/>
  <c r="D57" i="8" s="1"/>
  <c r="E57" i="8" s="1"/>
  <c r="F57" i="8" s="1"/>
  <c r="H57" i="8" s="1"/>
  <c r="I57" i="8" s="1"/>
  <c r="P13" i="1"/>
  <c r="I13" i="1"/>
  <c r="K66" i="5"/>
  <c r="K65" i="5"/>
  <c r="Q17" i="1" l="1"/>
  <c r="N16" i="1"/>
  <c r="K59" i="5"/>
  <c r="K60" i="5" s="1"/>
  <c r="D50" i="5"/>
  <c r="N17" i="1" l="1"/>
  <c r="D58" i="8"/>
  <c r="E58" i="8" s="1"/>
  <c r="F58" i="8" s="1"/>
  <c r="I58" i="8" s="1"/>
  <c r="Q18" i="1"/>
  <c r="C8" i="1"/>
  <c r="N18" i="1" l="1"/>
  <c r="D59" i="8"/>
  <c r="E59" i="8" s="1"/>
  <c r="F59" i="8" s="1"/>
  <c r="I59" i="8" s="1"/>
  <c r="Q19" i="1"/>
  <c r="L50" i="5"/>
  <c r="D60" i="8" l="1"/>
  <c r="E60" i="8" s="1"/>
  <c r="F60" i="8" s="1"/>
  <c r="I60" i="8" s="1"/>
  <c r="N19" i="1"/>
  <c r="Q20" i="1"/>
  <c r="I50" i="5"/>
  <c r="D61" i="8" l="1"/>
  <c r="E61" i="8" s="1"/>
  <c r="F61" i="8" s="1"/>
  <c r="I61" i="8" s="1"/>
  <c r="N20" i="1"/>
  <c r="Q21" i="1"/>
  <c r="F50" i="5"/>
  <c r="G51" i="5" s="1"/>
  <c r="J72" i="1" s="1"/>
  <c r="D64" i="8" l="1"/>
  <c r="E64" i="8" s="1"/>
  <c r="F64" i="8" s="1"/>
  <c r="H64" i="8" s="1"/>
  <c r="I64" i="8" s="1"/>
  <c r="N21" i="1"/>
  <c r="Q22" i="1"/>
  <c r="P5" i="1"/>
  <c r="E66" i="6"/>
  <c r="J13" i="1"/>
  <c r="P14" i="1" s="1"/>
  <c r="N22" i="1" l="1"/>
  <c r="D65" i="8"/>
  <c r="E65" i="8" s="1"/>
  <c r="F65" i="8" s="1"/>
  <c r="I65" i="8" s="1"/>
  <c r="H8" i="8"/>
  <c r="M8" i="8" s="1"/>
  <c r="AJ5" i="1"/>
  <c r="AJ4" i="1"/>
  <c r="Q23" i="1"/>
  <c r="O14" i="1"/>
  <c r="K50" i="5"/>
  <c r="K51" i="5" s="1"/>
  <c r="H14" i="1"/>
  <c r="H15" i="1"/>
  <c r="H16" i="1"/>
  <c r="H17" i="1"/>
  <c r="H18" i="1"/>
  <c r="H20" i="1"/>
  <c r="H22" i="1"/>
  <c r="H23" i="1"/>
  <c r="H24" i="1"/>
  <c r="H26" i="1"/>
  <c r="H29" i="1"/>
  <c r="H31" i="1"/>
  <c r="H32" i="1"/>
  <c r="H33" i="1"/>
  <c r="H34" i="1"/>
  <c r="H37" i="1"/>
  <c r="H38" i="1"/>
  <c r="H39" i="1"/>
  <c r="H41" i="1"/>
  <c r="H43" i="1"/>
  <c r="H44" i="1"/>
  <c r="H45" i="1"/>
  <c r="H47" i="1"/>
  <c r="H50" i="1"/>
  <c r="H52" i="1"/>
  <c r="H53" i="1"/>
  <c r="H54" i="1"/>
  <c r="N23" i="1" l="1"/>
  <c r="D63" i="8" s="1"/>
  <c r="E63" i="8" s="1"/>
  <c r="F63" i="8" s="1"/>
  <c r="I63" i="8" s="1"/>
  <c r="D62" i="8"/>
  <c r="E62" i="8" s="1"/>
  <c r="F62" i="8" s="1"/>
  <c r="I62" i="8" s="1"/>
  <c r="I67" i="8" s="1"/>
  <c r="G8" i="8"/>
  <c r="J8" i="8" s="1"/>
  <c r="Q24" i="1"/>
  <c r="I37" i="1"/>
  <c r="J37" i="1" s="1"/>
  <c r="I50" i="1"/>
  <c r="J50" i="1" s="1"/>
  <c r="I14" i="1"/>
  <c r="J14" i="1" s="1"/>
  <c r="I47" i="1"/>
  <c r="J47" i="1" s="1"/>
  <c r="I24" i="1"/>
  <c r="I17" i="1"/>
  <c r="I34" i="1"/>
  <c r="J34" i="1" s="1"/>
  <c r="I15" i="1"/>
  <c r="J15" i="1" s="1"/>
  <c r="I31" i="1"/>
  <c r="J31" i="1" s="1"/>
  <c r="I45" i="1"/>
  <c r="J45" i="1" s="1"/>
  <c r="I44" i="1"/>
  <c r="I43" i="1"/>
  <c r="I23" i="1"/>
  <c r="J23" i="1" s="1"/>
  <c r="I55" i="1"/>
  <c r="J55" i="1" s="1"/>
  <c r="I33" i="1"/>
  <c r="J33" i="1" s="1"/>
  <c r="I41" i="1"/>
  <c r="I22" i="1"/>
  <c r="I32" i="1"/>
  <c r="I20" i="1"/>
  <c r="J20" i="1" s="1"/>
  <c r="I54" i="1"/>
  <c r="J54" i="1" s="1"/>
  <c r="I53" i="1"/>
  <c r="I52" i="1"/>
  <c r="J52" i="1" s="1"/>
  <c r="I29" i="1"/>
  <c r="J29" i="1" s="1"/>
  <c r="I26" i="1"/>
  <c r="I39" i="1"/>
  <c r="J39" i="1" s="1"/>
  <c r="I38" i="1"/>
  <c r="J38" i="1" s="1"/>
  <c r="I18" i="1"/>
  <c r="I16" i="1"/>
  <c r="J53" i="1" l="1"/>
  <c r="J17" i="1"/>
  <c r="J22" i="1"/>
  <c r="J32" i="1"/>
  <c r="J24" i="1"/>
  <c r="J18" i="1"/>
  <c r="J43" i="1"/>
  <c r="J41" i="1"/>
  <c r="J44" i="1"/>
  <c r="J26" i="1"/>
  <c r="J16" i="1"/>
  <c r="O15" i="1" l="1"/>
  <c r="P15" i="1"/>
  <c r="G9" i="8" l="1"/>
  <c r="J9" i="8" s="1"/>
  <c r="H9" i="8"/>
  <c r="M9" i="8" s="1"/>
  <c r="P16" i="1"/>
  <c r="O16" i="1"/>
  <c r="G10" i="8" s="1"/>
  <c r="O17" i="1"/>
  <c r="G11" i="8" s="1"/>
  <c r="H10" i="8" l="1"/>
  <c r="J11" i="8"/>
  <c r="O18" i="1"/>
  <c r="P17" i="1"/>
  <c r="O19" i="1"/>
  <c r="H11" i="8" l="1"/>
  <c r="M11" i="8" s="1"/>
  <c r="G13" i="8"/>
  <c r="J13" i="8" s="1"/>
  <c r="G12" i="8"/>
  <c r="J12" i="8" s="1"/>
  <c r="P18" i="1"/>
  <c r="O20" i="1"/>
  <c r="G14" i="8" s="1"/>
  <c r="J14" i="8" l="1"/>
  <c r="H12" i="8"/>
  <c r="M12" i="8" s="1"/>
  <c r="O21" i="1"/>
  <c r="P19" i="1"/>
  <c r="O22" i="1"/>
  <c r="H13" i="8" l="1"/>
  <c r="M13" i="8" s="1"/>
  <c r="G16" i="8"/>
  <c r="J16" i="8" s="1"/>
  <c r="G15" i="8"/>
  <c r="J15" i="8" s="1"/>
  <c r="P20" i="1"/>
  <c r="O23" i="1"/>
  <c r="G17" i="8" l="1"/>
  <c r="J17" i="8" s="1"/>
  <c r="H14" i="8"/>
  <c r="M14" i="8" s="1"/>
  <c r="P21" i="1"/>
  <c r="O24" i="1"/>
  <c r="G18" i="8" l="1"/>
  <c r="J18" i="8" s="1"/>
  <c r="H15" i="8"/>
  <c r="M15" i="8" s="1"/>
  <c r="P22" i="1"/>
  <c r="J61" i="1"/>
  <c r="H16" i="8" l="1"/>
  <c r="M16" i="8" s="1"/>
  <c r="P23" i="1"/>
  <c r="J62" i="1"/>
  <c r="E55" i="6"/>
  <c r="J64" i="1"/>
  <c r="E58" i="6" s="1"/>
  <c r="J67" i="1"/>
  <c r="E61" i="6" s="1"/>
  <c r="J68" i="1"/>
  <c r="E62" i="6" s="1"/>
  <c r="H17" i="8" l="1"/>
  <c r="M17" i="8" s="1"/>
  <c r="P24" i="1"/>
  <c r="J71" i="1"/>
  <c r="E56" i="6"/>
  <c r="J70" i="1"/>
  <c r="E64" i="6" s="1"/>
  <c r="J69" i="1"/>
  <c r="E63" i="6" s="1"/>
  <c r="P3" i="1"/>
  <c r="H18" i="8" l="1"/>
  <c r="M18" i="8" s="1"/>
  <c r="P4" i="1"/>
  <c r="E65" i="6"/>
  <c r="Q30" i="1" l="1"/>
  <c r="B60" i="6"/>
  <c r="S5" i="1"/>
  <c r="T5" i="1"/>
  <c r="S6" i="1"/>
  <c r="T6" i="1"/>
  <c r="I22" i="8" l="1"/>
  <c r="Q31" i="1"/>
  <c r="I66" i="6"/>
  <c r="T8" i="1"/>
  <c r="S8" i="1"/>
  <c r="S7" i="1"/>
  <c r="T7" i="1"/>
  <c r="L22" i="8" l="1"/>
  <c r="K22" i="8"/>
  <c r="O22" i="8" s="1"/>
  <c r="R22" i="8" s="1"/>
  <c r="S22" i="8" s="1"/>
  <c r="I23" i="8"/>
  <c r="Q32" i="1"/>
  <c r="I58" i="6"/>
  <c r="T9" i="1"/>
  <c r="S9" i="1"/>
  <c r="P30" i="1"/>
  <c r="L23" i="8" l="1"/>
  <c r="K23" i="8"/>
  <c r="O23" i="8" s="1"/>
  <c r="R23" i="8" s="1"/>
  <c r="S23" i="8" s="1"/>
  <c r="I24" i="8"/>
  <c r="H22" i="8"/>
  <c r="M22" i="8" s="1"/>
  <c r="N22" i="8" s="1"/>
  <c r="P22" i="8" s="1"/>
  <c r="Q22" i="8" s="1"/>
  <c r="M6" i="1"/>
  <c r="Q55" i="6" s="1"/>
  <c r="Q33" i="1"/>
  <c r="L24" i="8" l="1"/>
  <c r="K24" i="8"/>
  <c r="O24" i="8" s="1"/>
  <c r="R24" i="8" s="1"/>
  <c r="S24" i="8" s="1"/>
  <c r="I25" i="8"/>
  <c r="M8" i="1"/>
  <c r="N37" i="1" s="1"/>
  <c r="AJ3" i="1"/>
  <c r="AJ6" i="1" s="1"/>
  <c r="AJ7" i="1" s="1"/>
  <c r="M7" i="1"/>
  <c r="AA3" i="1" s="1"/>
  <c r="AA5" i="1" s="1"/>
  <c r="Q34" i="1"/>
  <c r="N40" i="1"/>
  <c r="N32" i="1"/>
  <c r="N36" i="1"/>
  <c r="N35" i="1"/>
  <c r="N33" i="1"/>
  <c r="N30" i="1" l="1"/>
  <c r="O30" i="1" s="1"/>
  <c r="N31" i="1"/>
  <c r="N39" i="1"/>
  <c r="L25" i="8"/>
  <c r="K25" i="8"/>
  <c r="O25" i="8" s="1"/>
  <c r="R25" i="8" s="1"/>
  <c r="S25" i="8" s="1"/>
  <c r="N34" i="1"/>
  <c r="X3" i="1"/>
  <c r="X4" i="1" s="1"/>
  <c r="X6" i="1" s="1"/>
  <c r="N38" i="1"/>
  <c r="AD3" i="1"/>
  <c r="AD4" i="1" s="1"/>
  <c r="Q56" i="6"/>
  <c r="Q57" i="6" s="1"/>
  <c r="I26" i="8"/>
  <c r="AG3" i="1"/>
  <c r="AG5" i="1" s="1"/>
  <c r="G22" i="8"/>
  <c r="J22" i="8" s="1"/>
  <c r="Q35" i="1"/>
  <c r="O31" i="1"/>
  <c r="O32" i="1"/>
  <c r="P31" i="1"/>
  <c r="L26" i="8" l="1"/>
  <c r="K26" i="8"/>
  <c r="AD6" i="1"/>
  <c r="I27" i="8"/>
  <c r="K27" i="8" s="1"/>
  <c r="O27" i="8" s="1"/>
  <c r="R27" i="8" s="1"/>
  <c r="S27" i="8" s="1"/>
  <c r="G23" i="8"/>
  <c r="J23" i="8" s="1"/>
  <c r="H23" i="8"/>
  <c r="M23" i="8" s="1"/>
  <c r="N23" i="8" s="1"/>
  <c r="P23" i="8" s="1"/>
  <c r="Q23" i="8" s="1"/>
  <c r="G24" i="8"/>
  <c r="J24" i="8" s="1"/>
  <c r="O33" i="1"/>
  <c r="P32" i="1"/>
  <c r="Q36" i="1"/>
  <c r="O26" i="8" l="1"/>
  <c r="R26" i="8" s="1"/>
  <c r="S26" i="8" s="1"/>
  <c r="L27" i="8"/>
  <c r="I28" i="8"/>
  <c r="G25" i="8"/>
  <c r="J25" i="8" s="1"/>
  <c r="H24" i="8"/>
  <c r="M24" i="8" s="1"/>
  <c r="N24" i="8" s="1"/>
  <c r="P24" i="8" s="1"/>
  <c r="Q24" i="8" s="1"/>
  <c r="Q37" i="1"/>
  <c r="P33" i="1"/>
  <c r="O34" i="1"/>
  <c r="L28" i="8" l="1"/>
  <c r="K28" i="8"/>
  <c r="O28" i="8" s="1"/>
  <c r="R28" i="8" s="1"/>
  <c r="S28" i="8" s="1"/>
  <c r="G26" i="8"/>
  <c r="J26" i="8" s="1"/>
  <c r="P34" i="1"/>
  <c r="H25" i="8"/>
  <c r="M25" i="8" s="1"/>
  <c r="N25" i="8" s="1"/>
  <c r="P25" i="8" s="1"/>
  <c r="Q25" i="8" s="1"/>
  <c r="I29" i="8"/>
  <c r="O35" i="1"/>
  <c r="Q38" i="1"/>
  <c r="L29" i="8" l="1"/>
  <c r="K29" i="8"/>
  <c r="H26" i="8"/>
  <c r="M26" i="8" s="1"/>
  <c r="N26" i="8" s="1"/>
  <c r="P26" i="8" s="1"/>
  <c r="Q26" i="8" s="1"/>
  <c r="I30" i="8"/>
  <c r="K30" i="8" s="1"/>
  <c r="O30" i="8" s="1"/>
  <c r="R30" i="8" s="1"/>
  <c r="S30" i="8" s="1"/>
  <c r="G27" i="8"/>
  <c r="J27" i="8" s="1"/>
  <c r="Q39" i="1"/>
  <c r="P35" i="1"/>
  <c r="O36" i="1"/>
  <c r="O29" i="8" l="1"/>
  <c r="R29" i="8" s="1"/>
  <c r="S29" i="8" s="1"/>
  <c r="L30" i="8"/>
  <c r="G28" i="8"/>
  <c r="J28" i="8" s="1"/>
  <c r="H27" i="8"/>
  <c r="M27" i="8" s="1"/>
  <c r="N27" i="8" s="1"/>
  <c r="P27" i="8" s="1"/>
  <c r="Q27" i="8" s="1"/>
  <c r="I31" i="8"/>
  <c r="O37" i="1"/>
  <c r="P36" i="1"/>
  <c r="Q40" i="1"/>
  <c r="L31" i="8" l="1"/>
  <c r="K31" i="8"/>
  <c r="G29" i="8"/>
  <c r="J29" i="8" s="1"/>
  <c r="I32" i="8"/>
  <c r="K32" i="8" s="1"/>
  <c r="O32" i="8" s="1"/>
  <c r="R32" i="8" s="1"/>
  <c r="S32" i="8" s="1"/>
  <c r="H28" i="8"/>
  <c r="M28" i="8" s="1"/>
  <c r="N28" i="8" s="1"/>
  <c r="P28" i="8" s="1"/>
  <c r="Q28" i="8" s="1"/>
  <c r="P37" i="1"/>
  <c r="O38" i="1"/>
  <c r="O31" i="8" l="1"/>
  <c r="R31" i="8" s="1"/>
  <c r="S31" i="8" s="1"/>
  <c r="L32" i="8"/>
  <c r="H29" i="8"/>
  <c r="M29" i="8" s="1"/>
  <c r="N29" i="8" s="1"/>
  <c r="P29" i="8" s="1"/>
  <c r="Q29" i="8" s="1"/>
  <c r="G30" i="8"/>
  <c r="J30" i="8" s="1"/>
  <c r="O39" i="1"/>
  <c r="P38" i="1"/>
  <c r="H30" i="8" l="1"/>
  <c r="M30" i="8" s="1"/>
  <c r="N30" i="8" s="1"/>
  <c r="P30" i="8" s="1"/>
  <c r="Q30" i="8" s="1"/>
  <c r="G31" i="8"/>
  <c r="J31" i="8" s="1"/>
  <c r="P39" i="1"/>
  <c r="O40" i="1"/>
  <c r="G32" i="8" l="1"/>
  <c r="J32" i="8" s="1"/>
  <c r="H31" i="8"/>
  <c r="M31" i="8" s="1"/>
  <c r="N31" i="8" s="1"/>
  <c r="P31" i="8" s="1"/>
  <c r="Q31" i="8" s="1"/>
  <c r="O41" i="1"/>
  <c r="P40" i="1"/>
  <c r="H32" i="8" l="1"/>
  <c r="M32" i="8" s="1"/>
  <c r="N32" i="8" s="1"/>
  <c r="P32" i="8" s="1"/>
  <c r="Q32" i="8" s="1"/>
</calcChain>
</file>

<file path=xl/sharedStrings.xml><?xml version="1.0" encoding="utf-8"?>
<sst xmlns="http://schemas.openxmlformats.org/spreadsheetml/2006/main" count="669" uniqueCount="280">
  <si>
    <t>R2</t>
  </si>
  <si>
    <t>h2</t>
  </si>
  <si>
    <t>htot</t>
  </si>
  <si>
    <t>R1</t>
  </si>
  <si>
    <t>h1</t>
  </si>
  <si>
    <t>Stage</t>
  </si>
  <si>
    <t>Item</t>
  </si>
  <si>
    <t>Height</t>
  </si>
  <si>
    <t>Mass (kg)</t>
  </si>
  <si>
    <t>Distance (m)</t>
  </si>
  <si>
    <t>Moment (kgm)</t>
  </si>
  <si>
    <t>Thickness (m)</t>
  </si>
  <si>
    <t>Dist from CM (m)</t>
  </si>
  <si>
    <t>J0</t>
  </si>
  <si>
    <t>m*cm^2</t>
  </si>
  <si>
    <t>Jpitch/yaw</t>
  </si>
  <si>
    <t>Jroll</t>
  </si>
  <si>
    <t>Mass at Max q</t>
  </si>
  <si>
    <t>Product of Max q (kg * m)</t>
  </si>
  <si>
    <t>Distance from Max q CM</t>
  </si>
  <si>
    <t>Column2</t>
  </si>
  <si>
    <t>PLF</t>
  </si>
  <si>
    <t>Payload</t>
  </si>
  <si>
    <t>PAF</t>
  </si>
  <si>
    <t>Forward Skirt 2</t>
  </si>
  <si>
    <t>Avionics 2</t>
  </si>
  <si>
    <t>Wiring 2</t>
  </si>
  <si>
    <t>Fuel Dome Top 2</t>
  </si>
  <si>
    <t>Fuel Cylinder 2</t>
  </si>
  <si>
    <t>Fuel Dome Bottom 2</t>
  </si>
  <si>
    <t>Fuel Insulation 2</t>
  </si>
  <si>
    <t>Fuel Residual 2</t>
  </si>
  <si>
    <t>Intertank 2</t>
  </si>
  <si>
    <t>Ox Dome Top 2</t>
  </si>
  <si>
    <t>Ox Cylinder 2</t>
  </si>
  <si>
    <t>Ox Dome Bottom 2</t>
  </si>
  <si>
    <t>Ox Insulation 2</t>
  </si>
  <si>
    <t>Ox Residual 2</t>
  </si>
  <si>
    <t>Pressurant Tank 2</t>
  </si>
  <si>
    <t>Aft Skirt 2</t>
  </si>
  <si>
    <t>Thrust Structure 2</t>
  </si>
  <si>
    <t>Gimballs 2</t>
  </si>
  <si>
    <t>Engines 2</t>
  </si>
  <si>
    <t>Fuel 2</t>
  </si>
  <si>
    <t>Oxidizer 2</t>
  </si>
  <si>
    <t>Forward Skirt 1</t>
  </si>
  <si>
    <t>Avionics 1</t>
  </si>
  <si>
    <t>Wiring 1</t>
  </si>
  <si>
    <t>Fuel Dome Top 1</t>
  </si>
  <si>
    <t>Fuel Cylinder 1</t>
  </si>
  <si>
    <t>Fuel Dome Bottom 1</t>
  </si>
  <si>
    <t>Fuel Insulation 1</t>
  </si>
  <si>
    <t>Fuel Residual 1</t>
  </si>
  <si>
    <t>Intertank 1</t>
  </si>
  <si>
    <t>Ox Dome Top 1</t>
  </si>
  <si>
    <t>Ox Cylinder 1</t>
  </si>
  <si>
    <t>Ox Dome Bottom 1</t>
  </si>
  <si>
    <t>Ox Insulation 1</t>
  </si>
  <si>
    <t>Ox Residual 1</t>
  </si>
  <si>
    <t>Pressurant Tank 1</t>
  </si>
  <si>
    <t>Aft Skirt 1</t>
  </si>
  <si>
    <t>Thrust Structure 1</t>
  </si>
  <si>
    <t>Gimballs 1</t>
  </si>
  <si>
    <t>Engines 1</t>
  </si>
  <si>
    <t>Fuel 1</t>
  </si>
  <si>
    <t>Oxidizer 1</t>
  </si>
  <si>
    <t>Total</t>
  </si>
  <si>
    <t>CM</t>
  </si>
  <si>
    <t>J0/Jpitch</t>
  </si>
  <si>
    <t>kgm^3</t>
  </si>
  <si>
    <t>Max Q Conditions</t>
  </si>
  <si>
    <t>Propellant Left, Mass Flow, And CM</t>
  </si>
  <si>
    <t>Mass and Products for Conditional CM</t>
  </si>
  <si>
    <t>Vibration Analysis</t>
  </si>
  <si>
    <t>Initial Control Checks</t>
  </si>
  <si>
    <r>
      <t>t</t>
    </r>
    <r>
      <rPr>
        <vertAlign val="subscript"/>
        <sz val="11"/>
        <color theme="1"/>
        <rFont val="Calibri"/>
        <family val="2"/>
        <scheme val="minor"/>
      </rPr>
      <t>max-q</t>
    </r>
    <r>
      <rPr>
        <sz val="11"/>
        <color theme="1"/>
        <rFont val="Calibri"/>
        <family val="2"/>
        <scheme val="minor"/>
      </rPr>
      <t xml:space="preserve"> (s)</t>
    </r>
  </si>
  <si>
    <r>
      <t>m</t>
    </r>
    <r>
      <rPr>
        <vertAlign val="subscript"/>
        <sz val="11"/>
        <color theme="1"/>
        <rFont val="Calibri"/>
        <family val="2"/>
        <scheme val="minor"/>
      </rPr>
      <t>total</t>
    </r>
    <r>
      <rPr>
        <sz val="11"/>
        <color theme="1"/>
        <rFont val="Calibri"/>
        <family val="2"/>
        <scheme val="minor"/>
      </rPr>
      <t xml:space="preserve"> (kg)</t>
    </r>
  </si>
  <si>
    <t>Mass</t>
  </si>
  <si>
    <t>Product</t>
  </si>
  <si>
    <t>Stage 1 Wet, Stage 2 Wet</t>
  </si>
  <si>
    <t>Max-Q</t>
  </si>
  <si>
    <r>
      <t>h</t>
    </r>
    <r>
      <rPr>
        <vertAlign val="subscript"/>
        <sz val="11"/>
        <color theme="1"/>
        <rFont val="Calibri"/>
        <family val="2"/>
        <scheme val="minor"/>
      </rPr>
      <t>max-q</t>
    </r>
    <r>
      <rPr>
        <sz val="11"/>
        <color theme="1"/>
        <rFont val="Calibri"/>
        <family val="2"/>
        <scheme val="minor"/>
      </rPr>
      <t xml:space="preserve"> (m)</t>
    </r>
  </si>
  <si>
    <r>
      <t>m</t>
    </r>
    <r>
      <rPr>
        <vertAlign val="subscript"/>
        <sz val="11"/>
        <color theme="1"/>
        <rFont val="Calibri"/>
        <family val="2"/>
        <scheme val="minor"/>
      </rPr>
      <t>maxq</t>
    </r>
    <r>
      <rPr>
        <sz val="11"/>
        <color theme="1"/>
        <rFont val="Calibri"/>
        <family val="2"/>
        <scheme val="minor"/>
      </rPr>
      <t xml:space="preserve"> (kg)</t>
    </r>
  </si>
  <si>
    <t>Total Full</t>
  </si>
  <si>
    <t>beta</t>
  </si>
  <si>
    <t>Time to Double</t>
  </si>
  <si>
    <t>s</t>
  </si>
  <si>
    <r>
      <t>v</t>
    </r>
    <r>
      <rPr>
        <vertAlign val="subscript"/>
        <sz val="11"/>
        <color theme="1"/>
        <rFont val="Calibri"/>
        <family val="2"/>
        <scheme val="minor"/>
      </rPr>
      <t>max-q</t>
    </r>
    <r>
      <rPr>
        <sz val="11"/>
        <color theme="1"/>
        <rFont val="Calibri"/>
        <family val="2"/>
        <scheme val="minor"/>
      </rPr>
      <t xml:space="preserve"> (m/s)</t>
    </r>
  </si>
  <si>
    <r>
      <t>m</t>
    </r>
    <r>
      <rPr>
        <vertAlign val="subscript"/>
        <sz val="11"/>
        <color theme="1"/>
        <rFont val="Calibri"/>
        <family val="2"/>
        <scheme val="minor"/>
      </rPr>
      <t>propellant used</t>
    </r>
    <r>
      <rPr>
        <sz val="11"/>
        <color theme="1"/>
        <rFont val="Calibri"/>
        <family val="2"/>
        <scheme val="minor"/>
      </rPr>
      <t xml:space="preserve"> (kg)</t>
    </r>
  </si>
  <si>
    <t>Total Empty (Dry)</t>
  </si>
  <si>
    <t>E</t>
  </si>
  <si>
    <t>Pa</t>
  </si>
  <si>
    <t>Gimbal Angle</t>
  </si>
  <si>
    <t>deg</t>
  </si>
  <si>
    <r>
      <t>ρ</t>
    </r>
    <r>
      <rPr>
        <vertAlign val="subscript"/>
        <sz val="11"/>
        <color theme="1"/>
        <rFont val="Calibri"/>
        <family val="2"/>
        <scheme val="minor"/>
      </rPr>
      <t>max-q</t>
    </r>
    <r>
      <rPr>
        <sz val="11"/>
        <color theme="1"/>
        <rFont val="Calibri"/>
        <family val="2"/>
        <scheme val="minor"/>
      </rPr>
      <t xml:space="preserve"> (kg/m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)</t>
    </r>
  </si>
  <si>
    <r>
      <t>m</t>
    </r>
    <r>
      <rPr>
        <vertAlign val="subscript"/>
        <sz val="11"/>
        <color theme="1"/>
        <rFont val="Calibri"/>
        <family val="2"/>
        <scheme val="minor"/>
      </rPr>
      <t>propellant total</t>
    </r>
    <r>
      <rPr>
        <sz val="11"/>
        <color theme="1"/>
        <rFont val="Calibri"/>
        <family val="2"/>
        <scheme val="minor"/>
      </rPr>
      <t xml:space="preserve"> (kg)</t>
    </r>
  </si>
  <si>
    <t>CM Position Full Max-q Conditions</t>
  </si>
  <si>
    <t>Rmean</t>
  </si>
  <si>
    <t>m</t>
  </si>
  <si>
    <t>CR</t>
  </si>
  <si>
    <r>
      <t>m</t>
    </r>
    <r>
      <rPr>
        <vertAlign val="subscript"/>
        <sz val="11"/>
        <color theme="1"/>
        <rFont val="Calibri"/>
        <family val="2"/>
        <scheme val="minor"/>
      </rPr>
      <t>max-q</t>
    </r>
    <r>
      <rPr>
        <sz val="11"/>
        <color theme="1"/>
        <rFont val="Calibri"/>
        <family val="2"/>
        <scheme val="minor"/>
      </rPr>
      <t xml:space="preserve"> (kg)</t>
    </r>
  </si>
  <si>
    <r>
      <t>m</t>
    </r>
    <r>
      <rPr>
        <vertAlign val="subscript"/>
        <sz val="11"/>
        <color theme="1"/>
        <rFont val="Calibri"/>
        <family val="2"/>
        <scheme val="minor"/>
      </rPr>
      <t>propellant left</t>
    </r>
    <r>
      <rPr>
        <sz val="11"/>
        <color theme="1"/>
        <rFont val="Calibri"/>
        <family val="2"/>
        <scheme val="minor"/>
      </rPr>
      <t xml:space="preserve"> (kg)</t>
    </r>
  </si>
  <si>
    <t>CM Position Empty (Dry)</t>
  </si>
  <si>
    <t>I</t>
  </si>
  <si>
    <t>m^4</t>
  </si>
  <si>
    <r>
      <t>T</t>
    </r>
    <r>
      <rPr>
        <vertAlign val="subscript"/>
        <sz val="11"/>
        <color theme="1"/>
        <rFont val="Calibri"/>
        <family val="2"/>
        <scheme val="minor"/>
      </rPr>
      <t>max-q</t>
    </r>
    <r>
      <rPr>
        <sz val="11"/>
        <color theme="1"/>
        <rFont val="Calibri"/>
        <family val="2"/>
        <scheme val="minor"/>
      </rPr>
      <t xml:space="preserve"> (s)</t>
    </r>
  </si>
  <si>
    <t>Fuel fraction</t>
  </si>
  <si>
    <t>Total for 1st Dry 2nd Full</t>
  </si>
  <si>
    <t>rhoA</t>
  </si>
  <si>
    <t>kg/m</t>
  </si>
  <si>
    <r>
      <t>n</t>
    </r>
    <r>
      <rPr>
        <vertAlign val="subscript"/>
        <sz val="11"/>
        <color theme="1"/>
        <rFont val="Calibri"/>
        <family val="2"/>
      </rPr>
      <t xml:space="preserve">max-q </t>
    </r>
    <r>
      <rPr>
        <sz val="11"/>
        <color theme="1"/>
        <rFont val="Calibri"/>
        <family val="2"/>
      </rPr>
      <t>(g0)</t>
    </r>
  </si>
  <si>
    <t>Oxidizer fraction</t>
  </si>
  <si>
    <t>CM for 1st Dry 2nd Full</t>
  </si>
  <si>
    <t>f1</t>
  </si>
  <si>
    <t>Hz</t>
  </si>
  <si>
    <r>
      <t>m</t>
    </r>
    <r>
      <rPr>
        <vertAlign val="subscript"/>
        <sz val="11"/>
        <color theme="1"/>
        <rFont val="Calibri"/>
        <family val="2"/>
        <scheme val="minor"/>
      </rPr>
      <t>fuel used</t>
    </r>
    <r>
      <rPr>
        <sz val="11"/>
        <color theme="1"/>
        <rFont val="Calibri"/>
        <family val="2"/>
        <scheme val="minor"/>
      </rPr>
      <t xml:space="preserve"> (kg)</t>
    </r>
  </si>
  <si>
    <t>Total for Only 2nd Full</t>
  </si>
  <si>
    <r>
      <t>m</t>
    </r>
    <r>
      <rPr>
        <vertAlign val="subscript"/>
        <sz val="11"/>
        <color theme="1"/>
        <rFont val="Calibri"/>
        <family val="2"/>
        <scheme val="minor"/>
      </rPr>
      <t xml:space="preserve">oxidizer used </t>
    </r>
    <r>
      <rPr>
        <sz val="11"/>
        <color theme="1"/>
        <rFont val="Calibri"/>
        <family val="2"/>
        <scheme val="minor"/>
      </rPr>
      <t>(kg)</t>
    </r>
  </si>
  <si>
    <t>CM for Only 2nd Full</t>
  </si>
  <si>
    <r>
      <t>m</t>
    </r>
    <r>
      <rPr>
        <vertAlign val="subscript"/>
        <sz val="11"/>
        <color theme="1"/>
        <rFont val="Calibri"/>
        <family val="2"/>
        <scheme val="minor"/>
      </rPr>
      <t xml:space="preserve">fuel remaining </t>
    </r>
    <r>
      <rPr>
        <sz val="11"/>
        <color theme="1"/>
        <rFont val="Calibri"/>
        <family val="2"/>
        <scheme val="minor"/>
      </rPr>
      <t>(kg)</t>
    </r>
  </si>
  <si>
    <t>Total for Only 2nd Empty</t>
  </si>
  <si>
    <t>Stage 1 Dry, Stage 2 Wet</t>
  </si>
  <si>
    <r>
      <t>m</t>
    </r>
    <r>
      <rPr>
        <vertAlign val="subscript"/>
        <sz val="11"/>
        <color theme="1"/>
        <rFont val="Calibri"/>
        <family val="2"/>
        <scheme val="minor"/>
      </rPr>
      <t>oxidizer left</t>
    </r>
    <r>
      <rPr>
        <sz val="11"/>
        <color theme="1"/>
        <rFont val="Calibri"/>
        <family val="2"/>
        <scheme val="minor"/>
      </rPr>
      <t xml:space="preserve"> (kg)</t>
    </r>
  </si>
  <si>
    <t>CM for Only 2nd Empty</t>
  </si>
  <si>
    <t>Max q</t>
  </si>
  <si>
    <r>
      <t>ṁ</t>
    </r>
    <r>
      <rPr>
        <vertAlign val="subscript"/>
        <sz val="12.55"/>
        <color theme="1"/>
        <rFont val="Calibri"/>
        <family val="2"/>
      </rPr>
      <t>max-q</t>
    </r>
    <r>
      <rPr>
        <sz val="11"/>
        <color theme="1"/>
        <rFont val="Calibri"/>
        <family val="2"/>
        <scheme val="minor"/>
      </rPr>
      <t xml:space="preserve"> (kg/s)</t>
    </r>
  </si>
  <si>
    <t>Total for Only 1st Empty</t>
  </si>
  <si>
    <t>fuel 1</t>
  </si>
  <si>
    <r>
      <t>CM</t>
    </r>
    <r>
      <rPr>
        <vertAlign val="subscript"/>
        <sz val="11"/>
        <color theme="1"/>
        <rFont val="Calibri"/>
        <family val="2"/>
      </rPr>
      <t>max-q</t>
    </r>
    <r>
      <rPr>
        <sz val="11"/>
        <color theme="1"/>
        <rFont val="Calibri"/>
        <family val="2"/>
      </rPr>
      <t xml:space="preserve"> (m)</t>
    </r>
  </si>
  <si>
    <t>CM for Only 1st Empty</t>
  </si>
  <si>
    <t>ox 1</t>
  </si>
  <si>
    <t>Stage 2 Wet</t>
  </si>
  <si>
    <t>Universal Values</t>
  </si>
  <si>
    <t>Stage 1</t>
  </si>
  <si>
    <t>Stage 2</t>
  </si>
  <si>
    <t>Max Q</t>
  </si>
  <si>
    <t>Max Q Mass and CM</t>
  </si>
  <si>
    <t>Cone</t>
  </si>
  <si>
    <t>Skirt</t>
  </si>
  <si>
    <t>Single/Reduce&amp;Add</t>
  </si>
  <si>
    <t>Single/Add</t>
  </si>
  <si>
    <t>Double/Reduce&amp;Add</t>
  </si>
  <si>
    <t>Double/Add</t>
  </si>
  <si>
    <t>Vernier</t>
  </si>
  <si>
    <r>
      <t>r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(m)</t>
    </r>
  </si>
  <si>
    <r>
      <t>q</t>
    </r>
    <r>
      <rPr>
        <vertAlign val="subscript"/>
        <sz val="11"/>
        <color theme="1"/>
        <rFont val="Calibri"/>
        <family val="2"/>
        <scheme val="minor"/>
      </rPr>
      <t>max-q</t>
    </r>
    <r>
      <rPr>
        <sz val="11"/>
        <color theme="1"/>
        <rFont val="Calibri"/>
        <family val="2"/>
        <scheme val="minor"/>
      </rPr>
      <t xml:space="preserve"> (Pa)</t>
    </r>
  </si>
  <si>
    <r>
      <t>m</t>
    </r>
    <r>
      <rPr>
        <vertAlign val="subscript"/>
        <sz val="11"/>
        <color theme="1"/>
        <rFont val="Calibri"/>
        <family val="2"/>
        <scheme val="minor"/>
      </rPr>
      <t>prop left</t>
    </r>
    <r>
      <rPr>
        <sz val="11"/>
        <color theme="1"/>
        <rFont val="Calibri"/>
        <family val="2"/>
        <scheme val="minor"/>
      </rPr>
      <t xml:space="preserve"> (kg)</t>
    </r>
  </si>
  <si>
    <r>
      <t>C</t>
    </r>
    <r>
      <rPr>
        <vertAlign val="subscript"/>
        <sz val="11"/>
        <color theme="1"/>
        <rFont val="Calibri"/>
        <family val="2"/>
        <scheme val="minor"/>
      </rPr>
      <t>nalpha</t>
    </r>
    <r>
      <rPr>
        <sz val="11"/>
        <color theme="1"/>
        <rFont val="Calibri"/>
        <family val="2"/>
        <scheme val="minor"/>
      </rPr>
      <t xml:space="preserve"> (1/rad)</t>
    </r>
  </si>
  <si>
    <t>Tr</t>
  </si>
  <si>
    <t>Ta</t>
  </si>
  <si>
    <t>Ta/c</t>
  </si>
  <si>
    <t>Moment</t>
  </si>
  <si>
    <r>
      <t>r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(m)</t>
    </r>
  </si>
  <si>
    <r>
      <t>v</t>
    </r>
    <r>
      <rPr>
        <vertAlign val="subscript"/>
        <sz val="11"/>
        <color theme="1"/>
        <rFont val="Calibri"/>
        <family val="2"/>
        <scheme val="minor"/>
      </rPr>
      <t>wind max-q</t>
    </r>
    <r>
      <rPr>
        <sz val="11"/>
        <color theme="1"/>
        <rFont val="Calibri"/>
        <family val="2"/>
        <scheme val="minor"/>
      </rPr>
      <t xml:space="preserve"> (m/s)</t>
    </r>
  </si>
  <si>
    <r>
      <t>area (m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</si>
  <si>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t>T/c</t>
  </si>
  <si>
    <t>CM to H 1</t>
  </si>
  <si>
    <r>
      <t>ρ (kg/m</t>
    </r>
    <r>
      <rPr>
        <vertAlign val="superscript"/>
        <sz val="11"/>
        <color theme="1"/>
        <rFont val="Calibri"/>
        <family val="2"/>
      </rPr>
      <t>3</t>
    </r>
    <r>
      <rPr>
        <sz val="11"/>
        <color theme="1"/>
        <rFont val="Calibri"/>
        <family val="2"/>
      </rPr>
      <t>)</t>
    </r>
  </si>
  <si>
    <r>
      <t>α</t>
    </r>
    <r>
      <rPr>
        <vertAlign val="subscript"/>
        <sz val="11"/>
        <color theme="1"/>
        <rFont val="Calibri"/>
        <family val="2"/>
      </rPr>
      <t>max-q</t>
    </r>
    <r>
      <rPr>
        <sz val="11"/>
        <color theme="1"/>
        <rFont val="Calibri"/>
        <family val="2"/>
      </rPr>
      <t xml:space="preserve"> (deg)</t>
    </r>
  </si>
  <si>
    <t>N (N)</t>
  </si>
  <si>
    <t>%</t>
  </si>
  <si>
    <t>CM to H 2</t>
  </si>
  <si>
    <r>
      <t>C</t>
    </r>
    <r>
      <rPr>
        <vertAlign val="subscript"/>
        <sz val="11"/>
        <color theme="1"/>
        <rFont val="Calibri"/>
        <family val="2"/>
        <scheme val="minor"/>
      </rPr>
      <t>d</t>
    </r>
  </si>
  <si>
    <t>Required Trim Force (N)</t>
  </si>
  <si>
    <t>D (N)</t>
  </si>
  <si>
    <t>F</t>
  </si>
  <si>
    <r>
      <t>g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(m/s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</si>
  <si>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r>
      <t>δ</t>
    </r>
    <r>
      <rPr>
        <vertAlign val="subscript"/>
        <sz val="11"/>
        <color theme="1"/>
        <rFont val="Calibri"/>
        <family val="2"/>
        <scheme val="minor"/>
      </rPr>
      <t>TVC</t>
    </r>
    <r>
      <rPr>
        <sz val="11"/>
        <color theme="1"/>
        <rFont val="Calibri"/>
        <family val="2"/>
        <scheme val="minor"/>
      </rPr>
      <t xml:space="preserve"> (deg)</t>
    </r>
  </si>
  <si>
    <t>Vi (N)</t>
  </si>
  <si>
    <t>F/2</t>
  </si>
  <si>
    <r>
      <t>h</t>
    </r>
    <r>
      <rPr>
        <vertAlign val="subscript"/>
        <sz val="11"/>
        <color theme="1"/>
        <rFont val="Calibri"/>
        <family val="2"/>
        <scheme val="minor"/>
      </rPr>
      <t>tot</t>
    </r>
    <r>
      <rPr>
        <sz val="11"/>
        <color theme="1"/>
        <rFont val="Calibri"/>
        <family val="2"/>
        <scheme val="minor"/>
      </rPr>
      <t xml:space="preserve"> (m)</t>
    </r>
  </si>
  <si>
    <r>
      <t>n</t>
    </r>
    <r>
      <rPr>
        <vertAlign val="subscript"/>
        <sz val="11"/>
        <color theme="1"/>
        <rFont val="Calibri"/>
        <family val="2"/>
        <scheme val="minor"/>
      </rPr>
      <t>z max-q</t>
    </r>
    <r>
      <rPr>
        <sz val="11"/>
        <color theme="1"/>
        <rFont val="Calibri"/>
        <family val="2"/>
        <scheme val="minor"/>
      </rPr>
      <t xml:space="preserve"> (g0)</t>
    </r>
  </si>
  <si>
    <t>Ai (N)</t>
  </si>
  <si>
    <t>Airload (Nm)</t>
  </si>
  <si>
    <t>Rocket Data</t>
  </si>
  <si>
    <t>Ground Forces</t>
  </si>
  <si>
    <t>HW10 Chart 1</t>
  </si>
  <si>
    <t>HW10 Chart 2</t>
  </si>
  <si>
    <t>HW10 Chart 3</t>
  </si>
  <si>
    <t>Ext or Int</t>
  </si>
  <si>
    <t>Height (m)</t>
  </si>
  <si>
    <t>CG (m)</t>
  </si>
  <si>
    <r>
      <t>Area (m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</si>
  <si>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r>
      <t>v</t>
    </r>
    <r>
      <rPr>
        <vertAlign val="subscript"/>
        <sz val="11"/>
        <color theme="1"/>
        <rFont val="Calibri"/>
        <family val="2"/>
        <scheme val="minor"/>
      </rPr>
      <t>ss</t>
    </r>
    <r>
      <rPr>
        <sz val="11"/>
        <color theme="1"/>
        <rFont val="Calibri"/>
        <family val="2"/>
        <scheme val="minor"/>
      </rPr>
      <t xml:space="preserve"> (m/s)</t>
    </r>
  </si>
  <si>
    <r>
      <t>v</t>
    </r>
    <r>
      <rPr>
        <vertAlign val="subscript"/>
        <sz val="11"/>
        <color theme="1"/>
        <rFont val="Calibri"/>
        <family val="2"/>
        <scheme val="minor"/>
      </rPr>
      <t>r</t>
    </r>
    <r>
      <rPr>
        <sz val="11"/>
        <color theme="1"/>
        <rFont val="Calibri"/>
        <family val="2"/>
        <scheme val="minor"/>
      </rPr>
      <t xml:space="preserve"> (m/s)</t>
    </r>
  </si>
  <si>
    <t>Wind (N)</t>
  </si>
  <si>
    <t>Num</t>
  </si>
  <si>
    <t>Location</t>
  </si>
  <si>
    <t>Shear Load (N)</t>
  </si>
  <si>
    <t>Bending Moment (Nm)</t>
  </si>
  <si>
    <t>Axial Load (N)</t>
  </si>
  <si>
    <t>Top of PLF</t>
  </si>
  <si>
    <t>-</t>
  </si>
  <si>
    <t>Top of Foreward Skirt 2</t>
  </si>
  <si>
    <t xml:space="preserve"> </t>
  </si>
  <si>
    <t>Top of Fuel Tank 2</t>
  </si>
  <si>
    <t>Bottom of Fuel Tank 2</t>
  </si>
  <si>
    <t>Top of Ox Tank 2</t>
  </si>
  <si>
    <t>Bottom of Ox Tank 2</t>
  </si>
  <si>
    <t>Top of Interstage</t>
  </si>
  <si>
    <t>Top of Fuel Tank 1</t>
  </si>
  <si>
    <t>Bottom of Fuel Tank 1</t>
  </si>
  <si>
    <t>Top of Ox Tank 1</t>
  </si>
  <si>
    <t>Bottom of Ox Tank 1</t>
  </si>
  <si>
    <t>Bottom of Aft Skirt 1</t>
  </si>
  <si>
    <t>Bottom</t>
  </si>
  <si>
    <t>Max Q Forces</t>
  </si>
  <si>
    <t>Inertia Relief (N)</t>
  </si>
  <si>
    <t>Axial Load (kN)</t>
  </si>
  <si>
    <t>HW11 Chart 1</t>
  </si>
  <si>
    <t>HW11 Chart 2</t>
  </si>
  <si>
    <t>HW11 Chart 3</t>
  </si>
  <si>
    <t>Kero</t>
  </si>
  <si>
    <t>mtot</t>
  </si>
  <si>
    <t>kg</t>
  </si>
  <si>
    <t>mmaxq</t>
  </si>
  <si>
    <t>mpropused</t>
  </si>
  <si>
    <t>mproptot</t>
  </si>
  <si>
    <t>mpropleft</t>
  </si>
  <si>
    <t>frac-f1</t>
  </si>
  <si>
    <t>frac-ox1</t>
  </si>
  <si>
    <t>mass-f1</t>
  </si>
  <si>
    <t>mass-ox1</t>
  </si>
  <si>
    <t>Radius</t>
  </si>
  <si>
    <t>Density</t>
  </si>
  <si>
    <t>LOx (kg/m^3)</t>
  </si>
  <si>
    <t>RP-1</t>
  </si>
  <si>
    <t>Stresses At Max Q</t>
  </si>
  <si>
    <t>Material</t>
  </si>
  <si>
    <t>Pressure (Pa)</t>
  </si>
  <si>
    <t>Shear (N)</t>
  </si>
  <si>
    <t>τ (Mpa)</t>
  </si>
  <si>
    <r>
      <t>σ</t>
    </r>
    <r>
      <rPr>
        <vertAlign val="subscript"/>
        <sz val="11"/>
        <color theme="1"/>
        <rFont val="Calibri"/>
        <family val="2"/>
      </rPr>
      <t>axial</t>
    </r>
    <r>
      <rPr>
        <sz val="11"/>
        <color theme="1"/>
        <rFont val="Calibri"/>
        <family val="2"/>
      </rPr>
      <t xml:space="preserve"> (MPA)</t>
    </r>
  </si>
  <si>
    <r>
      <t>σ</t>
    </r>
    <r>
      <rPr>
        <vertAlign val="subscript"/>
        <sz val="11"/>
        <color theme="1"/>
        <rFont val="Calibri"/>
        <family val="2"/>
      </rPr>
      <t>a</t>
    </r>
    <r>
      <rPr>
        <vertAlign val="superscript"/>
        <sz val="11"/>
        <color theme="1"/>
        <rFont val="Calibri"/>
        <family val="2"/>
      </rPr>
      <t xml:space="preserve"> </t>
    </r>
    <r>
      <rPr>
        <sz val="11"/>
        <color theme="1"/>
        <rFont val="Calibri"/>
        <family val="2"/>
      </rPr>
      <t>(MPA)</t>
    </r>
  </si>
  <si>
    <r>
      <t>σ</t>
    </r>
    <r>
      <rPr>
        <vertAlign val="subscript"/>
        <sz val="11"/>
        <color theme="1"/>
        <rFont val="Calibri"/>
        <family val="2"/>
        <scheme val="minor"/>
      </rPr>
      <t>b</t>
    </r>
    <r>
      <rPr>
        <sz val="11"/>
        <color theme="1"/>
        <rFont val="Calibri"/>
        <family val="2"/>
        <scheme val="minor"/>
      </rPr>
      <t xml:space="preserve"> (Mpa)</t>
    </r>
  </si>
  <si>
    <r>
      <t>σ</t>
    </r>
    <r>
      <rPr>
        <vertAlign val="subscript"/>
        <sz val="11"/>
        <color theme="1"/>
        <rFont val="Calibri"/>
        <family val="2"/>
        <scheme val="minor"/>
      </rPr>
      <t>max-vertical</t>
    </r>
    <r>
      <rPr>
        <sz val="11"/>
        <color theme="1"/>
        <rFont val="Calibri"/>
        <family val="2"/>
        <scheme val="minor"/>
      </rPr>
      <t xml:space="preserve"> (Mpa)</t>
    </r>
  </si>
  <si>
    <r>
      <t>σ</t>
    </r>
    <r>
      <rPr>
        <vertAlign val="subscript"/>
        <sz val="11"/>
        <color theme="1"/>
        <rFont val="Calibri"/>
        <family val="2"/>
        <scheme val="minor"/>
      </rPr>
      <t>max-horizontal</t>
    </r>
    <r>
      <rPr>
        <sz val="11"/>
        <color theme="1"/>
        <rFont val="Calibri"/>
        <family val="2"/>
        <scheme val="minor"/>
      </rPr>
      <t xml:space="preserve"> (Mpa)</t>
    </r>
  </si>
  <si>
    <r>
      <t>FS</t>
    </r>
    <r>
      <rPr>
        <vertAlign val="subscript"/>
        <sz val="11"/>
        <color theme="1"/>
        <rFont val="Calibri"/>
        <family val="2"/>
        <scheme val="minor"/>
      </rPr>
      <t>vertical</t>
    </r>
  </si>
  <si>
    <r>
      <t>MS</t>
    </r>
    <r>
      <rPr>
        <vertAlign val="subscript"/>
        <sz val="11"/>
        <color theme="1"/>
        <rFont val="Calibri"/>
        <family val="2"/>
        <scheme val="minor"/>
      </rPr>
      <t>vertical</t>
    </r>
  </si>
  <si>
    <r>
      <t>FS</t>
    </r>
    <r>
      <rPr>
        <vertAlign val="subscript"/>
        <sz val="11"/>
        <color theme="1"/>
        <rFont val="Calibri"/>
        <family val="2"/>
        <scheme val="minor"/>
      </rPr>
      <t>horizontal</t>
    </r>
  </si>
  <si>
    <r>
      <t>MS</t>
    </r>
    <r>
      <rPr>
        <vertAlign val="subscript"/>
        <sz val="11"/>
        <color theme="1"/>
        <rFont val="Calibri"/>
        <family val="2"/>
        <scheme val="minor"/>
      </rPr>
      <t>horizontal</t>
    </r>
  </si>
  <si>
    <t>AL 7075-T6 (20C)</t>
  </si>
  <si>
    <t>AL 2014-T6 (-183C)</t>
  </si>
  <si>
    <t>Stresses At Ground</t>
  </si>
  <si>
    <t>Max Stresses</t>
  </si>
  <si>
    <t>Load Case</t>
  </si>
  <si>
    <t>Stress (Mpa)</t>
  </si>
  <si>
    <t>Yield Stress (Mpa)</t>
  </si>
  <si>
    <t>MS</t>
  </si>
  <si>
    <t>Ground Load</t>
  </si>
  <si>
    <t>Component</t>
  </si>
  <si>
    <r>
      <t>Op Temp (C</t>
    </r>
    <r>
      <rPr>
        <sz val="11"/>
        <color theme="1"/>
        <rFont val="Calibri"/>
        <family val="2"/>
      </rPr>
      <t>°)</t>
    </r>
  </si>
  <si>
    <t>Elastic Modulus</t>
  </si>
  <si>
    <t>Yield Stress</t>
  </si>
  <si>
    <t>Source</t>
  </si>
  <si>
    <t>Website</t>
  </si>
  <si>
    <t>LO2 Tank</t>
  </si>
  <si>
    <t>AL 2219-T87 (-161.5C)</t>
  </si>
  <si>
    <t>AL 2219-T87</t>
  </si>
  <si>
    <t>www.matweb.com</t>
  </si>
  <si>
    <t>RP-1 Tank</t>
  </si>
  <si>
    <t>AL 2219-T87 (20C)</t>
  </si>
  <si>
    <t>AL 2219-T87 (-183C)</t>
  </si>
  <si>
    <t>Walls</t>
  </si>
  <si>
    <t>AL 6061-T6 (20C)</t>
  </si>
  <si>
    <t>AL 6061-T6</t>
  </si>
  <si>
    <t>AL 2014-T6</t>
  </si>
  <si>
    <t>AL 7075-T6</t>
  </si>
  <si>
    <t>LCH4 Tank</t>
  </si>
  <si>
    <t>AL 2014-T6 (-173C)</t>
  </si>
  <si>
    <t>Fairing</t>
  </si>
  <si>
    <t>AL 2219-T852 (20C)</t>
  </si>
  <si>
    <t>AL 2219-T852</t>
  </si>
  <si>
    <t>Mass Estimations</t>
  </si>
  <si>
    <r>
      <t>V</t>
    </r>
    <r>
      <rPr>
        <vertAlign val="subscript"/>
        <sz val="11"/>
        <color theme="1"/>
        <rFont val="Calibri"/>
        <family val="2"/>
        <scheme val="minor"/>
      </rPr>
      <t>wall</t>
    </r>
    <r>
      <rPr>
        <sz val="11"/>
        <color theme="1"/>
        <rFont val="Calibri"/>
        <family val="2"/>
        <scheme val="minor"/>
      </rPr>
      <t xml:space="preserve"> (m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)</t>
    </r>
  </si>
  <si>
    <r>
      <t>M</t>
    </r>
    <r>
      <rPr>
        <vertAlign val="subscript"/>
        <sz val="11"/>
        <color theme="1"/>
        <rFont val="Calibri"/>
        <family val="2"/>
        <scheme val="minor"/>
      </rPr>
      <t>wall</t>
    </r>
    <r>
      <rPr>
        <sz val="11"/>
        <color theme="1"/>
        <rFont val="Calibri"/>
        <family val="2"/>
        <scheme val="minor"/>
      </rPr>
      <t xml:space="preserve"> (kg)</t>
    </r>
  </si>
  <si>
    <r>
      <t>M</t>
    </r>
    <r>
      <rPr>
        <vertAlign val="subscript"/>
        <sz val="11"/>
        <color theme="1"/>
        <rFont val="Calibri"/>
        <family val="2"/>
        <scheme val="minor"/>
      </rPr>
      <t>previous</t>
    </r>
    <r>
      <rPr>
        <sz val="11"/>
        <color theme="1"/>
        <rFont val="Calibri"/>
        <family val="2"/>
        <scheme val="minor"/>
      </rPr>
      <t xml:space="preserve"> (kg)</t>
    </r>
  </si>
  <si>
    <r>
      <t>M</t>
    </r>
    <r>
      <rPr>
        <vertAlign val="subscript"/>
        <sz val="11"/>
        <color theme="1"/>
        <rFont val="Calibri"/>
        <family val="2"/>
        <scheme val="minor"/>
      </rPr>
      <t>revised</t>
    </r>
    <r>
      <rPr>
        <sz val="11"/>
        <color theme="1"/>
        <rFont val="Calibri"/>
        <family val="2"/>
        <scheme val="minor"/>
      </rPr>
      <t xml:space="preserve"> (kg)</t>
    </r>
  </si>
  <si>
    <t>ΔM (kg)</t>
  </si>
  <si>
    <t>Total ΔM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</si>
</sst>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"/>
  </numFmts>
  <fonts count="1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</font>
    <font>
      <vertAlign val="super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</font>
    <font>
      <vertAlign val="subscript"/>
      <sz val="12.55"/>
      <color theme="1"/>
      <name val="Calibri"/>
      <family val="2"/>
    </font>
    <font>
      <vertAlign val="superscript"/>
      <sz val="11"/>
      <color theme="1"/>
      <name val="Calibri"/>
      <family val="2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theme="2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3">
    <xf numFmtId="0" fontId="0" fillId="0" borderId="0"/>
    <xf numFmtId="9" fontId="10" fillId="0" borderId="0" applyFont="0" applyFill="0" applyBorder="0" applyAlignment="0" applyProtection="0"/>
    <xf numFmtId="0" fontId="11" fillId="0" borderId="0" applyNumberFormat="0" applyFill="0" applyBorder="0" applyAlignment="0" applyProtection="0"/>
  </cellStyleXfs>
  <cellXfs count="174">
    <xf numFmtId="0" fontId="0" fillId="0" borderId="0" xfId="0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3" fillId="0" borderId="6" xfId="0" applyFont="1" applyBorder="1"/>
    <xf numFmtId="0" fontId="0" fillId="2" borderId="0" xfId="0" applyFill="1" applyBorder="1"/>
    <xf numFmtId="0" fontId="0" fillId="2" borderId="0" xfId="0" applyFill="1" applyBorder="1" applyAlignment="1">
      <alignment horizontal="right"/>
    </xf>
    <xf numFmtId="0" fontId="0" fillId="3" borderId="0" xfId="0" applyFill="1" applyBorder="1"/>
    <xf numFmtId="0" fontId="0" fillId="3" borderId="0" xfId="0" applyFill="1" applyBorder="1" applyAlignment="1">
      <alignment horizontal="right"/>
    </xf>
    <xf numFmtId="0" fontId="0" fillId="4" borderId="0" xfId="0" applyFill="1" applyBorder="1"/>
    <xf numFmtId="0" fontId="0" fillId="4" borderId="0" xfId="0" applyFill="1" applyBorder="1" applyAlignment="1">
      <alignment horizontal="right"/>
    </xf>
    <xf numFmtId="0" fontId="0" fillId="5" borderId="0" xfId="0" applyFill="1" applyBorder="1"/>
    <xf numFmtId="0" fontId="0" fillId="5" borderId="0" xfId="0" applyFill="1"/>
    <xf numFmtId="0" fontId="0" fillId="2" borderId="6" xfId="0" applyFill="1" applyBorder="1"/>
    <xf numFmtId="0" fontId="0" fillId="3" borderId="6" xfId="0" applyFill="1" applyBorder="1"/>
    <xf numFmtId="0" fontId="0" fillId="4" borderId="6" xfId="0" applyFill="1" applyBorder="1"/>
    <xf numFmtId="165" fontId="0" fillId="4" borderId="0" xfId="0" applyNumberFormat="1" applyFill="1" applyBorder="1" applyAlignment="1">
      <alignment horizontal="right"/>
    </xf>
    <xf numFmtId="165" fontId="0" fillId="3" borderId="0" xfId="0" applyNumberFormat="1" applyFill="1" applyBorder="1" applyAlignment="1">
      <alignment horizontal="right"/>
    </xf>
    <xf numFmtId="165" fontId="0" fillId="2" borderId="0" xfId="0" applyNumberFormat="1" applyFill="1" applyBorder="1" applyAlignment="1">
      <alignment horizontal="right"/>
    </xf>
    <xf numFmtId="1" fontId="0" fillId="2" borderId="0" xfId="0" applyNumberFormat="1" applyFill="1" applyBorder="1" applyAlignment="1">
      <alignment horizontal="right"/>
    </xf>
    <xf numFmtId="2" fontId="0" fillId="2" borderId="0" xfId="0" applyNumberFormat="1" applyFill="1" applyBorder="1" applyAlignment="1">
      <alignment horizontal="right"/>
    </xf>
    <xf numFmtId="2" fontId="0" fillId="3" borderId="0" xfId="0" applyNumberFormat="1" applyFill="1" applyBorder="1" applyAlignment="1">
      <alignment horizontal="right"/>
    </xf>
    <xf numFmtId="165" fontId="0" fillId="2" borderId="0" xfId="0" quotePrefix="1" applyNumberFormat="1" applyFill="1" applyBorder="1" applyAlignment="1">
      <alignment horizontal="right"/>
    </xf>
    <xf numFmtId="165" fontId="0" fillId="3" borderId="0" xfId="0" quotePrefix="1" applyNumberFormat="1" applyFill="1" applyBorder="1" applyAlignment="1">
      <alignment horizontal="right"/>
    </xf>
    <xf numFmtId="165" fontId="0" fillId="4" borderId="0" xfId="0" quotePrefix="1" applyNumberFormat="1" applyFill="1" applyBorder="1" applyAlignment="1">
      <alignment horizontal="right"/>
    </xf>
    <xf numFmtId="165" fontId="0" fillId="0" borderId="16" xfId="0" applyNumberFormat="1" applyBorder="1"/>
    <xf numFmtId="165" fontId="0" fillId="0" borderId="0" xfId="0" applyNumberFormat="1" applyBorder="1"/>
    <xf numFmtId="165" fontId="0" fillId="0" borderId="0" xfId="0" applyNumberFormat="1"/>
    <xf numFmtId="1" fontId="0" fillId="0" borderId="0" xfId="0" applyNumberFormat="1"/>
    <xf numFmtId="1" fontId="0" fillId="0" borderId="0" xfId="0" applyNumberFormat="1" applyBorder="1"/>
    <xf numFmtId="165" fontId="0" fillId="2" borderId="0" xfId="0" applyNumberFormat="1" applyFill="1" applyBorder="1"/>
    <xf numFmtId="165" fontId="0" fillId="3" borderId="0" xfId="0" applyNumberFormat="1" applyFill="1" applyBorder="1"/>
    <xf numFmtId="165" fontId="0" fillId="4" borderId="0" xfId="0" applyNumberFormat="1" applyFill="1" applyBorder="1"/>
    <xf numFmtId="1" fontId="0" fillId="3" borderId="0" xfId="0" applyNumberFormat="1" applyFill="1" applyBorder="1" applyAlignment="1">
      <alignment horizontal="right"/>
    </xf>
    <xf numFmtId="0" fontId="0" fillId="0" borderId="0" xfId="0" applyFill="1" applyBorder="1"/>
    <xf numFmtId="0" fontId="3" fillId="0" borderId="8" xfId="0" applyFont="1" applyFill="1" applyBorder="1"/>
    <xf numFmtId="0" fontId="1" fillId="5" borderId="1" xfId="0" applyFont="1" applyFill="1" applyBorder="1" applyAlignment="1"/>
    <xf numFmtId="0" fontId="1" fillId="5" borderId="3" xfId="0" applyFont="1" applyFill="1" applyBorder="1" applyAlignment="1"/>
    <xf numFmtId="0" fontId="0" fillId="5" borderId="3" xfId="0" applyFill="1" applyBorder="1"/>
    <xf numFmtId="0" fontId="0" fillId="0" borderId="9" xfId="0" applyBorder="1" applyAlignment="1">
      <alignment horizontal="right"/>
    </xf>
    <xf numFmtId="0" fontId="0" fillId="0" borderId="10" xfId="0" applyBorder="1" applyAlignment="1">
      <alignment horizontal="right"/>
    </xf>
    <xf numFmtId="0" fontId="1" fillId="5" borderId="1" xfId="0" applyFont="1" applyFill="1" applyBorder="1"/>
    <xf numFmtId="0" fontId="1" fillId="5" borderId="2" xfId="0" applyFont="1" applyFill="1" applyBorder="1"/>
    <xf numFmtId="0" fontId="1" fillId="5" borderId="3" xfId="0" applyFont="1" applyFill="1" applyBorder="1"/>
    <xf numFmtId="0" fontId="0" fillId="5" borderId="6" xfId="0" applyFill="1" applyBorder="1"/>
    <xf numFmtId="0" fontId="0" fillId="0" borderId="0" xfId="0" applyFill="1"/>
    <xf numFmtId="0" fontId="0" fillId="2" borderId="0" xfId="0" applyFill="1"/>
    <xf numFmtId="0" fontId="0" fillId="2" borderId="0" xfId="0" applyFill="1" applyAlignment="1">
      <alignment horizontal="right"/>
    </xf>
    <xf numFmtId="0" fontId="0" fillId="2" borderId="0" xfId="0" applyFill="1" applyAlignment="1">
      <alignment horizontal="right" indent="1"/>
    </xf>
    <xf numFmtId="0" fontId="0" fillId="3" borderId="0" xfId="0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right" indent="1"/>
    </xf>
    <xf numFmtId="0" fontId="0" fillId="4" borderId="0" xfId="0" applyFill="1"/>
    <xf numFmtId="0" fontId="0" fillId="4" borderId="0" xfId="0" applyFill="1" applyAlignment="1">
      <alignment horizontal="right"/>
    </xf>
    <xf numFmtId="0" fontId="0" fillId="4" borderId="0" xfId="0" applyFill="1" applyAlignment="1">
      <alignment horizontal="right" indent="1"/>
    </xf>
    <xf numFmtId="164" fontId="0" fillId="4" borderId="0" xfId="0" applyNumberFormat="1" applyFill="1"/>
    <xf numFmtId="164" fontId="0" fillId="0" borderId="7" xfId="0" applyNumberFormat="1" applyBorder="1"/>
    <xf numFmtId="165" fontId="0" fillId="0" borderId="7" xfId="0" applyNumberFormat="1" applyBorder="1"/>
    <xf numFmtId="2" fontId="0" fillId="0" borderId="7" xfId="0" applyNumberFormat="1" applyBorder="1"/>
    <xf numFmtId="1" fontId="0" fillId="0" borderId="5" xfId="0" applyNumberFormat="1" applyBorder="1"/>
    <xf numFmtId="164" fontId="0" fillId="0" borderId="10" xfId="0" applyNumberFormat="1" applyFill="1" applyBorder="1"/>
    <xf numFmtId="0" fontId="1" fillId="0" borderId="0" xfId="0" applyFont="1" applyFill="1" applyBorder="1" applyAlignment="1"/>
    <xf numFmtId="164" fontId="0" fillId="0" borderId="10" xfId="0" applyNumberFormat="1" applyBorder="1"/>
    <xf numFmtId="166" fontId="0" fillId="0" borderId="7" xfId="0" applyNumberFormat="1" applyBorder="1"/>
    <xf numFmtId="0" fontId="1" fillId="0" borderId="18" xfId="0" applyFont="1" applyFill="1" applyBorder="1"/>
    <xf numFmtId="1" fontId="0" fillId="0" borderId="7" xfId="0" applyNumberFormat="1" applyBorder="1"/>
    <xf numFmtId="166" fontId="0" fillId="0" borderId="0" xfId="0" applyNumberFormat="1" applyBorder="1"/>
    <xf numFmtId="1" fontId="0" fillId="0" borderId="9" xfId="0" applyNumberFormat="1" applyBorder="1"/>
    <xf numFmtId="1" fontId="0" fillId="0" borderId="10" xfId="0" applyNumberFormat="1" applyBorder="1"/>
    <xf numFmtId="0" fontId="0" fillId="0" borderId="8" xfId="0" applyFill="1" applyBorder="1"/>
    <xf numFmtId="165" fontId="0" fillId="0" borderId="10" xfId="0" applyNumberFormat="1" applyBorder="1"/>
    <xf numFmtId="0" fontId="0" fillId="0" borderId="13" xfId="0" applyBorder="1"/>
    <xf numFmtId="0" fontId="0" fillId="0" borderId="15" xfId="0" applyBorder="1"/>
    <xf numFmtId="0" fontId="0" fillId="0" borderId="15" xfId="0" applyFill="1" applyBorder="1"/>
    <xf numFmtId="165" fontId="0" fillId="0" borderId="10" xfId="0" applyNumberFormat="1" applyFill="1" applyBorder="1"/>
    <xf numFmtId="2" fontId="0" fillId="0" borderId="6" xfId="0" applyNumberFormat="1" applyBorder="1"/>
    <xf numFmtId="1" fontId="0" fillId="0" borderId="6" xfId="0" applyNumberFormat="1" applyBorder="1"/>
    <xf numFmtId="166" fontId="0" fillId="0" borderId="6" xfId="0" applyNumberFormat="1" applyBorder="1"/>
    <xf numFmtId="165" fontId="0" fillId="0" borderId="5" xfId="0" applyNumberFormat="1" applyBorder="1"/>
    <xf numFmtId="1" fontId="0" fillId="0" borderId="17" xfId="0" applyNumberFormat="1" applyBorder="1"/>
    <xf numFmtId="0" fontId="0" fillId="5" borderId="7" xfId="0" applyFill="1" applyBorder="1"/>
    <xf numFmtId="165" fontId="0" fillId="2" borderId="7" xfId="0" applyNumberFormat="1" applyFill="1" applyBorder="1" applyAlignment="1">
      <alignment horizontal="right"/>
    </xf>
    <xf numFmtId="165" fontId="0" fillId="2" borderId="7" xfId="0" quotePrefix="1" applyNumberFormat="1" applyFill="1" applyBorder="1" applyAlignment="1">
      <alignment horizontal="right"/>
    </xf>
    <xf numFmtId="165" fontId="0" fillId="3" borderId="7" xfId="0" applyNumberFormat="1" applyFill="1" applyBorder="1" applyAlignment="1">
      <alignment horizontal="right"/>
    </xf>
    <xf numFmtId="165" fontId="0" fillId="3" borderId="7" xfId="0" quotePrefix="1" applyNumberFormat="1" applyFill="1" applyBorder="1" applyAlignment="1">
      <alignment horizontal="right"/>
    </xf>
    <xf numFmtId="1" fontId="0" fillId="3" borderId="7" xfId="0" quotePrefix="1" applyNumberFormat="1" applyFill="1" applyBorder="1" applyAlignment="1">
      <alignment horizontal="right"/>
    </xf>
    <xf numFmtId="165" fontId="0" fillId="4" borderId="7" xfId="0" quotePrefix="1" applyNumberFormat="1" applyFill="1" applyBorder="1" applyAlignment="1">
      <alignment horizontal="right"/>
    </xf>
    <xf numFmtId="1" fontId="0" fillId="0" borderId="0" xfId="0" applyNumberFormat="1" applyFill="1" applyBorder="1"/>
    <xf numFmtId="2" fontId="0" fillId="0" borderId="16" xfId="0" applyNumberFormat="1" applyBorder="1"/>
    <xf numFmtId="1" fontId="0" fillId="0" borderId="14" xfId="0" applyNumberFormat="1" applyBorder="1"/>
    <xf numFmtId="1" fontId="0" fillId="0" borderId="16" xfId="0" applyNumberFormat="1" applyBorder="1"/>
    <xf numFmtId="0" fontId="3" fillId="0" borderId="19" xfId="0" applyFont="1" applyFill="1" applyBorder="1"/>
    <xf numFmtId="165" fontId="0" fillId="0" borderId="20" xfId="0" applyNumberFormat="1" applyFill="1" applyBorder="1"/>
    <xf numFmtId="0" fontId="0" fillId="0" borderId="0" xfId="0" applyBorder="1" applyAlignment="1">
      <alignment horizontal="left"/>
    </xf>
    <xf numFmtId="0" fontId="0" fillId="0" borderId="0" xfId="0" applyBorder="1" applyAlignment="1">
      <alignment vertical="center" wrapText="1"/>
    </xf>
    <xf numFmtId="166" fontId="0" fillId="4" borderId="0" xfId="0" applyNumberFormat="1" applyFill="1" applyBorder="1" applyAlignment="1">
      <alignment horizontal="right"/>
    </xf>
    <xf numFmtId="0" fontId="0" fillId="3" borderId="0" xfId="0" applyNumberFormat="1" applyFill="1" applyAlignment="1">
      <alignment horizontal="right"/>
    </xf>
    <xf numFmtId="0" fontId="0" fillId="3" borderId="0" xfId="0" applyNumberFormat="1" applyFill="1"/>
    <xf numFmtId="0" fontId="0" fillId="4" borderId="0" xfId="0" applyNumberFormat="1" applyFill="1" applyAlignment="1">
      <alignment horizontal="right"/>
    </xf>
    <xf numFmtId="0" fontId="0" fillId="4" borderId="0" xfId="0" applyNumberFormat="1" applyFill="1"/>
    <xf numFmtId="165" fontId="0" fillId="0" borderId="21" xfId="0" applyNumberFormat="1" applyBorder="1"/>
    <xf numFmtId="165" fontId="0" fillId="0" borderId="22" xfId="0" applyNumberFormat="1" applyBorder="1"/>
    <xf numFmtId="165" fontId="0" fillId="0" borderId="23" xfId="0" applyNumberFormat="1" applyBorder="1"/>
    <xf numFmtId="0" fontId="0" fillId="2" borderId="0" xfId="0" applyNumberFormat="1" applyFill="1"/>
    <xf numFmtId="0" fontId="0" fillId="0" borderId="21" xfId="0" applyBorder="1"/>
    <xf numFmtId="0" fontId="0" fillId="0" borderId="22" xfId="0" applyBorder="1" applyAlignment="1">
      <alignment horizontal="right"/>
    </xf>
    <xf numFmtId="0" fontId="0" fillId="0" borderId="23" xfId="0" applyBorder="1" applyAlignment="1">
      <alignment horizontal="right"/>
    </xf>
    <xf numFmtId="0" fontId="0" fillId="0" borderId="24" xfId="0" applyBorder="1"/>
    <xf numFmtId="0" fontId="0" fillId="0" borderId="14" xfId="0" applyBorder="1"/>
    <xf numFmtId="2" fontId="0" fillId="0" borderId="15" xfId="0" applyNumberFormat="1" applyBorder="1"/>
    <xf numFmtId="2" fontId="0" fillId="0" borderId="0" xfId="0" applyNumberFormat="1" applyBorder="1"/>
    <xf numFmtId="0" fontId="0" fillId="0" borderId="26" xfId="0" applyBorder="1"/>
    <xf numFmtId="2" fontId="0" fillId="0" borderId="27" xfId="0" applyNumberFormat="1" applyBorder="1"/>
    <xf numFmtId="2" fontId="0" fillId="0" borderId="28" xfId="0" applyNumberFormat="1" applyBorder="1"/>
    <xf numFmtId="0" fontId="0" fillId="0" borderId="16" xfId="0" applyBorder="1"/>
    <xf numFmtId="0" fontId="0" fillId="2" borderId="0" xfId="0" applyFill="1" applyAlignment="1"/>
    <xf numFmtId="0" fontId="0" fillId="3" borderId="0" xfId="0" applyFill="1" applyAlignment="1"/>
    <xf numFmtId="0" fontId="0" fillId="4" borderId="0" xfId="0" applyFill="1" applyAlignment="1"/>
    <xf numFmtId="2" fontId="9" fillId="0" borderId="16" xfId="0" applyNumberFormat="1" applyFont="1" applyBorder="1"/>
    <xf numFmtId="0" fontId="0" fillId="2" borderId="0" xfId="0" applyNumberFormat="1" applyFill="1" applyAlignment="1">
      <alignment horizontal="right"/>
    </xf>
    <xf numFmtId="0" fontId="0" fillId="0" borderId="10" xfId="0" applyBorder="1"/>
    <xf numFmtId="2" fontId="0" fillId="2" borderId="0" xfId="0" applyNumberFormat="1" applyFill="1"/>
    <xf numFmtId="166" fontId="0" fillId="2" borderId="0" xfId="0" applyNumberFormat="1" applyFill="1" applyAlignment="1">
      <alignment horizontal="right"/>
    </xf>
    <xf numFmtId="2" fontId="0" fillId="4" borderId="0" xfId="0" applyNumberFormat="1" applyFill="1"/>
    <xf numFmtId="166" fontId="0" fillId="4" borderId="0" xfId="0" applyNumberFormat="1" applyFill="1"/>
    <xf numFmtId="165" fontId="0" fillId="4" borderId="0" xfId="0" applyNumberFormat="1" applyFill="1"/>
    <xf numFmtId="11" fontId="0" fillId="4" borderId="0" xfId="0" applyNumberFormat="1" applyFill="1"/>
    <xf numFmtId="165" fontId="0" fillId="4" borderId="0" xfId="0" applyNumberFormat="1" applyFill="1" applyAlignment="1">
      <alignment horizontal="right"/>
    </xf>
    <xf numFmtId="2" fontId="0" fillId="3" borderId="0" xfId="0" applyNumberFormat="1" applyFill="1"/>
    <xf numFmtId="166" fontId="0" fillId="3" borderId="0" xfId="0" applyNumberFormat="1" applyFill="1"/>
    <xf numFmtId="165" fontId="0" fillId="3" borderId="0" xfId="0" applyNumberFormat="1" applyFill="1"/>
    <xf numFmtId="11" fontId="0" fillId="3" borderId="0" xfId="0" applyNumberFormat="1" applyFill="1"/>
    <xf numFmtId="165" fontId="0" fillId="3" borderId="0" xfId="0" applyNumberFormat="1" applyFill="1" applyAlignment="1">
      <alignment horizontal="right"/>
    </xf>
    <xf numFmtId="0" fontId="3" fillId="5" borderId="0" xfId="0" applyFont="1" applyFill="1"/>
    <xf numFmtId="0" fontId="11" fillId="0" borderId="0" xfId="2"/>
    <xf numFmtId="9" fontId="0" fillId="0" borderId="0" xfId="1" applyFont="1" applyFill="1" applyBorder="1"/>
    <xf numFmtId="1" fontId="0" fillId="0" borderId="0" xfId="0" applyNumberFormat="1" applyAlignment="1">
      <alignment horizontal="right"/>
    </xf>
    <xf numFmtId="11" fontId="0" fillId="0" borderId="0" xfId="0" applyNumberFormat="1"/>
    <xf numFmtId="9" fontId="0" fillId="0" borderId="0" xfId="1" applyFont="1" applyBorder="1"/>
    <xf numFmtId="166" fontId="0" fillId="0" borderId="0" xfId="0" applyNumberFormat="1"/>
    <xf numFmtId="9" fontId="0" fillId="0" borderId="0" xfId="1" applyFont="1"/>
    <xf numFmtId="164" fontId="0" fillId="0" borderId="0" xfId="0" applyNumberFormat="1"/>
    <xf numFmtId="2" fontId="0" fillId="0" borderId="0" xfId="0" applyNumberFormat="1"/>
    <xf numFmtId="0" fontId="0" fillId="0" borderId="0" xfId="0" applyAlignment="1">
      <alignment horizontal="right"/>
    </xf>
    <xf numFmtId="0" fontId="0" fillId="0" borderId="0" xfId="0" quotePrefix="1"/>
    <xf numFmtId="1" fontId="0" fillId="0" borderId="0" xfId="0" quotePrefix="1" applyNumberFormat="1"/>
    <xf numFmtId="165" fontId="0" fillId="0" borderId="0" xfId="1" applyNumberFormat="1" applyFont="1"/>
    <xf numFmtId="0" fontId="1" fillId="5" borderId="11" xfId="0" applyFont="1" applyFill="1" applyBorder="1" applyAlignment="1">
      <alignment horizontal="center"/>
    </xf>
    <xf numFmtId="0" fontId="1" fillId="5" borderId="14" xfId="0" applyFont="1" applyFill="1" applyBorder="1" applyAlignment="1">
      <alignment horizontal="center"/>
    </xf>
    <xf numFmtId="0" fontId="1" fillId="5" borderId="25" xfId="0" applyFont="1" applyFill="1" applyBorder="1" applyAlignment="1">
      <alignment horizontal="center"/>
    </xf>
    <xf numFmtId="0" fontId="1" fillId="5" borderId="12" xfId="0" applyFont="1" applyFill="1" applyBorder="1" applyAlignment="1">
      <alignment horizontal="center"/>
    </xf>
    <xf numFmtId="0" fontId="1" fillId="8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1" fillId="7" borderId="11" xfId="0" applyFont="1" applyFill="1" applyBorder="1" applyAlignment="1">
      <alignment horizontal="center"/>
    </xf>
    <xf numFmtId="0" fontId="1" fillId="7" borderId="25" xfId="0" applyFont="1" applyFill="1" applyBorder="1" applyAlignment="1">
      <alignment horizontal="center"/>
    </xf>
    <xf numFmtId="0" fontId="1" fillId="7" borderId="12" xfId="0" applyFont="1" applyFill="1" applyBorder="1" applyAlignment="1">
      <alignment horizontal="center"/>
    </xf>
    <xf numFmtId="0" fontId="0" fillId="6" borderId="15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6" borderId="16" xfId="0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12" xfId="0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" fillId="5" borderId="1" xfId="0" applyFont="1" applyFill="1" applyBorder="1" applyAlignment="1">
      <alignment horizontal="left"/>
    </xf>
    <xf numFmtId="0" fontId="1" fillId="5" borderId="2" xfId="0" applyFont="1" applyFill="1" applyBorder="1" applyAlignment="1">
      <alignment horizontal="left"/>
    </xf>
    <xf numFmtId="0" fontId="1" fillId="5" borderId="3" xfId="0" applyFont="1" applyFill="1" applyBorder="1" applyAlignment="1">
      <alignment horizontal="left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</cellXfs>
  <cellStyles count="3">
    <cellStyle name="Hyperlink" xfId="2" builtinId="8"/>
    <cellStyle name="Normal" xfId="0" builtinId="0"/>
    <cellStyle name="Percent" xfId="1" builtinId="5"/>
  </cellStyles>
  <dxfs count="126">
    <dxf>
      <numFmt numFmtId="2" formatCode="0.00"/>
    </dxf>
    <dxf>
      <numFmt numFmtId="2" formatCode="0.00"/>
      <fill>
        <patternFill patternType="solid">
          <fgColor indexed="64"/>
          <bgColor theme="7" tint="0.79998168889431442"/>
        </patternFill>
      </fill>
    </dxf>
    <dxf>
      <numFmt numFmtId="166" formatCode="0.0"/>
    </dxf>
    <dxf>
      <numFmt numFmtId="166" formatCode="0.0"/>
      <fill>
        <patternFill patternType="solid">
          <fgColor indexed="64"/>
          <bgColor theme="7" tint="0.79998168889431442"/>
        </patternFill>
      </fill>
      <alignment horizontal="right" vertical="bottom" textRotation="0" wrapText="0" indent="0" justifyLastLine="0" shrinkToFit="0" readingOrder="0"/>
    </dxf>
    <dxf>
      <numFmt numFmtId="166" formatCode="0.0"/>
    </dxf>
    <dxf>
      <numFmt numFmtId="165" formatCode="0.000"/>
    </dxf>
    <dxf>
      <numFmt numFmtId="15" formatCode="0.00E+00"/>
    </dxf>
    <dxf>
      <numFmt numFmtId="165" formatCode="0.000"/>
      <fill>
        <patternFill patternType="none">
          <fgColor indexed="64"/>
          <bgColor auto="1"/>
        </patternFill>
      </fill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fgColor indexed="64"/>
          <bgColor theme="0" tint="-0.14999847407452621"/>
        </patternFill>
      </fill>
    </dxf>
    <dxf>
      <numFmt numFmtId="13" formatCode="0%"/>
    </dxf>
    <dxf>
      <numFmt numFmtId="1" formatCode="0"/>
    </dxf>
    <dxf>
      <numFmt numFmtId="1" formatCode="0"/>
    </dxf>
    <dxf>
      <numFmt numFmtId="1" formatCode="0"/>
      <alignment horizontal="right" vertical="bottom" textRotation="0" wrapText="0" indent="0" justifyLastLine="0" shrinkToFit="0" readingOrder="0"/>
    </dxf>
    <dxf>
      <numFmt numFmtId="15" formatCode="0.00E+00"/>
    </dxf>
    <dxf>
      <numFmt numFmtId="165" formatCode="0.000"/>
      <fill>
        <patternFill patternType="none">
          <fgColor indexed="64"/>
          <bgColor auto="1"/>
        </patternFill>
      </fill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fgColor indexed="64"/>
          <bgColor theme="0" tint="-0.14999847407452621"/>
        </patternFill>
      </fill>
    </dxf>
    <dxf>
      <numFmt numFmtId="164" formatCode="0.0000"/>
    </dxf>
    <dxf>
      <numFmt numFmtId="166" formatCode="0.0"/>
    </dxf>
    <dxf>
      <numFmt numFmtId="165" formatCode="0.000"/>
    </dxf>
    <dxf>
      <numFmt numFmtId="166" formatCode="0.0"/>
    </dxf>
    <dxf>
      <numFmt numFmtId="166" formatCode="0.0"/>
    </dxf>
    <dxf>
      <numFmt numFmtId="166" formatCode="0.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0" formatCode="General"/>
    </dxf>
    <dxf>
      <numFmt numFmtId="15" formatCode="0.00E+00"/>
    </dxf>
    <dxf>
      <numFmt numFmtId="165" formatCode="0.00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fgColor indexed="64"/>
          <bgColor theme="0" tint="-0.14999847407452621"/>
        </patternFill>
      </fill>
    </dxf>
    <dxf>
      <numFmt numFmtId="0" formatCode="General"/>
    </dxf>
    <dxf>
      <fill>
        <patternFill patternType="none">
          <fgColor indexed="64"/>
          <bgColor auto="1"/>
        </patternFill>
      </fill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fgColor indexed="64"/>
          <bgColor theme="0" tint="-0.14999847407452621"/>
        </patternFill>
      </fill>
    </dxf>
    <dxf>
      <numFmt numFmtId="13" formatCode="0%"/>
    </dxf>
    <dxf>
      <numFmt numFmtId="0" formatCode="General"/>
    </dxf>
    <dxf>
      <numFmt numFmtId="165" formatCode="0.000"/>
    </dxf>
    <dxf>
      <numFmt numFmtId="165" formatCode="0.000"/>
    </dxf>
    <dxf>
      <numFmt numFmtId="166" formatCode="0.0"/>
      <fill>
        <patternFill patternType="none">
          <fgColor indexed="64"/>
          <bgColor indexed="65"/>
        </patternFill>
      </fill>
    </dxf>
    <dxf>
      <numFmt numFmtId="166" formatCode="0.0"/>
    </dxf>
    <dxf>
      <numFmt numFmtId="166" formatCode="0.0"/>
    </dxf>
    <dxf>
      <numFmt numFmtId="1" formatCode="0"/>
    </dxf>
    <dxf>
      <numFmt numFmtId="1" formatCode="0"/>
    </dxf>
    <dxf>
      <numFmt numFmtId="2" formatCode="0.00"/>
    </dxf>
    <dxf>
      <numFmt numFmtId="1" formatCode="0"/>
    </dxf>
    <dxf>
      <numFmt numFmtId="1" formatCode="0"/>
    </dxf>
    <dxf>
      <numFmt numFmtId="1" formatCode="0"/>
    </dxf>
    <dxf>
      <numFmt numFmtId="0" formatCode="General"/>
      <alignment horizontal="right" vertical="bottom" textRotation="0" wrapText="0" indent="0" justifyLastLine="0" shrinkToFit="0" readingOrder="0"/>
    </dxf>
    <dxf>
      <numFmt numFmtId="15" formatCode="0.00E+00"/>
    </dxf>
    <dxf>
      <numFmt numFmtId="165" formatCode="0.00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numFmt numFmtId="0" formatCode="General"/>
    </dxf>
    <dxf>
      <fill>
        <patternFill patternType="solid">
          <fgColor indexed="64"/>
          <bgColor theme="0" tint="-0.14999847407452621"/>
        </patternFill>
      </fill>
    </dxf>
    <dxf>
      <numFmt numFmtId="0" formatCode="General"/>
    </dxf>
    <dxf>
      <fill>
        <patternFill patternType="solid">
          <fgColor indexed="64"/>
          <bgColor theme="0" tint="-0.14999847407452621"/>
        </patternFill>
      </fill>
    </dxf>
    <dxf>
      <numFmt numFmtId="0" formatCode="General"/>
    </dxf>
    <dxf>
      <fill>
        <patternFill patternType="solid">
          <fgColor indexed="64"/>
          <bgColor theme="0" tint="-0.14999847407452621"/>
        </patternFill>
      </fill>
    </dxf>
    <dxf>
      <numFmt numFmtId="0" formatCode="General"/>
    </dxf>
    <dxf>
      <fill>
        <patternFill patternType="solid">
          <fgColor indexed="64"/>
          <bgColor theme="0" tint="-0.14999847407452621"/>
        </patternFill>
      </fill>
    </dxf>
    <dxf>
      <alignment horizontal="right" vertical="bottom" textRotation="0" wrapText="0" indent="0" justifyLastLine="0" shrinkToFit="0" readingOrder="0"/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numFmt numFmtId="0" formatCode="General"/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fgColor indexed="64"/>
          <bgColor theme="0" tint="-0.14999847407452621"/>
        </patternFill>
      </fill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fgColor indexed="64"/>
          <bgColor theme="0" tint="-0.14999847407452621"/>
        </patternFill>
      </fill>
    </dxf>
    <dxf>
      <numFmt numFmtId="165" formatCode="0.000"/>
      <alignment horizontal="right" vertical="bottom" textRotation="0" wrapText="0" indent="0" justifyLastLine="0" shrinkToFit="0" readingOrder="0"/>
    </dxf>
    <dxf>
      <numFmt numFmtId="165" formatCode="0.000"/>
      <alignment horizontal="right" vertical="bottom" textRotation="0" wrapText="0" indent="0" justifyLastLine="0" shrinkToFit="0" readingOrder="0"/>
    </dxf>
    <dxf>
      <numFmt numFmtId="165" formatCode="0.000"/>
      <alignment horizontal="right" vertical="bottom" textRotation="0" wrapText="0" indent="0" justifyLastLine="0" shrinkToFit="0" readingOrder="0"/>
    </dxf>
    <dxf>
      <numFmt numFmtId="165" formatCode="0.000"/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0" tint="-0.14999847407452621"/>
        </patternFill>
      </fill>
    </dxf>
    <dxf>
      <numFmt numFmtId="0" formatCode="General"/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0" tint="-0.14999847407452621"/>
        </patternFill>
      </fill>
    </dxf>
    <dxf>
      <numFmt numFmtId="0" formatCode="General"/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0" tint="-0.14999847407452621"/>
        </patternFill>
      </fill>
    </dxf>
    <dxf>
      <numFmt numFmtId="0" formatCode="General"/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0" tint="-0.14999847407452621"/>
        </patternFill>
      </fill>
    </dxf>
    <dxf>
      <numFmt numFmtId="0" formatCode="General"/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0" tint="-0.14999847407452621"/>
        </patternFill>
      </fill>
    </dxf>
    <dxf>
      <numFmt numFmtId="0" formatCode="General"/>
    </dxf>
    <dxf>
      <fill>
        <patternFill patternType="solid">
          <fgColor indexed="64"/>
          <bgColor theme="0" tint="-0.14999847407452621"/>
        </patternFill>
      </fill>
    </dxf>
    <dxf>
      <numFmt numFmtId="0" formatCode="General"/>
    </dxf>
    <dxf>
      <fill>
        <patternFill patternType="solid">
          <fgColor indexed="64"/>
          <bgColor theme="0" tint="-0.14999847407452621"/>
        </patternFill>
      </fill>
    </dxf>
    <dxf>
      <numFmt numFmtId="0" formatCode="General"/>
    </dxf>
    <dxf>
      <fill>
        <patternFill patternType="solid">
          <fgColor indexed="64"/>
          <bgColor theme="0" tint="-0.14999847407452621"/>
        </patternFill>
      </fill>
    </dxf>
    <dxf>
      <numFmt numFmtId="0" formatCode="General"/>
      <alignment horizontal="right" indent="0"/>
    </dxf>
    <dxf>
      <fill>
        <patternFill patternType="solid">
          <fgColor indexed="64"/>
          <bgColor theme="0" tint="-0.14999847407452621"/>
        </patternFill>
      </fill>
    </dxf>
    <dxf>
      <alignment horizontal="general" vertical="bottom" textRotation="0" wrapText="0" indent="0" justifyLastLine="0" shrinkToFit="0" readingOrder="0"/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numFmt numFmtId="0" formatCode="General"/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Axial Load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572610485153443"/>
          <c:y val="9.8121609798775156E-2"/>
          <c:w val="0.75131517852150609"/>
          <c:h val="0.76218256051326916"/>
        </c:manualLayout>
      </c:layout>
      <c:scatterChart>
        <c:scatterStyle val="lineMarker"/>
        <c:varyColors val="0"/>
        <c:ser>
          <c:idx val="0"/>
          <c:order val="0"/>
          <c:tx>
            <c:strRef>
              <c:f>'HW10 and HW11'!$Q$12</c:f>
              <c:strCache>
                <c:ptCount val="1"/>
                <c:pt idx="0">
                  <c:v>Axial Load (N)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'HW10 and HW11'!$N$13:$N$25</c:f>
              <c:numCache>
                <c:formatCode>0.000</c:formatCode>
                <c:ptCount val="13"/>
                <c:pt idx="0">
                  <c:v>11.328932054350707</c:v>
                </c:pt>
                <c:pt idx="1">
                  <c:v>9.9589320543507078</c:v>
                </c:pt>
                <c:pt idx="2">
                  <c:v>9.4339320543507075</c:v>
                </c:pt>
                <c:pt idx="3">
                  <c:v>9.1530740867790179</c:v>
                </c:pt>
                <c:pt idx="4">
                  <c:v>8.4780740867790172</c:v>
                </c:pt>
                <c:pt idx="5">
                  <c:v>7.7112411337473521</c:v>
                </c:pt>
                <c:pt idx="6">
                  <c:v>7.1862411337473517</c:v>
                </c:pt>
                <c:pt idx="7">
                  <c:v>6.3171248931245394</c:v>
                </c:pt>
                <c:pt idx="8">
                  <c:v>4.671853019227969</c:v>
                </c:pt>
                <c:pt idx="9">
                  <c:v>3.9968530192279692</c:v>
                </c:pt>
                <c:pt idx="10">
                  <c:v>0.89999999999999902</c:v>
                </c:pt>
                <c:pt idx="11">
                  <c:v>1E-3</c:v>
                </c:pt>
                <c:pt idx="12">
                  <c:v>0</c:v>
                </c:pt>
              </c:numCache>
            </c:numRef>
          </c:xVal>
          <c:yVal>
            <c:numRef>
              <c:f>'HW10 and HW11'!$Q$13:$Q$25</c:f>
              <c:numCache>
                <c:formatCode>0</c:formatCode>
                <c:ptCount val="13"/>
                <c:pt idx="0">
                  <c:v>0</c:v>
                </c:pt>
                <c:pt idx="1">
                  <c:v>849.6325556819254</c:v>
                </c:pt>
                <c:pt idx="2">
                  <c:v>1179.6557732066017</c:v>
                </c:pt>
                <c:pt idx="3">
                  <c:v>1258.3775128732882</c:v>
                </c:pt>
                <c:pt idx="4">
                  <c:v>4443.078687611599</c:v>
                </c:pt>
                <c:pt idx="5">
                  <c:v>4674.1304716295945</c:v>
                </c:pt>
                <c:pt idx="6">
                  <c:v>12199.554359192365</c:v>
                </c:pt>
                <c:pt idx="7">
                  <c:v>13409.224747718043</c:v>
                </c:pt>
                <c:pt idx="8">
                  <c:v>23500.516240685545</c:v>
                </c:pt>
                <c:pt idx="9">
                  <c:v>23774.980678888103</c:v>
                </c:pt>
                <c:pt idx="10">
                  <c:v>47441.607798653422</c:v>
                </c:pt>
                <c:pt idx="11">
                  <c:v>50232.722876463966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AD-4F01-B262-8060BCC382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2101568"/>
        <c:axId val="754962576"/>
      </c:scatterChart>
      <c:valAx>
        <c:axId val="562101568"/>
        <c:scaling>
          <c:orientation val="maxMin"/>
          <c:max val="1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Height</a:t>
                </a:r>
                <a:r>
                  <a:rPr lang="en-US" baseline="0"/>
                  <a:t> (m)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5350074075685293"/>
              <c:y val="0.907950422863808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962576"/>
        <c:crosses val="autoZero"/>
        <c:crossBetween val="midCat"/>
      </c:valAx>
      <c:valAx>
        <c:axId val="754962576"/>
        <c:scaling>
          <c:orientation val="minMax"/>
          <c:max val="60000"/>
          <c:min val="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Axial Moment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101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Bending Moment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572610485153443"/>
          <c:y val="9.8121609798775156E-2"/>
          <c:w val="0.75477295466234351"/>
          <c:h val="0.75477515310586174"/>
        </c:manualLayout>
      </c:layout>
      <c:scatterChart>
        <c:scatterStyle val="lineMarker"/>
        <c:varyColors val="0"/>
        <c:ser>
          <c:idx val="0"/>
          <c:order val="0"/>
          <c:tx>
            <c:strRef>
              <c:f>'HW10 and HW11'!$P$12</c:f>
              <c:strCache>
                <c:ptCount val="1"/>
                <c:pt idx="0">
                  <c:v>Bending Moment (Nm)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'HW10 and HW11'!$N$13:$N$25</c:f>
              <c:numCache>
                <c:formatCode>0.000</c:formatCode>
                <c:ptCount val="13"/>
                <c:pt idx="0">
                  <c:v>11.328932054350707</c:v>
                </c:pt>
                <c:pt idx="1">
                  <c:v>9.9589320543507078</c:v>
                </c:pt>
                <c:pt idx="2">
                  <c:v>9.4339320543507075</c:v>
                </c:pt>
                <c:pt idx="3">
                  <c:v>9.1530740867790179</c:v>
                </c:pt>
                <c:pt idx="4">
                  <c:v>8.4780740867790172</c:v>
                </c:pt>
                <c:pt idx="5">
                  <c:v>7.7112411337473521</c:v>
                </c:pt>
                <c:pt idx="6">
                  <c:v>7.1862411337473517</c:v>
                </c:pt>
                <c:pt idx="7">
                  <c:v>6.3171248931245394</c:v>
                </c:pt>
                <c:pt idx="8">
                  <c:v>4.671853019227969</c:v>
                </c:pt>
                <c:pt idx="9">
                  <c:v>3.9968530192279692</c:v>
                </c:pt>
                <c:pt idx="10">
                  <c:v>0.89999999999999902</c:v>
                </c:pt>
                <c:pt idx="11">
                  <c:v>1E-3</c:v>
                </c:pt>
                <c:pt idx="12">
                  <c:v>0</c:v>
                </c:pt>
              </c:numCache>
            </c:numRef>
          </c:xVal>
          <c:yVal>
            <c:numRef>
              <c:f>'HW10 and HW11'!$P$13:$P$25</c:f>
              <c:numCache>
                <c:formatCode>0</c:formatCode>
                <c:ptCount val="13"/>
                <c:pt idx="0">
                  <c:v>0</c:v>
                </c:pt>
                <c:pt idx="1">
                  <c:v>2656.1178959116633</c:v>
                </c:pt>
                <c:pt idx="2">
                  <c:v>4159.9671423325417</c:v>
                </c:pt>
                <c:pt idx="3">
                  <c:v>5049.2304088723595</c:v>
                </c:pt>
                <c:pt idx="4">
                  <c:v>7421.9678369963822</c:v>
                </c:pt>
                <c:pt idx="5">
                  <c:v>10511.441123033139</c:v>
                </c:pt>
                <c:pt idx="6">
                  <c:v>12687.891601997655</c:v>
                </c:pt>
                <c:pt idx="7">
                  <c:v>16710.023761645582</c:v>
                </c:pt>
                <c:pt idx="8">
                  <c:v>25694.955026581927</c:v>
                </c:pt>
                <c:pt idx="9">
                  <c:v>29871.133751796413</c:v>
                </c:pt>
                <c:pt idx="10">
                  <c:v>51898.406093669735</c:v>
                </c:pt>
                <c:pt idx="11">
                  <c:v>58879.537216310033</c:v>
                </c:pt>
                <c:pt idx="12" formatCode="0.0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77-4CF5-B534-8665B8DDC8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377408"/>
        <c:axId val="783534224"/>
      </c:scatterChart>
      <c:valAx>
        <c:axId val="570377408"/>
        <c:scaling>
          <c:orientation val="maxMin"/>
          <c:max val="1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Height (m)</a:t>
                </a:r>
              </a:p>
            </c:rich>
          </c:tx>
          <c:layout>
            <c:manualLayout>
              <c:xMode val="edge"/>
              <c:yMode val="edge"/>
              <c:x val="0.4552366252906232"/>
              <c:y val="0.911654126567512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534224"/>
        <c:crosses val="autoZero"/>
        <c:crossBetween val="midCat"/>
      </c:valAx>
      <c:valAx>
        <c:axId val="783534224"/>
        <c:scaling>
          <c:orientation val="minMax"/>
          <c:max val="60000"/>
          <c:min val="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Bending Moment</a:t>
                </a:r>
                <a:r>
                  <a:rPr lang="en-US" baseline="0"/>
                  <a:t> (Nm)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37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Shear Load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613433075699792"/>
          <c:y val="9.8121609798775156E-2"/>
          <c:w val="0.76736777107628273"/>
          <c:h val="0.7584788568095655"/>
        </c:manualLayout>
      </c:layout>
      <c:scatterChart>
        <c:scatterStyle val="lineMarker"/>
        <c:varyColors val="0"/>
        <c:ser>
          <c:idx val="0"/>
          <c:order val="0"/>
          <c:tx>
            <c:strRef>
              <c:f>'HW10 and HW11'!$O$12</c:f>
              <c:strCache>
                <c:ptCount val="1"/>
                <c:pt idx="0">
                  <c:v>Shear Load (N)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'HW10 and HW11'!$N$13:$N$25</c:f>
              <c:numCache>
                <c:formatCode>0.000</c:formatCode>
                <c:ptCount val="13"/>
                <c:pt idx="0">
                  <c:v>11.328932054350707</c:v>
                </c:pt>
                <c:pt idx="1">
                  <c:v>9.9589320543507078</c:v>
                </c:pt>
                <c:pt idx="2">
                  <c:v>9.4339320543507075</c:v>
                </c:pt>
                <c:pt idx="3">
                  <c:v>9.1530740867790179</c:v>
                </c:pt>
                <c:pt idx="4">
                  <c:v>8.4780740867790172</c:v>
                </c:pt>
                <c:pt idx="5">
                  <c:v>7.7112411337473521</c:v>
                </c:pt>
                <c:pt idx="6">
                  <c:v>7.1862411337473517</c:v>
                </c:pt>
                <c:pt idx="7">
                  <c:v>6.3171248931245394</c:v>
                </c:pt>
                <c:pt idx="8">
                  <c:v>4.671853019227969</c:v>
                </c:pt>
                <c:pt idx="9">
                  <c:v>3.9968530192279692</c:v>
                </c:pt>
                <c:pt idx="10">
                  <c:v>0.89999999999999902</c:v>
                </c:pt>
                <c:pt idx="11">
                  <c:v>1E-3</c:v>
                </c:pt>
                <c:pt idx="12">
                  <c:v>0</c:v>
                </c:pt>
              </c:numCache>
            </c:numRef>
          </c:xVal>
          <c:yVal>
            <c:numRef>
              <c:f>'HW10 and HW11'!$O$13:$O$25</c:f>
              <c:numCache>
                <c:formatCode>0</c:formatCode>
                <c:ptCount val="13"/>
                <c:pt idx="0">
                  <c:v>0</c:v>
                </c:pt>
                <c:pt idx="1">
                  <c:v>1957.8264589030525</c:v>
                </c:pt>
                <c:pt idx="2">
                  <c:v>2367.280528147593</c:v>
                </c:pt>
                <c:pt idx="3">
                  <c:v>2582.9547089222897</c:v>
                </c:pt>
                <c:pt idx="4">
                  <c:v>3091.4339005194402</c:v>
                </c:pt>
                <c:pt idx="5">
                  <c:v>3651.5481831027246</c:v>
                </c:pt>
                <c:pt idx="6">
                  <c:v>4015.6010712930138</c:v>
                </c:pt>
                <c:pt idx="7">
                  <c:v>4617.153462827755</c:v>
                </c:pt>
                <c:pt idx="8">
                  <c:v>5708.163464015629</c:v>
                </c:pt>
                <c:pt idx="9">
                  <c:v>6118.5360189412631</c:v>
                </c:pt>
                <c:pt idx="10">
                  <c:v>7659.2809918223229</c:v>
                </c:pt>
                <c:pt idx="11">
                  <c:v>7871.8366955907841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D7-4E6D-A7EF-42DE57AF17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814704"/>
        <c:axId val="783530480"/>
      </c:scatterChart>
      <c:valAx>
        <c:axId val="436814704"/>
        <c:scaling>
          <c:orientation val="maxMin"/>
          <c:max val="1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Height (m)</a:t>
                </a:r>
              </a:p>
            </c:rich>
          </c:tx>
          <c:layout>
            <c:manualLayout>
              <c:xMode val="edge"/>
              <c:yMode val="edge"/>
              <c:x val="0.4519311639912415"/>
              <c:y val="0.919061533974919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530480"/>
        <c:crosses val="autoZero"/>
        <c:crossBetween val="midCat"/>
      </c:valAx>
      <c:valAx>
        <c:axId val="783530480"/>
        <c:scaling>
          <c:orientation val="minMax"/>
          <c:max val="8000"/>
          <c:min val="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Shear Force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814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Axial Load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572610485153443"/>
          <c:y val="9.8121609798775156E-2"/>
          <c:w val="0.75131517852150609"/>
          <c:h val="0.77329367162438034"/>
        </c:manualLayout>
      </c:layout>
      <c:scatterChart>
        <c:scatterStyle val="lineMarker"/>
        <c:varyColors val="0"/>
        <c:ser>
          <c:idx val="0"/>
          <c:order val="0"/>
          <c:tx>
            <c:strRef>
              <c:f>'HW10 and HW11'!$Q$28</c:f>
              <c:strCache>
                <c:ptCount val="1"/>
                <c:pt idx="0">
                  <c:v>Axial Load (kN)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'HW10 and HW11'!$N$13:$N$25</c:f>
              <c:numCache>
                <c:formatCode>0.000</c:formatCode>
                <c:ptCount val="13"/>
                <c:pt idx="0">
                  <c:v>11.328932054350707</c:v>
                </c:pt>
                <c:pt idx="1">
                  <c:v>9.9589320543507078</c:v>
                </c:pt>
                <c:pt idx="2">
                  <c:v>9.4339320543507075</c:v>
                </c:pt>
                <c:pt idx="3">
                  <c:v>9.1530740867790179</c:v>
                </c:pt>
                <c:pt idx="4">
                  <c:v>8.4780740867790172</c:v>
                </c:pt>
                <c:pt idx="5">
                  <c:v>7.7112411337473521</c:v>
                </c:pt>
                <c:pt idx="6">
                  <c:v>7.1862411337473517</c:v>
                </c:pt>
                <c:pt idx="7">
                  <c:v>6.3171248931245394</c:v>
                </c:pt>
                <c:pt idx="8">
                  <c:v>4.671853019227969</c:v>
                </c:pt>
                <c:pt idx="9">
                  <c:v>3.9968530192279692</c:v>
                </c:pt>
                <c:pt idx="10">
                  <c:v>0.89999999999999902</c:v>
                </c:pt>
                <c:pt idx="11">
                  <c:v>1E-3</c:v>
                </c:pt>
                <c:pt idx="12">
                  <c:v>0</c:v>
                </c:pt>
              </c:numCache>
            </c:numRef>
          </c:xVal>
          <c:yVal>
            <c:numRef>
              <c:f>'HW10 and HW11'!$Q$29:$Q$40</c:f>
              <c:numCache>
                <c:formatCode>0</c:formatCode>
                <c:ptCount val="12"/>
                <c:pt idx="0">
                  <c:v>0</c:v>
                </c:pt>
                <c:pt idx="1">
                  <c:v>1976.8344288175053</c:v>
                </c:pt>
                <c:pt idx="2">
                  <c:v>2744.697258871473</c:v>
                </c:pt>
                <c:pt idx="3">
                  <c:v>9700.3168863298724</c:v>
                </c:pt>
                <c:pt idx="4">
                  <c:v>10337.681696490996</c:v>
                </c:pt>
                <c:pt idx="5">
                  <c:v>26722.820720013795</c:v>
                </c:pt>
                <c:pt idx="6">
                  <c:v>28384.622166609366</c:v>
                </c:pt>
                <c:pt idx="7">
                  <c:v>31199.15423175523</c:v>
                </c:pt>
                <c:pt idx="8">
                  <c:v>31933.657874322693</c:v>
                </c:pt>
                <c:pt idx="9">
                  <c:v>32572.252461237265</c:v>
                </c:pt>
                <c:pt idx="10">
                  <c:v>70590.285261790676</c:v>
                </c:pt>
                <c:pt idx="11">
                  <c:v>77084.354190421902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C4-4B08-9799-C9DEC7DC5C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2101568"/>
        <c:axId val="754962576"/>
      </c:scatterChart>
      <c:valAx>
        <c:axId val="562101568"/>
        <c:scaling>
          <c:orientation val="maxMin"/>
          <c:max val="1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Height</a:t>
                </a:r>
                <a:r>
                  <a:rPr lang="en-US" baseline="0"/>
                  <a:t> (m)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5228809882880672"/>
              <c:y val="0.919131525226013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962576"/>
        <c:crosses val="autoZero"/>
        <c:crossBetween val="midCat"/>
      </c:valAx>
      <c:valAx>
        <c:axId val="754962576"/>
        <c:scaling>
          <c:orientation val="minMax"/>
          <c:max val="60000"/>
          <c:min val="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Axial Moment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101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Bending Moment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572610485153443"/>
          <c:y val="9.8121609798775156E-2"/>
          <c:w val="0.75477295466234351"/>
          <c:h val="0.76218256051326916"/>
        </c:manualLayout>
      </c:layout>
      <c:scatterChart>
        <c:scatterStyle val="lineMarker"/>
        <c:varyColors val="0"/>
        <c:ser>
          <c:idx val="0"/>
          <c:order val="0"/>
          <c:tx>
            <c:strRef>
              <c:f>'HW10 and HW11'!$P$28</c:f>
              <c:strCache>
                <c:ptCount val="1"/>
                <c:pt idx="0">
                  <c:v>Bending Moment (Nm)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'HW10 and HW11'!$N$13:$N$25</c:f>
              <c:numCache>
                <c:formatCode>0.000</c:formatCode>
                <c:ptCount val="13"/>
                <c:pt idx="0">
                  <c:v>11.328932054350707</c:v>
                </c:pt>
                <c:pt idx="1">
                  <c:v>9.9589320543507078</c:v>
                </c:pt>
                <c:pt idx="2">
                  <c:v>9.4339320543507075</c:v>
                </c:pt>
                <c:pt idx="3">
                  <c:v>9.1530740867790179</c:v>
                </c:pt>
                <c:pt idx="4">
                  <c:v>8.4780740867790172</c:v>
                </c:pt>
                <c:pt idx="5">
                  <c:v>7.7112411337473521</c:v>
                </c:pt>
                <c:pt idx="6">
                  <c:v>7.1862411337473517</c:v>
                </c:pt>
                <c:pt idx="7">
                  <c:v>6.3171248931245394</c:v>
                </c:pt>
                <c:pt idx="8">
                  <c:v>4.671853019227969</c:v>
                </c:pt>
                <c:pt idx="9">
                  <c:v>3.9968530192279692</c:v>
                </c:pt>
                <c:pt idx="10">
                  <c:v>0.89999999999999902</c:v>
                </c:pt>
                <c:pt idx="11">
                  <c:v>1E-3</c:v>
                </c:pt>
                <c:pt idx="12">
                  <c:v>0</c:v>
                </c:pt>
              </c:numCache>
            </c:numRef>
          </c:xVal>
          <c:yVal>
            <c:numRef>
              <c:f>'HW10 and HW11'!$P$29:$P$43</c:f>
              <c:numCache>
                <c:formatCode>0</c:formatCode>
                <c:ptCount val="15"/>
                <c:pt idx="0">
                  <c:v>0</c:v>
                </c:pt>
                <c:pt idx="1">
                  <c:v>3072.4790889237534</c:v>
                </c:pt>
                <c:pt idx="2">
                  <c:v>4209.2798674178093</c:v>
                </c:pt>
                <c:pt idx="3">
                  <c:v>4806.5883747838925</c:v>
                </c:pt>
                <c:pt idx="4">
                  <c:v>6006.0712032254005</c:v>
                </c:pt>
                <c:pt idx="5">
                  <c:v>7344.1686396219338</c:v>
                </c:pt>
                <c:pt idx="6">
                  <c:v>7827.7722917661486</c:v>
                </c:pt>
                <c:pt idx="7">
                  <c:v>7140.5973325963587</c:v>
                </c:pt>
                <c:pt idx="8">
                  <c:v>5919.4665569621347</c:v>
                </c:pt>
                <c:pt idx="9">
                  <c:v>5443.4049119029269</c:v>
                </c:pt>
                <c:pt idx="10">
                  <c:v>3358.6991834522082</c:v>
                </c:pt>
                <c:pt idx="11">
                  <c:v>680.63567155374881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E3-403E-B426-0CC22BA7F2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377408"/>
        <c:axId val="783534224"/>
      </c:scatterChart>
      <c:valAx>
        <c:axId val="570377408"/>
        <c:scaling>
          <c:orientation val="maxMin"/>
          <c:max val="1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Height (m)</a:t>
                </a:r>
              </a:p>
            </c:rich>
          </c:tx>
          <c:layout>
            <c:manualLayout>
              <c:xMode val="edge"/>
              <c:yMode val="edge"/>
              <c:x val="0.45591258102405707"/>
              <c:y val="0.914026246719160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534224"/>
        <c:crosses val="autoZero"/>
        <c:crossBetween val="midCat"/>
      </c:valAx>
      <c:valAx>
        <c:axId val="783534224"/>
        <c:scaling>
          <c:orientation val="minMax"/>
          <c:max val="8000"/>
          <c:min val="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Bending Moment</a:t>
                </a:r>
                <a:r>
                  <a:rPr lang="en-US" baseline="0"/>
                  <a:t> (Nm)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377408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Shear Load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805268557590522"/>
          <c:y val="9.8121609798775156E-2"/>
          <c:w val="0.76543815379080149"/>
          <c:h val="0.76218256051326916"/>
        </c:manualLayout>
      </c:layout>
      <c:scatterChart>
        <c:scatterStyle val="lineMarker"/>
        <c:varyColors val="0"/>
        <c:ser>
          <c:idx val="0"/>
          <c:order val="0"/>
          <c:tx>
            <c:strRef>
              <c:f>'HW10 and HW11'!$O$28</c:f>
              <c:strCache>
                <c:ptCount val="1"/>
                <c:pt idx="0">
                  <c:v>Shear Load (N)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'HW10 and HW11'!$N$13:$N$25</c:f>
              <c:numCache>
                <c:formatCode>0.000</c:formatCode>
                <c:ptCount val="13"/>
                <c:pt idx="0">
                  <c:v>11.328932054350707</c:v>
                </c:pt>
                <c:pt idx="1">
                  <c:v>9.9589320543507078</c:v>
                </c:pt>
                <c:pt idx="2">
                  <c:v>9.4339320543507075</c:v>
                </c:pt>
                <c:pt idx="3">
                  <c:v>9.1530740867790179</c:v>
                </c:pt>
                <c:pt idx="4">
                  <c:v>8.4780740867790172</c:v>
                </c:pt>
                <c:pt idx="5">
                  <c:v>7.7112411337473521</c:v>
                </c:pt>
                <c:pt idx="6">
                  <c:v>7.1862411337473517</c:v>
                </c:pt>
                <c:pt idx="7">
                  <c:v>6.3171248931245394</c:v>
                </c:pt>
                <c:pt idx="8">
                  <c:v>4.671853019227969</c:v>
                </c:pt>
                <c:pt idx="9">
                  <c:v>3.9968530192279692</c:v>
                </c:pt>
                <c:pt idx="10">
                  <c:v>0.89999999999999902</c:v>
                </c:pt>
                <c:pt idx="11">
                  <c:v>1E-3</c:v>
                </c:pt>
                <c:pt idx="12">
                  <c:v>0</c:v>
                </c:pt>
              </c:numCache>
            </c:numRef>
          </c:xVal>
          <c:yVal>
            <c:numRef>
              <c:f>'HW10 and HW11'!$O$29:$O$43</c:f>
              <c:numCache>
                <c:formatCode>0</c:formatCode>
                <c:ptCount val="15"/>
                <c:pt idx="0">
                  <c:v>0</c:v>
                </c:pt>
                <c:pt idx="1">
                  <c:v>2165.3348161791528</c:v>
                </c:pt>
                <c:pt idx="2">
                  <c:v>2126.728013203397</c:v>
                </c:pt>
                <c:pt idx="3">
                  <c:v>1777.0115976911206</c:v>
                </c:pt>
                <c:pt idx="4">
                  <c:v>1744.9660074027602</c:v>
                </c:pt>
                <c:pt idx="5">
                  <c:v>921.14981360802778</c:v>
                </c:pt>
                <c:pt idx="6">
                  <c:v>837.59733714679328</c:v>
                </c:pt>
                <c:pt idx="7">
                  <c:v>742.20607244817575</c:v>
                </c:pt>
                <c:pt idx="8">
                  <c:v>705.27651119882614</c:v>
                </c:pt>
                <c:pt idx="9">
                  <c:v>673.16908988158093</c:v>
                </c:pt>
                <c:pt idx="10">
                  <c:v>-1238.3112480241168</c:v>
                </c:pt>
                <c:pt idx="11">
                  <c:v>-1564.8216999247795</c:v>
                </c:pt>
                <c:pt idx="12" formatCode="0.0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DB-43EF-AE05-7E76B203E0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814704"/>
        <c:axId val="783530480"/>
      </c:scatterChart>
      <c:valAx>
        <c:axId val="436814704"/>
        <c:scaling>
          <c:orientation val="maxMin"/>
          <c:max val="1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Height (m)</a:t>
                </a:r>
                <a:endParaRPr lang="en-US" sz="7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4782407206005326"/>
              <c:y val="0.904930300379119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530480"/>
        <c:crosses val="autoZero"/>
        <c:crossBetween val="midCat"/>
      </c:valAx>
      <c:valAx>
        <c:axId val="783530480"/>
        <c:scaling>
          <c:orientation val="minMax"/>
          <c:max val="2200"/>
          <c:min val="-220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</a:rPr>
                  <a:t>Shear Force (N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814704"/>
        <c:crosses val="autoZero"/>
        <c:crossBetween val="midCat"/>
        <c:majorUnit val="4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39</xdr:col>
      <xdr:colOff>609598</xdr:colOff>
      <xdr:row>11</xdr:row>
      <xdr:rowOff>55220</xdr:rowOff>
    </xdr:from>
    <xdr:to>
      <xdr:col>50</xdr:col>
      <xdr:colOff>524254</xdr:colOff>
      <xdr:row>28</xdr:row>
      <xdr:rowOff>179045</xdr:rowOff>
    </xdr:to>
    <xdr:graphicFrame macro="">
      <xdr:nvGraphicFramePr>
        <xdr:cNvPr id="13" name="Chart 7">
          <a:extLst>
            <a:ext uri="{FF2B5EF4-FFF2-40B4-BE49-F238E27FC236}">
              <a16:creationId xmlns:a16="http://schemas.microsoft.com/office/drawing/2014/main" id="{C3CEFC2C-8E6A-4705-B80D-57E6602CED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6803</xdr:colOff>
      <xdr:row>11</xdr:row>
      <xdr:rowOff>39902</xdr:rowOff>
    </xdr:from>
    <xdr:to>
      <xdr:col>39</xdr:col>
      <xdr:colOff>531059</xdr:colOff>
      <xdr:row>28</xdr:row>
      <xdr:rowOff>163727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E1036232-F46A-4EB2-831E-5DF410028456}"/>
            </a:ext>
            <a:ext uri="{147F2762-F138-4A5C-976F-8EAC2B608ADB}">
              <a16:predDERef xmlns:a16="http://schemas.microsoft.com/office/drawing/2014/main" pred="{C3CEFC2C-8E6A-4705-B80D-57E6602CED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52387</xdr:colOff>
      <xdr:row>11</xdr:row>
      <xdr:rowOff>21328</xdr:rowOff>
    </xdr:from>
    <xdr:to>
      <xdr:col>28</xdr:col>
      <xdr:colOff>576643</xdr:colOff>
      <xdr:row>28</xdr:row>
      <xdr:rowOff>145153</xdr:rowOff>
    </xdr:to>
    <xdr:graphicFrame macro="">
      <xdr:nvGraphicFramePr>
        <xdr:cNvPr id="9" name="Chart 11">
          <a:extLst>
            <a:ext uri="{FF2B5EF4-FFF2-40B4-BE49-F238E27FC236}">
              <a16:creationId xmlns:a16="http://schemas.microsoft.com/office/drawing/2014/main" id="{7EA7E242-A6BA-4A93-8BDC-CDAF3E3EEF10}"/>
            </a:ext>
            <a:ext uri="{147F2762-F138-4A5C-976F-8EAC2B608ADB}">
              <a16:predDERef xmlns:a16="http://schemas.microsoft.com/office/drawing/2014/main" pred="{E1036232-F46A-4EB2-831E-5DF4100284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40</xdr:col>
      <xdr:colOff>20782</xdr:colOff>
      <xdr:row>31</xdr:row>
      <xdr:rowOff>85282</xdr:rowOff>
    </xdr:from>
    <xdr:to>
      <xdr:col>50</xdr:col>
      <xdr:colOff>545038</xdr:colOff>
      <xdr:row>49</xdr:row>
      <xdr:rowOff>85282</xdr:rowOff>
    </xdr:to>
    <xdr:graphicFrame macro="">
      <xdr:nvGraphicFramePr>
        <xdr:cNvPr id="200" name="Chart 199">
          <a:extLst>
            <a:ext uri="{FF2B5EF4-FFF2-40B4-BE49-F238E27FC236}">
              <a16:creationId xmlns:a16="http://schemas.microsoft.com/office/drawing/2014/main" id="{3AC36556-A7B9-402C-BE77-CB78E1CD4AFD}"/>
            </a:ext>
            <a:ext uri="{147F2762-F138-4A5C-976F-8EAC2B608ADB}">
              <a16:predDERef xmlns:a16="http://schemas.microsoft.com/office/drawing/2014/main" pred="{7EA7E242-A6BA-4A93-8BDC-CDAF3E3EEF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12987</xdr:colOff>
      <xdr:row>31</xdr:row>
      <xdr:rowOff>95569</xdr:rowOff>
    </xdr:from>
    <xdr:to>
      <xdr:col>39</xdr:col>
      <xdr:colOff>537243</xdr:colOff>
      <xdr:row>49</xdr:row>
      <xdr:rowOff>95569</xdr:rowOff>
    </xdr:to>
    <xdr:graphicFrame macro="">
      <xdr:nvGraphicFramePr>
        <xdr:cNvPr id="201" name="Chart 200">
          <a:extLst>
            <a:ext uri="{FF2B5EF4-FFF2-40B4-BE49-F238E27FC236}">
              <a16:creationId xmlns:a16="http://schemas.microsoft.com/office/drawing/2014/main" id="{482C035A-6507-42F8-8867-6F96053EA9B8}"/>
            </a:ext>
            <a:ext uri="{147F2762-F138-4A5C-976F-8EAC2B608ADB}">
              <a16:predDERef xmlns:a16="http://schemas.microsoft.com/office/drawing/2014/main" pred="{3AC36556-A7B9-402C-BE77-CB78E1CD4A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36801</xdr:colOff>
      <xdr:row>31</xdr:row>
      <xdr:rowOff>93199</xdr:rowOff>
    </xdr:from>
    <xdr:to>
      <xdr:col>28</xdr:col>
      <xdr:colOff>561057</xdr:colOff>
      <xdr:row>49</xdr:row>
      <xdr:rowOff>93199</xdr:rowOff>
    </xdr:to>
    <xdr:graphicFrame macro="">
      <xdr:nvGraphicFramePr>
        <xdr:cNvPr id="3" name="Chart 201">
          <a:extLst>
            <a:ext uri="{FF2B5EF4-FFF2-40B4-BE49-F238E27FC236}">
              <a16:creationId xmlns:a16="http://schemas.microsoft.com/office/drawing/2014/main" id="{44E0BB16-8E77-42D5-A35F-AA1CF2DA7CD3}"/>
            </a:ext>
            <a:ext uri="{147F2762-F138-4A5C-976F-8EAC2B608ADB}">
              <a16:predDERef xmlns:a16="http://schemas.microsoft.com/office/drawing/2014/main" pred="{482C035A-6507-42F8-8867-6F96053EA9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W12%20-%20Edwards%20Lyma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W12"/>
      <sheetName val="HW10 and HW11"/>
      <sheetName val="HW7 - Max Q"/>
      <sheetName val="HW9 - CM and J0"/>
      <sheetName val="HW9 - Rocket Data"/>
      <sheetName val="HW9 - Drawing"/>
      <sheetName val="HW12 - Edwards Lyman"/>
    </sheetNames>
    <sheetDataSet>
      <sheetData sheetId="0" refreshError="1"/>
      <sheetData sheetId="1">
        <row r="4">
          <cell r="F4">
            <v>7257.3625726340015</v>
          </cell>
          <cell r="M4">
            <v>13102.237619458259</v>
          </cell>
        </row>
        <row r="5">
          <cell r="M5">
            <v>52</v>
          </cell>
          <cell r="T5">
            <v>0.35342917352885178</v>
          </cell>
        </row>
        <row r="6">
          <cell r="C6">
            <v>1.2806999999999999</v>
          </cell>
          <cell r="J6">
            <v>273.12084572845822</v>
          </cell>
          <cell r="M6">
            <v>10.779638050142864</v>
          </cell>
          <cell r="P6">
            <v>2.8097059453158515</v>
          </cell>
        </row>
        <row r="7">
          <cell r="C7">
            <v>0.77</v>
          </cell>
          <cell r="M7">
            <v>4978.0139721340138</v>
          </cell>
        </row>
        <row r="8">
          <cell r="C8">
            <v>9.8059999999999992</v>
          </cell>
          <cell r="S8">
            <v>1507.9337889740839</v>
          </cell>
          <cell r="T8">
            <v>2725.1137981904944</v>
          </cell>
        </row>
        <row r="9">
          <cell r="J9">
            <v>5535.1635723704221</v>
          </cell>
          <cell r="M9">
            <v>0.1697021468271156</v>
          </cell>
          <cell r="S9">
            <v>467.12487414071694</v>
          </cell>
          <cell r="T9">
            <v>423.93946286387552</v>
          </cell>
        </row>
        <row r="10">
          <cell r="J10">
            <v>88066</v>
          </cell>
        </row>
        <row r="11">
          <cell r="J11">
            <v>1.5917911382742835</v>
          </cell>
        </row>
      </sheetData>
      <sheetData sheetId="2" refreshError="1"/>
      <sheetData sheetId="3" refreshError="1"/>
      <sheetData sheetId="4"/>
      <sheetData sheetId="5" refreshError="1"/>
      <sheetData sheetId="6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8644E58-1BB3-4DA6-AC77-94B6F8C75E7A}" name="Table16" displayName="Table16" ref="A4:P50" totalsRowCount="1" totalsRowDxfId="123">
  <autoFilter ref="A4:P49" xr:uid="{693738EE-A5FE-4E97-BD35-5CFEE31EEF04}"/>
  <tableColumns count="16">
    <tableColumn id="1" xr3:uid="{ED19FB0D-8F82-41FD-B3AD-472DF41F2255}" name="Stage" totalsRowLabel="Total" totalsRowDxfId="122"/>
    <tableColumn id="2" xr3:uid="{4D4E9918-F877-48F5-A38D-960D09F278B3}" name="Item" totalsRowDxfId="121"/>
    <tableColumn id="6" xr3:uid="{6700F2D4-1F97-48F5-ABF3-EBC99FAA69A9}" name="Height" dataDxfId="119" totalsRowDxfId="120"/>
    <tableColumn id="3" xr3:uid="{C3D1BE5D-DEA6-415F-A5D4-4E36AC496065}" name="Mass (kg)" totalsRowFunction="sum" totalsRowDxfId="118"/>
    <tableColumn id="4" xr3:uid="{9C453F9C-051D-471D-AE21-38E11791A11A}" name="Distance (m)" totalsRowDxfId="117"/>
    <tableColumn id="5" xr3:uid="{7D13D162-4534-4A15-B378-D8FE5FDE0E61}" name="Moment (kgm)" totalsRowFunction="sum" totalsRowDxfId="116">
      <calculatedColumnFormula>D5*E5</calculatedColumnFormula>
    </tableColumn>
    <tableColumn id="15" xr3:uid="{8DB9A500-6BC6-435D-977B-B08AA3D23DFF}" name="Thickness (m)" dataDxfId="114" totalsRowDxfId="115"/>
    <tableColumn id="16" xr3:uid="{52936F59-449E-4E9A-8C40-BEC712F141E2}" name="Dist from CM (m)" dataDxfId="112" totalsRowDxfId="113">
      <calculatedColumnFormula>E5-$G$51</calculatedColumnFormula>
    </tableColumn>
    <tableColumn id="11" xr3:uid="{0E522EA6-42BD-469D-A7F0-208AF2A8943D}" name="J0" totalsRowFunction="sum" dataDxfId="110" totalsRowDxfId="111">
      <calculatedColumnFormula>(Table16[[#This Row],[Mass (kg)]]*(((C1^2)/2)+((Table16[[#This Row],[Distance (m)]]^2)/12)))</calculatedColumnFormula>
    </tableColumn>
    <tableColumn id="12" xr3:uid="{59E02B34-B207-4077-BFBA-C17BCBEA18F9}" name="m*cm^2" dataDxfId="108" totalsRowDxfId="109">
      <calculatedColumnFormula>Table16[[#This Row],[Mass (kg)]]*(Table16[[#This Row],[Dist from CM (m)]]^2)</calculatedColumnFormula>
    </tableColumn>
    <tableColumn id="13" xr3:uid="{92614B6E-0C2C-4315-AF26-52A569F98931}" name="Jpitch/yaw" totalsRowFunction="sum" dataDxfId="106" totalsRowDxfId="107">
      <calculatedColumnFormula>Table16[[#This Row],[m*cm^2]]+Table16[[#This Row],[J0]]</calculatedColumnFormula>
    </tableColumn>
    <tableColumn id="10" xr3:uid="{71A98150-6716-437C-935B-FED51B90A00D}" name="Jroll" totalsRowFunction="custom" dataDxfId="104" totalsRowDxfId="105">
      <totalsRowFormula>SUBTOTAL(109,Table16[Column2])</totalsRowFormula>
    </tableColumn>
    <tableColumn id="7" xr3:uid="{376EC3E6-D955-4DDE-8E40-09A12B2C78C1}" name="Mass at Max q" dataDxfId="102" totalsRowDxfId="103"/>
    <tableColumn id="8" xr3:uid="{FF5C9CE4-23FF-4A06-952C-39221E063CE7}" name="Product of Max q (kg * m)" dataDxfId="100" totalsRowDxfId="101">
      <calculatedColumnFormula>M5*E5</calculatedColumnFormula>
    </tableColumn>
    <tableColumn id="9" xr3:uid="{E1FEB382-B68D-4E77-B8E6-AA2D01138D75}" name="Distance from Max q CM" dataDxfId="98" totalsRowDxfId="99">
      <calculatedColumnFormula>E5-$I$57</calculatedColumnFormula>
    </tableColumn>
    <tableColumn id="14" xr3:uid="{B5FDF14F-6B49-4641-9104-CEDB97D02543}" name="Column2" dataDxfId="96" totalsRowDxfId="97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709F056B-5D41-4743-871B-12F8138B5432}" name="Table10" displayName="Table10" ref="B55:I67" totalsRowCount="1" headerRowDxfId="9" tableBorderDxfId="8">
  <autoFilter ref="B55:I66" xr:uid="{9D2C92C1-24EF-433D-AC68-BD0C051470D5}"/>
  <tableColumns count="8">
    <tableColumn id="1" xr3:uid="{3F0CAC4F-C158-4EA8-849A-E574A2D47489}" name="Num"/>
    <tableColumn id="2" xr3:uid="{FD781CCB-0F2E-452B-A996-8BABEB68F803}" name="Location"/>
    <tableColumn id="5" xr3:uid="{D9F22BB0-C044-4E67-97BB-EB4631012CFB}" name="Height" dataDxfId="7">
      <calculatedColumnFormula>VLOOKUP(Table10[[#This Row],[Location]],External_Loads[[Location]:[Height (m)]],2,FALSE)</calculatedColumnFormula>
    </tableColumn>
    <tableColumn id="3" xr3:uid="{181FDE63-AD8A-4BB6-8543-0098F60B6C7B}" name="Vwall (m3)" dataDxfId="6"/>
    <tableColumn id="4" xr3:uid="{C86FA6B4-A5E0-4A63-BCA4-8C75E1C644EF}" name="Mwall (kg)" dataDxfId="5">
      <calculatedColumnFormula>Table10[[#This Row],[Vwall (m3)]]*VLOOKUP(VLOOKUP(Table10[[#This Row],[Location]],Table37[[Location]:[Material]],2,FALSE),Table7[[Material]:[Source]],3,FALSE)</calculatedColumnFormula>
    </tableColumn>
    <tableColumn id="6" xr3:uid="{71FDF713-5AAF-48F6-B447-EDD53311EE7A}" name="Mprevious (kg)" dataDxfId="4"/>
    <tableColumn id="7" xr3:uid="{0E620767-4BE1-4118-A0A4-202B0BD8FA7A}" name="Mrevised (kg)" totalsRowLabel="Total ΔM" dataDxfId="2" totalsRowDxfId="3"/>
    <tableColumn id="8" xr3:uid="{1A07A6ED-1E1F-4257-8067-2AE1106B8D68}" name="ΔM (kg)" totalsRowFunction="sum" dataDxfId="0" totalsRowDxfId="1">
      <calculatedColumnFormula>Table10[[#This Row],[Mrevised (kg)]]-Table10[[#This Row],[Mprevious (kg)]]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66E8CBD-B7D1-4B8D-8218-3F53B0ADDE29}" name="Rocket_Data" displayName="Rocket_Data" ref="B12:J57" totalsRowShown="0" headerRowDxfId="95" tableBorderDxfId="94">
  <autoFilter ref="B12:J57" xr:uid="{1774718E-1AC9-4985-B56D-071192113D44}"/>
  <tableColumns count="9">
    <tableColumn id="1" xr3:uid="{78033B97-0947-443E-9D9A-FFD9A89AB603}" name="Item"/>
    <tableColumn id="10" xr3:uid="{30181409-BBD6-41D4-8A27-06DD9E7F421B}" name="Ext or Int"/>
    <tableColumn id="2" xr3:uid="{EE0A3455-7CAB-4A1D-B081-B430CF69B628}" name="Height (m)" dataDxfId="93"/>
    <tableColumn id="3" xr3:uid="{EC61A65C-251D-4742-9FC7-68877FD6D6BB}" name="Mass (kg)" dataDxfId="92"/>
    <tableColumn id="4" xr3:uid="{D36C9B97-4E76-41C2-9B38-87FE5240C618}" name="CG (m)"/>
    <tableColumn id="8" xr3:uid="{C708A961-7693-4702-A2DB-DA7CD9FEEE88}" name="Area (m2)" dataDxfId="91"/>
    <tableColumn id="9" xr3:uid="{71308532-E378-4402-AD45-D9CBB31A62C9}" name="vss (m/s)" dataDxfId="90">
      <calculatedColumnFormula>IF(Rocket_Data[[#This Row],[Ext or Int]]="E",9.5*(Rocket_Data[[#This Row],[CG (m)]]^0.2),"-")</calculatedColumnFormula>
    </tableColumn>
    <tableColumn id="5" xr3:uid="{469414E7-2B61-45F8-A478-6A775636D763}" name="vr (m/s)" dataDxfId="89">
      <calculatedColumnFormula>IF(Rocket_Data[[#This Row],[vss (m/s)]]="-","-",SQRT(((1.25*Rocket_Data[[#This Row],[vss (m/s)]])^2)+((2.56*Rocket_Data[[#This Row],[vss (m/s)]])^2)))</calculatedColumnFormula>
    </tableColumn>
    <tableColumn id="6" xr3:uid="{3D7C659E-01CD-4DB5-AE3A-811F2FAFDAF6}" name="Wind (N)" dataDxfId="88">
      <calculatedColumnFormula>IF(Rocket_Data[[#This Row],[vr (m/s)]]="-","-",(1/2)*rho*(Rocket_Data[[#This Row],[vr (m/s)]]^2)*Rocket_Data[[#This Row],[Area (m2)]]*Cd)</calculatedColumnFormula>
    </tableColumn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A893C18-AF47-43DE-927D-5B59E596645D}" name="External_Loads" displayName="External_Loads" ref="L12:Q25" totalsRowShown="0" headerRowDxfId="87" tableBorderDxfId="86">
  <autoFilter ref="L12:Q25" xr:uid="{04D5EAE5-48C2-4727-A1D5-A306083B0CD1}"/>
  <tableColumns count="6">
    <tableColumn id="1" xr3:uid="{CCC971EF-A9E3-4C5A-B88B-15B5695AA514}" name="Num"/>
    <tableColumn id="2" xr3:uid="{5E66C13B-E668-498D-8FF5-CD1E07D046C1}" name="Location"/>
    <tableColumn id="8" xr3:uid="{01653CCB-1757-44B1-9CF3-8851B93CC286}" name="Height (m)" dataDxfId="85"/>
    <tableColumn id="3" xr3:uid="{63697DB5-463B-4208-AA9F-1D7F2734139A}" name="Shear Load (N)" dataDxfId="84"/>
    <tableColumn id="6" xr3:uid="{37236E73-4040-412F-A9C8-089EEB4B79D3}" name="Bending Moment (Nm)" dataDxfId="83">
      <calculatedColumnFormula>External_Loads[[#This Row],[Shear Load (N)]]*External_Loads[[#This Row],[Height (m)]]</calculatedColumnFormula>
    </tableColumn>
    <tableColumn id="7" xr3:uid="{E61DB084-EF54-4452-B5E3-C1A231D055AF}" name="Axial Load (N)" dataDxfId="82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7A686BD-DA52-4B4E-82EA-B05CC37878DF}" name="Table3" displayName="Table3" ref="L28:Q41" totalsRowShown="0" headerRowDxfId="81" tableBorderDxfId="80">
  <autoFilter ref="L28:Q41" xr:uid="{3CCB5809-8E74-4BF2-9045-0408BC224C3C}"/>
  <tableColumns count="6">
    <tableColumn id="1" xr3:uid="{E1F8CD46-3830-418C-978D-25FA3DCD567F}" name="Num"/>
    <tableColumn id="2" xr3:uid="{2BBD7659-D95A-4CBD-B5F5-7D8366948A99}" name="Location"/>
    <tableColumn id="7" xr3:uid="{49813717-4577-43EE-A78D-638DACAB8833}" name="Inertia Relief (N)" dataDxfId="79"/>
    <tableColumn id="3" xr3:uid="{5FC5697B-757D-4E8A-ABCF-460094EFBAA2}" name="Shear Load (N)" dataDxfId="78"/>
    <tableColumn id="4" xr3:uid="{2AD12196-F34B-457E-ADF3-D3FD7BF70ECC}" name="Bending Moment (Nm)" dataDxfId="77"/>
    <tableColumn id="5" xr3:uid="{FB56D202-227F-414B-918D-5E3621CCBC17}" name="Axial Load (kN)" dataDxfId="76">
      <calculatedColumnFormula>Q13*TAN(RADIANS(alpha))*Table3[[#This Row],[Inertia Relief (N)]]+Q13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BF94CFA-99FD-4317-9DBE-116864080B44}" name="Table1" displayName="Table1" ref="A4:L50" totalsRowCount="1" totalsRowDxfId="75">
  <autoFilter ref="A4:L49" xr:uid="{F85DC791-C50E-4841-830D-EC2237A8FF43}"/>
  <tableColumns count="12">
    <tableColumn id="1" xr3:uid="{B67BB253-D664-4452-9855-7B0193FAF82C}" name="Stage" totalsRowLabel="Total" totalsRowDxfId="74"/>
    <tableColumn id="2" xr3:uid="{DEABA097-B562-4017-A6A4-3370C9DD4C69}" name="Item" totalsRowDxfId="73"/>
    <tableColumn id="6" xr3:uid="{7A56402C-82F4-4102-85C4-38F18399D3A5}" name="Height" dataDxfId="71" totalsRowDxfId="72"/>
    <tableColumn id="3" xr3:uid="{F1FF1536-1D81-424A-8258-C8F5A4848847}" name="Mass (kg)" totalsRowFunction="sum" totalsRowDxfId="70"/>
    <tableColumn id="4" xr3:uid="{AED4EA98-C7FD-4C8B-8840-906728CF1095}" name="Distance (m)" totalsRowDxfId="69"/>
    <tableColumn id="5" xr3:uid="{8F639793-00F5-4FDB-A754-122E249A7E6E}" name="Moment (kgm)" totalsRowFunction="sum" totalsRowDxfId="68">
      <calculatedColumnFormula>D5*E5</calculatedColumnFormula>
    </tableColumn>
    <tableColumn id="15" xr3:uid="{30900EBF-E458-4AD1-925D-DD0271E58DE6}" name="Thickness (m)" dataDxfId="66" totalsRowDxfId="67"/>
    <tableColumn id="16" xr3:uid="{E09633EF-AE2F-443C-84D1-BBB1EE699986}" name="Dist from CM (m)" dataDxfId="64" totalsRowDxfId="65">
      <calculatedColumnFormula>Table1[[#This Row],[Distance (m)]]-$G$51</calculatedColumnFormula>
    </tableColumn>
    <tableColumn id="11" xr3:uid="{0D6E2F7F-A9B0-4831-B494-D36ACED24846}" name="J0" totalsRowFunction="sum" dataDxfId="62" totalsRowDxfId="63">
      <calculatedColumnFormula>(Table1[[#This Row],[Mass (kg)]]*(((C1^2)/2)+((Table1[[#This Row],[Distance (m)]]^2)/12)))</calculatedColumnFormula>
    </tableColumn>
    <tableColumn id="12" xr3:uid="{4E55097A-37F7-428C-92B6-6F1F3A60F9DC}" name="m*cm^2" dataDxfId="60" totalsRowDxfId="61">
      <calculatedColumnFormula>Table1[[#This Row],[Mass (kg)]]*(Table1[[#This Row],[Dist from CM (m)]]^2)</calculatedColumnFormula>
    </tableColumn>
    <tableColumn id="13" xr3:uid="{B9660108-302F-4BA4-B2E4-5C257BAFA1F2}" name="Jpitch/yaw" totalsRowFunction="sum" dataDxfId="58" totalsRowDxfId="59">
      <calculatedColumnFormula>Table1[[#This Row],[m*cm^2]]+Table1[[#This Row],[J0]]</calculatedColumnFormula>
    </tableColumn>
    <tableColumn id="14" xr3:uid="{01D11996-526A-4E81-ABE1-7B665DD0AD15}" name="Jroll" totalsRowFunction="sum" totalsRowDxfId="57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12C098B-859C-409C-B5E7-BC271545C4D6}" name="Table37" displayName="Table37" ref="B7:S18" totalsRowShown="0" headerRowDxfId="56" tableBorderDxfId="55">
  <autoFilter ref="B7:S18" xr:uid="{686C91B3-A139-4527-A691-960BAF3FBA35}"/>
  <tableColumns count="18">
    <tableColumn id="1" xr3:uid="{378C0A29-8F91-4312-B081-E30F97248710}" name="Num"/>
    <tableColumn id="2" xr3:uid="{DEEEAFB9-D347-4913-A02F-40278585578D}" name="Location"/>
    <tableColumn id="7" xr3:uid="{D4DB6C64-9606-49EC-8E25-D4E3EA9CBA71}" name="Material" dataDxfId="54"/>
    <tableColumn id="3" xr3:uid="{90265764-A323-4A26-B0E4-7B929656401E}" name="Thickness (m)" dataDxfId="53"/>
    <tableColumn id="14" xr3:uid="{E4A9E3E7-67E6-460E-9380-697433D82438}" name="Pressure (Pa)" dataDxfId="52"/>
    <tableColumn id="11" xr3:uid="{4918F777-690E-458A-B8CA-52B85D2E8260}" name="Shear (N)" dataDxfId="51">
      <calculatedColumnFormula>VLOOKUP(Table37[[#This Row],[Location]],External_Loads[[Location]:[Axial Load (N)]],3,FALSE)</calculatedColumnFormula>
    </tableColumn>
    <tableColumn id="12" xr3:uid="{AB6694CF-46FC-4132-BAB7-8930848BA67B}" name="Bending Moment (Nm)" dataDxfId="50">
      <calculatedColumnFormula>VLOOKUP(Table37[[#This Row],[Location]],External_Loads[[Location]:[Axial Load (N)]],4,FALSE)</calculatedColumnFormula>
    </tableColumn>
    <tableColumn id="13" xr3:uid="{8F53A962-B090-43E2-BDC8-9A156F40E3D1}" name="Axial Load (N)" dataDxfId="49">
      <calculatedColumnFormula>VLOOKUP(Table37[[#This Row],[Location]],External_Loads[[Location]:[Axial Load (N)]],5,FALSE)</calculatedColumnFormula>
    </tableColumn>
    <tableColumn id="4" xr3:uid="{15B9079C-119E-49DA-83FD-EA7DBF43B159}" name="τ (Mpa)" dataDxfId="48">
      <calculatedColumnFormula>(Table37[[#This Row],[Shear (N)]]/(2*PI()*$C$3*Table37[[#This Row],[Thickness (m)]]))/(10^6)</calculatedColumnFormula>
    </tableColumn>
    <tableColumn id="15" xr3:uid="{647A6656-3FF5-4891-A6EB-BB6A1C2EF111}" name="σaxial (MPA)" dataDxfId="47">
      <calculatedColumnFormula>Table37[[#This Row],[Axial Load (N)]]/(PI()*((($C$3+Table37[[#This Row],[Thickness (m)]])^2)-(($C$3)^2)))/10^6</calculatedColumnFormula>
    </tableColumn>
    <tableColumn id="5" xr3:uid="{6E4B726B-7836-4B36-9DB9-0662DC27DA04}" name="σa (MPA)" dataDxfId="46">
      <calculatedColumnFormula>((-Table37[[#This Row],[Axial Load (N)]]/(2*PI()*$C$3*Table37[[#This Row],[Thickness (m)]]))/(10^6))</calculatedColumnFormula>
    </tableColumn>
    <tableColumn id="6" xr3:uid="{FB37C985-9ED0-41EE-A32B-E0B1F1DF2431}" name="σb (Mpa)" dataDxfId="45">
      <calculatedColumnFormula>(Table37[[#This Row],[Bending Moment (Nm)]]/(PI()*($C$3^2)*Table37[[#This Row],[Thickness (m)]]))/(10^6)</calculatedColumnFormula>
    </tableColumn>
    <tableColumn id="8" xr3:uid="{93D91892-0799-42D7-B8BF-8C67F31982B1}" name="σmax-vertical (Mpa)" dataDxfId="44">
      <calculatedColumnFormula>-ABS(Table37[[#This Row],[σa (MPA)]])-ABS(Table37[[#This Row],[σb (Mpa)]])+Table37[[#This Row],[σaxial (MPA)]]</calculatedColumnFormula>
    </tableColumn>
    <tableColumn id="16" xr3:uid="{D18FDA2F-F181-4E90-8151-B12AF992A610}" name="σmax-horizontal (Mpa)" dataDxfId="43">
      <calculatedColumnFormula>Table37[[#This Row],[σaxial (MPA)]]*2</calculatedColumnFormula>
    </tableColumn>
    <tableColumn id="9" xr3:uid="{FFCECE0C-A14F-4D4F-A235-B339B20458D9}" name="FSvertical" dataDxfId="42">
      <calculatedColumnFormula>ABS(VLOOKUP(Table37[[#This Row],[Material]],Table7[[Material]:[Source]],5,FALSE)/Table37[[#This Row],[σmax-vertical (Mpa)]])</calculatedColumnFormula>
    </tableColumn>
    <tableColumn id="10" xr3:uid="{B14ED1B9-CA2F-4C38-B892-65B74C74A271}" name="MSvertical" dataDxfId="41" dataCellStyle="Percent">
      <calculatedColumnFormula>(Table37[[#This Row],[FSvertical]]-1)</calculatedColumnFormula>
    </tableColumn>
    <tableColumn id="17" xr3:uid="{9E4404BB-580C-4132-A51B-ABCA0D7BFA0A}" name="FShorizontal" dataDxfId="40">
      <calculatedColumnFormula>ABS(VLOOKUP(Table37[[#This Row],[Material]],Table7[[Material]:[Source]],5,FALSE)/Table37[[#This Row],[σmax-horizontal (Mpa)]])</calculatedColumnFormula>
    </tableColumn>
    <tableColumn id="18" xr3:uid="{D5456A59-9E1D-4294-A9F2-6D45FB49E2CF}" name="MShorizontal" dataDxfId="39" dataCellStyle="Percent">
      <calculatedColumnFormula>(Table37[[#This Row],[FShorizontal]]-1)</calculatedColumnFormula>
    </tableColumn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A82B647-26E9-4A20-9DD1-001D46A95FFA}" name="Table7" displayName="Table7" ref="B44:I52" totalsRowShown="0" headerRowDxfId="38" tableBorderDxfId="37">
  <autoFilter ref="B44:I52" xr:uid="{D8F88899-6EB2-4171-9329-CA5FD19074B2}"/>
  <tableColumns count="8">
    <tableColumn id="7" xr3:uid="{A5CE416E-CC83-43E0-830D-39F3F12D23DE}" name="Component"/>
    <tableColumn id="1" xr3:uid="{1F915C8B-D829-4A50-AF20-2CECE0A4F7D9}" name="Material" dataDxfId="36"/>
    <tableColumn id="2" xr3:uid="{CC1F76CE-32F7-4DE6-9B9B-0F0CE561C56C}" name="Op Temp (C°)"/>
    <tableColumn id="3" xr3:uid="{43A56257-84EF-4723-A25F-B4847CAF233E}" name="Density"/>
    <tableColumn id="4" xr3:uid="{B773928E-3D0D-476D-A6E4-81DBC7AAD554}" name="Elastic Modulus" dataDxfId="35">
      <calculatedColumnFormula>7.24*10^4</calculatedColumnFormula>
    </tableColumn>
    <tableColumn id="5" xr3:uid="{B34970D8-D426-4AF4-9755-FA41D0076224}" name="Yield Stress"/>
    <tableColumn id="6" xr3:uid="{3CE565E9-38AF-4A3D-877C-D012030FF1F1}" name="Source"/>
    <tableColumn id="8" xr3:uid="{4BB3A6A0-2F3B-4AB9-957D-B73DEE3C1D27}" name="Website"/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5B286329-B7E0-4767-9DE8-149A8D0F8733}" name="Table379" displayName="Table379" ref="B21:S32" totalsRowShown="0" headerRowDxfId="34" tableBorderDxfId="33">
  <autoFilter ref="B21:S32" xr:uid="{85CF6C5F-7B80-4593-B788-11204DDFB036}"/>
  <tableColumns count="18">
    <tableColumn id="1" xr3:uid="{FDCD36AC-FEBF-4C4A-88C4-8ED8B3945DB4}" name="Num"/>
    <tableColumn id="2" xr3:uid="{2F39C805-FD80-4FE7-BE4E-DEE074BE2861}" name="Location"/>
    <tableColumn id="7" xr3:uid="{4B5C93FD-5FA7-4A1E-A0CE-5C8E1D4DC85D}" name="Material" dataDxfId="32"/>
    <tableColumn id="3" xr3:uid="{155FA2C4-4F37-41CB-9A2E-39426ECAE756}" name="Thickness (m)" dataDxfId="31"/>
    <tableColumn id="15" xr3:uid="{9CFF849D-D349-4474-86CF-B1FB29E79B4E}" name="Pressure (Pa)" dataDxfId="30"/>
    <tableColumn id="11" xr3:uid="{AAE62608-26DD-46FE-B84D-15DE94BF905A}" name="Shear (N)" dataDxfId="29">
      <calculatedColumnFormula>VLOOKUP(Table379[[#This Row],[Location]],Table3[[Location]:[Axial Load (kN)]],3,FALSE)</calculatedColumnFormula>
    </tableColumn>
    <tableColumn id="12" xr3:uid="{BB6CCBFB-2524-43CD-8414-8EF8D4AB0927}" name="Bending Moment (Nm)" dataDxfId="28">
      <calculatedColumnFormula>VLOOKUP(Table379[[#This Row],[Location]],Table3[[Location]:[Axial Load (kN)]],4,FALSE)</calculatedColumnFormula>
    </tableColumn>
    <tableColumn id="13" xr3:uid="{5031F48F-B35F-4D79-9A08-189708B50E87}" name="Axial Load (N)" dataDxfId="27">
      <calculatedColumnFormula>VLOOKUP(Table379[[#This Row],[Location]],Table3[[Location]:[Axial Load (kN)]],5,FALSE)</calculatedColumnFormula>
    </tableColumn>
    <tableColumn id="4" xr3:uid="{3A0EFC53-67CE-45D8-8D11-41FA82E8F20F}" name="τ (Mpa)" dataDxfId="26"/>
    <tableColumn id="16" xr3:uid="{A654FB10-FE34-4793-A48A-56BF657FDB9B}" name="σaxial (MPA)" dataDxfId="25">
      <calculatedColumnFormula>Table379[[#This Row],[Axial Load (N)]]/(PI()*((C$3+Table379[[#This Row],[Thickness (m)]])^2-C$3^2))/10^6</calculatedColumnFormula>
    </tableColumn>
    <tableColumn id="5" xr3:uid="{F29DEA43-841E-447B-BF77-4E946FE053DE}" name="σa (MPA)" dataDxfId="24">
      <calculatedColumnFormula>(-Table379[[#This Row],[Axial Load (N)]]/(2*PI()*$C$3*Table379[[#This Row],[Thickness (m)]]))/(10^6)</calculatedColumnFormula>
    </tableColumn>
    <tableColumn id="6" xr3:uid="{EDCBFF8B-EE2C-4D7A-8F30-A336F44295DF}" name="σb (Mpa)" dataDxfId="23">
      <calculatedColumnFormula>(Table379[[#This Row],[Bending Moment (Nm)]]/(PI()*($C$3^2)*Table379[[#This Row],[Thickness (m)]]))/(10^6)</calculatedColumnFormula>
    </tableColumn>
    <tableColumn id="8" xr3:uid="{9448017F-7992-428E-BBF7-1BB7A59B46B0}" name="σmax-vertical (Mpa)" dataDxfId="22">
      <calculatedColumnFormula>-ABS(Table379[[#This Row],[σa (MPA)]])-ABS(Table379[[#This Row],[σb (Mpa)]])</calculatedColumnFormula>
    </tableColumn>
    <tableColumn id="17" xr3:uid="{EF5BCADA-CB00-4D65-B20C-19948BB01DDC}" name="σmax-horizontal (Mpa)" dataDxfId="21">
      <calculatedColumnFormula>Table379[[#This Row],[σaxial (MPA)]]*2</calculatedColumnFormula>
    </tableColumn>
    <tableColumn id="9" xr3:uid="{4A16192B-E323-45C0-9130-CCF275C0F098}" name="FSvertical" dataDxfId="20">
      <calculatedColumnFormula>ABS(VLOOKUP(Table379[[#This Row],[Material]],Table7[[Material]:[Source]],5,FALSE)/Table379[[#This Row],[σmax-vertical (Mpa)]])</calculatedColumnFormula>
    </tableColumn>
    <tableColumn id="10" xr3:uid="{57522C53-8E2D-4CB4-8DF0-DADFEC1E98FE}" name="MSvertical" dataCellStyle="Percent">
      <calculatedColumnFormula>(Table379[[#This Row],[FSvertical]]-1)</calculatedColumnFormula>
    </tableColumn>
    <tableColumn id="18" xr3:uid="{4A16530B-5437-42BF-9E79-D3EB8D09B631}" name="FShorizontal" dataDxfId="19">
      <calculatedColumnFormula>ABS(VLOOKUP(Table379[[#This Row],[Material]],Table7[[Material]:[Source]],5,FALSE)/Table379[[#This Row],[σmax-horizontal (Mpa)]])</calculatedColumnFormula>
    </tableColumn>
    <tableColumn id="19" xr3:uid="{5374F6F2-C500-44B9-ABBE-8AC2CDB0F3B1}" name="MShorizontal" dataDxfId="18">
      <calculatedColumnFormula>(Table379[[#This Row],[FShorizontal]]-1)</calculatedColumnFormula>
    </tableColumn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A624B5E2-2518-47FA-9319-8751D8E5EF96}" name="Table37910" displayName="Table37910" ref="B35:I41" totalsRowShown="0" headerRowDxfId="17" tableBorderDxfId="16">
  <autoFilter ref="B35:I41" xr:uid="{DFA50F3C-2610-4E5D-85E7-312AAE7BCB62}"/>
  <tableColumns count="8">
    <tableColumn id="1" xr3:uid="{34964AD8-FCAE-4EA7-A937-F4F5FA5B1F65}" name="Num"/>
    <tableColumn id="2" xr3:uid="{BD8E60FF-CB80-43C6-A8EE-37C45FCFBEA5}" name="Location"/>
    <tableColumn id="7" xr3:uid="{53A257C3-6C10-45EC-9123-6B8914F833A3}" name="Material" dataDxfId="15"/>
    <tableColumn id="3" xr3:uid="{4184930D-B14E-4ACC-A436-BC038B3E5A22}" name="Thickness (m)" dataDxfId="14"/>
    <tableColumn id="8" xr3:uid="{DA575750-E5EF-4521-9DFE-F5D33F5BC184}" name="Load Case" dataDxfId="13"/>
    <tableColumn id="4" xr3:uid="{5FB8AA90-3317-421E-A0C8-9635F8A4C931}" name="Stress (Mpa)" dataDxfId="12"/>
    <tableColumn id="5" xr3:uid="{3DE7691E-2E9F-4580-8456-007318A9B3A3}" name="Yield Stress (Mpa)" dataDxfId="11">
      <calculatedColumnFormula>VLOOKUP(Table37910[[#This Row],[Material]],Table7[[Material]:[Website]],5,FALSE)</calculatedColumnFormula>
    </tableColumn>
    <tableColumn id="6" xr3:uid="{EE21ED5D-CF56-4E70-AD78-61C31C71DABD}" name="MS" dataDxfId="10" dataCellStyle="Percent">
      <calculatedColumnFormula>(Table37910[[#This Row],[Yield Stress (Mpa)]]/Table37910[[#This Row],[Stress (Mpa)]])-1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www.matweb.com/search/DataSheet.aspx?MatGUID=e5de9f1161d34f71a34ae016723d097f" TargetMode="External"/><Relationship Id="rId13" Type="http://schemas.openxmlformats.org/officeDocument/2006/relationships/hyperlink" Target="http://www.matweb.com/search/DataSheet.aspx?MatGUID=053c1a9682d1498baef14f959f459617" TargetMode="External"/><Relationship Id="rId18" Type="http://schemas.openxmlformats.org/officeDocument/2006/relationships/table" Target="../tables/table7.xml"/><Relationship Id="rId3" Type="http://schemas.openxmlformats.org/officeDocument/2006/relationships/hyperlink" Target="http://www.matweb.com/search/DataSheet.aspx?MatGUID=86215ca4233a49fdb6b556235fc726b7" TargetMode="External"/><Relationship Id="rId21" Type="http://schemas.openxmlformats.org/officeDocument/2006/relationships/table" Target="../tables/table10.xml"/><Relationship Id="rId7" Type="http://schemas.openxmlformats.org/officeDocument/2006/relationships/hyperlink" Target="http://www.matweb.com/" TargetMode="External"/><Relationship Id="rId12" Type="http://schemas.openxmlformats.org/officeDocument/2006/relationships/hyperlink" Target="http://www.matweb.com/" TargetMode="External"/><Relationship Id="rId17" Type="http://schemas.openxmlformats.org/officeDocument/2006/relationships/table" Target="../tables/table6.xml"/><Relationship Id="rId2" Type="http://schemas.openxmlformats.org/officeDocument/2006/relationships/hyperlink" Target="http://www.matweb.com/search/DataSheet.aspx?MatGUID=86215ca4233a49fdb6b556235fc726b7" TargetMode="External"/><Relationship Id="rId16" Type="http://schemas.openxmlformats.org/officeDocument/2006/relationships/hyperlink" Target="http://www.matweb.com/search/DataSheet.aspx?MatGUID=e5de9f1161d34f71a34ae016723d097f" TargetMode="External"/><Relationship Id="rId20" Type="http://schemas.openxmlformats.org/officeDocument/2006/relationships/table" Target="../tables/table9.xml"/><Relationship Id="rId1" Type="http://schemas.openxmlformats.org/officeDocument/2006/relationships/hyperlink" Target="http://www.matweb.com/search/DataSheet.aspx?MatGUID=86215ca4233a49fdb6b556235fc726b7" TargetMode="External"/><Relationship Id="rId6" Type="http://schemas.openxmlformats.org/officeDocument/2006/relationships/hyperlink" Target="http://www.matweb.com/" TargetMode="External"/><Relationship Id="rId11" Type="http://schemas.openxmlformats.org/officeDocument/2006/relationships/hyperlink" Target="http://www.matweb.com/search/DataSheet.aspx?MatGUID=4f19a42be94546b686bbf43f79c51b7d" TargetMode="External"/><Relationship Id="rId5" Type="http://schemas.openxmlformats.org/officeDocument/2006/relationships/hyperlink" Target="http://www.matweb.com/" TargetMode="External"/><Relationship Id="rId15" Type="http://schemas.openxmlformats.org/officeDocument/2006/relationships/hyperlink" Target="http://www.matweb.com/" TargetMode="External"/><Relationship Id="rId10" Type="http://schemas.openxmlformats.org/officeDocument/2006/relationships/hyperlink" Target="http://www.matweb.com/search/DataSheet.aspx?MatGUID=b8d536e0b9b54bd7b69e4124d8f1d20a" TargetMode="External"/><Relationship Id="rId19" Type="http://schemas.openxmlformats.org/officeDocument/2006/relationships/table" Target="../tables/table8.xml"/><Relationship Id="rId4" Type="http://schemas.openxmlformats.org/officeDocument/2006/relationships/hyperlink" Target="http://www.matweb.com/" TargetMode="External"/><Relationship Id="rId9" Type="http://schemas.openxmlformats.org/officeDocument/2006/relationships/hyperlink" Target="http://www.matweb.com/" TargetMode="External"/><Relationship Id="rId14" Type="http://schemas.openxmlformats.org/officeDocument/2006/relationships/hyperlink" Target="http://www.matweb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96BFF-570B-4DAB-95D4-88E4E66DDD1F}">
  <dimension ref="A1:R79"/>
  <sheetViews>
    <sheetView workbookViewId="0">
      <selection activeCell="H14" sqref="H14"/>
    </sheetView>
  </sheetViews>
  <sheetFormatPr defaultRowHeight="15"/>
  <cols>
    <col min="1" max="1" width="8.140625" customWidth="1"/>
    <col min="2" max="2" width="23.5703125" bestFit="1" customWidth="1"/>
    <col min="3" max="3" width="9.140625" bestFit="1" customWidth="1"/>
    <col min="4" max="4" width="15.140625" customWidth="1"/>
    <col min="5" max="5" width="18.85546875" customWidth="1"/>
    <col min="6" max="6" width="16.5703125" bestFit="1" customWidth="1"/>
    <col min="7" max="7" width="24" customWidth="1"/>
    <col min="8" max="8" width="18.42578125" bestFit="1" customWidth="1"/>
    <col min="9" max="9" width="16.5703125" customWidth="1"/>
    <col min="10" max="10" width="12" bestFit="1" customWidth="1"/>
    <col min="11" max="11" width="10.5703125" bestFit="1" customWidth="1"/>
    <col min="12" max="15" width="16.140625" customWidth="1"/>
    <col min="16" max="16" width="16.140625" style="48" customWidth="1"/>
    <col min="17" max="17" width="12" bestFit="1" customWidth="1"/>
  </cols>
  <sheetData>
    <row r="1" spans="1:18">
      <c r="A1" t="s">
        <v>0</v>
      </c>
      <c r="C1">
        <v>0.55000000000000004</v>
      </c>
      <c r="D1" t="s">
        <v>1</v>
      </c>
      <c r="E1">
        <f>C5+C8+C16+C23+C12+C18</f>
        <v>4.1426909206033544</v>
      </c>
      <c r="F1" t="s">
        <v>2</v>
      </c>
      <c r="G1">
        <f>SUM(E1:E2)</f>
        <v>11.328932054350705</v>
      </c>
    </row>
    <row r="2" spans="1:18">
      <c r="A2" t="s">
        <v>3</v>
      </c>
      <c r="C2">
        <v>0.82</v>
      </c>
      <c r="D2" t="s">
        <v>4</v>
      </c>
      <c r="E2">
        <f>C44+C39+C37+C33+C29</f>
        <v>7.1862411337473517</v>
      </c>
    </row>
    <row r="4" spans="1:18">
      <c r="A4" t="s">
        <v>5</v>
      </c>
      <c r="B4" t="s">
        <v>6</v>
      </c>
      <c r="C4" t="s">
        <v>7</v>
      </c>
      <c r="D4" t="s">
        <v>8</v>
      </c>
      <c r="E4" t="s">
        <v>9</v>
      </c>
      <c r="F4" t="s">
        <v>10</v>
      </c>
      <c r="G4" t="s">
        <v>11</v>
      </c>
      <c r="H4" t="s">
        <v>12</v>
      </c>
      <c r="I4" t="s">
        <v>13</v>
      </c>
      <c r="J4" t="s">
        <v>14</v>
      </c>
      <c r="K4" t="s">
        <v>15</v>
      </c>
      <c r="L4" t="s">
        <v>16</v>
      </c>
      <c r="M4" t="s">
        <v>17</v>
      </c>
      <c r="N4" t="s">
        <v>18</v>
      </c>
      <c r="O4" t="s">
        <v>19</v>
      </c>
      <c r="P4" t="s">
        <v>20</v>
      </c>
      <c r="R4" s="48"/>
    </row>
    <row r="5" spans="1:18">
      <c r="A5">
        <v>0</v>
      </c>
      <c r="B5" s="49" t="s">
        <v>21</v>
      </c>
      <c r="C5" s="50">
        <v>1.37</v>
      </c>
      <c r="D5" s="49">
        <v>37.144152119307101</v>
      </c>
      <c r="E5" s="49">
        <v>11.315598721017301</v>
      </c>
      <c r="F5" s="49">
        <v>420.30832021450601</v>
      </c>
      <c r="G5" s="118">
        <v>5.0000000000000001E-3</v>
      </c>
      <c r="H5" s="122">
        <f t="shared" ref="H5:H49" si="0">E5-$G$51</f>
        <v>6.3963836511653591</v>
      </c>
      <c r="I5" s="49">
        <v>5.7535259850803397</v>
      </c>
      <c r="J5" s="49">
        <v>1519.7055810735401</v>
      </c>
      <c r="K5" s="49">
        <v>1526.1019647247099</v>
      </c>
      <c r="L5" s="106">
        <v>7.5216908041596797</v>
      </c>
      <c r="M5" s="49">
        <v>37.144152119307101</v>
      </c>
      <c r="N5" s="49">
        <f t="shared" ref="N5:N49" si="1">M5*E5</f>
        <v>420.30832021450351</v>
      </c>
      <c r="O5" s="106">
        <f t="shared" ref="O5:O49" si="2">E5-$I$57</f>
        <v>5.9388222437319049</v>
      </c>
      <c r="P5" s="49"/>
      <c r="R5" s="48"/>
    </row>
    <row r="6" spans="1:18">
      <c r="A6">
        <v>1</v>
      </c>
      <c r="B6" s="49" t="s">
        <v>22</v>
      </c>
      <c r="C6" s="50">
        <v>1.37</v>
      </c>
      <c r="D6" s="49">
        <v>30</v>
      </c>
      <c r="E6" s="49">
        <v>11.315598721017301</v>
      </c>
      <c r="F6" s="49">
        <v>339.46796163052102</v>
      </c>
      <c r="G6" s="118">
        <v>0</v>
      </c>
      <c r="H6" s="122">
        <f t="shared" si="0"/>
        <v>6.3963836511653591</v>
      </c>
      <c r="I6" s="49">
        <v>4.6922499999999996</v>
      </c>
      <c r="J6" s="49">
        <v>1227.41171438689</v>
      </c>
      <c r="K6" s="49">
        <v>1233.8080980380601</v>
      </c>
      <c r="L6" s="106">
        <v>6.0750000000000002</v>
      </c>
      <c r="M6" s="49">
        <v>30</v>
      </c>
      <c r="N6" s="49">
        <f t="shared" si="1"/>
        <v>339.46796163051903</v>
      </c>
      <c r="O6" s="106">
        <f t="shared" si="2"/>
        <v>5.9388222437319049</v>
      </c>
      <c r="P6" s="49"/>
      <c r="R6" s="48"/>
    </row>
    <row r="7" spans="1:18">
      <c r="A7">
        <v>2</v>
      </c>
      <c r="B7" s="49" t="s">
        <v>23</v>
      </c>
      <c r="C7" s="50">
        <v>0</v>
      </c>
      <c r="D7" s="49">
        <v>19.5</v>
      </c>
      <c r="E7" s="49">
        <v>10.858932054350699</v>
      </c>
      <c r="F7" s="49">
        <v>211.749175059838</v>
      </c>
      <c r="G7" s="118">
        <v>0</v>
      </c>
      <c r="H7" s="122">
        <f t="shared" si="0"/>
        <v>5.9397169844987578</v>
      </c>
      <c r="I7" s="49">
        <v>1.974375</v>
      </c>
      <c r="J7" s="49">
        <v>687.96463819089195</v>
      </c>
      <c r="K7" s="49">
        <v>693.90435517539095</v>
      </c>
      <c r="L7" s="106">
        <v>3.94875</v>
      </c>
      <c r="M7" s="49">
        <v>19.5</v>
      </c>
      <c r="N7" s="49">
        <f t="shared" si="1"/>
        <v>211.74917505983865</v>
      </c>
      <c r="O7" s="106">
        <f t="shared" si="2"/>
        <v>5.4821555770653037</v>
      </c>
      <c r="P7" s="49"/>
      <c r="R7" s="48"/>
    </row>
    <row r="8" spans="1:18">
      <c r="A8">
        <v>3</v>
      </c>
      <c r="B8" s="52" t="s">
        <v>24</v>
      </c>
      <c r="C8" s="53">
        <v>0.52500000000000002</v>
      </c>
      <c r="D8" s="52">
        <v>20.039434139085799</v>
      </c>
      <c r="E8" s="52">
        <v>10.5964320543507</v>
      </c>
      <c r="F8" s="52">
        <v>212.34650226245901</v>
      </c>
      <c r="G8" s="119">
        <v>5.0000000000000001E-3</v>
      </c>
      <c r="H8" s="99">
        <f t="shared" si="0"/>
        <v>5.6772169844987586</v>
      </c>
      <c r="I8" s="52">
        <v>2.4892734594645698</v>
      </c>
      <c r="J8" s="52">
        <v>645.88684734337699</v>
      </c>
      <c r="K8" s="52">
        <v>651.56406432787503</v>
      </c>
      <c r="L8" s="100">
        <v>4.0579854131648903</v>
      </c>
      <c r="M8" s="52">
        <v>20.039434139085799</v>
      </c>
      <c r="N8" s="52">
        <f t="shared" si="1"/>
        <v>212.34650226245847</v>
      </c>
      <c r="O8" s="100">
        <f t="shared" si="2"/>
        <v>5.2196555770653044</v>
      </c>
      <c r="P8" s="52"/>
      <c r="R8" s="48"/>
    </row>
    <row r="9" spans="1:18">
      <c r="A9">
        <v>4</v>
      </c>
      <c r="B9" s="52" t="s">
        <v>25</v>
      </c>
      <c r="C9" s="53">
        <v>0</v>
      </c>
      <c r="D9" s="52">
        <v>12.485956757039199</v>
      </c>
      <c r="E9" s="52">
        <v>10.5964320543507</v>
      </c>
      <c r="F9" s="52">
        <v>132.30659240952701</v>
      </c>
      <c r="G9" s="119">
        <v>0</v>
      </c>
      <c r="H9" s="99">
        <f t="shared" si="0"/>
        <v>5.6772169844987586</v>
      </c>
      <c r="I9" s="52">
        <v>1.2642031216502201</v>
      </c>
      <c r="J9" s="52">
        <v>402.43228376096698</v>
      </c>
      <c r="K9" s="52">
        <v>408.10950074546599</v>
      </c>
      <c r="L9" s="100">
        <v>2.5284062433004499</v>
      </c>
      <c r="M9" s="52">
        <v>12.485956757039199</v>
      </c>
      <c r="N9" s="52">
        <f t="shared" si="1"/>
        <v>132.30659240952687</v>
      </c>
      <c r="O9" s="100">
        <f t="shared" si="2"/>
        <v>5.2196555770653044</v>
      </c>
      <c r="P9" s="52"/>
      <c r="R9" s="48"/>
    </row>
    <row r="10" spans="1:18">
      <c r="A10">
        <v>5</v>
      </c>
      <c r="B10" s="52" t="s">
        <v>26</v>
      </c>
      <c r="C10" s="53">
        <v>0.69317273015083802</v>
      </c>
      <c r="D10" s="52">
        <v>45.060999454279603</v>
      </c>
      <c r="E10" s="52">
        <v>0</v>
      </c>
      <c r="F10" s="52">
        <v>0</v>
      </c>
      <c r="G10" s="119">
        <v>0</v>
      </c>
      <c r="H10" s="99">
        <f t="shared" si="0"/>
        <v>-4.9192150698519415</v>
      </c>
      <c r="I10" s="52">
        <v>4.56242619474581</v>
      </c>
      <c r="J10" s="52">
        <v>0</v>
      </c>
      <c r="K10" s="52">
        <v>0</v>
      </c>
      <c r="L10" s="100">
        <v>9.12485238949162</v>
      </c>
      <c r="M10" s="52">
        <v>45.060999454279603</v>
      </c>
      <c r="N10" s="52">
        <f t="shared" si="1"/>
        <v>0</v>
      </c>
      <c r="O10" s="100">
        <f t="shared" si="2"/>
        <v>-5.3767764772853957</v>
      </c>
      <c r="P10" s="52"/>
      <c r="R10" s="48"/>
    </row>
    <row r="11" spans="1:18">
      <c r="A11">
        <v>6</v>
      </c>
      <c r="B11" s="52" t="s">
        <v>27</v>
      </c>
      <c r="C11" s="99">
        <v>0.22500000000000001</v>
      </c>
      <c r="D11" s="52">
        <v>1.12984238193703</v>
      </c>
      <c r="E11" s="52">
        <v>10.4294250202058</v>
      </c>
      <c r="F11" s="52">
        <v>11.783606407063001</v>
      </c>
      <c r="G11" s="119">
        <v>5.0000000000000001E-3</v>
      </c>
      <c r="H11" s="99">
        <f t="shared" si="0"/>
        <v>5.5102099503538584</v>
      </c>
      <c r="I11" s="100">
        <v>0.22879308234224899</v>
      </c>
      <c r="J11" s="100">
        <v>34.304741812752603</v>
      </c>
      <c r="K11" s="100">
        <v>39.8149517631065</v>
      </c>
      <c r="L11" s="100">
        <v>0.22879308234224899</v>
      </c>
      <c r="M11" s="52">
        <v>1.12984238193703</v>
      </c>
      <c r="N11" s="100">
        <f t="shared" si="1"/>
        <v>11.783606407062978</v>
      </c>
      <c r="O11" s="100">
        <f t="shared" si="2"/>
        <v>5.0526485429204042</v>
      </c>
      <c r="P11" s="52"/>
      <c r="R11" s="48"/>
    </row>
    <row r="12" spans="1:18">
      <c r="A12">
        <v>7</v>
      </c>
      <c r="B12" s="52" t="s">
        <v>28</v>
      </c>
      <c r="C12" s="53">
        <v>0.28085796757168902</v>
      </c>
      <c r="D12" s="52">
        <v>2.11550156711461</v>
      </c>
      <c r="E12" s="52">
        <v>10.1935030705648</v>
      </c>
      <c r="F12" s="52">
        <v>21.5643717201676</v>
      </c>
      <c r="G12" s="119">
        <v>5.0000000000000001E-3</v>
      </c>
      <c r="H12" s="99">
        <f t="shared" si="0"/>
        <v>5.2742880007128585</v>
      </c>
      <c r="I12" s="52">
        <v>0.22810064182668199</v>
      </c>
      <c r="J12" s="52">
        <v>58.849263580222299</v>
      </c>
      <c r="K12" s="52">
        <v>64.123551580935199</v>
      </c>
      <c r="L12" s="100">
        <v>0.42838906734070897</v>
      </c>
      <c r="M12" s="52">
        <v>2.11550156711461</v>
      </c>
      <c r="N12" s="52">
        <f t="shared" si="1"/>
        <v>21.564371720167422</v>
      </c>
      <c r="O12" s="100">
        <f t="shared" si="2"/>
        <v>4.8167265932794043</v>
      </c>
      <c r="P12" s="52"/>
      <c r="R12" s="48"/>
    </row>
    <row r="13" spans="1:18">
      <c r="A13">
        <v>8</v>
      </c>
      <c r="B13" s="52" t="s">
        <v>29</v>
      </c>
      <c r="C13" s="99">
        <v>0.22500000000000001</v>
      </c>
      <c r="D13" s="52">
        <v>1.12984238193703</v>
      </c>
      <c r="E13" s="52">
        <v>9.95758112092388</v>
      </c>
      <c r="F13" s="52">
        <v>11.2504971719958</v>
      </c>
      <c r="G13" s="119">
        <v>5.0000000000000001E-3</v>
      </c>
      <c r="H13" s="99">
        <f t="shared" si="0"/>
        <v>5.0383660510719386</v>
      </c>
      <c r="I13" s="100">
        <v>0.22879308234224899</v>
      </c>
      <c r="J13" s="100">
        <v>28.6811985295843</v>
      </c>
      <c r="K13" s="100">
        <v>33.719564580656296</v>
      </c>
      <c r="L13" s="100">
        <v>0.22879308234224899</v>
      </c>
      <c r="M13" s="52">
        <v>1.12984238193703</v>
      </c>
      <c r="N13" s="100">
        <f t="shared" si="1"/>
        <v>11.250497171995837</v>
      </c>
      <c r="O13" s="100">
        <f t="shared" si="2"/>
        <v>4.5808046436384844</v>
      </c>
      <c r="P13" s="52"/>
      <c r="R13" s="48"/>
    </row>
    <row r="14" spans="1:18">
      <c r="A14">
        <v>9</v>
      </c>
      <c r="B14" s="52" t="s">
        <v>30</v>
      </c>
      <c r="C14" s="53">
        <v>0.73085796757168997</v>
      </c>
      <c r="D14" s="52">
        <v>0</v>
      </c>
      <c r="E14" s="52">
        <v>10.1935030705648</v>
      </c>
      <c r="F14" s="52">
        <v>0</v>
      </c>
      <c r="G14" s="119">
        <v>0</v>
      </c>
      <c r="H14" s="99">
        <f t="shared" si="0"/>
        <v>5.2742880007128585</v>
      </c>
      <c r="I14" s="52">
        <v>0</v>
      </c>
      <c r="J14" s="52">
        <v>0</v>
      </c>
      <c r="K14" s="52">
        <v>5.2742880007129296</v>
      </c>
      <c r="L14" s="100">
        <v>0</v>
      </c>
      <c r="M14" s="52">
        <v>0</v>
      </c>
      <c r="N14" s="52">
        <f t="shared" si="1"/>
        <v>0</v>
      </c>
      <c r="O14" s="100">
        <f t="shared" si="2"/>
        <v>4.8167265932794043</v>
      </c>
      <c r="P14" s="52"/>
      <c r="R14" s="48"/>
    </row>
    <row r="15" spans="1:18">
      <c r="A15">
        <v>10</v>
      </c>
      <c r="B15" s="52" t="s">
        <v>31</v>
      </c>
      <c r="C15" s="53">
        <v>0</v>
      </c>
      <c r="D15" s="52">
        <v>5.9124139607955097</v>
      </c>
      <c r="E15" s="52">
        <v>0</v>
      </c>
      <c r="F15" s="52">
        <v>0</v>
      </c>
      <c r="G15" s="119">
        <v>0</v>
      </c>
      <c r="H15" s="99">
        <f t="shared" si="0"/>
        <v>-4.9192150698519415</v>
      </c>
      <c r="I15" s="52">
        <v>0</v>
      </c>
      <c r="J15" s="52">
        <v>143.072595156787</v>
      </c>
      <c r="K15" s="52">
        <v>138.15338008693499</v>
      </c>
      <c r="L15" s="100">
        <v>0</v>
      </c>
      <c r="M15" s="52">
        <v>5.9124139607955097</v>
      </c>
      <c r="N15" s="52">
        <f t="shared" si="1"/>
        <v>0</v>
      </c>
      <c r="O15" s="100">
        <f t="shared" si="2"/>
        <v>-5.3767764772853957</v>
      </c>
      <c r="P15" s="52"/>
      <c r="R15" s="48"/>
    </row>
    <row r="16" spans="1:18">
      <c r="A16">
        <v>11</v>
      </c>
      <c r="B16" s="52" t="s">
        <v>32</v>
      </c>
      <c r="C16" s="53">
        <v>0.67500000000000004</v>
      </c>
      <c r="D16" s="52">
        <v>25.7649867502532</v>
      </c>
      <c r="E16" s="52">
        <v>9.7155740867790197</v>
      </c>
      <c r="F16" s="52">
        <v>250.32163761696501</v>
      </c>
      <c r="G16" s="119">
        <v>5.0000000000000001E-3</v>
      </c>
      <c r="H16" s="99">
        <f t="shared" si="0"/>
        <v>4.7963590169270782</v>
      </c>
      <c r="I16" s="52">
        <v>3.5869692491368199</v>
      </c>
      <c r="J16" s="52">
        <v>592.72506143195994</v>
      </c>
      <c r="K16" s="52">
        <v>597.52142044888706</v>
      </c>
      <c r="L16" s="100">
        <v>5.2174098169262901</v>
      </c>
      <c r="M16" s="52">
        <v>25.7649867502532</v>
      </c>
      <c r="N16" s="52">
        <f t="shared" si="1"/>
        <v>250.32163761696478</v>
      </c>
      <c r="O16" s="100">
        <f t="shared" si="2"/>
        <v>4.338797609493624</v>
      </c>
      <c r="P16" s="52"/>
      <c r="R16" s="48"/>
    </row>
    <row r="17" spans="1:18">
      <c r="A17">
        <v>12</v>
      </c>
      <c r="B17" s="52" t="s">
        <v>33</v>
      </c>
      <c r="C17" s="99">
        <v>0.22500000000000001</v>
      </c>
      <c r="D17" s="52">
        <v>1.0407089999168999</v>
      </c>
      <c r="E17" s="52">
        <v>9.4735670526341593</v>
      </c>
      <c r="F17" s="52">
        <v>9.8592264929926596</v>
      </c>
      <c r="G17" s="119">
        <v>5.0000000000000001E-3</v>
      </c>
      <c r="H17" s="99">
        <f t="shared" si="0"/>
        <v>4.5543519827822179</v>
      </c>
      <c r="I17" s="100">
        <v>0.21074357248317299</v>
      </c>
      <c r="J17" s="100">
        <v>21.5865130251577</v>
      </c>
      <c r="K17" s="100">
        <v>26.140865007939901</v>
      </c>
      <c r="L17" s="100">
        <v>0.21074357248317299</v>
      </c>
      <c r="M17" s="52">
        <v>1.0407089999168999</v>
      </c>
      <c r="N17" s="100">
        <f t="shared" si="1"/>
        <v>9.8592264929925886</v>
      </c>
      <c r="O17" s="100">
        <f t="shared" si="2"/>
        <v>4.0967905753487637</v>
      </c>
      <c r="P17" s="52"/>
      <c r="R17" s="48"/>
    </row>
    <row r="18" spans="1:18">
      <c r="A18">
        <v>13</v>
      </c>
      <c r="B18" s="52" t="s">
        <v>34</v>
      </c>
      <c r="C18" s="53">
        <v>0.76683295303166499</v>
      </c>
      <c r="D18" s="52">
        <v>5.3203330376860896</v>
      </c>
      <c r="E18" s="52">
        <v>8.9946576102631894</v>
      </c>
      <c r="F18" s="52">
        <v>47.854574046557801</v>
      </c>
      <c r="G18" s="119">
        <v>5.0000000000000001E-3</v>
      </c>
      <c r="H18" s="99">
        <f t="shared" si="0"/>
        <v>4.075442540411248</v>
      </c>
      <c r="I18" s="52">
        <v>0.79939457133785696</v>
      </c>
      <c r="J18" s="52">
        <v>88.366645209190395</v>
      </c>
      <c r="K18" s="52">
        <v>92.442087749601697</v>
      </c>
      <c r="L18" s="100">
        <v>1.0773674401314299</v>
      </c>
      <c r="M18" s="52">
        <v>5.3203330376860896</v>
      </c>
      <c r="N18" s="52">
        <f t="shared" si="1"/>
        <v>47.854574046557858</v>
      </c>
      <c r="O18" s="100">
        <f t="shared" si="2"/>
        <v>3.6178811329777938</v>
      </c>
      <c r="P18" s="52"/>
      <c r="R18" s="48"/>
    </row>
    <row r="19" spans="1:18">
      <c r="A19">
        <v>14</v>
      </c>
      <c r="B19" s="52" t="s">
        <v>35</v>
      </c>
      <c r="C19" s="99">
        <v>0.22500000000000001</v>
      </c>
      <c r="D19" s="52">
        <v>1.0407089999168999</v>
      </c>
      <c r="E19" s="52">
        <v>8.5157481678922196</v>
      </c>
      <c r="F19" s="52">
        <v>8.8624157593513502</v>
      </c>
      <c r="G19" s="119">
        <v>5.0000000000000001E-3</v>
      </c>
      <c r="H19" s="99">
        <f t="shared" si="0"/>
        <v>3.5965330980402781</v>
      </c>
      <c r="I19" s="100">
        <v>0.21074357248317299</v>
      </c>
      <c r="J19" s="100">
        <v>13.461623287917</v>
      </c>
      <c r="K19" s="100">
        <v>17.0581563859573</v>
      </c>
      <c r="L19" s="100">
        <v>0.21074357248317299</v>
      </c>
      <c r="M19" s="52">
        <v>1.0407089999168999</v>
      </c>
      <c r="N19" s="100">
        <f t="shared" si="1"/>
        <v>8.8624157593512844</v>
      </c>
      <c r="O19" s="100">
        <f t="shared" si="2"/>
        <v>3.1389716906068239</v>
      </c>
      <c r="P19" s="52"/>
      <c r="R19" s="48"/>
    </row>
    <row r="20" spans="1:18">
      <c r="A20">
        <v>15</v>
      </c>
      <c r="B20" s="52" t="s">
        <v>36</v>
      </c>
      <c r="C20" s="99">
        <v>1.2168329530316599</v>
      </c>
      <c r="D20" s="52">
        <v>4.4069050590937699</v>
      </c>
      <c r="E20" s="52">
        <v>8.9946576102631894</v>
      </c>
      <c r="F20" s="52">
        <v>39.6386021274852</v>
      </c>
      <c r="G20" s="119">
        <v>0</v>
      </c>
      <c r="H20" s="99">
        <f t="shared" si="0"/>
        <v>4.075442540411248</v>
      </c>
      <c r="I20" s="100">
        <v>0.989968046923693</v>
      </c>
      <c r="J20" s="100">
        <v>73.195308088625495</v>
      </c>
      <c r="K20" s="100">
        <v>77.270750629036797</v>
      </c>
      <c r="L20" s="100">
        <v>0.89239827446649</v>
      </c>
      <c r="M20" s="52">
        <v>4.4069050590937699</v>
      </c>
      <c r="N20" s="100">
        <f t="shared" si="1"/>
        <v>39.638602127485129</v>
      </c>
      <c r="O20" s="100">
        <f t="shared" si="2"/>
        <v>3.6178811329777938</v>
      </c>
      <c r="P20" s="52"/>
      <c r="R20" s="48"/>
    </row>
    <row r="21" spans="1:18">
      <c r="A21">
        <v>16</v>
      </c>
      <c r="B21" s="52" t="s">
        <v>37</v>
      </c>
      <c r="C21" s="53">
        <v>0</v>
      </c>
      <c r="D21" s="52">
        <v>13.8350486682615</v>
      </c>
      <c r="E21" s="52">
        <v>0</v>
      </c>
      <c r="F21" s="52">
        <v>0</v>
      </c>
      <c r="G21" s="119">
        <v>0</v>
      </c>
      <c r="H21" s="99">
        <f t="shared" si="0"/>
        <v>-4.9192150698519415</v>
      </c>
      <c r="I21" s="52">
        <v>0</v>
      </c>
      <c r="J21" s="52">
        <v>334.78987266688301</v>
      </c>
      <c r="K21" s="52">
        <v>329.87065759703103</v>
      </c>
      <c r="L21" s="100">
        <v>0</v>
      </c>
      <c r="M21" s="52">
        <v>13.8350486682615</v>
      </c>
      <c r="N21" s="52">
        <f t="shared" si="1"/>
        <v>0</v>
      </c>
      <c r="O21" s="100">
        <f t="shared" si="2"/>
        <v>-5.3767764772853957</v>
      </c>
      <c r="P21" s="52"/>
      <c r="R21" s="48"/>
    </row>
    <row r="22" spans="1:18">
      <c r="B22" s="52" t="s">
        <v>38</v>
      </c>
      <c r="C22" s="99">
        <v>0.44978998569310802</v>
      </c>
      <c r="D22" s="52">
        <v>3.8347742403979401</v>
      </c>
      <c r="E22" s="52">
        <v>8.9946576102631894</v>
      </c>
      <c r="F22" s="52">
        <v>34.492481305036598</v>
      </c>
      <c r="G22" s="119">
        <v>5.0000000000000001E-3</v>
      </c>
      <c r="H22" s="99">
        <f t="shared" si="0"/>
        <v>4.075442540411248</v>
      </c>
      <c r="I22" s="100">
        <v>0.77654178368058302</v>
      </c>
      <c r="J22" s="100">
        <v>63.692654643658599</v>
      </c>
      <c r="K22" s="100">
        <v>67.768097184069902</v>
      </c>
      <c r="L22" s="100">
        <v>0.77654178368058302</v>
      </c>
      <c r="M22" s="52">
        <v>3.8347742403979401</v>
      </c>
      <c r="N22" s="100">
        <f t="shared" si="1"/>
        <v>34.492481305036577</v>
      </c>
      <c r="O22" s="100">
        <f t="shared" si="2"/>
        <v>3.6178811329777938</v>
      </c>
      <c r="P22" s="52"/>
      <c r="R22" s="48"/>
    </row>
    <row r="23" spans="1:18">
      <c r="A23">
        <v>17</v>
      </c>
      <c r="B23" s="52" t="s">
        <v>39</v>
      </c>
      <c r="C23" s="53">
        <v>0.52500000000000002</v>
      </c>
      <c r="D23" s="52">
        <v>20.039434139085799</v>
      </c>
      <c r="E23" s="52">
        <v>7.8987411337473601</v>
      </c>
      <c r="F23" s="52">
        <v>158.286302731418</v>
      </c>
      <c r="G23" s="119">
        <v>5.0000000000000001E-3</v>
      </c>
      <c r="H23" s="99">
        <f t="shared" si="0"/>
        <v>2.9795260638954186</v>
      </c>
      <c r="I23" s="52">
        <v>4.5182661660470202</v>
      </c>
      <c r="J23" s="52">
        <v>177.90159085823501</v>
      </c>
      <c r="K23" s="52">
        <v>180.88111692213101</v>
      </c>
      <c r="L23" s="100">
        <v>4.0579854131648903</v>
      </c>
      <c r="M23" s="52">
        <v>20.039434139085799</v>
      </c>
      <c r="N23" s="52">
        <f t="shared" si="1"/>
        <v>158.28630273141812</v>
      </c>
      <c r="O23" s="100">
        <f t="shared" si="2"/>
        <v>2.5219646564619644</v>
      </c>
      <c r="P23" s="52"/>
      <c r="R23" s="48"/>
    </row>
    <row r="24" spans="1:18">
      <c r="A24">
        <v>18</v>
      </c>
      <c r="B24" s="52" t="s">
        <v>40</v>
      </c>
      <c r="C24" s="53">
        <v>0.26250000000000001</v>
      </c>
      <c r="D24" s="52">
        <v>2.8604194987660998</v>
      </c>
      <c r="E24" s="52">
        <v>7.7674911337473604</v>
      </c>
      <c r="F24" s="52">
        <v>22.2182830954638</v>
      </c>
      <c r="G24" s="119">
        <v>0</v>
      </c>
      <c r="H24" s="99">
        <f t="shared" si="0"/>
        <v>2.848276063895419</v>
      </c>
      <c r="I24" s="52">
        <v>0</v>
      </c>
      <c r="J24" s="52">
        <v>23.2056581512132</v>
      </c>
      <c r="K24" s="52">
        <v>26.053934215108601</v>
      </c>
      <c r="L24" s="100">
        <v>0.57923494850013701</v>
      </c>
      <c r="M24" s="52">
        <v>2.8604194987660998</v>
      </c>
      <c r="N24" s="52">
        <f t="shared" si="1"/>
        <v>22.21828309546375</v>
      </c>
      <c r="O24" s="100">
        <f t="shared" si="2"/>
        <v>2.3907146564619648</v>
      </c>
      <c r="P24" s="52"/>
      <c r="R24" s="48"/>
    </row>
    <row r="25" spans="1:18">
      <c r="A25">
        <v>19</v>
      </c>
      <c r="B25" s="52" t="s">
        <v>41</v>
      </c>
      <c r="C25" s="53">
        <v>0</v>
      </c>
      <c r="D25" s="52">
        <v>0.41964765633555001</v>
      </c>
      <c r="E25" s="52">
        <v>8.1678573743701701</v>
      </c>
      <c r="F25" s="52">
        <v>3.4276222044374798</v>
      </c>
      <c r="G25" s="119">
        <v>0</v>
      </c>
      <c r="H25" s="99">
        <f t="shared" si="0"/>
        <v>3.2486423045182287</v>
      </c>
      <c r="I25" s="52">
        <v>0</v>
      </c>
      <c r="J25" s="52">
        <v>4.4288257443711903</v>
      </c>
      <c r="K25" s="52">
        <v>7.6774680488894296</v>
      </c>
      <c r="L25" s="100">
        <v>0</v>
      </c>
      <c r="M25" s="52">
        <v>0.41964765633555001</v>
      </c>
      <c r="N25" s="52">
        <f t="shared" si="1"/>
        <v>3.4276222044374811</v>
      </c>
      <c r="O25" s="100">
        <f t="shared" si="2"/>
        <v>2.7910808970847745</v>
      </c>
      <c r="P25" s="52"/>
      <c r="R25" s="48"/>
    </row>
    <row r="26" spans="1:18">
      <c r="A26">
        <v>20</v>
      </c>
      <c r="B26" s="52" t="s">
        <v>42</v>
      </c>
      <c r="C26" s="53">
        <v>0.53161624062281199</v>
      </c>
      <c r="D26" s="52">
        <v>69.533825840061695</v>
      </c>
      <c r="E26" s="52">
        <v>7.7487411337473597</v>
      </c>
      <c r="F26" s="52">
        <v>538.79961647371101</v>
      </c>
      <c r="G26" s="119">
        <v>0</v>
      </c>
      <c r="H26" s="99">
        <f t="shared" si="0"/>
        <v>2.8295260638954183</v>
      </c>
      <c r="I26" s="52">
        <v>0</v>
      </c>
      <c r="J26" s="52">
        <v>556.70295040629901</v>
      </c>
      <c r="K26" s="52">
        <v>559.53247647019396</v>
      </c>
      <c r="L26" s="100">
        <v>0</v>
      </c>
      <c r="M26" s="52">
        <v>69.533825840061695</v>
      </c>
      <c r="N26" s="52">
        <f t="shared" si="1"/>
        <v>538.79961647371113</v>
      </c>
      <c r="O26" s="100">
        <f t="shared" si="2"/>
        <v>2.3719646564619641</v>
      </c>
      <c r="P26" s="52"/>
      <c r="R26" s="48"/>
    </row>
    <row r="27" spans="1:18">
      <c r="A27">
        <v>21</v>
      </c>
      <c r="B27" s="52" t="s">
        <v>43</v>
      </c>
      <c r="C27" s="99">
        <v>0.73085796757168997</v>
      </c>
      <c r="D27" s="52">
        <v>296.83513030949098</v>
      </c>
      <c r="E27" s="52">
        <v>10.1935030705648</v>
      </c>
      <c r="F27" s="52">
        <v>3025.7898122613201</v>
      </c>
      <c r="G27" s="119">
        <v>0</v>
      </c>
      <c r="H27" s="99">
        <f t="shared" si="0"/>
        <v>5.2742880007128585</v>
      </c>
      <c r="I27" s="100">
        <v>0</v>
      </c>
      <c r="J27" s="100">
        <v>8257.3934687643196</v>
      </c>
      <c r="K27" s="100">
        <v>8262.6677567650295</v>
      </c>
      <c r="L27" s="100">
        <v>0</v>
      </c>
      <c r="M27" s="52">
        <v>296.83513030949098</v>
      </c>
      <c r="N27" s="100">
        <f t="shared" si="1"/>
        <v>3025.7898122612987</v>
      </c>
      <c r="O27" s="100">
        <f t="shared" si="2"/>
        <v>4.8167265932794043</v>
      </c>
      <c r="P27" s="52"/>
      <c r="R27" s="48"/>
    </row>
    <row r="28" spans="1:18">
      <c r="A28">
        <v>22</v>
      </c>
      <c r="B28" s="52" t="s">
        <v>44</v>
      </c>
      <c r="C28" s="99">
        <v>1.2168329530316599</v>
      </c>
      <c r="D28" s="52">
        <v>694.59420492420998</v>
      </c>
      <c r="E28" s="52">
        <v>8.9946576102631894</v>
      </c>
      <c r="F28" s="52">
        <v>6247.6370513662596</v>
      </c>
      <c r="G28" s="119">
        <v>0</v>
      </c>
      <c r="H28" s="99">
        <f t="shared" si="0"/>
        <v>4.075442540411248</v>
      </c>
      <c r="I28" s="100">
        <v>0</v>
      </c>
      <c r="J28" s="100">
        <v>11536.676226116901</v>
      </c>
      <c r="K28" s="100">
        <v>11540.7516686573</v>
      </c>
      <c r="L28" s="100">
        <v>0</v>
      </c>
      <c r="M28" s="52">
        <v>694.59420492420998</v>
      </c>
      <c r="N28" s="100">
        <f t="shared" si="1"/>
        <v>6247.637051366255</v>
      </c>
      <c r="O28" s="100">
        <f t="shared" si="2"/>
        <v>3.6178811329777938</v>
      </c>
      <c r="P28" s="52"/>
      <c r="R28" s="48"/>
    </row>
    <row r="29" spans="1:18">
      <c r="A29">
        <v>23</v>
      </c>
      <c r="B29" s="55" t="s">
        <v>45</v>
      </c>
      <c r="C29" s="56">
        <v>0.86911624062281201</v>
      </c>
      <c r="D29" s="55">
        <v>33.174471739372898</v>
      </c>
      <c r="E29" s="55">
        <v>7.2016830134359502</v>
      </c>
      <c r="F29" s="55">
        <v>238.91202960515301</v>
      </c>
      <c r="G29" s="120">
        <v>5.0000000000000001E-3</v>
      </c>
      <c r="H29" s="101">
        <f t="shared" si="0"/>
        <v>2.2824679435840087</v>
      </c>
      <c r="I29" s="55">
        <v>5.4471460814423303</v>
      </c>
      <c r="J29" s="55">
        <v>172.82771557177301</v>
      </c>
      <c r="K29" s="55">
        <v>175.11018351535699</v>
      </c>
      <c r="L29" s="102">
        <v>6.7178305272230103</v>
      </c>
      <c r="M29" s="55">
        <v>33.174471739372898</v>
      </c>
      <c r="N29" s="55">
        <f t="shared" si="1"/>
        <v>238.91202960515278</v>
      </c>
      <c r="O29" s="102">
        <f t="shared" si="2"/>
        <v>1.8249065361505545</v>
      </c>
      <c r="P29" s="55"/>
      <c r="R29" s="48"/>
    </row>
    <row r="30" spans="1:18">
      <c r="A30">
        <v>24</v>
      </c>
      <c r="B30" s="55" t="s">
        <v>46</v>
      </c>
      <c r="C30" s="56">
        <v>0</v>
      </c>
      <c r="D30" s="55">
        <v>19.102439643732598</v>
      </c>
      <c r="E30" s="55">
        <v>7.2016830134359502</v>
      </c>
      <c r="F30" s="55">
        <v>137.569715097455</v>
      </c>
      <c r="G30" s="120">
        <v>0</v>
      </c>
      <c r="H30" s="101">
        <f t="shared" si="0"/>
        <v>2.2824679435840087</v>
      </c>
      <c r="I30" s="55">
        <v>1.93412201392793</v>
      </c>
      <c r="J30" s="55">
        <v>99.517214061790398</v>
      </c>
      <c r="K30" s="55">
        <v>101.799682005374</v>
      </c>
      <c r="L30" s="102">
        <v>3.8682440278558601</v>
      </c>
      <c r="M30" s="55">
        <v>19.102439643732598</v>
      </c>
      <c r="N30" s="55">
        <f t="shared" si="1"/>
        <v>137.56971509745455</v>
      </c>
      <c r="O30" s="102">
        <f t="shared" si="2"/>
        <v>1.8249065361505545</v>
      </c>
      <c r="P30" s="55"/>
      <c r="R30" s="48"/>
    </row>
    <row r="31" spans="1:18">
      <c r="A31">
        <v>25</v>
      </c>
      <c r="B31" s="55" t="s">
        <v>47</v>
      </c>
      <c r="C31" s="56">
        <v>1.57928122328113</v>
      </c>
      <c r="D31" s="55">
        <v>99.764677369365302</v>
      </c>
      <c r="E31" s="55">
        <v>0</v>
      </c>
      <c r="F31" s="55">
        <v>0</v>
      </c>
      <c r="G31" s="120">
        <v>0</v>
      </c>
      <c r="H31" s="101">
        <f t="shared" si="0"/>
        <v>-4.9192150698519415</v>
      </c>
      <c r="I31" s="55">
        <v>10.101173583648199</v>
      </c>
      <c r="J31" s="55">
        <v>0</v>
      </c>
      <c r="K31" s="55">
        <v>0</v>
      </c>
      <c r="L31" s="102">
        <v>20.202347167296399</v>
      </c>
      <c r="M31" s="55">
        <v>99.764677369365302</v>
      </c>
      <c r="N31" s="55">
        <f t="shared" si="1"/>
        <v>0</v>
      </c>
      <c r="O31" s="102">
        <f t="shared" si="2"/>
        <v>-5.3767764772853957</v>
      </c>
      <c r="P31" s="55"/>
      <c r="R31" s="48"/>
    </row>
    <row r="32" spans="1:18">
      <c r="A32">
        <v>26</v>
      </c>
      <c r="B32" s="55" t="s">
        <v>48</v>
      </c>
      <c r="C32" s="101">
        <v>0.22500000000000001</v>
      </c>
      <c r="D32" s="55">
        <v>1.12984238193703</v>
      </c>
      <c r="E32" s="55">
        <v>6.8626178589796796</v>
      </c>
      <c r="F32" s="55">
        <v>7.7536765081132302</v>
      </c>
      <c r="G32" s="120">
        <v>5.0000000000000001E-3</v>
      </c>
      <c r="H32" s="101">
        <f t="shared" si="0"/>
        <v>1.9434027891277381</v>
      </c>
      <c r="I32" s="102">
        <v>0.22879308234224899</v>
      </c>
      <c r="J32" s="102">
        <v>4.2672049787221003</v>
      </c>
      <c r="K32" s="102">
        <v>6.2106077678498499</v>
      </c>
      <c r="L32" s="102">
        <v>0.22879308234224899</v>
      </c>
      <c r="M32" s="55">
        <v>1.12984238193703</v>
      </c>
      <c r="N32" s="102">
        <f t="shared" si="1"/>
        <v>7.7536765081132026</v>
      </c>
      <c r="O32" s="102">
        <f t="shared" si="2"/>
        <v>1.4858413816942839</v>
      </c>
      <c r="P32" s="55"/>
      <c r="R32" s="48"/>
    </row>
    <row r="33" spans="1:18">
      <c r="A33">
        <v>27</v>
      </c>
      <c r="B33" s="55" t="s">
        <v>49</v>
      </c>
      <c r="C33" s="56">
        <v>1.6452718738965699</v>
      </c>
      <c r="D33" s="55">
        <v>12.392652619582099</v>
      </c>
      <c r="E33" s="55">
        <v>5.9444889561762597</v>
      </c>
      <c r="F33" s="55">
        <v>73.667986634834605</v>
      </c>
      <c r="G33" s="120">
        <v>5.0000000000000001E-3</v>
      </c>
      <c r="H33" s="101">
        <f t="shared" si="0"/>
        <v>1.0252738863243183</v>
      </c>
      <c r="I33" s="55">
        <v>4.0502488707678497</v>
      </c>
      <c r="J33" s="55">
        <v>13.0269896531202</v>
      </c>
      <c r="K33" s="55">
        <v>14.0522635394445</v>
      </c>
      <c r="L33" s="102">
        <v>2.5095121554653699</v>
      </c>
      <c r="M33" s="55">
        <v>12.392652619582099</v>
      </c>
      <c r="N33" s="55">
        <f t="shared" si="1"/>
        <v>73.667986634834591</v>
      </c>
      <c r="O33" s="102">
        <f t="shared" si="2"/>
        <v>0.56771247889086407</v>
      </c>
      <c r="P33" s="55"/>
      <c r="R33" s="48"/>
    </row>
    <row r="34" spans="1:18">
      <c r="A34">
        <v>28</v>
      </c>
      <c r="B34" s="55" t="s">
        <v>50</v>
      </c>
      <c r="C34" s="101">
        <v>0.22500000000000001</v>
      </c>
      <c r="D34" s="55">
        <v>1.12984238193703</v>
      </c>
      <c r="E34" s="55">
        <v>5.0263600533728301</v>
      </c>
      <c r="F34" s="55">
        <v>5.6789946151759096</v>
      </c>
      <c r="G34" s="120">
        <v>5.0000000000000001E-3</v>
      </c>
      <c r="H34" s="101">
        <f t="shared" si="0"/>
        <v>0.10714498352088864</v>
      </c>
      <c r="I34" s="102">
        <v>0.22879308234224899</v>
      </c>
      <c r="J34" s="102">
        <v>1.29706442050241E-2</v>
      </c>
      <c r="K34" s="102">
        <v>0.12011562772591899</v>
      </c>
      <c r="L34" s="102">
        <v>0.22879308234224899</v>
      </c>
      <c r="M34" s="55">
        <v>1.12984238193703</v>
      </c>
      <c r="N34" s="102">
        <f t="shared" si="1"/>
        <v>5.6789946151758954</v>
      </c>
      <c r="O34" s="102">
        <f t="shared" si="2"/>
        <v>-0.35041642391256556</v>
      </c>
      <c r="P34" s="55"/>
      <c r="R34" s="48"/>
    </row>
    <row r="35" spans="1:18">
      <c r="A35">
        <v>29</v>
      </c>
      <c r="B35" s="55" t="s">
        <v>51</v>
      </c>
      <c r="C35" s="56">
        <v>2.0952718738965701</v>
      </c>
      <c r="D35" s="55">
        <v>0</v>
      </c>
      <c r="E35" s="55">
        <v>5.9444889561762597</v>
      </c>
      <c r="F35" s="55">
        <v>0</v>
      </c>
      <c r="G35" s="120">
        <v>0</v>
      </c>
      <c r="H35" s="101">
        <f t="shared" si="0"/>
        <v>1.0252738863243183</v>
      </c>
      <c r="I35" s="55">
        <v>0</v>
      </c>
      <c r="J35" s="55">
        <v>0</v>
      </c>
      <c r="K35" s="55">
        <v>1.02527388632432</v>
      </c>
      <c r="L35" s="102">
        <v>0</v>
      </c>
      <c r="M35" s="55">
        <v>0</v>
      </c>
      <c r="N35" s="55">
        <f t="shared" si="1"/>
        <v>0</v>
      </c>
      <c r="O35" s="102">
        <f t="shared" si="2"/>
        <v>0.56771247889086407</v>
      </c>
      <c r="P35" s="55"/>
      <c r="R35" s="48"/>
    </row>
    <row r="36" spans="1:18">
      <c r="A36">
        <v>30</v>
      </c>
      <c r="B36" s="55" t="s">
        <v>52</v>
      </c>
      <c r="C36" s="56">
        <v>0</v>
      </c>
      <c r="D36" s="55">
        <v>19.8004559235894</v>
      </c>
      <c r="E36" s="55">
        <v>0</v>
      </c>
      <c r="F36" s="55">
        <v>0</v>
      </c>
      <c r="G36" s="120">
        <v>0</v>
      </c>
      <c r="H36" s="101">
        <f t="shared" si="0"/>
        <v>-4.9192150698519415</v>
      </c>
      <c r="I36" s="55">
        <v>0</v>
      </c>
      <c r="J36" s="55">
        <v>479.14483543610999</v>
      </c>
      <c r="K36" s="55">
        <v>474.225620366258</v>
      </c>
      <c r="L36" s="102">
        <v>0</v>
      </c>
      <c r="M36" s="55">
        <v>19.8004559235894</v>
      </c>
      <c r="N36" s="55">
        <f t="shared" si="1"/>
        <v>0</v>
      </c>
      <c r="O36" s="102">
        <f t="shared" si="2"/>
        <v>-5.3767764772853957</v>
      </c>
      <c r="P36" s="55"/>
      <c r="R36" s="48"/>
    </row>
    <row r="37" spans="1:18">
      <c r="A37">
        <v>31</v>
      </c>
      <c r="B37" s="55" t="s">
        <v>53</v>
      </c>
      <c r="C37" s="56">
        <v>0.67500000000000004</v>
      </c>
      <c r="D37" s="55">
        <v>25.7649867502532</v>
      </c>
      <c r="E37" s="55">
        <v>4.7843530192279697</v>
      </c>
      <c r="F37" s="55">
        <v>123.26879214894301</v>
      </c>
      <c r="G37" s="120">
        <v>5.0000000000000001E-3</v>
      </c>
      <c r="H37" s="101">
        <f t="shared" si="0"/>
        <v>-0.13486205062397172</v>
      </c>
      <c r="I37" s="55">
        <v>3.5869692491368199</v>
      </c>
      <c r="J37" s="55">
        <v>0.46860772259351602</v>
      </c>
      <c r="K37" s="55">
        <v>0.33374567196954802</v>
      </c>
      <c r="L37" s="102">
        <v>5.2174098169262901</v>
      </c>
      <c r="M37" s="55">
        <v>25.7649867502532</v>
      </c>
      <c r="N37" s="55">
        <f t="shared" si="1"/>
        <v>123.26879214894254</v>
      </c>
      <c r="O37" s="102">
        <f t="shared" si="2"/>
        <v>-0.59242345805742591</v>
      </c>
      <c r="P37" s="55"/>
      <c r="R37" s="48"/>
    </row>
    <row r="38" spans="1:18">
      <c r="A38">
        <v>32</v>
      </c>
      <c r="B38" s="55" t="s">
        <v>54</v>
      </c>
      <c r="C38" s="101">
        <v>0.22500000000000001</v>
      </c>
      <c r="D38" s="55">
        <v>1.0946098034163101</v>
      </c>
      <c r="E38" s="55">
        <v>4.5423459850830996</v>
      </c>
      <c r="F38" s="55">
        <v>4.9720964457806902</v>
      </c>
      <c r="G38" s="120">
        <v>5.0000000000000001E-3</v>
      </c>
      <c r="H38" s="101">
        <f t="shared" si="0"/>
        <v>-0.37686908476884184</v>
      </c>
      <c r="I38" s="102">
        <v>0.22165848519180301</v>
      </c>
      <c r="J38" s="102">
        <v>0.15546776648408001</v>
      </c>
      <c r="K38" s="102">
        <v>-0.22140131828474999</v>
      </c>
      <c r="L38" s="102">
        <v>0.22165848519180301</v>
      </c>
      <c r="M38" s="55">
        <v>1.0946098034163101</v>
      </c>
      <c r="N38" s="102">
        <f t="shared" si="1"/>
        <v>4.9720964457806769</v>
      </c>
      <c r="O38" s="102">
        <f t="shared" si="2"/>
        <v>-0.83443049220229604</v>
      </c>
      <c r="P38" s="55"/>
      <c r="R38" s="48"/>
    </row>
    <row r="39" spans="1:18">
      <c r="A39">
        <v>33</v>
      </c>
      <c r="B39" s="55" t="s">
        <v>55</v>
      </c>
      <c r="C39" s="56">
        <v>3.0968530192279702</v>
      </c>
      <c r="D39" s="55">
        <v>22.598971163908899</v>
      </c>
      <c r="E39" s="55">
        <v>2.8984265096139801</v>
      </c>
      <c r="F39" s="55">
        <v>65.501457111475702</v>
      </c>
      <c r="G39" s="120">
        <v>5.0000000000000001E-3</v>
      </c>
      <c r="H39" s="101">
        <f t="shared" si="0"/>
        <v>-2.0207885602379614</v>
      </c>
      <c r="I39" s="55">
        <v>20.349429315507201</v>
      </c>
      <c r="J39" s="55">
        <v>92.284851416187394</v>
      </c>
      <c r="K39" s="55">
        <v>90.264062855949504</v>
      </c>
      <c r="L39" s="102">
        <v>4.5762916606915596</v>
      </c>
      <c r="M39" s="55">
        <v>22.598971163908899</v>
      </c>
      <c r="N39" s="55">
        <f t="shared" si="1"/>
        <v>65.50145711147546</v>
      </c>
      <c r="O39" s="102">
        <f t="shared" si="2"/>
        <v>-2.4783499676714156</v>
      </c>
      <c r="P39" s="55"/>
      <c r="R39" s="48"/>
    </row>
    <row r="40" spans="1:18">
      <c r="A40">
        <v>34</v>
      </c>
      <c r="B40" s="55" t="s">
        <v>56</v>
      </c>
      <c r="C40" s="101">
        <v>0.22500000000000001</v>
      </c>
      <c r="D40" s="55">
        <v>1.0946098034163101</v>
      </c>
      <c r="E40" s="55">
        <v>1.2545070341448601</v>
      </c>
      <c r="F40" s="55">
        <v>1.37319569802968</v>
      </c>
      <c r="G40" s="120">
        <v>5.0000000000000001E-3</v>
      </c>
      <c r="H40" s="101">
        <f t="shared" si="0"/>
        <v>-3.6647080357070814</v>
      </c>
      <c r="I40" s="102">
        <v>0.22165848519180301</v>
      </c>
      <c r="J40" s="102">
        <v>14.700702687458101</v>
      </c>
      <c r="K40" s="102">
        <v>11.0359946517511</v>
      </c>
      <c r="L40" s="102">
        <v>0.22165848519180301</v>
      </c>
      <c r="M40" s="55">
        <v>1.0946098034163101</v>
      </c>
      <c r="N40" s="102">
        <f t="shared" si="1"/>
        <v>1.3731956980296836</v>
      </c>
      <c r="O40" s="102">
        <f t="shared" si="2"/>
        <v>-4.1222694431405351</v>
      </c>
      <c r="P40" s="55"/>
      <c r="R40" s="48"/>
    </row>
    <row r="41" spans="1:18">
      <c r="A41">
        <v>35</v>
      </c>
      <c r="B41" s="55" t="s">
        <v>57</v>
      </c>
      <c r="C41" s="101">
        <v>3.5468530192279699</v>
      </c>
      <c r="D41" s="55">
        <v>11.8052027027455</v>
      </c>
      <c r="E41" s="55">
        <v>2.8984265096139801</v>
      </c>
      <c r="F41" s="55">
        <v>34.216512465004399</v>
      </c>
      <c r="G41" s="120">
        <v>0</v>
      </c>
      <c r="H41" s="101">
        <f t="shared" si="0"/>
        <v>-2.0207885602379614</v>
      </c>
      <c r="I41" s="102">
        <v>13.571227913489199</v>
      </c>
      <c r="J41" s="102">
        <v>48.207565267427299</v>
      </c>
      <c r="K41" s="102">
        <v>46.186776707189303</v>
      </c>
      <c r="L41" s="102">
        <v>2.39055354730597</v>
      </c>
      <c r="M41" s="55">
        <v>11.8052027027455</v>
      </c>
      <c r="N41" s="102">
        <f t="shared" si="1"/>
        <v>34.216512465004165</v>
      </c>
      <c r="O41" s="102">
        <f t="shared" si="2"/>
        <v>-2.4783499676714156</v>
      </c>
      <c r="P41" s="55"/>
      <c r="R41" s="48"/>
    </row>
    <row r="42" spans="1:18">
      <c r="A42">
        <v>36</v>
      </c>
      <c r="B42" s="55" t="s">
        <v>58</v>
      </c>
      <c r="C42" s="56">
        <v>0</v>
      </c>
      <c r="D42" s="55">
        <v>46.3330668611992</v>
      </c>
      <c r="E42" s="55">
        <v>0</v>
      </c>
      <c r="F42" s="55">
        <v>0</v>
      </c>
      <c r="G42" s="120">
        <v>0</v>
      </c>
      <c r="H42" s="101">
        <f t="shared" si="0"/>
        <v>-4.9192150698519415</v>
      </c>
      <c r="I42" s="55">
        <v>0</v>
      </c>
      <c r="J42" s="55">
        <v>1121.1989149204901</v>
      </c>
      <c r="K42" s="55">
        <v>1116.2796998506401</v>
      </c>
      <c r="L42" s="102">
        <v>0</v>
      </c>
      <c r="M42" s="55">
        <v>46.3330668611992</v>
      </c>
      <c r="N42" s="55">
        <f t="shared" si="1"/>
        <v>0</v>
      </c>
      <c r="O42" s="102">
        <f t="shared" si="2"/>
        <v>-5.3767764772853957</v>
      </c>
      <c r="P42" s="55"/>
      <c r="R42" s="48"/>
    </row>
    <row r="43" spans="1:18">
      <c r="B43" s="55" t="s">
        <v>59</v>
      </c>
      <c r="C43" s="101">
        <v>0.44977909418564999</v>
      </c>
      <c r="D43" s="55">
        <v>12.4330617308014</v>
      </c>
      <c r="E43" s="55">
        <v>2.8984265096139801</v>
      </c>
      <c r="F43" s="55">
        <v>36.036315716222099</v>
      </c>
      <c r="G43" s="120">
        <v>5.0000000000000001E-3</v>
      </c>
      <c r="H43" s="101">
        <f t="shared" si="0"/>
        <v>-2.0207885602379614</v>
      </c>
      <c r="I43" s="102">
        <v>2.51769500048729</v>
      </c>
      <c r="J43" s="102">
        <v>50.771481858771303</v>
      </c>
      <c r="K43" s="102">
        <v>48.750693298533399</v>
      </c>
      <c r="L43" s="102">
        <v>2.51769500048729</v>
      </c>
      <c r="M43" s="55">
        <v>12.4330617308014</v>
      </c>
      <c r="N43" s="102">
        <f t="shared" si="1"/>
        <v>36.03631571622185</v>
      </c>
      <c r="O43" s="102">
        <f t="shared" si="2"/>
        <v>-2.4783499676714156</v>
      </c>
      <c r="P43" s="55"/>
      <c r="R43" s="48"/>
    </row>
    <row r="44" spans="1:18">
      <c r="A44">
        <v>37</v>
      </c>
      <c r="B44" s="55" t="s">
        <v>60</v>
      </c>
      <c r="C44" s="56">
        <v>0.9</v>
      </c>
      <c r="D44" s="55">
        <v>34.353315667004303</v>
      </c>
      <c r="E44" s="55">
        <v>0.45</v>
      </c>
      <c r="F44" s="55">
        <v>15.458992050151901</v>
      </c>
      <c r="G44" s="120">
        <v>5.0000000000000001E-3</v>
      </c>
      <c r="H44" s="101">
        <f t="shared" si="0"/>
        <v>-4.4692150698519413</v>
      </c>
      <c r="I44" s="55">
        <v>9.2753952300911795</v>
      </c>
      <c r="J44" s="55">
        <v>686.16911949526605</v>
      </c>
      <c r="K44" s="55">
        <v>681.69990442541405</v>
      </c>
      <c r="L44" s="102">
        <v>6.9565464225683797</v>
      </c>
      <c r="M44" s="55">
        <v>34.353315667004303</v>
      </c>
      <c r="N44" s="55">
        <f t="shared" si="1"/>
        <v>15.458992050151936</v>
      </c>
      <c r="O44" s="102">
        <f t="shared" si="2"/>
        <v>-4.9267764772853955</v>
      </c>
      <c r="P44" s="55"/>
      <c r="R44" s="48"/>
    </row>
    <row r="45" spans="1:18">
      <c r="A45">
        <v>38</v>
      </c>
      <c r="B45" s="55" t="s">
        <v>61</v>
      </c>
      <c r="C45" s="56">
        <v>0.45</v>
      </c>
      <c r="D45" s="55">
        <v>16.1993323728957</v>
      </c>
      <c r="E45" s="55">
        <v>0.22500000000000001</v>
      </c>
      <c r="F45" s="55">
        <v>3.6448497839015399</v>
      </c>
      <c r="G45" s="120">
        <v>0</v>
      </c>
      <c r="H45" s="101">
        <f t="shared" si="0"/>
        <v>-4.6942150698519418</v>
      </c>
      <c r="I45" s="55">
        <v>0</v>
      </c>
      <c r="J45" s="55">
        <v>356.96290137618598</v>
      </c>
      <c r="K45" s="55">
        <v>352.26868630633402</v>
      </c>
      <c r="L45" s="102">
        <v>3.2803648055113799</v>
      </c>
      <c r="M45" s="55">
        <v>16.1993323728957</v>
      </c>
      <c r="N45" s="55">
        <f t="shared" si="1"/>
        <v>3.6448497839015328</v>
      </c>
      <c r="O45" s="102">
        <f t="shared" si="2"/>
        <v>-5.151776477285396</v>
      </c>
      <c r="P45" s="55"/>
      <c r="R45" s="48"/>
    </row>
    <row r="46" spans="1:18">
      <c r="A46">
        <v>39</v>
      </c>
      <c r="B46" s="55" t="s">
        <v>62</v>
      </c>
      <c r="C46" s="56">
        <v>0</v>
      </c>
      <c r="D46" s="58">
        <v>2.1324825041812199</v>
      </c>
      <c r="E46" s="55">
        <v>1.26512074848753</v>
      </c>
      <c r="F46" s="55">
        <v>2.69784786182632</v>
      </c>
      <c r="G46" s="120">
        <v>0</v>
      </c>
      <c r="H46" s="101">
        <f t="shared" si="0"/>
        <v>-3.6540943213644113</v>
      </c>
      <c r="I46" s="55">
        <v>0</v>
      </c>
      <c r="J46" s="55">
        <v>28.4737707110908</v>
      </c>
      <c r="K46" s="55">
        <v>24.8196763897264</v>
      </c>
      <c r="L46" s="102">
        <v>0</v>
      </c>
      <c r="M46" s="58">
        <v>2.1324825041812199</v>
      </c>
      <c r="N46" s="55">
        <f t="shared" si="1"/>
        <v>2.6978478618263071</v>
      </c>
      <c r="O46" s="102">
        <f t="shared" si="2"/>
        <v>-4.1116557287978655</v>
      </c>
      <c r="P46" s="55"/>
      <c r="R46" s="48"/>
    </row>
    <row r="47" spans="1:18">
      <c r="A47">
        <v>40</v>
      </c>
      <c r="B47" s="55" t="s">
        <v>63</v>
      </c>
      <c r="C47" s="56">
        <v>1.26512074848753</v>
      </c>
      <c r="D47" s="55">
        <v>118.655916209132</v>
      </c>
      <c r="E47" s="55">
        <v>0.1125</v>
      </c>
      <c r="F47" s="55">
        <v>13.3487905735273</v>
      </c>
      <c r="G47" s="120">
        <v>0</v>
      </c>
      <c r="H47" s="101">
        <f t="shared" si="0"/>
        <v>-4.8067150698519416</v>
      </c>
      <c r="I47" s="55">
        <v>0</v>
      </c>
      <c r="J47" s="55">
        <v>2741.4867744609501</v>
      </c>
      <c r="K47" s="55">
        <v>2736.6800593910998</v>
      </c>
      <c r="L47" s="102">
        <v>0</v>
      </c>
      <c r="M47" s="55">
        <v>118.655916209132</v>
      </c>
      <c r="N47" s="55">
        <f t="shared" si="1"/>
        <v>13.348790573527351</v>
      </c>
      <c r="O47" s="102">
        <f t="shared" si="2"/>
        <v>-5.2642764772853958</v>
      </c>
      <c r="P47" s="55"/>
      <c r="R47" s="48"/>
    </row>
    <row r="48" spans="1:18">
      <c r="A48">
        <v>41</v>
      </c>
      <c r="B48" s="55" t="s">
        <v>64</v>
      </c>
      <c r="C48" s="101">
        <v>2.0952718738965701</v>
      </c>
      <c r="D48" s="56">
        <v>996.90045590385103</v>
      </c>
      <c r="E48" s="55">
        <v>5.9444889561762597</v>
      </c>
      <c r="F48" s="55">
        <v>5926.0637505275199</v>
      </c>
      <c r="G48" s="120">
        <v>0</v>
      </c>
      <c r="H48" s="101">
        <f t="shared" si="0"/>
        <v>1.0252738863243183</v>
      </c>
      <c r="I48" s="102">
        <v>0</v>
      </c>
      <c r="J48" s="102">
        <v>1047.92834293843</v>
      </c>
      <c r="K48" s="102">
        <v>1048.95361682476</v>
      </c>
      <c r="L48" s="102">
        <v>0</v>
      </c>
      <c r="M48" s="55">
        <v>548.87004693455719</v>
      </c>
      <c r="N48" s="102">
        <f t="shared" si="1"/>
        <v>3262.7519323784204</v>
      </c>
      <c r="O48" s="102">
        <f t="shared" si="2"/>
        <v>0.56771247889086407</v>
      </c>
      <c r="P48" s="55"/>
      <c r="R48" s="48"/>
    </row>
    <row r="49" spans="1:18">
      <c r="A49">
        <v>42</v>
      </c>
      <c r="B49" s="55" t="s">
        <v>65</v>
      </c>
      <c r="C49" s="101">
        <v>3.5468530192279699</v>
      </c>
      <c r="D49" s="56">
        <v>2332.7470668150099</v>
      </c>
      <c r="E49" s="55">
        <v>2.8984265096139801</v>
      </c>
      <c r="F49" s="55">
        <v>6761.2959386808998</v>
      </c>
      <c r="G49" s="120">
        <v>0</v>
      </c>
      <c r="H49" s="101">
        <f t="shared" si="0"/>
        <v>-2.0207885602379614</v>
      </c>
      <c r="I49" s="102">
        <v>0</v>
      </c>
      <c r="J49" s="102">
        <v>9525.9742087893301</v>
      </c>
      <c r="K49" s="102">
        <v>9523.9534202290906</v>
      </c>
      <c r="L49" s="102">
        <v>0</v>
      </c>
      <c r="M49" s="55">
        <v>1284.3559098268638</v>
      </c>
      <c r="N49" s="102">
        <f t="shared" si="1"/>
        <v>3722.6112168215645</v>
      </c>
      <c r="O49" s="102">
        <f t="shared" si="2"/>
        <v>-2.4783499676714156</v>
      </c>
      <c r="P49" s="55"/>
      <c r="R49" s="48"/>
    </row>
    <row r="50" spans="1:18">
      <c r="A50" s="15" t="s">
        <v>66</v>
      </c>
      <c r="B50" s="15"/>
      <c r="C50" s="15"/>
      <c r="D50" s="15">
        <f>SUBTOTAL(109,Table16[Mass (kg)])</f>
        <v>5122.651731232304</v>
      </c>
      <c r="E50" s="15"/>
      <c r="F50" s="15">
        <f>SUBTOTAL(109,Table16[Moment (kgm)])</f>
        <v>25199.425593881089</v>
      </c>
      <c r="G50" s="15"/>
      <c r="H50" s="15"/>
      <c r="I50" s="15">
        <f>SUBTOTAL(109,Table16[J0])</f>
        <v>104.24867792311056</v>
      </c>
      <c r="J50" s="15"/>
      <c r="K50" s="15">
        <f>SUBTOTAL(109,Table16[Jpitch/yaw])</f>
        <v>43033.758857097535</v>
      </c>
      <c r="L50" s="15">
        <f>SUBTOTAL(109,Table16[Column2])</f>
        <v>0</v>
      </c>
      <c r="M50" s="15"/>
      <c r="N50" s="15"/>
      <c r="O50" s="15"/>
      <c r="P50" s="15"/>
      <c r="R50" s="48"/>
    </row>
    <row r="51" spans="1:18">
      <c r="A51" s="49"/>
      <c r="B51" s="49"/>
      <c r="C51" s="49"/>
      <c r="D51" s="49"/>
      <c r="E51" s="49"/>
      <c r="F51" s="49" t="s">
        <v>67</v>
      </c>
      <c r="G51" s="49">
        <f>Table16[[#Totals],[Moment (kgm)]]/Table16[[#Totals],[Mass (kg)]]</f>
        <v>4.9192150698519415</v>
      </c>
      <c r="H51" s="49"/>
      <c r="I51" s="49"/>
      <c r="J51" s="49" t="s">
        <v>68</v>
      </c>
      <c r="K51" s="49">
        <f>Table16[[#Totals],[J0]]/Table16[[#Totals],[Jpitch/yaw]]</f>
        <v>2.4224859898780812E-3</v>
      </c>
      <c r="L51" s="49" t="s">
        <v>69</v>
      </c>
    </row>
    <row r="53" spans="1:18">
      <c r="A53" s="44" t="s">
        <v>70</v>
      </c>
      <c r="B53" s="46"/>
      <c r="D53" s="150" t="s">
        <v>71</v>
      </c>
      <c r="E53" s="151"/>
      <c r="G53" s="150" t="s">
        <v>72</v>
      </c>
      <c r="H53" s="152"/>
      <c r="I53" s="152"/>
      <c r="J53" s="153"/>
      <c r="L53" s="156" t="s">
        <v>73</v>
      </c>
      <c r="M53" s="157"/>
      <c r="N53" s="158"/>
      <c r="P53" s="154" t="s">
        <v>74</v>
      </c>
      <c r="Q53" s="154"/>
      <c r="R53" s="154"/>
    </row>
    <row r="54" spans="1:18" ht="18">
      <c r="A54" s="1" t="s">
        <v>75</v>
      </c>
      <c r="B54" s="81">
        <f>timemaxq</f>
        <v>65</v>
      </c>
      <c r="D54" s="74" t="s">
        <v>76</v>
      </c>
      <c r="E54" s="103">
        <f>'HW10 and HW11'!J60</f>
        <v>5122.651731232304</v>
      </c>
      <c r="G54" s="107"/>
      <c r="H54" s="74" t="s">
        <v>77</v>
      </c>
      <c r="I54" s="110"/>
      <c r="J54" s="111" t="s">
        <v>78</v>
      </c>
      <c r="L54" s="159" t="s">
        <v>79</v>
      </c>
      <c r="M54" s="160"/>
      <c r="N54" s="161"/>
      <c r="P54" s="155" t="s">
        <v>80</v>
      </c>
      <c r="Q54" s="155"/>
      <c r="R54" s="155"/>
    </row>
    <row r="55" spans="1:18" ht="18">
      <c r="A55" s="3" t="s">
        <v>81</v>
      </c>
      <c r="B55" s="60">
        <f>hmaxq</f>
        <v>10828.5399750942</v>
      </c>
      <c r="D55" s="75" t="s">
        <v>82</v>
      </c>
      <c r="E55" s="104">
        <f>'HW10 and HW11'!J61</f>
        <v>3378.5877123197542</v>
      </c>
      <c r="G55" s="108" t="s">
        <v>83</v>
      </c>
      <c r="H55" s="112">
        <f>SUM(M5:M49)</f>
        <v>3626.2301652748638</v>
      </c>
      <c r="I55" s="4"/>
      <c r="J55" s="121">
        <f>SUM(N5:N49)</f>
        <v>19497.42905387262</v>
      </c>
      <c r="L55" s="75" t="s">
        <v>84</v>
      </c>
      <c r="M55" s="4">
        <f>4.73004/G1</f>
        <v>0.41751861316738142</v>
      </c>
      <c r="N55" s="117"/>
      <c r="P55" s="48" t="s">
        <v>85</v>
      </c>
      <c r="Q55">
        <f>LN(2)*SQRT(K50/(reqtrim*cmmaxq))</f>
        <v>1.4045202700144956</v>
      </c>
      <c r="R55" t="s">
        <v>86</v>
      </c>
    </row>
    <row r="56" spans="1:18" ht="18">
      <c r="A56" s="3" t="s">
        <v>87</v>
      </c>
      <c r="B56" s="60">
        <f>vmaxq</f>
        <v>418.84043343253398</v>
      </c>
      <c r="D56" s="75" t="s">
        <v>88</v>
      </c>
      <c r="E56" s="104">
        <f>'HW10 and HW11'!J62</f>
        <v>1744.0640189125497</v>
      </c>
      <c r="G56" s="108" t="s">
        <v>89</v>
      </c>
      <c r="H56" s="112">
        <f>SUM(D5:D26) + SUM(D29:D47)</f>
        <v>801.57487327974172</v>
      </c>
      <c r="I56" s="4"/>
      <c r="J56" s="91">
        <f>SUM(N5:N26) + SUM(N29:N47)</f>
        <v>3238.639041045084</v>
      </c>
      <c r="L56" s="75" t="s">
        <v>90</v>
      </c>
      <c r="M56" s="4">
        <f>73000000000</f>
        <v>73000000000</v>
      </c>
      <c r="N56" s="117" t="s">
        <v>91</v>
      </c>
      <c r="P56" s="48" t="s">
        <v>92</v>
      </c>
      <c r="Q56">
        <f>deltatvc*2</f>
        <v>2.3016460665029195</v>
      </c>
      <c r="R56" t="s">
        <v>93</v>
      </c>
    </row>
    <row r="57" spans="1:18" ht="18.75">
      <c r="A57" s="3" t="s">
        <v>94</v>
      </c>
      <c r="B57" s="60">
        <f>rhomaxq</f>
        <v>0.29688592042430001</v>
      </c>
      <c r="D57" s="75" t="s">
        <v>95</v>
      </c>
      <c r="E57" s="104">
        <f>'HW10 and HW11'!J63</f>
        <v>3329.6475227188612</v>
      </c>
      <c r="G57" s="108" t="s">
        <v>96</v>
      </c>
      <c r="H57" s="75"/>
      <c r="I57" s="113">
        <f>J55/H55</f>
        <v>5.3767764772853957</v>
      </c>
      <c r="J57" s="91"/>
      <c r="L57" s="75" t="s">
        <v>97</v>
      </c>
      <c r="M57" s="4">
        <f>SQRT(C2*C1)</f>
        <v>0.67156533561523257</v>
      </c>
      <c r="N57" s="117" t="s">
        <v>98</v>
      </c>
      <c r="P57" s="48" t="s">
        <v>99</v>
      </c>
      <c r="Q57">
        <f>(Thrustmaxq*SIN(RADIANS(Q56))*cmmaxq)/(reqtrim*cmmaxq)</f>
        <v>1.9995965801854039</v>
      </c>
    </row>
    <row r="58" spans="1:18" ht="18" customHeight="1">
      <c r="A58" s="3" t="s">
        <v>100</v>
      </c>
      <c r="B58" s="60">
        <f>massmaxq</f>
        <v>3378.5877123197542</v>
      </c>
      <c r="D58" s="75" t="s">
        <v>101</v>
      </c>
      <c r="E58" s="104">
        <f>'HW10 and HW11'!J64</f>
        <v>1585.5835038063115</v>
      </c>
      <c r="G58" s="108" t="s">
        <v>102</v>
      </c>
      <c r="H58" s="75"/>
      <c r="I58" s="113">
        <f>J56/H56</f>
        <v>4.0403450120558242</v>
      </c>
      <c r="J58" s="91"/>
      <c r="L58" s="75" t="s">
        <v>103</v>
      </c>
      <c r="M58" s="4">
        <f>PI()*(M57^3)*0.005</f>
        <v>4.7575645543662236E-3</v>
      </c>
      <c r="N58" s="117" t="s">
        <v>104</v>
      </c>
    </row>
    <row r="59" spans="1:18" ht="18" customHeight="1">
      <c r="A59" s="3" t="s">
        <v>105</v>
      </c>
      <c r="B59" s="60">
        <f>Thrustmaxq</f>
        <v>77912.680987960004</v>
      </c>
      <c r="D59" s="75" t="s">
        <v>106</v>
      </c>
      <c r="E59" s="104">
        <f>'HW10 and HW11'!J65</f>
        <v>0.29940119760479045</v>
      </c>
      <c r="G59" s="108" t="s">
        <v>107</v>
      </c>
      <c r="H59" s="112">
        <f>SUM(D5:D28) + SUM(D29:D47)</f>
        <v>1793.0042085134428</v>
      </c>
      <c r="I59" s="4"/>
      <c r="J59" s="91">
        <f>SUM(N5:N28) + SUM(N29:N47)</f>
        <v>12512.065904672638</v>
      </c>
      <c r="L59" s="75" t="s">
        <v>108</v>
      </c>
      <c r="M59" s="4">
        <f>E54/G1</f>
        <v>452.17428321189612</v>
      </c>
      <c r="N59" s="117" t="s">
        <v>109</v>
      </c>
    </row>
    <row r="60" spans="1:18" ht="18.75" customHeight="1">
      <c r="A60" s="38" t="s">
        <v>110</v>
      </c>
      <c r="B60" s="77">
        <f>nmax</f>
        <v>2.3266933636163154</v>
      </c>
      <c r="D60" s="75" t="s">
        <v>111</v>
      </c>
      <c r="E60" s="104">
        <f>'HW10 and HW11'!J66</f>
        <v>0.70059880239520955</v>
      </c>
      <c r="G60" s="108" t="s">
        <v>112</v>
      </c>
      <c r="H60" s="75"/>
      <c r="I60" s="113">
        <f>J59/H59</f>
        <v>6.9782691224390563</v>
      </c>
      <c r="J60" s="91"/>
      <c r="L60" s="75" t="s">
        <v>113</v>
      </c>
      <c r="M60" s="4">
        <f>((M55^2)/(2*PI()))*SQRT((M56*M58)/M59)</f>
        <v>24.314909631190979</v>
      </c>
      <c r="N60" s="117" t="s">
        <v>114</v>
      </c>
    </row>
    <row r="61" spans="1:18" ht="18" customHeight="1">
      <c r="D61" s="76" t="s">
        <v>115</v>
      </c>
      <c r="E61" s="104">
        <f>'HW10 and HW11'!J67</f>
        <v>522.17485596184133</v>
      </c>
      <c r="G61" s="108" t="s">
        <v>116</v>
      </c>
      <c r="H61" s="112">
        <f>SUM(D5:D28)</f>
        <v>1314.0442708849723</v>
      </c>
      <c r="I61" s="4"/>
      <c r="J61" s="91">
        <f>SUM(N5:N28)</f>
        <v>11747.964652357045</v>
      </c>
      <c r="L61" s="162" t="str">
        <f>IF(M60&gt;1, "We are fine!", "Our diameter is too small!")</f>
        <v>We are fine!</v>
      </c>
      <c r="M61" s="163"/>
      <c r="N61" s="164"/>
    </row>
    <row r="62" spans="1:18" ht="18" customHeight="1">
      <c r="A62">
        <v>996.90045590385103</v>
      </c>
      <c r="D62" s="76" t="s">
        <v>117</v>
      </c>
      <c r="E62" s="104">
        <f>'HW10 and HW11'!J68</f>
        <v>1221.8891629507084</v>
      </c>
      <c r="G62" s="108" t="s">
        <v>118</v>
      </c>
      <c r="H62" s="75"/>
      <c r="I62" s="113">
        <f>J61/H61</f>
        <v>8.9403111543914093</v>
      </c>
      <c r="J62" s="91"/>
      <c r="L62" s="75"/>
      <c r="M62" s="4"/>
      <c r="N62" s="117"/>
    </row>
    <row r="63" spans="1:18" ht="18" customHeight="1">
      <c r="A63">
        <v>2332.7470668150099</v>
      </c>
      <c r="D63" s="76" t="s">
        <v>119</v>
      </c>
      <c r="E63" s="104">
        <f>'HW10 and HW11'!J69</f>
        <v>474.72559994200947</v>
      </c>
      <c r="G63" s="108" t="s">
        <v>120</v>
      </c>
      <c r="H63" s="112">
        <f>SUM(D5:D26)</f>
        <v>322.61493565127125</v>
      </c>
      <c r="I63" s="4"/>
      <c r="J63" s="91">
        <f>SUM(N5:N26)</f>
        <v>2474.5377887294917</v>
      </c>
      <c r="K63" s="4"/>
      <c r="L63" s="159" t="s">
        <v>121</v>
      </c>
      <c r="M63" s="160"/>
      <c r="N63" s="161"/>
    </row>
    <row r="64" spans="1:18" ht="18" customHeight="1">
      <c r="D64" s="76" t="s">
        <v>122</v>
      </c>
      <c r="E64" s="104">
        <f>'HW10 and HW11'!J70</f>
        <v>1110.857903864302</v>
      </c>
      <c r="G64" s="108" t="s">
        <v>123</v>
      </c>
      <c r="H64" s="75"/>
      <c r="I64" s="113">
        <f>J63/H63</f>
        <v>7.670251793315388</v>
      </c>
      <c r="J64" s="91"/>
      <c r="K64" s="4"/>
      <c r="L64" s="75" t="s">
        <v>84</v>
      </c>
      <c r="M64" s="4">
        <f>4.73004/G1</f>
        <v>0.41751861316738142</v>
      </c>
      <c r="N64" s="117"/>
    </row>
    <row r="65" spans="1:14" ht="18.75" customHeight="1">
      <c r="B65" t="s">
        <v>124</v>
      </c>
      <c r="D65" s="75" t="s">
        <v>125</v>
      </c>
      <c r="E65" s="104">
        <f>'HW10 and HW11'!J71</f>
        <v>26.83175413711615</v>
      </c>
      <c r="G65" s="108" t="s">
        <v>126</v>
      </c>
      <c r="H65" s="112">
        <f>SUM(D29:D47)</f>
        <v>478.95993762847041</v>
      </c>
      <c r="I65" s="4"/>
      <c r="J65" s="91">
        <f>SUM(N29:N47)</f>
        <v>764.10125231559255</v>
      </c>
      <c r="L65" s="75" t="s">
        <v>90</v>
      </c>
      <c r="M65" s="4">
        <f>73000000000</f>
        <v>73000000000</v>
      </c>
      <c r="N65" s="117" t="s">
        <v>91</v>
      </c>
    </row>
    <row r="66" spans="1:14" ht="18.75" customHeight="1">
      <c r="A66" t="s">
        <v>127</v>
      </c>
      <c r="B66">
        <v>548.87004693455697</v>
      </c>
      <c r="D66" s="94" t="s">
        <v>128</v>
      </c>
      <c r="E66" s="105">
        <f>'HW10 and HW11'!J72</f>
        <v>6.6979102125328689</v>
      </c>
      <c r="G66" s="109" t="s">
        <v>129</v>
      </c>
      <c r="H66" s="114"/>
      <c r="I66" s="115">
        <f>J65/H65</f>
        <v>1.5953343741002122</v>
      </c>
      <c r="J66" s="116"/>
      <c r="L66" s="75" t="s">
        <v>97</v>
      </c>
      <c r="M66" s="4">
        <f>SQRT(C1*C2)</f>
        <v>0.67156533561523257</v>
      </c>
      <c r="N66" s="117" t="s">
        <v>98</v>
      </c>
    </row>
    <row r="67" spans="1:14">
      <c r="A67" t="s">
        <v>130</v>
      </c>
      <c r="B67">
        <v>1284.3559098268638</v>
      </c>
      <c r="L67" s="75" t="s">
        <v>103</v>
      </c>
      <c r="M67" s="4">
        <f>PI()*(M66^3)*0.005</f>
        <v>4.7575645543662236E-3</v>
      </c>
      <c r="N67" s="117" t="s">
        <v>104</v>
      </c>
    </row>
    <row r="68" spans="1:14">
      <c r="L68" s="75" t="s">
        <v>108</v>
      </c>
      <c r="M68" s="4">
        <f>H59/G1</f>
        <v>158.26771666662671</v>
      </c>
      <c r="N68" s="117" t="s">
        <v>109</v>
      </c>
    </row>
    <row r="69" spans="1:14">
      <c r="L69" s="75" t="s">
        <v>113</v>
      </c>
      <c r="M69" s="4">
        <f>((M64^2)/(2*PI()))*SQRT((M65*M67)/M68)</f>
        <v>41.098826425650358</v>
      </c>
      <c r="N69" s="117" t="s">
        <v>114</v>
      </c>
    </row>
    <row r="70" spans="1:14">
      <c r="L70" s="162" t="str">
        <f>IF(M69&gt;1, "We are fine!", "Our diameter is too small!")</f>
        <v>We are fine!</v>
      </c>
      <c r="M70" s="163"/>
      <c r="N70" s="164"/>
    </row>
    <row r="71" spans="1:14">
      <c r="L71" s="75"/>
      <c r="M71" s="4"/>
      <c r="N71" s="117"/>
    </row>
    <row r="72" spans="1:14">
      <c r="L72" s="159" t="s">
        <v>131</v>
      </c>
      <c r="M72" s="160"/>
      <c r="N72" s="161"/>
    </row>
    <row r="73" spans="1:14">
      <c r="L73" s="75" t="s">
        <v>84</v>
      </c>
      <c r="M73" s="4">
        <f>4.73004/E1</f>
        <v>1.1417796042846233</v>
      </c>
      <c r="N73" s="117"/>
    </row>
    <row r="74" spans="1:14">
      <c r="L74" s="75" t="s">
        <v>90</v>
      </c>
      <c r="M74" s="4">
        <f>73000000000</f>
        <v>73000000000</v>
      </c>
      <c r="N74" s="117" t="s">
        <v>91</v>
      </c>
    </row>
    <row r="75" spans="1:14">
      <c r="L75" s="75" t="s">
        <v>97</v>
      </c>
      <c r="M75" s="4">
        <f>C1</f>
        <v>0.55000000000000004</v>
      </c>
      <c r="N75" s="117" t="s">
        <v>98</v>
      </c>
    </row>
    <row r="76" spans="1:14">
      <c r="L76" s="75" t="s">
        <v>103</v>
      </c>
      <c r="M76" s="4">
        <f>PI()*(M75^3)*0.005</f>
        <v>2.6134123887050099E-3</v>
      </c>
      <c r="N76" s="117" t="s">
        <v>104</v>
      </c>
    </row>
    <row r="77" spans="1:14">
      <c r="L77" s="75" t="s">
        <v>108</v>
      </c>
      <c r="M77" s="4">
        <f>H61/E1</f>
        <v>317.19582659417682</v>
      </c>
      <c r="N77" s="117" t="s">
        <v>109</v>
      </c>
    </row>
    <row r="78" spans="1:14">
      <c r="L78" s="75" t="s">
        <v>113</v>
      </c>
      <c r="M78" s="4">
        <f>((M73^2)/(2*PI()))*SQRT((M74*M76)/M77)</f>
        <v>160.91123347395322</v>
      </c>
      <c r="N78" s="117" t="s">
        <v>114</v>
      </c>
    </row>
    <row r="79" spans="1:14">
      <c r="L79" s="162" t="str">
        <f>IF(M78&gt;1, "We are fine!", "Our diameter is too small!")</f>
        <v>We are fine!</v>
      </c>
      <c r="M79" s="163"/>
      <c r="N79" s="164"/>
    </row>
  </sheetData>
  <mergeCells count="11">
    <mergeCell ref="L72:N72"/>
    <mergeCell ref="L63:N63"/>
    <mergeCell ref="L79:N79"/>
    <mergeCell ref="L61:N61"/>
    <mergeCell ref="L70:N70"/>
    <mergeCell ref="D53:E53"/>
    <mergeCell ref="G53:J53"/>
    <mergeCell ref="P53:R53"/>
    <mergeCell ref="P54:R54"/>
    <mergeCell ref="L53:N53"/>
    <mergeCell ref="L54:N54"/>
  </mergeCells>
  <conditionalFormatting sqref="L61 L70 L79">
    <cfRule type="containsText" dxfId="125" priority="1" operator="containsText" text="fine">
      <formula>NOT(ISERROR(SEARCH("fine",L61)))</formula>
    </cfRule>
    <cfRule type="containsText" dxfId="124" priority="2" operator="containsText" text="small">
      <formula>NOT(ISERROR(SEARCH("small",L61)))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Y77"/>
  <sheetViews>
    <sheetView tabSelected="1" zoomScaleNormal="100" workbookViewId="0">
      <selection activeCell="J9" sqref="J9"/>
    </sheetView>
  </sheetViews>
  <sheetFormatPr defaultRowHeight="15"/>
  <cols>
    <col min="2" max="2" width="16.7109375" bestFit="1" customWidth="1"/>
    <col min="3" max="3" width="11.140625" bestFit="1" customWidth="1"/>
    <col min="4" max="4" width="12.5703125" customWidth="1"/>
    <col min="5" max="5" width="16.7109375" customWidth="1"/>
    <col min="6" max="6" width="16.5703125" customWidth="1"/>
    <col min="7" max="7" width="13" bestFit="1" customWidth="1"/>
    <col min="8" max="8" width="13" customWidth="1"/>
    <col min="9" max="9" width="15.42578125" customWidth="1"/>
    <col min="10" max="10" width="14.5703125" customWidth="1"/>
    <col min="11" max="11" width="12.42578125" customWidth="1"/>
    <col min="12" max="12" width="11.5703125" customWidth="1"/>
    <col min="13" max="13" width="20.5703125" customWidth="1"/>
    <col min="14" max="14" width="17" customWidth="1"/>
    <col min="15" max="15" width="16.28515625" bestFit="1" customWidth="1"/>
    <col min="16" max="16" width="23" customWidth="1"/>
    <col min="17" max="17" width="16.7109375" bestFit="1" customWidth="1"/>
    <col min="18" max="18" width="14.85546875" bestFit="1" customWidth="1"/>
  </cols>
  <sheetData>
    <row r="1" spans="2:51" ht="15.75" thickBot="1"/>
    <row r="2" spans="2:51" ht="15.75" thickBot="1">
      <c r="B2" s="39" t="s">
        <v>132</v>
      </c>
      <c r="C2" s="40"/>
      <c r="E2" s="44"/>
      <c r="F2" s="45" t="s">
        <v>133</v>
      </c>
      <c r="G2" s="46" t="s">
        <v>134</v>
      </c>
      <c r="I2" s="44" t="s">
        <v>70</v>
      </c>
      <c r="J2" s="46"/>
      <c r="K2" s="67"/>
      <c r="L2" s="44" t="s">
        <v>135</v>
      </c>
      <c r="M2" s="41"/>
      <c r="O2" s="169" t="s">
        <v>136</v>
      </c>
      <c r="P2" s="171"/>
      <c r="R2" s="44"/>
      <c r="S2" s="45" t="s">
        <v>137</v>
      </c>
      <c r="T2" s="46" t="s">
        <v>138</v>
      </c>
      <c r="W2" s="168" t="s">
        <v>139</v>
      </c>
      <c r="X2" s="168"/>
      <c r="Z2" s="168" t="s">
        <v>140</v>
      </c>
      <c r="AA2" s="168"/>
      <c r="AC2" s="168" t="s">
        <v>141</v>
      </c>
      <c r="AD2" s="168"/>
      <c r="AF2" s="168" t="s">
        <v>142</v>
      </c>
      <c r="AG2" s="168"/>
      <c r="AI2" s="168" t="s">
        <v>143</v>
      </c>
      <c r="AJ2" s="168"/>
    </row>
    <row r="3" spans="2:51" ht="18.75" thickBot="1">
      <c r="B3" s="1" t="s">
        <v>144</v>
      </c>
      <c r="C3" s="2">
        <v>0.42</v>
      </c>
      <c r="E3" s="6" t="s">
        <v>8</v>
      </c>
      <c r="F3" s="42">
        <f>SUM(Rocket_Data[Mass (kg)])</f>
        <v>5122.651731232304</v>
      </c>
      <c r="G3" s="43">
        <f>SUM(E13:E36)</f>
        <v>1314.0442708849723</v>
      </c>
      <c r="I3" s="1" t="s">
        <v>75</v>
      </c>
      <c r="J3" s="2">
        <v>65</v>
      </c>
      <c r="K3" s="4"/>
      <c r="L3" s="1" t="s">
        <v>145</v>
      </c>
      <c r="M3" s="62">
        <f>0.5*rhomaxq*(vmaxq^2)</f>
        <v>26040.949002205925</v>
      </c>
      <c r="O3" s="1" t="s">
        <v>146</v>
      </c>
      <c r="P3" s="62">
        <f>J64</f>
        <v>1585.5835038063115</v>
      </c>
      <c r="R3" s="1" t="s">
        <v>147</v>
      </c>
      <c r="S3" s="82">
        <v>2</v>
      </c>
      <c r="T3" s="81">
        <f>1.25*areaskirt</f>
        <v>0.10249446032336715</v>
      </c>
      <c r="W3" s="4" t="s">
        <v>148</v>
      </c>
      <c r="X3">
        <f>(((Thrustmaxq*SIN(RADIANS(deltatvc))*cmmaxq)/($C$4))-(Thrustmaxq*COS(RADIANS(deltatvc)))+(Thrustmaxq))/(2)</f>
        <v>11653.452596184412</v>
      </c>
      <c r="Z3" t="s">
        <v>149</v>
      </c>
      <c r="AA3">
        <f>(Thrustmaxq*SIN(RADIANS(deltatvc))*cmmaxq)/$C$4</f>
        <v>23291.189432709391</v>
      </c>
      <c r="AC3" t="s">
        <v>148</v>
      </c>
      <c r="AD3">
        <f>((2*Thrustmaxq*SIN(RADIANS(deltatvc))*cmmaxq)-(SQRT(2)*$C$4*Thrustmaxq*COS(RADIANS(deltatvc)))+(SQRT(2)*$C$4*Thrustmaxq))/(4*SQRT(2)*$C$4)</f>
        <v>8238.6079347994892</v>
      </c>
      <c r="AF3" t="s">
        <v>150</v>
      </c>
      <c r="AG3">
        <f>(Thrustmaxq*SIN(RADIANS(deltatvc))*cmmaxq)/($C$4*SQRT(2))</f>
        <v>16469.357989769265</v>
      </c>
      <c r="AI3" t="s">
        <v>151</v>
      </c>
      <c r="AJ3">
        <f>cmmaxq*reqtrim</f>
        <v>10481.035244719224</v>
      </c>
    </row>
    <row r="4" spans="2:51" ht="18.75">
      <c r="B4" s="3" t="s">
        <v>152</v>
      </c>
      <c r="C4" s="5">
        <v>0.45</v>
      </c>
      <c r="E4" s="4"/>
      <c r="I4" s="3" t="s">
        <v>81</v>
      </c>
      <c r="J4" s="68">
        <v>10828.5399750942</v>
      </c>
      <c r="K4" s="4"/>
      <c r="L4" s="3" t="s">
        <v>153</v>
      </c>
      <c r="M4" s="5">
        <v>30</v>
      </c>
      <c r="O4" s="3" t="s">
        <v>125</v>
      </c>
      <c r="P4" s="61">
        <f>J71</f>
        <v>26.83175413711615</v>
      </c>
      <c r="R4" s="3" t="s">
        <v>154</v>
      </c>
      <c r="S4" s="29">
        <f>PI()*($C$3^2)</f>
        <v>0.55417694409323948</v>
      </c>
      <c r="T4" s="60">
        <f>(PI())*(($C$4^2)-($C$3^2))</f>
        <v>8.1995568258693724E-2</v>
      </c>
      <c r="W4" s="4" t="s">
        <v>149</v>
      </c>
      <c r="X4">
        <f>Td</f>
        <v>11653.452596184412</v>
      </c>
      <c r="Z4" t="s">
        <v>155</v>
      </c>
      <c r="AA4">
        <f>Struct1</f>
        <v>19478.170246990001</v>
      </c>
      <c r="AC4" t="s">
        <v>149</v>
      </c>
      <c r="AD4">
        <f>AD3</f>
        <v>8238.6079347994892</v>
      </c>
      <c r="AF4" t="s">
        <v>155</v>
      </c>
      <c r="AG4">
        <f>AD5</f>
        <v>19478.170246990001</v>
      </c>
      <c r="AI4" t="s">
        <v>156</v>
      </c>
      <c r="AJ4" s="30">
        <f>cmmaxq</f>
        <v>6.6979102125328689</v>
      </c>
    </row>
    <row r="5" spans="2:51" ht="19.5" thickBot="1">
      <c r="B5" s="7" t="s">
        <v>157</v>
      </c>
      <c r="C5" s="5">
        <v>1.2806999999999999</v>
      </c>
      <c r="I5" s="3" t="s">
        <v>87</v>
      </c>
      <c r="J5" s="66">
        <v>418.84043343253398</v>
      </c>
      <c r="K5" s="4"/>
      <c r="L5" s="3" t="s">
        <v>158</v>
      </c>
      <c r="M5" s="60">
        <f>DEGREES(ATAN(vwindmaxq/vmaxq))</f>
        <v>4.0968894142728569</v>
      </c>
      <c r="O5" s="38" t="s">
        <v>128</v>
      </c>
      <c r="P5" s="77">
        <f>J72</f>
        <v>6.6979102125328689</v>
      </c>
      <c r="R5" s="3" t="s">
        <v>159</v>
      </c>
      <c r="S5" s="69">
        <f>RADIANS(alpha)*qmaxq*S4*S3</f>
        <v>2063.7964694082661</v>
      </c>
      <c r="T5" s="68">
        <f>RADIANS(alpha)*qmaxq*T4*T3</f>
        <v>15.648733303900155</v>
      </c>
      <c r="U5" s="78"/>
      <c r="W5" s="4" t="s">
        <v>155</v>
      </c>
      <c r="X5">
        <f>Thrustmaxq/4</f>
        <v>19478.170246990001</v>
      </c>
      <c r="Z5" t="s">
        <v>160</v>
      </c>
      <c r="AA5">
        <f>AA3/AA4</f>
        <v>1.1957585921762144</v>
      </c>
      <c r="AC5" t="s">
        <v>155</v>
      </c>
      <c r="AD5">
        <f>AA4</f>
        <v>19478.170246990001</v>
      </c>
      <c r="AF5" t="s">
        <v>160</v>
      </c>
      <c r="AG5">
        <f>AG3/AG4</f>
        <v>0.8455290091898805</v>
      </c>
      <c r="AI5" t="s">
        <v>161</v>
      </c>
      <c r="AJ5" s="30">
        <f>N14-cmmaxq</f>
        <v>3.2610218418178389</v>
      </c>
    </row>
    <row r="6" spans="2:51" ht="18.75">
      <c r="B6" s="3" t="s">
        <v>162</v>
      </c>
      <c r="C6" s="5">
        <v>0.77</v>
      </c>
      <c r="I6" s="3" t="s">
        <v>94</v>
      </c>
      <c r="J6" s="60">
        <v>0.29688592042430001</v>
      </c>
      <c r="K6" s="4"/>
      <c r="L6" s="3" t="s">
        <v>163</v>
      </c>
      <c r="M6" s="61">
        <f>(S9+T9)/(cmmaxq)</f>
        <v>1564.8216999247793</v>
      </c>
      <c r="R6" s="3" t="s">
        <v>164</v>
      </c>
      <c r="S6" s="32">
        <f>0.2*qmaxq*S4</f>
        <v>2886.2587078660745</v>
      </c>
      <c r="T6" s="68">
        <f>0.2*qmaxq*T4</f>
        <v>427.04848228630766</v>
      </c>
      <c r="U6" s="79"/>
      <c r="W6" s="4" t="s">
        <v>160</v>
      </c>
      <c r="X6">
        <f>$X$4/Struct1</f>
        <v>0.59828271590270354</v>
      </c>
      <c r="AC6" t="s">
        <v>160</v>
      </c>
      <c r="AD6">
        <f>AD3/AD5</f>
        <v>0.42296621450223831</v>
      </c>
      <c r="AI6" t="s">
        <v>165</v>
      </c>
      <c r="AJ6">
        <f>AJ3/(AJ5+AJ4)</f>
        <v>1052.4256202893189</v>
      </c>
    </row>
    <row r="7" spans="2:51" ht="18.75">
      <c r="B7" s="3" t="s">
        <v>166</v>
      </c>
      <c r="C7" s="5">
        <v>9.8059999999999992</v>
      </c>
      <c r="I7" s="3" t="s">
        <v>100</v>
      </c>
      <c r="J7" s="66">
        <f>mass1-1744.06401891255</f>
        <v>3378.5877123197542</v>
      </c>
      <c r="K7" s="4"/>
      <c r="L7" s="3" t="s">
        <v>167</v>
      </c>
      <c r="M7" s="59">
        <f>DEGREES(ASIN(reqtrim/Thrustmaxq))</f>
        <v>1.1508230332514597</v>
      </c>
      <c r="R7" s="3" t="s">
        <v>168</v>
      </c>
      <c r="S7" s="32">
        <f>(S5*COS(RADIANS(alpha)))+(S6*SIN(RADIANS(alpha)))</f>
        <v>2264.7266011724232</v>
      </c>
      <c r="T7" s="68">
        <f>(T5*COS(RADIANS(alpha)))+(T6*SIN(RADIANS(alpha)))</f>
        <v>46.11849545007501</v>
      </c>
      <c r="U7" s="80"/>
      <c r="AI7" t="s">
        <v>169</v>
      </c>
      <c r="AJ7">
        <f>AJ6/2</f>
        <v>526.21281014465944</v>
      </c>
    </row>
    <row r="8" spans="2:51" ht="18.75" thickBot="1">
      <c r="B8" s="72" t="s">
        <v>170</v>
      </c>
      <c r="C8" s="73">
        <f>'HW9 - CM and J0'!G1</f>
        <v>11.319473799669456</v>
      </c>
      <c r="I8" s="3" t="s">
        <v>105</v>
      </c>
      <c r="J8" s="5">
        <v>77912.680987960004</v>
      </c>
      <c r="K8" s="4"/>
      <c r="L8" s="6" t="s">
        <v>171</v>
      </c>
      <c r="M8" s="65">
        <f>(shearcone+shearskirt+reqtrim)/(massmaxq*g0)</f>
        <v>0.11698208164057138</v>
      </c>
      <c r="R8" s="3" t="s">
        <v>172</v>
      </c>
      <c r="S8" s="32">
        <f>(S6*COS(RADIANS(alpha)))-(S5*SIN(RADIANS(alpha)))</f>
        <v>2731.438928077428</v>
      </c>
      <c r="T8" s="68">
        <f>(T6*COS(RADIANS(alpha)))-(T5*SIN(RADIANS(alpha)))</f>
        <v>424.83923248033113</v>
      </c>
      <c r="U8" s="79"/>
    </row>
    <row r="9" spans="2:51" ht="18.75" thickBot="1">
      <c r="B9" s="4"/>
      <c r="C9" s="4"/>
      <c r="E9" s="4"/>
      <c r="I9" s="38" t="s">
        <v>110</v>
      </c>
      <c r="J9" s="63">
        <f>((Thrustmaxq-(0.2*qmaxq*(PI()*(1/4)*($C$4^2))))/(massmaxq*g0))</f>
        <v>2.3266933636163154</v>
      </c>
      <c r="R9" s="6" t="s">
        <v>173</v>
      </c>
      <c r="S9" s="70">
        <f>S7*((F13)-cmmaxq)</f>
        <v>10457.802001092903</v>
      </c>
      <c r="T9" s="71">
        <f>T7*(F37-cmmaxq)</f>
        <v>23.233243626320299</v>
      </c>
      <c r="U9" s="79"/>
    </row>
    <row r="10" spans="2:51" ht="15.75" thickBot="1"/>
    <row r="11" spans="2:51" ht="15.75" thickBot="1">
      <c r="B11" s="169" t="s">
        <v>174</v>
      </c>
      <c r="C11" s="170"/>
      <c r="D11" s="170"/>
      <c r="E11" s="170"/>
      <c r="F11" s="170"/>
      <c r="G11" s="170"/>
      <c r="H11" s="170"/>
      <c r="I11" s="170"/>
      <c r="J11" s="171"/>
      <c r="L11" s="165" t="s">
        <v>175</v>
      </c>
      <c r="M11" s="166"/>
      <c r="N11" s="166"/>
      <c r="O11" s="166"/>
      <c r="P11" s="166"/>
      <c r="Q11" s="167"/>
      <c r="S11" s="165" t="s">
        <v>176</v>
      </c>
      <c r="T11" s="166"/>
      <c r="U11" s="166"/>
      <c r="V11" s="166"/>
      <c r="W11" s="166"/>
      <c r="X11" s="166"/>
      <c r="Y11" s="166"/>
      <c r="Z11" s="166"/>
      <c r="AA11" s="166"/>
      <c r="AB11" s="166"/>
      <c r="AC11" s="167"/>
      <c r="AD11" s="165" t="s">
        <v>177</v>
      </c>
      <c r="AE11" s="166"/>
      <c r="AF11" s="166"/>
      <c r="AG11" s="166"/>
      <c r="AH11" s="166"/>
      <c r="AI11" s="166"/>
      <c r="AJ11" s="166"/>
      <c r="AK11" s="166"/>
      <c r="AL11" s="166"/>
      <c r="AM11" s="166"/>
      <c r="AN11" s="167"/>
      <c r="AO11" s="165" t="s">
        <v>178</v>
      </c>
      <c r="AP11" s="166"/>
      <c r="AQ11" s="166"/>
      <c r="AR11" s="166"/>
      <c r="AS11" s="166"/>
      <c r="AT11" s="166"/>
      <c r="AU11" s="166"/>
      <c r="AV11" s="166"/>
      <c r="AW11" s="166"/>
      <c r="AX11" s="166"/>
      <c r="AY11" s="167"/>
    </row>
    <row r="12" spans="2:51" ht="18.75">
      <c r="B12" s="47" t="s">
        <v>6</v>
      </c>
      <c r="C12" s="14" t="s">
        <v>179</v>
      </c>
      <c r="D12" s="14" t="s">
        <v>180</v>
      </c>
      <c r="E12" s="14" t="s">
        <v>8</v>
      </c>
      <c r="F12" s="14" t="s">
        <v>181</v>
      </c>
      <c r="G12" s="14" t="s">
        <v>182</v>
      </c>
      <c r="H12" s="14" t="s">
        <v>183</v>
      </c>
      <c r="I12" s="14" t="s">
        <v>184</v>
      </c>
      <c r="J12" s="83" t="s">
        <v>185</v>
      </c>
      <c r="L12" s="14" t="s">
        <v>186</v>
      </c>
      <c r="M12" s="14" t="s">
        <v>187</v>
      </c>
      <c r="N12" s="14" t="s">
        <v>180</v>
      </c>
      <c r="O12" s="14" t="s">
        <v>188</v>
      </c>
      <c r="P12" s="15" t="s">
        <v>189</v>
      </c>
      <c r="Q12" s="15" t="s">
        <v>190</v>
      </c>
    </row>
    <row r="13" spans="2:51">
      <c r="B13" s="16" t="s">
        <v>21</v>
      </c>
      <c r="C13" s="8" t="s">
        <v>90</v>
      </c>
      <c r="D13" s="9">
        <v>1.37</v>
      </c>
      <c r="E13" s="21">
        <v>37.144152119307101</v>
      </c>
      <c r="F13" s="33">
        <v>11.315598721017301</v>
      </c>
      <c r="G13" s="23">
        <v>2.0539999999999998</v>
      </c>
      <c r="H13" s="21">
        <f>IF(Rocket_Data[[#This Row],[Ext or Int]]="E",9.5*(Rocket_Data[[#This Row],[CG (m)]]^0.2),"-")</f>
        <v>15.433311178857251</v>
      </c>
      <c r="I13" s="21">
        <f>IF(Rocket_Data[[#This Row],[vss (m/s)]]="-","-",SQRT(((1.25*Rocket_Data[[#This Row],[vss (m/s)]])^2)+((2.56*Rocket_Data[[#This Row],[vss (m/s)]])^2)))</f>
        <v>43.967604814844698</v>
      </c>
      <c r="J13" s="84">
        <f>IF(Rocket_Data[[#This Row],[vr (m/s)]]="-","-",(1/2)*rho*(Rocket_Data[[#This Row],[vr (m/s)]]^2)*Rocket_Data[[#This Row],[Area (m2)]]*Cd)</f>
        <v>1957.8264589030525</v>
      </c>
      <c r="L13" s="4">
        <v>1</v>
      </c>
      <c r="M13" s="4" t="s">
        <v>191</v>
      </c>
      <c r="N13" s="30">
        <f>D13+D16+D20+D24+D26+D31+D37+D41+D45+D47+D52</f>
        <v>11.328932054350707</v>
      </c>
      <c r="O13" s="32">
        <v>0</v>
      </c>
      <c r="P13" s="31">
        <f>External_Loads[[#This Row],[Shear Load (N)]]*External_Loads[[#This Row],[Height (m)]]</f>
        <v>0</v>
      </c>
      <c r="Q13" s="31">
        <v>0</v>
      </c>
    </row>
    <row r="14" spans="2:51">
      <c r="B14" s="16" t="s">
        <v>22</v>
      </c>
      <c r="C14" s="8" t="s">
        <v>103</v>
      </c>
      <c r="D14" s="9">
        <v>1.37</v>
      </c>
      <c r="E14" s="22">
        <v>30</v>
      </c>
      <c r="F14" s="33">
        <v>11.315598721017301</v>
      </c>
      <c r="G14" s="21" t="s">
        <v>192</v>
      </c>
      <c r="H14" s="21" t="str">
        <f>IF(Rocket_Data[[#This Row],[Ext or Int]]="E",9.5*(Rocket_Data[[#This Row],[CG (m)]]^0.2),"-")</f>
        <v>-</v>
      </c>
      <c r="I14" s="25" t="str">
        <f>IF(Rocket_Data[[#This Row],[vss (m/s)]]="-","-",SQRT(((1.25*Rocket_Data[[#This Row],[vss (m/s)]])^2)+((2.56*Rocket_Data[[#This Row],[vss (m/s)]])^2)))</f>
        <v>-</v>
      </c>
      <c r="J14" s="85" t="str">
        <f>IF(Rocket_Data[[#This Row],[vr (m/s)]]="-","-",(1/2)*rho*(Rocket_Data[[#This Row],[vr (m/s)]]^2)*Rocket_Data[[#This Row],[Area (m2)]]*Cd)</f>
        <v>-</v>
      </c>
      <c r="L14" s="4">
        <v>2</v>
      </c>
      <c r="M14" s="4" t="s">
        <v>193</v>
      </c>
      <c r="N14" s="29">
        <f>N13-D13</f>
        <v>9.9589320543507078</v>
      </c>
      <c r="O14" s="32">
        <f>J13</f>
        <v>1957.8264589030525</v>
      </c>
      <c r="P14" s="31">
        <f>(J13*(F13-External_Loads[[#This Row],[Height (m)]]))+P13+((N13-N14)*O13)</f>
        <v>2656.1178959116633</v>
      </c>
      <c r="Q14" s="31">
        <f>((E13+E14+E15)*g0)</f>
        <v>849.6325556819254</v>
      </c>
    </row>
    <row r="15" spans="2:51">
      <c r="B15" s="16" t="s">
        <v>23</v>
      </c>
      <c r="C15" s="8" t="s">
        <v>103</v>
      </c>
      <c r="D15" s="9" t="s">
        <v>194</v>
      </c>
      <c r="E15" s="21">
        <v>19.5</v>
      </c>
      <c r="F15" s="33">
        <v>10.858932054350699</v>
      </c>
      <c r="G15" s="21" t="s">
        <v>192</v>
      </c>
      <c r="H15" s="21" t="str">
        <f>IF(Rocket_Data[[#This Row],[Ext or Int]]="E",9.5*(Rocket_Data[[#This Row],[CG (m)]]^0.2),"-")</f>
        <v>-</v>
      </c>
      <c r="I15" s="25" t="str">
        <f>IF(Rocket_Data[[#This Row],[vss (m/s)]]="-","-",SQRT(((1.25*Rocket_Data[[#This Row],[vss (m/s)]])^2)+((2.56*Rocket_Data[[#This Row],[vss (m/s)]])^2)))</f>
        <v>-</v>
      </c>
      <c r="J15" s="85" t="str">
        <f>IF(Rocket_Data[[#This Row],[vr (m/s)]]="-","-",(1/2)*rho*(Rocket_Data[[#This Row],[vr (m/s)]]^2)*Rocket_Data[[#This Row],[Area (m2)]]*Cd)</f>
        <v>-</v>
      </c>
      <c r="L15" s="4">
        <v>3</v>
      </c>
      <c r="M15" s="4" t="s">
        <v>195</v>
      </c>
      <c r="N15" s="29">
        <f>N14-D16</f>
        <v>9.4339320543507075</v>
      </c>
      <c r="O15" s="32">
        <f>O14+J16</f>
        <v>2367.280528147593</v>
      </c>
      <c r="P15" s="31">
        <f>(J16*(F16-External_Loads[[#This Row],[Height (m)]]))+P14+((N14-External_Loads[[#This Row],[Height (m)]])*O14)</f>
        <v>4159.9671423325417</v>
      </c>
      <c r="Q15" s="31">
        <f>Q14+((E16+E17+E19)*g0)</f>
        <v>1179.6557732066017</v>
      </c>
    </row>
    <row r="16" spans="2:51">
      <c r="B16" s="17" t="s">
        <v>24</v>
      </c>
      <c r="C16" s="10" t="s">
        <v>90</v>
      </c>
      <c r="D16" s="11">
        <v>0.52500000000000002</v>
      </c>
      <c r="E16" s="20">
        <v>20.039434139085799</v>
      </c>
      <c r="F16" s="34">
        <v>10.5964320543507</v>
      </c>
      <c r="G16" s="20">
        <f>2*$C$3*Rocket_Data[[#This Row],[Height (m)]]</f>
        <v>0.441</v>
      </c>
      <c r="H16" s="20">
        <f>IF(Rocket_Data[[#This Row],[Ext or Int]]="E",9.5*(Rocket_Data[[#This Row],[CG (m)]]^0.2),"-")</f>
        <v>15.231951101085153</v>
      </c>
      <c r="I16" s="20">
        <f>IF(Rocket_Data[[#This Row],[vss (m/s)]]="-","-",SQRT(((1.25*Rocket_Data[[#This Row],[vss (m/s)]])^2)+((2.56*Rocket_Data[[#This Row],[vss (m/s)]])^2)))</f>
        <v>43.393954726255899</v>
      </c>
      <c r="J16" s="86">
        <f>IF(Rocket_Data[[#This Row],[vr (m/s)]]="-","-",(1/2)*rho*(Rocket_Data[[#This Row],[vr (m/s)]]^2)*Rocket_Data[[#This Row],[Area (m2)]]*Cd)</f>
        <v>409.45406924454045</v>
      </c>
      <c r="L16" s="4">
        <v>4</v>
      </c>
      <c r="M16" s="4" t="s">
        <v>196</v>
      </c>
      <c r="N16" s="29">
        <f>N15-D20</f>
        <v>9.1530740867790179</v>
      </c>
      <c r="O16" s="32">
        <f>O15+J20</f>
        <v>2582.9547089222897</v>
      </c>
      <c r="P16" s="31">
        <f>(J20*(F20-External_Loads[[#This Row],[Height (m)]]))+P15+((N15-External_Loads[[#This Row],[Height (m)]])*O15)</f>
        <v>5049.2304088723595</v>
      </c>
      <c r="Q16" s="31">
        <f>Q15+((E20+E22+E23)*g0)</f>
        <v>1258.3775128732882</v>
      </c>
    </row>
    <row r="17" spans="2:51">
      <c r="B17" s="17" t="s">
        <v>25</v>
      </c>
      <c r="C17" s="10" t="s">
        <v>103</v>
      </c>
      <c r="D17" s="11" t="s">
        <v>194</v>
      </c>
      <c r="E17" s="20">
        <v>12.485956757039199</v>
      </c>
      <c r="F17" s="34">
        <v>10.5964320543507</v>
      </c>
      <c r="G17" s="20" t="s">
        <v>192</v>
      </c>
      <c r="H17" s="20" t="str">
        <f>IF(Rocket_Data[[#This Row],[Ext or Int]]="E",9.5*(Rocket_Data[[#This Row],[CG (m)]]^0.2),"-")</f>
        <v>-</v>
      </c>
      <c r="I17" s="26" t="str">
        <f>IF(Rocket_Data[[#This Row],[vss (m/s)]]="-","-",SQRT(((1.25*Rocket_Data[[#This Row],[vss (m/s)]])^2)+((2.56*Rocket_Data[[#This Row],[vss (m/s)]])^2)))</f>
        <v>-</v>
      </c>
      <c r="J17" s="87" t="str">
        <f>IF(Rocket_Data[[#This Row],[vr (m/s)]]="-","-",(1/2)*rho*(Rocket_Data[[#This Row],[vr (m/s)]]^2)*Rocket_Data[[#This Row],[Area (m2)]]*Cd)</f>
        <v>-</v>
      </c>
      <c r="L17" s="4">
        <v>5</v>
      </c>
      <c r="M17" s="4" t="s">
        <v>197</v>
      </c>
      <c r="N17" s="29">
        <f>N16-D24</f>
        <v>8.4780740867790172</v>
      </c>
      <c r="O17" s="32">
        <f>O16+J24</f>
        <v>3091.4339005194402</v>
      </c>
      <c r="P17" s="31">
        <f>(J24*(F24-External_Loads[[#This Row],[Height (m)]]))+P16+((N16-External_Loads[[#This Row],[Height (m)]])*O16)</f>
        <v>7421.9678369963822</v>
      </c>
      <c r="Q17" s="31">
        <f>Q16+((E24+E35+E25+E21)*g0)</f>
        <v>4443.078687611599</v>
      </c>
    </row>
    <row r="18" spans="2:51">
      <c r="B18" s="17" t="s">
        <v>26</v>
      </c>
      <c r="C18" s="10" t="s">
        <v>103</v>
      </c>
      <c r="D18" s="11">
        <v>0.69317273015083802</v>
      </c>
      <c r="E18" s="20">
        <v>45.060999454279603</v>
      </c>
      <c r="F18" s="34">
        <v>0</v>
      </c>
      <c r="G18" s="20" t="s">
        <v>192</v>
      </c>
      <c r="H18" s="20" t="str">
        <f>IF(Rocket_Data[[#This Row],[Ext or Int]]="E",9.5*(Rocket_Data[[#This Row],[CG (m)]]^0.2),"-")</f>
        <v>-</v>
      </c>
      <c r="I18" s="26" t="str">
        <f>IF(Rocket_Data[[#This Row],[vss (m/s)]]="-","-",SQRT(((1.25*Rocket_Data[[#This Row],[vss (m/s)]])^2)+((2.56*Rocket_Data[[#This Row],[vss (m/s)]])^2)))</f>
        <v>-</v>
      </c>
      <c r="J18" s="87" t="str">
        <f>IF(Rocket_Data[[#This Row],[vr (m/s)]]="-","-",(1/2)*rho*(Rocket_Data[[#This Row],[vr (m/s)]]^2)*Rocket_Data[[#This Row],[Area (m2)]]*Cd)</f>
        <v>-</v>
      </c>
      <c r="L18" s="4">
        <v>3</v>
      </c>
      <c r="M18" s="4" t="s">
        <v>198</v>
      </c>
      <c r="N18" s="29">
        <f>N17-D26</f>
        <v>7.7112411337473521</v>
      </c>
      <c r="O18" s="32">
        <f>O17+J26</f>
        <v>3651.5481831027246</v>
      </c>
      <c r="P18" s="31">
        <f>(J26*(F26-External_Loads[[#This Row],[Height (m)]]))+P17+((N17-External_Loads[[#This Row],[Height (m)]])*O17)</f>
        <v>10511.441123033139</v>
      </c>
      <c r="Q18" s="31">
        <f>Q17+((E26+E28+E29)*g0)</f>
        <v>4674.1304716295945</v>
      </c>
    </row>
    <row r="19" spans="2:51">
      <c r="B19" s="17" t="s">
        <v>27</v>
      </c>
      <c r="C19" s="10" t="s">
        <v>103</v>
      </c>
      <c r="D19" s="11">
        <v>0.22500000000000001</v>
      </c>
      <c r="E19" s="20">
        <v>1.12984238193703</v>
      </c>
      <c r="F19" s="34">
        <v>10.4294250202058</v>
      </c>
      <c r="G19" s="20"/>
      <c r="H19" s="20" t="str">
        <f>IF(Rocket_Data[[#This Row],[Ext or Int]]="E",9.5*(Rocket_Data[[#This Row],[CG (m)]]^0.2),"-")</f>
        <v>-</v>
      </c>
      <c r="I19" s="26" t="str">
        <f>IF(Rocket_Data[[#This Row],[vss (m/s)]]="-","-",SQRT(((1.25*Rocket_Data[[#This Row],[vss (m/s)]])^2)+((2.56*Rocket_Data[[#This Row],[vss (m/s)]])^2)))</f>
        <v>-</v>
      </c>
      <c r="J19" s="87" t="str">
        <f>IF(Rocket_Data[[#This Row],[vr (m/s)]]="-","-",(1/2)*rho*(Rocket_Data[[#This Row],[vr (m/s)]]^2)*Rocket_Data[[#This Row],[Area (m2)]]*Cd)</f>
        <v>-</v>
      </c>
      <c r="L19" s="4">
        <v>7</v>
      </c>
      <c r="M19" s="4" t="s">
        <v>199</v>
      </c>
      <c r="N19" s="29">
        <f>N18-D31</f>
        <v>7.1862411337473517</v>
      </c>
      <c r="O19" s="32">
        <f>O18+J31</f>
        <v>4015.6010712930138</v>
      </c>
      <c r="P19" s="31">
        <f>(J31*(F31-External_Loads[[#This Row],[Height (m)]]))+P18+((N18-External_Loads[[#This Row],[Height (m)]])*O18)</f>
        <v>12687.891601997655</v>
      </c>
      <c r="Q19" s="31">
        <f>Q18+((E31+E32+E18+E36+E27+E30)*g0)</f>
        <v>12199.554359192365</v>
      </c>
    </row>
    <row r="20" spans="2:51">
      <c r="B20" s="17" t="s">
        <v>28</v>
      </c>
      <c r="C20" s="10" t="s">
        <v>90</v>
      </c>
      <c r="D20" s="11">
        <v>0.28085796757168902</v>
      </c>
      <c r="E20" s="20">
        <v>2.11550156711461</v>
      </c>
      <c r="F20" s="34">
        <v>10.1935030705648</v>
      </c>
      <c r="G20" s="36">
        <f>2*Rocket_Data[[#This Row],[Height (m)]]*$C$3</f>
        <v>0.23592069276021876</v>
      </c>
      <c r="H20" s="20">
        <f>IF(Rocket_Data[[#This Row],[Ext or Int]]="E",9.5*(Rocket_Data[[#This Row],[CG (m)]]^0.2),"-")</f>
        <v>15.114309004422765</v>
      </c>
      <c r="I20" s="26">
        <f>IF(Rocket_Data[[#This Row],[vss (m/s)]]="-","-",SQRT(((1.25*Rocket_Data[[#This Row],[vss (m/s)]])^2)+((2.56*Rocket_Data[[#This Row],[vss (m/s)]])^2)))</f>
        <v>43.058806866169498</v>
      </c>
      <c r="J20" s="88">
        <f>IF(Rocket_Data[[#This Row],[vr (m/s)]]="-","-",(1/2)*rho*(Rocket_Data[[#This Row],[vr (m/s)]]^2)*Rocket_Data[[#This Row],[Area (m2)]]*Cd)</f>
        <v>215.67418077469677</v>
      </c>
      <c r="L20" s="4">
        <v>8</v>
      </c>
      <c r="M20" s="4" t="s">
        <v>200</v>
      </c>
      <c r="N20" s="29">
        <f>N19-D37</f>
        <v>6.3171248931245394</v>
      </c>
      <c r="O20" s="32">
        <f>O19+J37</f>
        <v>4617.153462827755</v>
      </c>
      <c r="P20" s="31">
        <f>(J37*(F37-External_Loads[[#This Row],[Height (m)]]))+P19+((N19-External_Loads[[#This Row],[Height (m)]])*O19)</f>
        <v>16710.023761645582</v>
      </c>
      <c r="Q20" s="31">
        <f>Q19+((E33+E34+E37+E38+E40)*g0)</f>
        <v>13409.224747718043</v>
      </c>
    </row>
    <row r="21" spans="2:51">
      <c r="B21" s="17" t="s">
        <v>29</v>
      </c>
      <c r="C21" s="10" t="s">
        <v>103</v>
      </c>
      <c r="D21" s="11">
        <v>0.22500000000000001</v>
      </c>
      <c r="E21" s="20">
        <v>1.12984238193703</v>
      </c>
      <c r="F21" s="34">
        <v>9.95758112092388</v>
      </c>
      <c r="G21" s="20"/>
      <c r="H21" s="20" t="str">
        <f>IF(Rocket_Data[[#This Row],[Ext or Int]]="E",9.5*(Rocket_Data[[#This Row],[CG (m)]]^0.2),"-")</f>
        <v>-</v>
      </c>
      <c r="I21" s="26" t="str">
        <f>IF(Rocket_Data[[#This Row],[vss (m/s)]]="-","-",SQRT(((1.25*Rocket_Data[[#This Row],[vss (m/s)]])^2)+((2.56*Rocket_Data[[#This Row],[vss (m/s)]])^2)))</f>
        <v>-</v>
      </c>
      <c r="J21" s="87" t="str">
        <f>IF(Rocket_Data[[#This Row],[vr (m/s)]]="-","-",(1/2)*rho*(Rocket_Data[[#This Row],[vr (m/s)]]^2)*Rocket_Data[[#This Row],[Area (m2)]]*Cd)</f>
        <v>-</v>
      </c>
      <c r="L21" s="4">
        <v>9</v>
      </c>
      <c r="M21" s="4" t="s">
        <v>201</v>
      </c>
      <c r="N21" s="29">
        <f>N20-D41</f>
        <v>4.671853019227969</v>
      </c>
      <c r="O21" s="32">
        <f>O20+J41</f>
        <v>5708.163464015629</v>
      </c>
      <c r="P21" s="31">
        <f>(J41*(F41-External_Loads[[#This Row],[Height (m)]]))+P20+((N20-External_Loads[[#This Row],[Height (m)]])*O20)</f>
        <v>25694.955026581927</v>
      </c>
      <c r="Q21" s="31">
        <f>Q20+((E41+E43+E44+E56)*g0)</f>
        <v>23500.516240685545</v>
      </c>
    </row>
    <row r="22" spans="2:51">
      <c r="B22" s="17" t="s">
        <v>30</v>
      </c>
      <c r="C22" s="10" t="s">
        <v>103</v>
      </c>
      <c r="D22" s="11">
        <v>0.73085796757168997</v>
      </c>
      <c r="E22" s="20">
        <v>0</v>
      </c>
      <c r="F22" s="34">
        <v>10.1935030705648</v>
      </c>
      <c r="G22" s="20" t="s">
        <v>192</v>
      </c>
      <c r="H22" s="20" t="str">
        <f>IF(Rocket_Data[[#This Row],[Ext or Int]]="E",9.5*(Rocket_Data[[#This Row],[CG (m)]]^0.2),"-")</f>
        <v>-</v>
      </c>
      <c r="I22" s="26" t="str">
        <f>IF(Rocket_Data[[#This Row],[vss (m/s)]]="-","-",SQRT(((1.25*Rocket_Data[[#This Row],[vss (m/s)]])^2)+((2.56*Rocket_Data[[#This Row],[vss (m/s)]])^2)))</f>
        <v>-</v>
      </c>
      <c r="J22" s="87" t="str">
        <f>IF(Rocket_Data[[#This Row],[vr (m/s)]]="-","-",(1/2)*rho*(Rocket_Data[[#This Row],[vr (m/s)]]^2)*Rocket_Data[[#This Row],[Area (m2)]]*Cd)</f>
        <v>-</v>
      </c>
      <c r="L22" s="4">
        <v>10</v>
      </c>
      <c r="M22" s="4" t="s">
        <v>202</v>
      </c>
      <c r="N22" s="29">
        <f>N21-D45</f>
        <v>3.9968530192279692</v>
      </c>
      <c r="O22" s="32">
        <f>O21+J45</f>
        <v>6118.5360189412631</v>
      </c>
      <c r="P22" s="31">
        <f>(J45*(F45-External_Loads[[#This Row],[Height (m)]]))+P21+((N21-External_Loads[[#This Row],[Height (m)]])*O21)</f>
        <v>29871.133751796413</v>
      </c>
      <c r="Q22" s="31">
        <f>Q21+((E42+E45+E46)*g0)</f>
        <v>23774.980678888103</v>
      </c>
    </row>
    <row r="23" spans="2:51">
      <c r="B23" s="17" t="s">
        <v>31</v>
      </c>
      <c r="C23" s="10" t="s">
        <v>103</v>
      </c>
      <c r="D23" s="11" t="s">
        <v>194</v>
      </c>
      <c r="E23" s="20">
        <v>5.9124139607955097</v>
      </c>
      <c r="F23" s="34">
        <v>0</v>
      </c>
      <c r="G23" s="20" t="s">
        <v>192</v>
      </c>
      <c r="H23" s="20" t="str">
        <f>IF(Rocket_Data[[#This Row],[Ext or Int]]="E",9.5*(Rocket_Data[[#This Row],[CG (m)]]^0.2),"-")</f>
        <v>-</v>
      </c>
      <c r="I23" s="26" t="str">
        <f>IF(Rocket_Data[[#This Row],[vss (m/s)]]="-","-",SQRT(((1.25*Rocket_Data[[#This Row],[vss (m/s)]])^2)+((2.56*Rocket_Data[[#This Row],[vss (m/s)]])^2)))</f>
        <v>-</v>
      </c>
      <c r="J23" s="87" t="str">
        <f>IF(Rocket_Data[[#This Row],[vr (m/s)]]="-","-",(1/2)*rho*(Rocket_Data[[#This Row],[vr (m/s)]]^2)*Rocket_Data[[#This Row],[Area (m2)]]*Cd)</f>
        <v>-</v>
      </c>
      <c r="L23" s="4">
        <v>11</v>
      </c>
      <c r="M23" s="4" t="s">
        <v>203</v>
      </c>
      <c r="N23" s="29">
        <f>N22-D47</f>
        <v>0.89999999999999902</v>
      </c>
      <c r="O23" s="32">
        <f>O22+J47</f>
        <v>7659.2809918223229</v>
      </c>
      <c r="P23" s="31">
        <f>(J47*(F47-External_Loads[[#This Row],[Height (m)]]))+P22+((N22-External_Loads[[#This Row],[Height (m)]])*O22)</f>
        <v>51898.406093669735</v>
      </c>
      <c r="Q23" s="31">
        <f>Q22+((E47+E50+E57+E49)*g0)</f>
        <v>47441.607798653422</v>
      </c>
    </row>
    <row r="24" spans="2:51">
      <c r="B24" s="17" t="s">
        <v>32</v>
      </c>
      <c r="C24" s="10" t="s">
        <v>90</v>
      </c>
      <c r="D24" s="11">
        <v>0.67500000000000004</v>
      </c>
      <c r="E24" s="20">
        <v>25.7649867502532</v>
      </c>
      <c r="F24" s="34">
        <v>9.7155740867790197</v>
      </c>
      <c r="G24" s="24">
        <f>2*Rocket_Data[[#This Row],[Height (m)]]*$C$3</f>
        <v>0.56700000000000006</v>
      </c>
      <c r="H24" s="20">
        <f>IF(Rocket_Data[[#This Row],[Ext or Int]]="E",9.5*(Rocket_Data[[#This Row],[CG (m)]]^0.2),"-")</f>
        <v>14.969844836100402</v>
      </c>
      <c r="I24" s="26">
        <f>IF(Rocket_Data[[#This Row],[vss (m/s)]]="-","-",SQRT(((1.25*Rocket_Data[[#This Row],[vss (m/s)]])^2)+((2.56*Rocket_Data[[#This Row],[vss (m/s)]])^2)))</f>
        <v>42.64724622379714</v>
      </c>
      <c r="J24" s="87">
        <f>IF(Rocket_Data[[#This Row],[vr (m/s)]]="-","-",(1/2)*rho*(Rocket_Data[[#This Row],[vr (m/s)]]^2)*Rocket_Data[[#This Row],[Area (m2)]]*Cd)</f>
        <v>508.47919159715053</v>
      </c>
      <c r="L24" s="4">
        <v>12</v>
      </c>
      <c r="M24" s="4" t="s">
        <v>204</v>
      </c>
      <c r="N24" s="29">
        <v>1E-3</v>
      </c>
      <c r="O24" s="32">
        <f>O23+J52</f>
        <v>7871.8366955907841</v>
      </c>
      <c r="P24" s="31">
        <f>(J52*(F52-External_Loads[[#This Row],[Height (m)]]))+P23+((N23-External_Loads[[#This Row],[Height (m)]])*O23)</f>
        <v>58879.537216310033</v>
      </c>
      <c r="Q24" s="31">
        <f>Q23+(E52+E53+E54+E55+E39+E48+E51)*g0</f>
        <v>50232.722876463966</v>
      </c>
    </row>
    <row r="25" spans="2:51">
      <c r="B25" s="17" t="s">
        <v>33</v>
      </c>
      <c r="C25" s="10" t="s">
        <v>103</v>
      </c>
      <c r="D25" s="11">
        <v>0.22500000000000001</v>
      </c>
      <c r="E25" s="20">
        <v>1.0407089999168999</v>
      </c>
      <c r="F25" s="34">
        <v>9.4735670526341593</v>
      </c>
      <c r="G25" s="20"/>
      <c r="H25" s="20" t="str">
        <f>IF(Rocket_Data[[#This Row],[Ext or Int]]="E",9.5*(Rocket_Data[[#This Row],[CG (m)]]^0.2),"-")</f>
        <v>-</v>
      </c>
      <c r="I25" s="26" t="str">
        <f>IF(Rocket_Data[[#This Row],[vss (m/s)]]="-","-",SQRT(((1.25*Rocket_Data[[#This Row],[vss (m/s)]])^2)+((2.56*Rocket_Data[[#This Row],[vss (m/s)]])^2)))</f>
        <v>-</v>
      </c>
      <c r="J25" s="87" t="str">
        <f>IF(Rocket_Data[[#This Row],[vr (m/s)]]="-","-",(1/2)*rho*(Rocket_Data[[#This Row],[vr (m/s)]]^2)*Rocket_Data[[#This Row],[Area (m2)]]*Cd)</f>
        <v>-</v>
      </c>
      <c r="L25" s="4">
        <v>13</v>
      </c>
      <c r="M25" s="4" t="s">
        <v>205</v>
      </c>
      <c r="N25" s="29">
        <v>0</v>
      </c>
      <c r="O25" s="29"/>
      <c r="P25" s="30">
        <f>External_Loads[[#This Row],[Shear Load (N)]]*External_Loads[[#This Row],[Height (m)]]</f>
        <v>0</v>
      </c>
      <c r="Q25" s="30"/>
      <c r="R25" s="64"/>
    </row>
    <row r="26" spans="2:51" ht="15.75" thickBot="1">
      <c r="B26" s="17" t="s">
        <v>34</v>
      </c>
      <c r="C26" s="10" t="s">
        <v>90</v>
      </c>
      <c r="D26" s="11">
        <v>0.76683295303166499</v>
      </c>
      <c r="E26" s="20">
        <v>5.3203330376860896</v>
      </c>
      <c r="F26" s="34">
        <v>8.9946576102631894</v>
      </c>
      <c r="G26" s="36">
        <f>2*Rocket_Data[[#This Row],[Height (m)]]*$C$3</f>
        <v>0.64413968054659854</v>
      </c>
      <c r="H26" s="20">
        <f>IF(Rocket_Data[[#This Row],[Ext or Int]]="E",9.5*(Rocket_Data[[#This Row],[CG (m)]]^0.2),"-")</f>
        <v>14.740782306324254</v>
      </c>
      <c r="I26" s="26">
        <f>IF(Rocket_Data[[#This Row],[vss (m/s)]]="-","-",SQRT(((1.25*Rocket_Data[[#This Row],[vss (m/s)]])^2)+((2.56*Rocket_Data[[#This Row],[vss (m/s)]])^2)))</f>
        <v>41.994675257633808</v>
      </c>
      <c r="J26" s="88">
        <f>IF(Rocket_Data[[#This Row],[vr (m/s)]]="-","-",(1/2)*rho*(Rocket_Data[[#This Row],[vr (m/s)]]^2)*Rocket_Data[[#This Row],[Area (m2)]]*Cd)</f>
        <v>560.11428258328431</v>
      </c>
      <c r="L26" s="4"/>
      <c r="N26" s="4"/>
    </row>
    <row r="27" spans="2:51" ht="15.75" thickBot="1">
      <c r="B27" s="17" t="s">
        <v>35</v>
      </c>
      <c r="C27" s="10" t="s">
        <v>103</v>
      </c>
      <c r="D27" s="11">
        <v>0.22500000000000001</v>
      </c>
      <c r="E27" s="20">
        <v>1.0407089999168999</v>
      </c>
      <c r="F27" s="34">
        <v>8.5157481678922196</v>
      </c>
      <c r="G27" s="20"/>
      <c r="H27" s="20" t="str">
        <f>IF(Rocket_Data[[#This Row],[Ext or Int]]="E",9.5*(Rocket_Data[[#This Row],[CG (m)]]^0.2),"-")</f>
        <v>-</v>
      </c>
      <c r="I27" s="26" t="str">
        <f>IF(Rocket_Data[[#This Row],[vss (m/s)]]="-","-",SQRT(((1.25*Rocket_Data[[#This Row],[vss (m/s)]])^2)+((2.56*Rocket_Data[[#This Row],[vss (m/s)]])^2)))</f>
        <v>-</v>
      </c>
      <c r="J27" s="87" t="str">
        <f>IF(Rocket_Data[[#This Row],[vr (m/s)]]="-","-",(1/2)*rho*(Rocket_Data[[#This Row],[vr (m/s)]]^2)*Rocket_Data[[#This Row],[Area (m2)]]*Cd)</f>
        <v>-</v>
      </c>
      <c r="L27" s="165" t="s">
        <v>206</v>
      </c>
      <c r="M27" s="166"/>
      <c r="N27" s="166"/>
      <c r="O27" s="166"/>
      <c r="P27" s="166"/>
      <c r="Q27" s="167"/>
      <c r="AB27" s="32">
        <v>0</v>
      </c>
    </row>
    <row r="28" spans="2:51">
      <c r="B28" s="17" t="s">
        <v>36</v>
      </c>
      <c r="C28" s="10" t="s">
        <v>103</v>
      </c>
      <c r="D28" s="11">
        <v>1.2168329530316599</v>
      </c>
      <c r="E28" s="20">
        <v>4.4069050590937699</v>
      </c>
      <c r="F28" s="34">
        <v>8.9946576102631894</v>
      </c>
      <c r="G28" s="20"/>
      <c r="H28" s="20" t="str">
        <f>IF(Rocket_Data[[#This Row],[Ext or Int]]="E",9.5*(Rocket_Data[[#This Row],[CG (m)]]^0.2),"-")</f>
        <v>-</v>
      </c>
      <c r="I28" s="26" t="str">
        <f>IF(Rocket_Data[[#This Row],[vss (m/s)]]="-","-",SQRT(((1.25*Rocket_Data[[#This Row],[vss (m/s)]])^2)+((2.56*Rocket_Data[[#This Row],[vss (m/s)]])^2)))</f>
        <v>-</v>
      </c>
      <c r="J28" s="87" t="str">
        <f>IF(Rocket_Data[[#This Row],[vr (m/s)]]="-","-",(1/2)*rho*(Rocket_Data[[#This Row],[vr (m/s)]]^2)*Rocket_Data[[#This Row],[Area (m2)]]*Cd)</f>
        <v>-</v>
      </c>
      <c r="L28" s="14" t="s">
        <v>186</v>
      </c>
      <c r="M28" s="14" t="s">
        <v>187</v>
      </c>
      <c r="N28" s="14" t="s">
        <v>207</v>
      </c>
      <c r="O28" s="14" t="s">
        <v>188</v>
      </c>
      <c r="P28" s="14" t="s">
        <v>189</v>
      </c>
      <c r="Q28" s="14" t="s">
        <v>208</v>
      </c>
    </row>
    <row r="29" spans="2:51">
      <c r="B29" s="17" t="s">
        <v>37</v>
      </c>
      <c r="C29" s="10" t="s">
        <v>103</v>
      </c>
      <c r="D29" s="11" t="s">
        <v>194</v>
      </c>
      <c r="E29" s="20">
        <v>13.8350486682615</v>
      </c>
      <c r="F29" s="34">
        <v>0</v>
      </c>
      <c r="G29" s="20" t="s">
        <v>192</v>
      </c>
      <c r="H29" s="20" t="str">
        <f>IF(Rocket_Data[[#This Row],[Ext or Int]]="E",9.5*(Rocket_Data[[#This Row],[CG (m)]]^0.2),"-")</f>
        <v>-</v>
      </c>
      <c r="I29" s="26" t="str">
        <f>IF(Rocket_Data[[#This Row],[vss (m/s)]]="-","-",SQRT(((1.25*Rocket_Data[[#This Row],[vss (m/s)]])^2)+((2.56*Rocket_Data[[#This Row],[vss (m/s)]])^2)))</f>
        <v>-</v>
      </c>
      <c r="J29" s="87" t="str">
        <f>IF(Rocket_Data[[#This Row],[vr (m/s)]]="-","-",(1/2)*rho*(Rocket_Data[[#This Row],[vr (m/s)]]^2)*Rocket_Data[[#This Row],[Area (m2)]]*Cd)</f>
        <v>-</v>
      </c>
      <c r="L29" s="4">
        <v>1</v>
      </c>
      <c r="M29" s="4" t="s">
        <v>191</v>
      </c>
      <c r="N29" s="32">
        <v>0</v>
      </c>
      <c r="O29" s="31">
        <v>0</v>
      </c>
      <c r="P29" s="32">
        <v>0</v>
      </c>
      <c r="Q29" s="32">
        <v>0</v>
      </c>
    </row>
    <row r="30" spans="2:51" ht="15.75" thickBot="1">
      <c r="B30" s="17" t="s">
        <v>38</v>
      </c>
      <c r="C30" s="10"/>
      <c r="D30" s="11">
        <v>0.44978998569310802</v>
      </c>
      <c r="E30" s="20">
        <v>3.8347742403979401</v>
      </c>
      <c r="F30" s="34">
        <v>8.9946576102631894</v>
      </c>
      <c r="G30" s="20"/>
      <c r="H30" s="20" t="str">
        <f>IF(Rocket_Data[[#This Row],[Ext or Int]]="E",9.5*(Rocket_Data[[#This Row],[CG (m)]]^0.2),"-")</f>
        <v>-</v>
      </c>
      <c r="I30" s="26" t="str">
        <f>IF(Rocket_Data[[#This Row],[vss (m/s)]]="-","-",SQRT(((1.25*Rocket_Data[[#This Row],[vss (m/s)]])^2)+((2.56*Rocket_Data[[#This Row],[vss (m/s)]])^2)))</f>
        <v>-</v>
      </c>
      <c r="J30" s="87" t="str">
        <f>IF(Rocket_Data[[#This Row],[vr (m/s)]]="-","-",(1/2)*rho*(Rocket_Data[[#This Row],[vr (m/s)]]^2)*Rocket_Data[[#This Row],[Area (m2)]]*Cd)</f>
        <v>-</v>
      </c>
      <c r="L30" s="4">
        <v>2</v>
      </c>
      <c r="M30" s="4" t="s">
        <v>193</v>
      </c>
      <c r="N30" s="32">
        <f>-g0*nzmaxq*SUM(E13:E15)</f>
        <v>-99.391784993270306</v>
      </c>
      <c r="O30" s="32">
        <f>Table3[[#This Row],[Inertia Relief (N)]]+shearcone</f>
        <v>2165.3348161791528</v>
      </c>
      <c r="P30" s="32">
        <f>(shearcone*((F13)-(N14)))+P29+(((N13)-(N14))*O29)</f>
        <v>3072.4790889237534</v>
      </c>
      <c r="Q30" s="90">
        <f>Q29+(nmax*g0*SUM(E13:E15))</f>
        <v>1976.8344288175053</v>
      </c>
    </row>
    <row r="31" spans="2:51" ht="15.75" thickBot="1">
      <c r="B31" s="17" t="s">
        <v>39</v>
      </c>
      <c r="C31" s="10" t="s">
        <v>90</v>
      </c>
      <c r="D31" s="11">
        <v>0.52500000000000002</v>
      </c>
      <c r="E31" s="20">
        <v>20.039434139085799</v>
      </c>
      <c r="F31" s="34">
        <v>7.8987411337473601</v>
      </c>
      <c r="G31" s="20">
        <f>2*Rocket_Data[[#This Row],[Height (m)]]*$C$3</f>
        <v>0.441</v>
      </c>
      <c r="H31" s="20">
        <f>IF(Rocket_Data[[#This Row],[Ext or Int]]="E",9.5*(Rocket_Data[[#This Row],[CG (m)]]^0.2),"-")</f>
        <v>14.362669977674317</v>
      </c>
      <c r="I31" s="26">
        <f>IF(Rocket_Data[[#This Row],[vss (m/s)]]="-","-",SQRT(((1.25*Rocket_Data[[#This Row],[vss (m/s)]])^2)+((2.56*Rocket_Data[[#This Row],[vss (m/s)]])^2)))</f>
        <v>40.917479751819343</v>
      </c>
      <c r="J31" s="87">
        <f>IF(Rocket_Data[[#This Row],[vr (m/s)]]="-","-",(1/2)*rho*(Rocket_Data[[#This Row],[vr (m/s)]]^2)*Rocket_Data[[#This Row],[Area (m2)]]*Cd)</f>
        <v>364.05288819028897</v>
      </c>
      <c r="L31" s="4">
        <v>3</v>
      </c>
      <c r="M31" s="4" t="s">
        <v>195</v>
      </c>
      <c r="N31" s="32">
        <f>-g0*nzmaxq*SUM(E16:E17,E19)</f>
        <v>-38.60680297575572</v>
      </c>
      <c r="O31" s="32">
        <f>O30+Table3[[#This Row],[Inertia Relief (N)]]</f>
        <v>2126.728013203397</v>
      </c>
      <c r="P31" s="32">
        <f>P30+(((N14)-(N15))*O30)</f>
        <v>4209.2798674178093</v>
      </c>
      <c r="Q31" s="90">
        <f>Q30+(nmax*g0*SUM(E16:E17,E19))</f>
        <v>2744.697258871473</v>
      </c>
      <c r="S31" s="165" t="s">
        <v>209</v>
      </c>
      <c r="T31" s="166"/>
      <c r="U31" s="166"/>
      <c r="V31" s="166"/>
      <c r="W31" s="166"/>
      <c r="X31" s="166"/>
      <c r="Y31" s="166"/>
      <c r="Z31" s="166"/>
      <c r="AA31" s="166"/>
      <c r="AB31" s="166"/>
      <c r="AC31" s="167"/>
      <c r="AD31" s="165" t="s">
        <v>210</v>
      </c>
      <c r="AE31" s="166"/>
      <c r="AF31" s="166"/>
      <c r="AG31" s="166"/>
      <c r="AH31" s="166"/>
      <c r="AI31" s="166"/>
      <c r="AJ31" s="166"/>
      <c r="AK31" s="166"/>
      <c r="AL31" s="166"/>
      <c r="AM31" s="166"/>
      <c r="AN31" s="167"/>
      <c r="AO31" s="165" t="s">
        <v>211</v>
      </c>
      <c r="AP31" s="166"/>
      <c r="AQ31" s="166"/>
      <c r="AR31" s="166"/>
      <c r="AS31" s="166"/>
      <c r="AT31" s="166"/>
      <c r="AU31" s="166"/>
      <c r="AV31" s="166"/>
      <c r="AW31" s="166"/>
      <c r="AX31" s="166"/>
      <c r="AY31" s="167"/>
    </row>
    <row r="32" spans="2:51">
      <c r="B32" s="17" t="s">
        <v>40</v>
      </c>
      <c r="C32" s="10" t="s">
        <v>103</v>
      </c>
      <c r="D32" s="11">
        <v>0.26250000000000001</v>
      </c>
      <c r="E32" s="20">
        <v>2.8604194987660998</v>
      </c>
      <c r="F32" s="34">
        <v>7.7674911337473604</v>
      </c>
      <c r="G32" s="20" t="s">
        <v>192</v>
      </c>
      <c r="H32" s="20" t="str">
        <f>IF(Rocket_Data[[#This Row],[Ext or Int]]="E",9.5*(Rocket_Data[[#This Row],[CG (m)]]^0.2),"-")</f>
        <v>-</v>
      </c>
      <c r="I32" s="26" t="str">
        <f>IF(Rocket_Data[[#This Row],[vss (m/s)]]="-","-",SQRT(((1.25*Rocket_Data[[#This Row],[vss (m/s)]])^2)+((2.56*Rocket_Data[[#This Row],[vss (m/s)]])^2)))</f>
        <v>-</v>
      </c>
      <c r="J32" s="87" t="str">
        <f>IF(Rocket_Data[[#This Row],[vr (m/s)]]="-","-",(1/2)*rho*(Rocket_Data[[#This Row],[vr (m/s)]]^2)*Rocket_Data[[#This Row],[Area (m2)]]*Cd)</f>
        <v>-</v>
      </c>
      <c r="L32" s="4">
        <v>4</v>
      </c>
      <c r="M32" s="4" t="s">
        <v>196</v>
      </c>
      <c r="N32" s="32">
        <f>-g0*nzmaxq*SUM(E20,E22:E23,E35)</f>
        <v>-349.71641551227628</v>
      </c>
      <c r="O32" s="32">
        <f>O31+Table3[[#This Row],[Inertia Relief (N)]]</f>
        <v>1777.0115976911206</v>
      </c>
      <c r="P32" s="32">
        <f>P31+(((N15)-(N16))*O31)</f>
        <v>4806.5883747838925</v>
      </c>
      <c r="Q32" s="90">
        <f>Q31+(nmax*g0*SUM(E20,E22:E23,E35))</f>
        <v>9700.3168863298724</v>
      </c>
    </row>
    <row r="33" spans="2:17">
      <c r="B33" s="17" t="s">
        <v>41</v>
      </c>
      <c r="C33" s="10" t="s">
        <v>103</v>
      </c>
      <c r="D33" s="11" t="s">
        <v>194</v>
      </c>
      <c r="E33" s="20">
        <v>0.41964765633555001</v>
      </c>
      <c r="F33" s="34">
        <v>8.1678573743701701</v>
      </c>
      <c r="G33" s="20" t="s">
        <v>192</v>
      </c>
      <c r="H33" s="20" t="str">
        <f>IF(Rocket_Data[[#This Row],[Ext or Int]]="E",9.5*(Rocket_Data[[#This Row],[CG (m)]]^0.2),"-")</f>
        <v>-</v>
      </c>
      <c r="I33" s="26" t="str">
        <f>IF(Rocket_Data[[#This Row],[vss (m/s)]]="-","-",SQRT(((1.25*Rocket_Data[[#This Row],[vss (m/s)]])^2)+((2.56*Rocket_Data[[#This Row],[vss (m/s)]])^2)))</f>
        <v>-</v>
      </c>
      <c r="J33" s="87" t="str">
        <f>IF(Rocket_Data[[#This Row],[vr (m/s)]]="-","-",(1/2)*rho*(Rocket_Data[[#This Row],[vr (m/s)]]^2)*Rocket_Data[[#This Row],[Area (m2)]]*Cd)</f>
        <v>-</v>
      </c>
      <c r="L33" s="4">
        <v>5</v>
      </c>
      <c r="M33" s="4" t="s">
        <v>197</v>
      </c>
      <c r="N33" s="32">
        <f>-g0*nzmaxq*SUM(E24:E25,E21)</f>
        <v>-32.045590288360479</v>
      </c>
      <c r="O33" s="32">
        <f>O32+Table3[[#This Row],[Inertia Relief (N)]]</f>
        <v>1744.9660074027602</v>
      </c>
      <c r="P33" s="32">
        <f>P32+(((N16)-(N17))*O32)</f>
        <v>6006.0712032254005</v>
      </c>
      <c r="Q33" s="90">
        <f>Q32+(nmax*g0*SUM(E24:E25,E21))</f>
        <v>10337.681696490996</v>
      </c>
    </row>
    <row r="34" spans="2:17">
      <c r="B34" s="17" t="s">
        <v>42</v>
      </c>
      <c r="C34" s="10" t="s">
        <v>103</v>
      </c>
      <c r="D34" s="20">
        <v>0.53161624062281199</v>
      </c>
      <c r="E34" s="20">
        <v>69.533825840061695</v>
      </c>
      <c r="F34" s="34">
        <v>7.7487411337473597</v>
      </c>
      <c r="G34" s="20" t="s">
        <v>192</v>
      </c>
      <c r="H34" s="20" t="str">
        <f>IF(Rocket_Data[[#This Row],[Ext or Int]]="E",9.5*(Rocket_Data[[#This Row],[CG (m)]]^0.2),"-")</f>
        <v>-</v>
      </c>
      <c r="I34" s="26" t="str">
        <f>IF(Rocket_Data[[#This Row],[vss (m/s)]]="-","-",SQRT(((1.25*Rocket_Data[[#This Row],[vss (m/s)]])^2)+((2.56*Rocket_Data[[#This Row],[vss (m/s)]])^2)))</f>
        <v>-</v>
      </c>
      <c r="J34" s="87" t="str">
        <f>IF(Rocket_Data[[#This Row],[vr (m/s)]]="-","-",(1/2)*rho*(Rocket_Data[[#This Row],[vr (m/s)]]^2)*Rocket_Data[[#This Row],[Area (m2)]]*Cd)</f>
        <v>-</v>
      </c>
      <c r="L34" s="4">
        <v>3</v>
      </c>
      <c r="M34" s="4" t="s">
        <v>198</v>
      </c>
      <c r="N34" s="32">
        <f>-g0*nzmaxq*SUM(E28:E29,E26,E36)</f>
        <v>-823.81619379473238</v>
      </c>
      <c r="O34" s="32">
        <f>O33+Table3[[#This Row],[Inertia Relief (N)]]</f>
        <v>921.14981360802778</v>
      </c>
      <c r="P34" s="32">
        <f>P33+(((N17)-(N18))*O33)</f>
        <v>7344.1686396219338</v>
      </c>
      <c r="Q34" s="90">
        <f>Q33+(nmax*g0*SUM(E28:E29,E26,E36))</f>
        <v>26722.820720013795</v>
      </c>
    </row>
    <row r="35" spans="2:17">
      <c r="B35" s="17" t="s">
        <v>43</v>
      </c>
      <c r="C35" s="10" t="s">
        <v>103</v>
      </c>
      <c r="D35" s="20">
        <v>0.73085796757168997</v>
      </c>
      <c r="E35" s="20">
        <v>296.83513030949098</v>
      </c>
      <c r="F35" s="34">
        <v>10.1935030705648</v>
      </c>
      <c r="G35" s="20"/>
      <c r="H35" s="20" t="str">
        <f>IF(Rocket_Data[[#This Row],[Ext or Int]]="E",9.5*(Rocket_Data[[#This Row],[CG (m)]]^0.2),"-")</f>
        <v>-</v>
      </c>
      <c r="I35" s="26" t="str">
        <f>IF(Rocket_Data[[#This Row],[vss (m/s)]]="-","-",SQRT(((1.25*Rocket_Data[[#This Row],[vss (m/s)]])^2)+((2.56*Rocket_Data[[#This Row],[vss (m/s)]])^2)))</f>
        <v>-</v>
      </c>
      <c r="J35" s="87" t="str">
        <f>IF(Rocket_Data[[#This Row],[vr (m/s)]]="-","-",(1/2)*rho*(Rocket_Data[[#This Row],[vr (m/s)]]^2)*Rocket_Data[[#This Row],[Area (m2)]]*Cd)</f>
        <v>-</v>
      </c>
      <c r="L35" s="4">
        <v>7</v>
      </c>
      <c r="M35" s="4" t="s">
        <v>199</v>
      </c>
      <c r="N35" s="32">
        <f>-g0*nzmaxq*SUM(E30:E32,E18,E27)</f>
        <v>-83.552476461234519</v>
      </c>
      <c r="O35" s="32">
        <f>O34+Table3[[#This Row],[Inertia Relief (N)]]</f>
        <v>837.59733714679328</v>
      </c>
      <c r="P35" s="32">
        <f>P34+(((N18)-(N19))*O34)</f>
        <v>7827.7722917661486</v>
      </c>
      <c r="Q35" s="90">
        <f>Q34+(nmax*g0*SUM(E30:E32,E18,E27))</f>
        <v>28384.622166609366</v>
      </c>
    </row>
    <row r="36" spans="2:17">
      <c r="B36" s="17" t="s">
        <v>44</v>
      </c>
      <c r="C36" s="10" t="s">
        <v>103</v>
      </c>
      <c r="D36" s="20">
        <v>1.2168329530316599</v>
      </c>
      <c r="E36" s="20">
        <v>694.59420492420998</v>
      </c>
      <c r="F36" s="34">
        <v>8.9946576102631894</v>
      </c>
      <c r="G36" s="20"/>
      <c r="H36" s="20" t="str">
        <f>IF(Rocket_Data[[#This Row],[Ext or Int]]="E",9.5*(Rocket_Data[[#This Row],[CG (m)]]^0.2),"-")</f>
        <v>-</v>
      </c>
      <c r="I36" s="26" t="str">
        <f>IF(Rocket_Data[[#This Row],[vss (m/s)]]="-","-",SQRT(((1.25*Rocket_Data[[#This Row],[vss (m/s)]])^2)+((2.56*Rocket_Data[[#This Row],[vss (m/s)]])^2)))</f>
        <v>-</v>
      </c>
      <c r="J36" s="87" t="str">
        <f>IF(Rocket_Data[[#This Row],[vr (m/s)]]="-","-",(1/2)*rho*(Rocket_Data[[#This Row],[vr (m/s)]]^2)*Rocket_Data[[#This Row],[Area (m2)]]*Cd)</f>
        <v>-</v>
      </c>
      <c r="L36" s="4">
        <v>8</v>
      </c>
      <c r="M36" s="4" t="s">
        <v>200</v>
      </c>
      <c r="N36" s="32">
        <f>-g0*nzmaxq*SUM(E33:E34,E37:E38,E40)</f>
        <v>-141.50976014869258</v>
      </c>
      <c r="O36" s="32">
        <f>O35+Table3[[#This Row],[Inertia Relief (N)]]+shearskirt</f>
        <v>742.20607244817575</v>
      </c>
      <c r="P36" s="32">
        <f>(shearskirt*((F37)-(N20)))+P35-(((N19)-(N20))*O35)</f>
        <v>7140.5973325963587</v>
      </c>
      <c r="Q36" s="90">
        <f>Q35+(nmax*g0*SUM(E33:E34,E37:E38,E40))</f>
        <v>31199.15423175523</v>
      </c>
    </row>
    <row r="37" spans="2:17">
      <c r="B37" s="18" t="s">
        <v>45</v>
      </c>
      <c r="C37" s="12" t="s">
        <v>90</v>
      </c>
      <c r="D37" s="19">
        <v>0.86911624062281201</v>
      </c>
      <c r="E37" s="19">
        <v>33.174471739372898</v>
      </c>
      <c r="F37" s="35">
        <v>7.2016830134359502</v>
      </c>
      <c r="G37" s="19">
        <f>((($C$3*2)+($C$4*2))/2)*Rocket_Data[[#This Row],[Height (m)]]</f>
        <v>0.75613112934184645</v>
      </c>
      <c r="H37" s="19">
        <f>IF(Rocket_Data[[#This Row],[Ext or Int]]="E",9.5*(Rocket_Data[[#This Row],[CG (m)]]^0.2),"-")</f>
        <v>14.09971731668335</v>
      </c>
      <c r="I37" s="27">
        <f>IF(Rocket_Data[[#This Row],[vss (m/s)]]="-","-",SQRT(((1.25*Rocket_Data[[#This Row],[vss (m/s)]])^2)+((2.56*Rocket_Data[[#This Row],[vss (m/s)]])^2)))</f>
        <v>40.168359971269524</v>
      </c>
      <c r="J37" s="89">
        <f>IF(Rocket_Data[[#This Row],[vr (m/s)]]="-","-",(1/2)*rho*(Rocket_Data[[#This Row],[vr (m/s)]]^2)*Rocket_Data[[#This Row],[Area (m2)]]*Cd)</f>
        <v>601.55239153474088</v>
      </c>
      <c r="L37" s="4">
        <v>9</v>
      </c>
      <c r="M37" s="4" t="s">
        <v>201</v>
      </c>
      <c r="N37" s="32">
        <f>-g0*nzmaxq*SUM(E41,E43:E44)</f>
        <v>-36.92956124934959</v>
      </c>
      <c r="O37" s="32">
        <f>O36+Table3[[#This Row],[Inertia Relief (N)]]</f>
        <v>705.27651119882614</v>
      </c>
      <c r="P37" s="32">
        <f>P36-(((N20)-(N21))*O36)</f>
        <v>5919.4665569621347</v>
      </c>
      <c r="Q37" s="90">
        <f>Q36+(nmax*g0*SUM(E41,E43:E44))</f>
        <v>31933.657874322693</v>
      </c>
    </row>
    <row r="38" spans="2:17">
      <c r="B38" s="18" t="s">
        <v>46</v>
      </c>
      <c r="C38" s="12" t="s">
        <v>103</v>
      </c>
      <c r="D38" s="13" t="s">
        <v>194</v>
      </c>
      <c r="E38" s="19">
        <v>19.102439643732598</v>
      </c>
      <c r="F38" s="35">
        <v>7.2016830134359502</v>
      </c>
      <c r="G38" s="19" t="s">
        <v>192</v>
      </c>
      <c r="H38" s="19" t="str">
        <f>IF(Rocket_Data[[#This Row],[Ext or Int]]="E",9.5*(Rocket_Data[[#This Row],[CG (m)]]^0.2),"-")</f>
        <v>-</v>
      </c>
      <c r="I38" s="27" t="str">
        <f>IF(Rocket_Data[[#This Row],[vss (m/s)]]="-","-",SQRT(((1.25*Rocket_Data[[#This Row],[vss (m/s)]])^2)+((2.56*Rocket_Data[[#This Row],[vss (m/s)]])^2)))</f>
        <v>-</v>
      </c>
      <c r="J38" s="89" t="str">
        <f>IF(Rocket_Data[[#This Row],[vr (m/s)]]="-","-",(1/2)*rho*(Rocket_Data[[#This Row],[vr (m/s)]]^2)*Rocket_Data[[#This Row],[Area (m2)]]*Cd)</f>
        <v>-</v>
      </c>
      <c r="L38" s="4">
        <v>10</v>
      </c>
      <c r="M38" s="4" t="s">
        <v>202</v>
      </c>
      <c r="N38" s="32">
        <f>-g0*nzmaxq*SUM(E45:E46,E42)</f>
        <v>-32.107421317245169</v>
      </c>
      <c r="O38" s="32">
        <f>O37+Table3[[#This Row],[Inertia Relief (N)]]</f>
        <v>673.16908988158093</v>
      </c>
      <c r="P38" s="32">
        <f>P37-(((N21)-(N22))*O37)</f>
        <v>5443.4049119029269</v>
      </c>
      <c r="Q38" s="90">
        <f>Q37+(nmax*g0*SUM(E45:E46,E42))</f>
        <v>32572.252461237265</v>
      </c>
    </row>
    <row r="39" spans="2:17">
      <c r="B39" s="18" t="s">
        <v>47</v>
      </c>
      <c r="C39" s="12" t="s">
        <v>103</v>
      </c>
      <c r="D39" s="13">
        <v>1.57928122328113</v>
      </c>
      <c r="E39" s="19">
        <v>99.764677369365302</v>
      </c>
      <c r="F39" s="35">
        <v>0</v>
      </c>
      <c r="G39" s="19" t="s">
        <v>192</v>
      </c>
      <c r="H39" s="19" t="str">
        <f>IF(Rocket_Data[[#This Row],[Ext or Int]]="E",9.5*(Rocket_Data[[#This Row],[CG (m)]]^0.2),"-")</f>
        <v>-</v>
      </c>
      <c r="I39" s="27" t="str">
        <f>IF(Rocket_Data[[#This Row],[vss (m/s)]]="-","-",SQRT(((1.25*Rocket_Data[[#This Row],[vss (m/s)]])^2)+((2.56*Rocket_Data[[#This Row],[vss (m/s)]])^2)))</f>
        <v>-</v>
      </c>
      <c r="J39" s="89" t="str">
        <f>IF(Rocket_Data[[#This Row],[vr (m/s)]]="-","-",(1/2)*rho*(Rocket_Data[[#This Row],[vr (m/s)]]^2)*Rocket_Data[[#This Row],[Area (m2)]]*Cd)</f>
        <v>-</v>
      </c>
      <c r="L39" s="4">
        <v>11</v>
      </c>
      <c r="M39" s="4" t="s">
        <v>203</v>
      </c>
      <c r="N39" s="32">
        <f>-g0*nzmaxq*SUM(E49:E50,E47,J69,J70)</f>
        <v>-1911.4803379056978</v>
      </c>
      <c r="O39" s="32">
        <f>O38+Table3[[#This Row],[Inertia Relief (N)]]</f>
        <v>-1238.3112480241168</v>
      </c>
      <c r="P39" s="32">
        <f>P38-(((N22)-(N23))*O38)</f>
        <v>3358.6991834522082</v>
      </c>
      <c r="Q39" s="90">
        <f>Q38+(nmax*g0*SUM(E49:E50,E47,J69,J70))</f>
        <v>70590.285261790676</v>
      </c>
    </row>
    <row r="40" spans="2:17">
      <c r="B40" s="18" t="s">
        <v>48</v>
      </c>
      <c r="C40" s="12" t="s">
        <v>103</v>
      </c>
      <c r="D40" s="13">
        <v>0.22500000000000001</v>
      </c>
      <c r="E40" s="19">
        <v>1.12984238193703</v>
      </c>
      <c r="F40" s="35">
        <v>6.8626178589796796</v>
      </c>
      <c r="G40" s="19"/>
      <c r="H40" s="19" t="str">
        <f>IF(Rocket_Data[[#This Row],[Ext or Int]]="E",9.5*(Rocket_Data[[#This Row],[CG (m)]]^0.2),"-")</f>
        <v>-</v>
      </c>
      <c r="I40" s="27" t="str">
        <f>IF(Rocket_Data[[#This Row],[vss (m/s)]]="-","-",SQRT(((1.25*Rocket_Data[[#This Row],[vss (m/s)]])^2)+((2.56*Rocket_Data[[#This Row],[vss (m/s)]])^2)))</f>
        <v>-</v>
      </c>
      <c r="J40" s="89" t="str">
        <f>IF(Rocket_Data[[#This Row],[vr (m/s)]]="-","-",(1/2)*rho*(Rocket_Data[[#This Row],[vr (m/s)]]^2)*Rocket_Data[[#This Row],[Area (m2)]]*Cd)</f>
        <v>-</v>
      </c>
      <c r="L40" s="4">
        <v>12</v>
      </c>
      <c r="M40" s="4" t="s">
        <v>204</v>
      </c>
      <c r="N40" s="32">
        <f>-g0*nzmaxq*SUM(E51:E55,E48,E39)</f>
        <v>-326.5104519006627</v>
      </c>
      <c r="O40" s="32">
        <f>O39+Table3[[#This Row],[Inertia Relief (N)]]</f>
        <v>-1564.8216999247795</v>
      </c>
      <c r="P40" s="32">
        <f>P39+(((N23)-(N24))*O39)+Table3[[#This Row],[Shear Load (N)]]</f>
        <v>680.63567155374881</v>
      </c>
      <c r="Q40" s="90">
        <f>Q39+(nmax*g0*SUM(E51:E55,E48,E39))</f>
        <v>77084.354190421902</v>
      </c>
    </row>
    <row r="41" spans="2:17">
      <c r="B41" s="18" t="s">
        <v>49</v>
      </c>
      <c r="C41" s="12" t="s">
        <v>90</v>
      </c>
      <c r="D41" s="19">
        <v>1.6452718738965699</v>
      </c>
      <c r="E41" s="19">
        <v>12.392652619582099</v>
      </c>
      <c r="F41" s="35">
        <v>5.9444889561762597</v>
      </c>
      <c r="G41" s="19">
        <f>$C$4*Rocket_Data[[#This Row],[Height (m)]]*2</f>
        <v>1.4807446865069129</v>
      </c>
      <c r="H41" s="19">
        <f>IF(Rocket_Data[[#This Row],[Ext or Int]]="E",9.5*(Rocket_Data[[#This Row],[CG (m)]]^0.2),"-")</f>
        <v>13.568958375001557</v>
      </c>
      <c r="I41" s="27">
        <f>IF(Rocket_Data[[#This Row],[vss (m/s)]]="-","-",SQRT(((1.25*Rocket_Data[[#This Row],[vss (m/s)]])^2)+((2.56*Rocket_Data[[#This Row],[vss (m/s)]])^2)))</f>
        <v>38.656293044777463</v>
      </c>
      <c r="J41" s="89">
        <f>IF(Rocket_Data[[#This Row],[vr (m/s)]]="-","-",(1/2)*rho*(Rocket_Data[[#This Row],[vr (m/s)]]^2)*Rocket_Data[[#This Row],[Area (m2)]]*Cd)</f>
        <v>1091.010001187874</v>
      </c>
      <c r="L41" s="4">
        <v>13</v>
      </c>
      <c r="M41" s="4" t="s">
        <v>205</v>
      </c>
      <c r="N41" s="29"/>
      <c r="O41" s="30">
        <f>O40+reqtrim</f>
        <v>0</v>
      </c>
      <c r="P41" s="32"/>
      <c r="Q41" s="30"/>
    </row>
    <row r="42" spans="2:17">
      <c r="B42" s="18" t="s">
        <v>50</v>
      </c>
      <c r="C42" s="12" t="s">
        <v>103</v>
      </c>
      <c r="D42" s="19">
        <v>0.22500000000000001</v>
      </c>
      <c r="E42" s="19">
        <v>1.12984238193703</v>
      </c>
      <c r="F42" s="35">
        <v>5.0263600533728301</v>
      </c>
      <c r="G42" s="19"/>
      <c r="H42" s="19" t="str">
        <f>IF(Rocket_Data[[#This Row],[Ext or Int]]="E",9.5*(Rocket_Data[[#This Row],[CG (m)]]^0.2),"-")</f>
        <v>-</v>
      </c>
      <c r="I42" s="27" t="str">
        <f>IF(Rocket_Data[[#This Row],[vss (m/s)]]="-","-",SQRT(((1.25*Rocket_Data[[#This Row],[vss (m/s)]])^2)+((2.56*Rocket_Data[[#This Row],[vss (m/s)]])^2)))</f>
        <v>-</v>
      </c>
      <c r="J42" s="89" t="str">
        <f>IF(Rocket_Data[[#This Row],[vr (m/s)]]="-","-",(1/2)*rho*(Rocket_Data[[#This Row],[vr (m/s)]]^2)*Rocket_Data[[#This Row],[Area (m2)]]*Cd)</f>
        <v>-</v>
      </c>
    </row>
    <row r="43" spans="2:17">
      <c r="B43" s="18" t="s">
        <v>51</v>
      </c>
      <c r="C43" s="12" t="s">
        <v>103</v>
      </c>
      <c r="D43" s="19">
        <v>2.0952718738965701</v>
      </c>
      <c r="E43" s="19">
        <v>0</v>
      </c>
      <c r="F43" s="35">
        <v>5.9444889561762597</v>
      </c>
      <c r="G43" s="19" t="s">
        <v>192</v>
      </c>
      <c r="H43" s="19" t="str">
        <f>IF(Rocket_Data[[#This Row],[Ext or Int]]="E",9.5*(Rocket_Data[[#This Row],[CG (m)]]^0.2),"-")</f>
        <v>-</v>
      </c>
      <c r="I43" s="27" t="str">
        <f>IF(Rocket_Data[[#This Row],[vss (m/s)]]="-","-",SQRT(((1.25*Rocket_Data[[#This Row],[vss (m/s)]])^2)+((2.56*Rocket_Data[[#This Row],[vss (m/s)]])^2)))</f>
        <v>-</v>
      </c>
      <c r="J43" s="89" t="str">
        <f>IF(Rocket_Data[[#This Row],[vr (m/s)]]="-","-",(1/2)*rho*(Rocket_Data[[#This Row],[vr (m/s)]]^2)*Rocket_Data[[#This Row],[Area (m2)]]*Cd)</f>
        <v>-</v>
      </c>
    </row>
    <row r="44" spans="2:17">
      <c r="B44" s="18" t="s">
        <v>52</v>
      </c>
      <c r="C44" s="12" t="s">
        <v>103</v>
      </c>
      <c r="D44" s="13" t="s">
        <v>194</v>
      </c>
      <c r="E44" s="19">
        <v>19.8004559235894</v>
      </c>
      <c r="F44" s="35">
        <v>0</v>
      </c>
      <c r="G44" s="19" t="s">
        <v>192</v>
      </c>
      <c r="H44" s="19" t="str">
        <f>IF(Rocket_Data[[#This Row],[Ext or Int]]="E",9.5*(Rocket_Data[[#This Row],[CG (m)]]^0.2),"-")</f>
        <v>-</v>
      </c>
      <c r="I44" s="27" t="str">
        <f>IF(Rocket_Data[[#This Row],[vss (m/s)]]="-","-",SQRT(((1.25*Rocket_Data[[#This Row],[vss (m/s)]])^2)+((2.56*Rocket_Data[[#This Row],[vss (m/s)]])^2)))</f>
        <v>-</v>
      </c>
      <c r="J44" s="89" t="str">
        <f>IF(Rocket_Data[[#This Row],[vr (m/s)]]="-","-",(1/2)*rho*(Rocket_Data[[#This Row],[vr (m/s)]]^2)*Rocket_Data[[#This Row],[Area (m2)]]*Cd)</f>
        <v>-</v>
      </c>
    </row>
    <row r="45" spans="2:17">
      <c r="B45" s="18" t="s">
        <v>53</v>
      </c>
      <c r="C45" s="12" t="s">
        <v>90</v>
      </c>
      <c r="D45" s="13">
        <v>0.67500000000000004</v>
      </c>
      <c r="E45" s="19">
        <v>25.7649867502532</v>
      </c>
      <c r="F45" s="35">
        <v>4.7843530192279697</v>
      </c>
      <c r="G45" s="19">
        <f>Rocket_Data[[#This Row],[Height (m)]]*$C$4*2</f>
        <v>0.60750000000000004</v>
      </c>
      <c r="H45" s="19">
        <f>IF(Rocket_Data[[#This Row],[Ext or Int]]="E",9.5*(Rocket_Data[[#This Row],[CG (m)]]^0.2),"-")</f>
        <v>12.992366071663398</v>
      </c>
      <c r="I45" s="27">
        <f>IF(Rocket_Data[[#This Row],[vss (m/s)]]="-","-",SQRT(((1.25*Rocket_Data[[#This Row],[vss (m/s)]])^2)+((2.56*Rocket_Data[[#This Row],[vss (m/s)]])^2)))</f>
        <v>37.013652509726029</v>
      </c>
      <c r="J45" s="89">
        <f>IF(Rocket_Data[[#This Row],[vr (m/s)]]="-","-",(1/2)*rho*(Rocket_Data[[#This Row],[vr (m/s)]]^2)*Rocket_Data[[#This Row],[Area (m2)]]*Cd)</f>
        <v>410.37255492563435</v>
      </c>
    </row>
    <row r="46" spans="2:17">
      <c r="B46" s="18" t="s">
        <v>54</v>
      </c>
      <c r="C46" s="12" t="s">
        <v>103</v>
      </c>
      <c r="D46" s="13">
        <v>0.22500000000000001</v>
      </c>
      <c r="E46" s="19">
        <v>1.0946098034163101</v>
      </c>
      <c r="F46" s="35">
        <v>4.5423459850830996</v>
      </c>
      <c r="G46" s="19"/>
      <c r="H46" s="19" t="str">
        <f>IF(Rocket_Data[[#This Row],[Ext or Int]]="E",9.5*(Rocket_Data[[#This Row],[CG (m)]]^0.2),"-")</f>
        <v>-</v>
      </c>
      <c r="I46" s="27" t="str">
        <f>IF(Rocket_Data[[#This Row],[vss (m/s)]]="-","-",SQRT(((1.25*Rocket_Data[[#This Row],[vss (m/s)]])^2)+((2.56*Rocket_Data[[#This Row],[vss (m/s)]])^2)))</f>
        <v>-</v>
      </c>
      <c r="J46" s="89" t="str">
        <f>IF(Rocket_Data[[#This Row],[vr (m/s)]]="-","-",(1/2)*rho*(Rocket_Data[[#This Row],[vr (m/s)]]^2)*Rocket_Data[[#This Row],[Area (m2)]]*Cd)</f>
        <v>-</v>
      </c>
    </row>
    <row r="47" spans="2:17">
      <c r="B47" s="18" t="s">
        <v>55</v>
      </c>
      <c r="C47" s="12" t="s">
        <v>90</v>
      </c>
      <c r="D47" s="19">
        <v>3.0968530192279702</v>
      </c>
      <c r="E47" s="19">
        <v>22.598971163908899</v>
      </c>
      <c r="F47" s="35">
        <v>2.8984265096139801</v>
      </c>
      <c r="G47" s="19">
        <f>$C$4*Rocket_Data[[#This Row],[Height (m)]]*2</f>
        <v>2.7871677173051732</v>
      </c>
      <c r="H47" s="19">
        <f>IF(Rocket_Data[[#This Row],[Ext or Int]]="E",9.5*(Rocket_Data[[#This Row],[CG (m)]]^0.2),"-")</f>
        <v>11.753198307992808</v>
      </c>
      <c r="I47" s="27">
        <f>IF(Rocket_Data[[#This Row],[vss (m/s)]]="-","-",SQRT(((1.25*Rocket_Data[[#This Row],[vss (m/s)]])^2)+((2.56*Rocket_Data[[#This Row],[vss (m/s)]])^2)))</f>
        <v>33.48341600370636</v>
      </c>
      <c r="J47" s="89">
        <f>IF(Rocket_Data[[#This Row],[vr (m/s)]]="-","-",(1/2)*rho*(Rocket_Data[[#This Row],[vr (m/s)]]^2)*Rocket_Data[[#This Row],[Area (m2)]]*Cd)</f>
        <v>1540.7449728810595</v>
      </c>
    </row>
    <row r="48" spans="2:17">
      <c r="B48" s="18" t="s">
        <v>56</v>
      </c>
      <c r="C48" s="12" t="s">
        <v>103</v>
      </c>
      <c r="D48" s="19">
        <v>0.22500000000000001</v>
      </c>
      <c r="E48" s="19">
        <v>1.0946098034163101</v>
      </c>
      <c r="F48" s="35">
        <v>1.2545070341448601</v>
      </c>
      <c r="G48" s="19"/>
      <c r="H48" s="19" t="str">
        <f>IF(Rocket_Data[[#This Row],[Ext or Int]]="E",9.5*(Rocket_Data[[#This Row],[CG (m)]]^0.2),"-")</f>
        <v>-</v>
      </c>
      <c r="I48" s="27" t="str">
        <f>IF(Rocket_Data[[#This Row],[vss (m/s)]]="-","-",SQRT(((1.25*Rocket_Data[[#This Row],[vss (m/s)]])^2)+((2.56*Rocket_Data[[#This Row],[vss (m/s)]])^2)))</f>
        <v>-</v>
      </c>
      <c r="J48" s="89" t="str">
        <f>IF(Rocket_Data[[#This Row],[vr (m/s)]]="-","-",(1/2)*rho*(Rocket_Data[[#This Row],[vr (m/s)]]^2)*Rocket_Data[[#This Row],[Area (m2)]]*Cd)</f>
        <v>-</v>
      </c>
    </row>
    <row r="49" spans="2:13" ht="15" customHeight="1">
      <c r="B49" s="18" t="s">
        <v>57</v>
      </c>
      <c r="C49" s="12" t="s">
        <v>103</v>
      </c>
      <c r="D49" s="19">
        <v>3.5468530192279699</v>
      </c>
      <c r="E49" s="19">
        <v>11.8052027027455</v>
      </c>
      <c r="F49" s="35">
        <v>2.8984265096139801</v>
      </c>
      <c r="G49" s="19"/>
      <c r="H49" s="19" t="str">
        <f>IF(Rocket_Data[[#This Row],[Ext or Int]]="E",9.5*(Rocket_Data[[#This Row],[CG (m)]]^0.2),"-")</f>
        <v>-</v>
      </c>
      <c r="I49" s="27" t="str">
        <f>IF(Rocket_Data[[#This Row],[vss (m/s)]]="-","-",SQRT(((1.25*Rocket_Data[[#This Row],[vss (m/s)]])^2)+((2.56*Rocket_Data[[#This Row],[vss (m/s)]])^2)))</f>
        <v>-</v>
      </c>
      <c r="J49" s="89" t="str">
        <f>IF(Rocket_Data[[#This Row],[vr (m/s)]]="-","-",(1/2)*rho*(Rocket_Data[[#This Row],[vr (m/s)]]^2)*Rocket_Data[[#This Row],[Area (m2)]]*Cd)</f>
        <v>-</v>
      </c>
    </row>
    <row r="50" spans="2:13">
      <c r="B50" s="18" t="s">
        <v>58</v>
      </c>
      <c r="C50" s="12" t="s">
        <v>103</v>
      </c>
      <c r="D50" s="13" t="s">
        <v>194</v>
      </c>
      <c r="E50" s="19">
        <v>46.3330668611992</v>
      </c>
      <c r="F50" s="35">
        <v>0</v>
      </c>
      <c r="G50" s="19" t="s">
        <v>192</v>
      </c>
      <c r="H50" s="19" t="str">
        <f>IF(Rocket_Data[[#This Row],[Ext or Int]]="E",9.5*(Rocket_Data[[#This Row],[CG (m)]]^0.2),"-")</f>
        <v>-</v>
      </c>
      <c r="I50" s="27" t="str">
        <f>IF(Rocket_Data[[#This Row],[vss (m/s)]]="-","-",SQRT(((1.25*Rocket_Data[[#This Row],[vss (m/s)]])^2)+((2.56*Rocket_Data[[#This Row],[vss (m/s)]])^2)))</f>
        <v>-</v>
      </c>
      <c r="J50" s="89" t="str">
        <f>IF(Rocket_Data[[#This Row],[vr (m/s)]]="-","-",(1/2)*rho*(Rocket_Data[[#This Row],[vr (m/s)]]^2)*Rocket_Data[[#This Row],[Area (m2)]]*Cd)</f>
        <v>-</v>
      </c>
    </row>
    <row r="51" spans="2:13">
      <c r="B51" s="18" t="s">
        <v>59</v>
      </c>
      <c r="C51" s="12"/>
      <c r="D51" s="13">
        <v>0.44977909418564999</v>
      </c>
      <c r="E51" s="19">
        <v>12.4330617308014</v>
      </c>
      <c r="F51" s="35">
        <v>2.8984265096139801</v>
      </c>
      <c r="G51" s="19"/>
      <c r="H51" s="19" t="str">
        <f>IF(Rocket_Data[[#This Row],[Ext or Int]]="E",9.5*(Rocket_Data[[#This Row],[CG (m)]]^0.2),"-")</f>
        <v>-</v>
      </c>
      <c r="I51" s="27" t="str">
        <f>IF(Rocket_Data[[#This Row],[vss (m/s)]]="-","-",SQRT(((1.25*Rocket_Data[[#This Row],[vss (m/s)]])^2)+((2.56*Rocket_Data[[#This Row],[vss (m/s)]])^2)))</f>
        <v>-</v>
      </c>
      <c r="J51" s="89" t="str">
        <f>IF(Rocket_Data[[#This Row],[vr (m/s)]]="-","-",(1/2)*rho*(Rocket_Data[[#This Row],[vr (m/s)]]^2)*Rocket_Data[[#This Row],[Area (m2)]]*Cd)</f>
        <v>-</v>
      </c>
    </row>
    <row r="52" spans="2:13">
      <c r="B52" s="18" t="s">
        <v>60</v>
      </c>
      <c r="C52" s="12" t="s">
        <v>90</v>
      </c>
      <c r="D52" s="13">
        <v>0.9</v>
      </c>
      <c r="E52" s="19">
        <v>34.353315667004303</v>
      </c>
      <c r="F52" s="35">
        <v>0.45</v>
      </c>
      <c r="G52" s="19">
        <f>Rocket_Data[[#This Row],[Height (m)]]*$C$4*2</f>
        <v>0.81</v>
      </c>
      <c r="H52" s="19">
        <f>IF(Rocket_Data[[#This Row],[Ext or Int]]="E",9.5*(Rocket_Data[[#This Row],[CG (m)]]^0.2),"-")</f>
        <v>8.0977825048363457</v>
      </c>
      <c r="I52" s="27">
        <f>IF(Rocket_Data[[#This Row],[vss (m/s)]]="-","-",SQRT(((1.25*Rocket_Data[[#This Row],[vss (m/s)]])^2)+((2.56*Rocket_Data[[#This Row],[vss (m/s)]])^2)))</f>
        <v>23.069586100030314</v>
      </c>
      <c r="J52" s="89">
        <f>IF(Rocket_Data[[#This Row],[vr (m/s)]]="-","-",(1/2)*rho*(Rocket_Data[[#This Row],[vr (m/s)]]^2)*Rocket_Data[[#This Row],[Area (m2)]]*Cd)</f>
        <v>212.555703768461</v>
      </c>
    </row>
    <row r="53" spans="2:13">
      <c r="B53" s="18" t="s">
        <v>61</v>
      </c>
      <c r="C53" s="12" t="s">
        <v>103</v>
      </c>
      <c r="D53" s="13">
        <v>0.45</v>
      </c>
      <c r="E53" s="19">
        <v>16.1993323728957</v>
      </c>
      <c r="F53" s="35">
        <v>0.22500000000000001</v>
      </c>
      <c r="G53" s="19" t="s">
        <v>192</v>
      </c>
      <c r="H53" s="19" t="str">
        <f>IF(Rocket_Data[[#This Row],[Ext or Int]]="E",9.5*(Rocket_Data[[#This Row],[CG (m)]]^0.2),"-")</f>
        <v>-</v>
      </c>
      <c r="I53" s="27" t="str">
        <f>IF(Rocket_Data[[#This Row],[vss (m/s)]]="-","-",SQRT(((1.25*Rocket_Data[[#This Row],[vss (m/s)]])^2)+((2.56*Rocket_Data[[#This Row],[vss (m/s)]])^2)))</f>
        <v>-</v>
      </c>
      <c r="J53" s="89" t="str">
        <f>IF(Rocket_Data[[#This Row],[vr (m/s)]]="-","-",(1/2)*rho*(Rocket_Data[[#This Row],[vr (m/s)]]^2)*Rocket_Data[[#This Row],[Area (m2)]]*Cd)</f>
        <v>-</v>
      </c>
    </row>
    <row r="54" spans="2:13">
      <c r="B54" s="18" t="s">
        <v>62</v>
      </c>
      <c r="C54" s="12" t="s">
        <v>103</v>
      </c>
      <c r="D54" s="13" t="s">
        <v>194</v>
      </c>
      <c r="E54" s="19">
        <v>2.1324825041812199</v>
      </c>
      <c r="F54" s="35">
        <v>1.26512074848753</v>
      </c>
      <c r="G54" s="19" t="s">
        <v>192</v>
      </c>
      <c r="H54" s="19" t="str">
        <f>IF(Rocket_Data[[#This Row],[Ext or Int]]="E",9.5*(Rocket_Data[[#This Row],[CG (m)]]^0.2),"-")</f>
        <v>-</v>
      </c>
      <c r="I54" s="27" t="str">
        <f>IF(Rocket_Data[[#This Row],[vss (m/s)]]="-","-",SQRT(((1.25*Rocket_Data[[#This Row],[vss (m/s)]])^2)+((2.56*Rocket_Data[[#This Row],[vss (m/s)]])^2)))</f>
        <v>-</v>
      </c>
      <c r="J54" s="89" t="str">
        <f>IF(Rocket_Data[[#This Row],[vr (m/s)]]="-","-",(1/2)*rho*(Rocket_Data[[#This Row],[vr (m/s)]]^2)*Rocket_Data[[#This Row],[Area (m2)]]*Cd)</f>
        <v>-</v>
      </c>
    </row>
    <row r="55" spans="2:13">
      <c r="B55" s="18" t="s">
        <v>63</v>
      </c>
      <c r="C55" s="12" t="s">
        <v>90</v>
      </c>
      <c r="D55" s="19">
        <v>1.26512074848753</v>
      </c>
      <c r="E55" s="19">
        <v>118.655916209132</v>
      </c>
      <c r="F55" s="35">
        <v>0.1125</v>
      </c>
      <c r="G55" s="27" t="s">
        <v>192</v>
      </c>
      <c r="H55" s="98" t="s">
        <v>192</v>
      </c>
      <c r="I55" s="27" t="str">
        <f>IF(Rocket_Data[[#This Row],[vss (m/s)]]="-","-",SQRT(((1.25*Rocket_Data[[#This Row],[vss (m/s)]])^2)+((2.56*Rocket_Data[[#This Row],[vss (m/s)]])^2)))</f>
        <v>-</v>
      </c>
      <c r="J55" s="89" t="str">
        <f>IF(Rocket_Data[[#This Row],[vr (m/s)]]="-","-",(1/2)*rho*(Rocket_Data[[#This Row],[vr (m/s)]]^2)*Rocket_Data[[#This Row],[Area (m2)]]*Cd)</f>
        <v>-</v>
      </c>
    </row>
    <row r="56" spans="2:13">
      <c r="B56" s="12" t="s">
        <v>64</v>
      </c>
      <c r="C56" s="12" t="s">
        <v>103</v>
      </c>
      <c r="D56" s="19">
        <v>2.0952718738965701</v>
      </c>
      <c r="E56" s="19">
        <v>996.90045590385103</v>
      </c>
      <c r="F56" s="35">
        <v>5.9444889561762597</v>
      </c>
      <c r="G56" s="27"/>
      <c r="H56" s="19" t="str">
        <f>IF(Rocket_Data[[#This Row],[Ext or Int]]="E",9.5*(Rocket_Data[[#This Row],[CG (m)]]^0.2),"-")</f>
        <v>-</v>
      </c>
      <c r="I56" s="27" t="str">
        <f>IF(Rocket_Data[[#This Row],[vss (m/s)]]="-","-",SQRT(((1.25*Rocket_Data[[#This Row],[vss (m/s)]])^2)+((2.56*Rocket_Data[[#This Row],[vss (m/s)]])^2)))</f>
        <v>-</v>
      </c>
      <c r="J56" s="27" t="str">
        <f>IF(Rocket_Data[[#This Row],[vr (m/s)]]="-","-",(1/2)*rho*(Rocket_Data[[#This Row],[vr (m/s)]]^2)*Rocket_Data[[#This Row],[Area (m2)]]*Cd)</f>
        <v>-</v>
      </c>
    </row>
    <row r="57" spans="2:13">
      <c r="B57" s="12" t="s">
        <v>65</v>
      </c>
      <c r="C57" s="12" t="s">
        <v>103</v>
      </c>
      <c r="D57" s="19">
        <v>3.5468530192279699</v>
      </c>
      <c r="E57" s="19">
        <v>2332.7470668150099</v>
      </c>
      <c r="F57" s="35">
        <v>2.8984265096139801</v>
      </c>
      <c r="G57" s="27"/>
      <c r="H57" s="19" t="str">
        <f>IF(Rocket_Data[[#This Row],[Ext or Int]]="E",9.5*(Rocket_Data[[#This Row],[CG (m)]]^0.2),"-")</f>
        <v>-</v>
      </c>
      <c r="I57" s="27" t="str">
        <f>IF(Rocket_Data[[#This Row],[vss (m/s)]]="-","-",SQRT(((1.25*Rocket_Data[[#This Row],[vss (m/s)]])^2)+((2.56*Rocket_Data[[#This Row],[vss (m/s)]])^2)))</f>
        <v>-</v>
      </c>
      <c r="J57" s="27" t="str">
        <f>IF(Rocket_Data[[#This Row],[vr (m/s)]]="-","-",(1/2)*rho*(Rocket_Data[[#This Row],[vr (m/s)]]^2)*Rocket_Data[[#This Row],[Area (m2)]]*Cd)</f>
        <v>-</v>
      </c>
    </row>
    <row r="58" spans="2:13" ht="15.75" thickBot="1"/>
    <row r="59" spans="2:13" ht="15.75" thickBot="1">
      <c r="B59" s="96"/>
      <c r="C59" s="96"/>
      <c r="D59" s="4"/>
      <c r="I59" s="150" t="s">
        <v>71</v>
      </c>
      <c r="J59" s="153"/>
    </row>
    <row r="60" spans="2:13" ht="18">
      <c r="B60" s="96"/>
      <c r="C60" s="96"/>
      <c r="D60" s="4"/>
      <c r="I60" s="74" t="s">
        <v>76</v>
      </c>
      <c r="J60" s="92">
        <f>mass1</f>
        <v>5122.651731232304</v>
      </c>
    </row>
    <row r="61" spans="2:13" ht="18">
      <c r="B61" s="96"/>
      <c r="C61" s="96"/>
      <c r="D61" s="4"/>
      <c r="I61" s="75" t="s">
        <v>82</v>
      </c>
      <c r="J61" s="93">
        <f>massmaxq</f>
        <v>3378.5877123197542</v>
      </c>
    </row>
    <row r="62" spans="2:13" ht="18">
      <c r="B62" s="96"/>
      <c r="C62" s="96"/>
      <c r="D62" s="4"/>
      <c r="I62" s="75" t="s">
        <v>88</v>
      </c>
      <c r="J62" s="93">
        <f>J60-J61</f>
        <v>1744.0640189125497</v>
      </c>
    </row>
    <row r="63" spans="2:13" ht="18">
      <c r="I63" s="75" t="s">
        <v>95</v>
      </c>
      <c r="J63" s="93">
        <f>SUM(E56:E57)</f>
        <v>3329.6475227188612</v>
      </c>
    </row>
    <row r="64" spans="2:13" ht="18">
      <c r="I64" s="75" t="s">
        <v>101</v>
      </c>
      <c r="J64" s="93">
        <f>J63-J62</f>
        <v>1585.5835038063115</v>
      </c>
      <c r="L64" t="s">
        <v>212</v>
      </c>
      <c r="M64">
        <v>2.34</v>
      </c>
    </row>
    <row r="65" spans="6:10">
      <c r="I65" s="75" t="s">
        <v>106</v>
      </c>
      <c r="J65" s="28">
        <f>1-J66</f>
        <v>0.29940119760479045</v>
      </c>
    </row>
    <row r="66" spans="6:10">
      <c r="I66" s="75" t="s">
        <v>111</v>
      </c>
      <c r="J66" s="28">
        <f>(M64)/(M64+1)</f>
        <v>0.70059880239520955</v>
      </c>
    </row>
    <row r="67" spans="6:10" ht="18">
      <c r="I67" s="76" t="s">
        <v>115</v>
      </c>
      <c r="J67" s="93">
        <f>J65*J62</f>
        <v>522.17485596184133</v>
      </c>
    </row>
    <row r="68" spans="6:10" ht="18">
      <c r="I68" s="76" t="s">
        <v>117</v>
      </c>
      <c r="J68" s="93">
        <f>J66*J62</f>
        <v>1221.8891629507084</v>
      </c>
    </row>
    <row r="69" spans="6:10" ht="18">
      <c r="I69" s="76" t="s">
        <v>119</v>
      </c>
      <c r="J69" s="93">
        <f>(J64*J65)</f>
        <v>474.72559994200947</v>
      </c>
    </row>
    <row r="70" spans="6:10" ht="18">
      <c r="I70" s="76" t="s">
        <v>122</v>
      </c>
      <c r="J70" s="93">
        <f>(J64*J66)</f>
        <v>1110.857903864302</v>
      </c>
    </row>
    <row r="71" spans="6:10" ht="18.75">
      <c r="I71" s="75" t="s">
        <v>125</v>
      </c>
      <c r="J71" s="91">
        <f>J62/timemaxq</f>
        <v>26.83175413711615</v>
      </c>
    </row>
    <row r="72" spans="6:10" ht="18.75" thickBot="1">
      <c r="F72" s="97"/>
      <c r="G72" s="97"/>
      <c r="I72" s="94" t="s">
        <v>128</v>
      </c>
      <c r="J72" s="95">
        <f>'HW9 - CM and J0'!G51</f>
        <v>6.6979102125328689</v>
      </c>
    </row>
    <row r="73" spans="6:10">
      <c r="F73" s="97"/>
      <c r="G73" s="97"/>
    </row>
    <row r="74" spans="6:10">
      <c r="F74" s="97"/>
      <c r="G74" s="97"/>
    </row>
    <row r="75" spans="6:10">
      <c r="F75" s="97"/>
      <c r="G75" s="97"/>
    </row>
    <row r="76" spans="6:10">
      <c r="F76" s="97"/>
      <c r="G76" s="97"/>
    </row>
    <row r="77" spans="6:10">
      <c r="F77" s="97"/>
      <c r="G77" s="97"/>
    </row>
  </sheetData>
  <mergeCells count="16">
    <mergeCell ref="L27:Q27"/>
    <mergeCell ref="AD11:AN11"/>
    <mergeCell ref="B11:J11"/>
    <mergeCell ref="I59:J59"/>
    <mergeCell ref="O2:P2"/>
    <mergeCell ref="S11:AC11"/>
    <mergeCell ref="L11:Q11"/>
    <mergeCell ref="W2:X2"/>
    <mergeCell ref="Z2:AA2"/>
    <mergeCell ref="AC2:AD2"/>
    <mergeCell ref="AF2:AG2"/>
    <mergeCell ref="AO11:AY11"/>
    <mergeCell ref="S31:AC31"/>
    <mergeCell ref="AD31:AN31"/>
    <mergeCell ref="AO31:AY31"/>
    <mergeCell ref="AI2:AJ2"/>
  </mergeCells>
  <phoneticPr fontId="2" type="noConversion"/>
  <pageMargins left="0.7" right="0.7" top="0.75" bottom="0.75" header="0.3" footer="0.3"/>
  <pageSetup orientation="portrait" r:id="rId1"/>
  <ignoredErrors>
    <ignoredError sqref="Q29 P14:P15 P20:P24" calculatedColumn="1"/>
    <ignoredError sqref="N30" formulaRange="1"/>
  </ignoredErrors>
  <drawing r:id="rId2"/>
  <tableParts count="3">
    <tablePart r:id="rId3"/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9D1A9-3E2B-44DD-A922-F44B8817F973}">
  <dimension ref="A1:N69"/>
  <sheetViews>
    <sheetView topLeftCell="A28" zoomScaleNormal="100" workbookViewId="0">
      <selection activeCell="C48" sqref="C48:C49"/>
    </sheetView>
  </sheetViews>
  <sheetFormatPr defaultRowHeight="15"/>
  <cols>
    <col min="1" max="1" width="11.28515625" bestFit="1" customWidth="1"/>
    <col min="2" max="2" width="23.5703125" bestFit="1" customWidth="1"/>
    <col min="3" max="3" width="9.140625" bestFit="1" customWidth="1"/>
    <col min="4" max="4" width="12" bestFit="1" customWidth="1"/>
    <col min="5" max="5" width="14.7109375" bestFit="1" customWidth="1"/>
    <col min="6" max="6" width="16.5703125" bestFit="1" customWidth="1"/>
    <col min="7" max="7" width="15.5703125" bestFit="1" customWidth="1"/>
    <col min="8" max="8" width="18.42578125" bestFit="1" customWidth="1"/>
    <col min="9" max="9" width="16.5703125" customWidth="1"/>
    <col min="10" max="10" width="12" bestFit="1" customWidth="1"/>
    <col min="11" max="11" width="10.5703125" bestFit="1" customWidth="1"/>
    <col min="12" max="12" width="12.85546875" bestFit="1" customWidth="1"/>
    <col min="13" max="13" width="7" bestFit="1" customWidth="1"/>
  </cols>
  <sheetData>
    <row r="1" spans="1:14">
      <c r="A1" t="s">
        <v>0</v>
      </c>
      <c r="C1">
        <v>0.55000000000000004</v>
      </c>
      <c r="D1" t="s">
        <v>1</v>
      </c>
      <c r="E1">
        <f>C5+C8+C16+C23+C12+C18</f>
        <v>4.1328186248042638</v>
      </c>
      <c r="F1" t="s">
        <v>2</v>
      </c>
      <c r="G1">
        <f>SUM(E1:E2)</f>
        <v>11.319473799669456</v>
      </c>
    </row>
    <row r="2" spans="1:14">
      <c r="A2" t="s">
        <v>3</v>
      </c>
      <c r="C2">
        <v>0.82</v>
      </c>
      <c r="D2" t="s">
        <v>4</v>
      </c>
      <c r="E2">
        <f>C44+C39+C37+C33+C29</f>
        <v>7.1866551748651926</v>
      </c>
    </row>
    <row r="4" spans="1:14">
      <c r="A4" t="s">
        <v>5</v>
      </c>
      <c r="B4" t="s">
        <v>6</v>
      </c>
      <c r="C4" t="s">
        <v>7</v>
      </c>
      <c r="D4" t="s">
        <v>8</v>
      </c>
      <c r="E4" t="s">
        <v>9</v>
      </c>
      <c r="F4" t="s">
        <v>10</v>
      </c>
      <c r="G4" t="s">
        <v>11</v>
      </c>
      <c r="H4" t="s">
        <v>12</v>
      </c>
      <c r="I4" t="s">
        <v>13</v>
      </c>
      <c r="J4" t="s">
        <v>14</v>
      </c>
      <c r="K4" t="s">
        <v>15</v>
      </c>
      <c r="L4" t="s">
        <v>16</v>
      </c>
    </row>
    <row r="5" spans="1:14">
      <c r="A5">
        <v>0</v>
      </c>
      <c r="B5" s="49" t="s">
        <v>21</v>
      </c>
      <c r="C5" s="50">
        <v>1.36</v>
      </c>
      <c r="D5" s="49">
        <v>36.217819743571503</v>
      </c>
      <c r="E5" s="49">
        <v>11.3949194273585</v>
      </c>
      <c r="F5" s="49">
        <v>412.69913781259299</v>
      </c>
      <c r="G5" s="51">
        <v>5.0000000000000001E-3</v>
      </c>
      <c r="H5" s="49">
        <v>4.9054249093220603</v>
      </c>
      <c r="I5" s="49">
        <v>5.5551093132799698</v>
      </c>
      <c r="J5" s="49">
        <v>871.51640612251697</v>
      </c>
      <c r="K5" s="49">
        <v>876.42183103183902</v>
      </c>
      <c r="L5" s="49">
        <v>7.3341084980732401</v>
      </c>
      <c r="N5">
        <f>E5-K69</f>
        <v>7.2909194273585003</v>
      </c>
    </row>
    <row r="6" spans="1:14">
      <c r="A6">
        <v>1</v>
      </c>
      <c r="B6" s="49" t="s">
        <v>22</v>
      </c>
      <c r="C6" s="50">
        <v>1.36</v>
      </c>
      <c r="D6" s="49">
        <v>30</v>
      </c>
      <c r="E6" s="49">
        <v>11.089473799669401</v>
      </c>
      <c r="F6" s="49">
        <v>332.684213990084</v>
      </c>
      <c r="G6" s="51">
        <v>0</v>
      </c>
      <c r="H6" s="49">
        <v>4.5999792816329697</v>
      </c>
      <c r="I6" s="49">
        <v>4.6239999999999997</v>
      </c>
      <c r="J6" s="49">
        <v>634.79428174357804</v>
      </c>
      <c r="K6" s="49">
        <v>639.39426102521099</v>
      </c>
      <c r="L6" s="49">
        <v>6.0750000000000002</v>
      </c>
    </row>
    <row r="7" spans="1:14">
      <c r="A7">
        <v>2</v>
      </c>
      <c r="B7" s="49" t="s">
        <v>23</v>
      </c>
      <c r="C7" s="50" t="s">
        <v>194</v>
      </c>
      <c r="D7" s="49">
        <v>19.5</v>
      </c>
      <c r="E7" s="49">
        <v>10.8594737996694</v>
      </c>
      <c r="F7" s="49">
        <v>211.759739093554</v>
      </c>
      <c r="G7" s="51">
        <v>0</v>
      </c>
      <c r="H7" s="49">
        <v>4.3699792816329701</v>
      </c>
      <c r="I7" s="49">
        <v>1.974375</v>
      </c>
      <c r="J7" s="49">
        <v>372.38601897707798</v>
      </c>
      <c r="K7" s="49">
        <v>376.75599825871097</v>
      </c>
      <c r="L7" s="49">
        <v>3.94875</v>
      </c>
    </row>
    <row r="8" spans="1:14">
      <c r="A8">
        <v>3</v>
      </c>
      <c r="B8" s="52" t="s">
        <v>24</v>
      </c>
      <c r="C8" s="53">
        <v>0.52500000000000002</v>
      </c>
      <c r="D8" s="52">
        <v>20.8558555299375</v>
      </c>
      <c r="E8" s="52">
        <v>10.596973799669399</v>
      </c>
      <c r="F8" s="52">
        <v>221.008954620439</v>
      </c>
      <c r="G8" s="54">
        <v>5.0000000000000001E-3</v>
      </c>
      <c r="H8" s="52">
        <v>4.1074792816329699</v>
      </c>
      <c r="I8" s="52">
        <v>2.59068830410942</v>
      </c>
      <c r="J8" s="52">
        <v>351.86719002866801</v>
      </c>
      <c r="K8" s="52">
        <v>355.97466931029999</v>
      </c>
      <c r="L8" s="52">
        <v>4.2233107448123501</v>
      </c>
    </row>
    <row r="9" spans="1:14">
      <c r="A9">
        <v>4</v>
      </c>
      <c r="B9" s="52" t="s">
        <v>25</v>
      </c>
      <c r="C9" s="53" t="s">
        <v>194</v>
      </c>
      <c r="D9" s="52">
        <v>12.485956757039199</v>
      </c>
      <c r="E9" s="52">
        <v>10.596973799669399</v>
      </c>
      <c r="F9" s="52">
        <v>132.313356618151</v>
      </c>
      <c r="G9" s="54">
        <v>0</v>
      </c>
      <c r="H9" s="52">
        <v>4.1074792816329699</v>
      </c>
      <c r="I9" s="52">
        <v>1.2642031216502201</v>
      </c>
      <c r="J9" s="52">
        <v>210.65539663967999</v>
      </c>
      <c r="K9" s="52">
        <v>214.762875921313</v>
      </c>
      <c r="L9" s="52">
        <v>2.5284062433004499</v>
      </c>
    </row>
    <row r="10" spans="1:14">
      <c r="A10">
        <v>5</v>
      </c>
      <c r="B10" s="52" t="s">
        <v>26</v>
      </c>
      <c r="C10" s="53">
        <v>0.69320465620106597</v>
      </c>
      <c r="D10" s="52">
        <v>45.061518298581497</v>
      </c>
      <c r="E10" s="52">
        <v>0</v>
      </c>
      <c r="F10" s="52">
        <v>0</v>
      </c>
      <c r="G10" s="54">
        <v>0</v>
      </c>
      <c r="H10" s="52">
        <v>0</v>
      </c>
      <c r="I10" s="52">
        <v>4.5624787277313796</v>
      </c>
      <c r="J10" s="52">
        <v>0</v>
      </c>
      <c r="K10" s="52">
        <v>0</v>
      </c>
      <c r="L10" s="52">
        <v>9.1249574554627593</v>
      </c>
    </row>
    <row r="11" spans="1:14">
      <c r="A11">
        <v>6</v>
      </c>
      <c r="B11" s="52" t="s">
        <v>27</v>
      </c>
      <c r="C11" s="99">
        <v>0.22500000000000001</v>
      </c>
      <c r="D11" s="52">
        <v>12.336295138177199</v>
      </c>
      <c r="E11" s="52">
        <v>10.4299667655246</v>
      </c>
      <c r="F11" s="52">
        <v>128.66714830089199</v>
      </c>
      <c r="G11" s="53">
        <v>5.0000000000000001E-3</v>
      </c>
      <c r="H11" s="100">
        <v>3.9404722474881102</v>
      </c>
      <c r="I11" s="100">
        <v>2.4980997654808998</v>
      </c>
      <c r="J11" s="100">
        <v>191.54962113922599</v>
      </c>
      <c r="K11" s="100">
        <v>195.49009338671499</v>
      </c>
      <c r="L11" s="52">
        <v>2.4980997654808998</v>
      </c>
    </row>
    <row r="12" spans="1:14">
      <c r="A12">
        <v>7</v>
      </c>
      <c r="B12" s="52" t="s">
        <v>28</v>
      </c>
      <c r="C12" s="53">
        <v>0.28085796757168902</v>
      </c>
      <c r="D12" s="52">
        <v>11.1572060878229</v>
      </c>
      <c r="E12" s="52">
        <v>10.194044815883601</v>
      </c>
      <c r="F12" s="52">
        <v>113.737058879316</v>
      </c>
      <c r="G12" s="54">
        <v>5.0000000000000001E-3</v>
      </c>
      <c r="H12" s="52">
        <v>3.7045502978471201</v>
      </c>
      <c r="I12" s="52">
        <v>1.20300826488922</v>
      </c>
      <c r="J12" s="52">
        <v>153.11807007482301</v>
      </c>
      <c r="K12" s="52">
        <v>156.82262037267</v>
      </c>
      <c r="L12" s="52">
        <v>2.2593342327841399</v>
      </c>
      <c r="N12">
        <f>E12-K69</f>
        <v>6.0900448158836005</v>
      </c>
    </row>
    <row r="13" spans="1:14">
      <c r="A13">
        <v>8</v>
      </c>
      <c r="B13" s="52" t="s">
        <v>29</v>
      </c>
      <c r="C13" s="99">
        <v>0.22500000000000001</v>
      </c>
      <c r="D13" s="52">
        <v>12.336295138177199</v>
      </c>
      <c r="E13" s="52">
        <v>9.9581228662426398</v>
      </c>
      <c r="F13" s="52">
        <v>122.84634270020101</v>
      </c>
      <c r="G13" s="53">
        <v>5.0000000000000001E-3</v>
      </c>
      <c r="H13" s="100">
        <v>3.4686283482061402</v>
      </c>
      <c r="I13" s="100">
        <v>2.4980997654808998</v>
      </c>
      <c r="J13" s="100">
        <v>148.42268689572799</v>
      </c>
      <c r="K13" s="100">
        <v>151.891315243935</v>
      </c>
      <c r="L13" s="52">
        <v>2.4980997654808998</v>
      </c>
    </row>
    <row r="14" spans="1:14">
      <c r="A14">
        <v>9</v>
      </c>
      <c r="B14" s="52" t="s">
        <v>30</v>
      </c>
      <c r="C14" s="53">
        <v>0.73085796757168997</v>
      </c>
      <c r="D14" s="52">
        <v>0</v>
      </c>
      <c r="E14" s="52">
        <v>10.194044815883601</v>
      </c>
      <c r="F14" s="52">
        <v>0</v>
      </c>
      <c r="G14" s="54">
        <v>0</v>
      </c>
      <c r="H14" s="52">
        <v>3.7045502978471201</v>
      </c>
      <c r="I14" s="52">
        <v>0</v>
      </c>
      <c r="J14" s="52">
        <v>0</v>
      </c>
      <c r="K14" s="52">
        <v>3.7045502978471201</v>
      </c>
      <c r="L14" s="52">
        <v>0</v>
      </c>
    </row>
    <row r="15" spans="1:14">
      <c r="A15">
        <v>10</v>
      </c>
      <c r="B15" s="52" t="s">
        <v>31</v>
      </c>
      <c r="C15" s="53" t="s">
        <v>194</v>
      </c>
      <c r="D15" s="52">
        <v>5.9124139607955097</v>
      </c>
      <c r="E15" s="52">
        <v>9.9411158320977808</v>
      </c>
      <c r="F15" s="52">
        <v>58.775992031580202</v>
      </c>
      <c r="G15" s="54">
        <v>0</v>
      </c>
      <c r="H15" s="52">
        <v>3.4516213140612799</v>
      </c>
      <c r="I15" s="52">
        <v>0</v>
      </c>
      <c r="J15" s="52">
        <v>70.438665281336696</v>
      </c>
      <c r="K15" s="52">
        <v>73.890286595397995</v>
      </c>
      <c r="L15" s="52">
        <v>0</v>
      </c>
    </row>
    <row r="16" spans="1:14">
      <c r="A16">
        <v>11</v>
      </c>
      <c r="B16" s="52" t="s">
        <v>32</v>
      </c>
      <c r="C16" s="53">
        <v>0.67500000000000004</v>
      </c>
      <c r="D16" s="52">
        <v>26.814671395633901</v>
      </c>
      <c r="E16" s="52">
        <v>9.7161158320977794</v>
      </c>
      <c r="F16" s="52">
        <v>260.53445327961799</v>
      </c>
      <c r="G16" s="54">
        <v>5.0000000000000001E-3</v>
      </c>
      <c r="H16" s="52">
        <v>3.2266213140612798</v>
      </c>
      <c r="I16" s="52">
        <v>3.7331050333609102</v>
      </c>
      <c r="J16" s="52">
        <v>279.169825945247</v>
      </c>
      <c r="K16" s="52">
        <v>282.39644725930799</v>
      </c>
      <c r="L16" s="52">
        <v>5.4299709576158799</v>
      </c>
    </row>
    <row r="17" spans="1:12">
      <c r="A17">
        <v>12</v>
      </c>
      <c r="B17" s="52" t="s">
        <v>33</v>
      </c>
      <c r="C17" s="99">
        <v>0.22500000000000001</v>
      </c>
      <c r="D17" s="52">
        <v>12.2923937319916</v>
      </c>
      <c r="E17" s="52">
        <v>9.4741087979529208</v>
      </c>
      <c r="F17" s="52">
        <v>116.459475604163</v>
      </c>
      <c r="G17" s="53">
        <v>5.0000000000000001E-3</v>
      </c>
      <c r="H17" s="100">
        <v>2.9846142799164199</v>
      </c>
      <c r="I17" s="100">
        <v>2.4892097307282999</v>
      </c>
      <c r="J17" s="100">
        <v>109.499689473365</v>
      </c>
      <c r="K17" s="100">
        <v>112.484303753281</v>
      </c>
      <c r="L17" s="52">
        <v>2.4892097307282999</v>
      </c>
    </row>
    <row r="18" spans="1:12">
      <c r="A18">
        <v>13</v>
      </c>
      <c r="B18" s="52" t="s">
        <v>34</v>
      </c>
      <c r="C18" s="53">
        <v>0.76696065723257401</v>
      </c>
      <c r="D18" s="52">
        <v>30.359422376063598</v>
      </c>
      <c r="E18" s="52">
        <v>8.9951355034814906</v>
      </c>
      <c r="F18" s="52">
        <v>273.08711808011998</v>
      </c>
      <c r="G18" s="54">
        <v>5.0000000000000001E-3</v>
      </c>
      <c r="H18" s="52">
        <v>2.5056409854449901</v>
      </c>
      <c r="I18" s="52">
        <v>4.5620816848462598</v>
      </c>
      <c r="J18" s="52">
        <v>190.60364120768801</v>
      </c>
      <c r="K18" s="52">
        <v>193.109282193133</v>
      </c>
      <c r="L18" s="52">
        <v>6.1477830311528798</v>
      </c>
    </row>
    <row r="19" spans="1:12">
      <c r="A19">
        <v>14</v>
      </c>
      <c r="B19" s="52" t="s">
        <v>35</v>
      </c>
      <c r="C19" s="99">
        <v>0.22500000000000001</v>
      </c>
      <c r="D19" s="52">
        <v>12.2923937319916</v>
      </c>
      <c r="E19" s="52">
        <v>8.5161622090100693</v>
      </c>
      <c r="F19" s="52">
        <v>104.684018958659</v>
      </c>
      <c r="G19" s="53">
        <v>5.0000000000000001E-3</v>
      </c>
      <c r="H19" s="100">
        <v>2.0266676909735701</v>
      </c>
      <c r="I19" s="100">
        <v>2.4892097307282999</v>
      </c>
      <c r="J19" s="100">
        <v>50.489555886754999</v>
      </c>
      <c r="K19" s="100">
        <v>52.516223577728603</v>
      </c>
      <c r="L19" s="52">
        <v>2.4892097307282999</v>
      </c>
    </row>
    <row r="20" spans="1:12">
      <c r="A20">
        <v>15</v>
      </c>
      <c r="B20" s="52" t="s">
        <v>36</v>
      </c>
      <c r="C20" s="99">
        <v>1.21696065723257</v>
      </c>
      <c r="D20" s="52">
        <v>4.4073105464551796</v>
      </c>
      <c r="E20" s="52">
        <v>8.9951355034814906</v>
      </c>
      <c r="F20" s="52">
        <v>39.644355571287399</v>
      </c>
      <c r="G20" s="53">
        <v>0</v>
      </c>
      <c r="H20" s="100">
        <v>2.5056409854449901</v>
      </c>
      <c r="I20" s="100">
        <v>0.99017328711179797</v>
      </c>
      <c r="J20" s="100">
        <v>27.670139032346299</v>
      </c>
      <c r="K20" s="100">
        <v>30.1757800177913</v>
      </c>
      <c r="L20" s="52">
        <v>0.89248038565717502</v>
      </c>
    </row>
    <row r="21" spans="1:12">
      <c r="A21">
        <v>16</v>
      </c>
      <c r="B21" s="52" t="s">
        <v>37</v>
      </c>
      <c r="C21" s="53" t="s">
        <v>194</v>
      </c>
      <c r="D21" s="52">
        <v>13.8350486682615</v>
      </c>
      <c r="E21" s="52">
        <v>8.4991551748651997</v>
      </c>
      <c r="F21" s="52">
        <v>117.58622548336599</v>
      </c>
      <c r="G21" s="54">
        <v>0</v>
      </c>
      <c r="H21" s="52">
        <v>2.0096606568287099</v>
      </c>
      <c r="I21" s="52">
        <v>0</v>
      </c>
      <c r="J21" s="52">
        <v>55.876108504055601</v>
      </c>
      <c r="K21" s="52">
        <v>57.885769160884301</v>
      </c>
      <c r="L21" s="52">
        <v>0</v>
      </c>
    </row>
    <row r="22" spans="1:12">
      <c r="B22" s="52" t="s">
        <v>38</v>
      </c>
      <c r="C22" s="99">
        <v>0.44980160570955702</v>
      </c>
      <c r="D22" s="52">
        <v>8.9303442355798204</v>
      </c>
      <c r="E22" s="52">
        <v>8.9951355034814906</v>
      </c>
      <c r="F22" s="52">
        <v>80.329656491775395</v>
      </c>
      <c r="G22" s="53">
        <v>5.0000000000000001E-3</v>
      </c>
      <c r="H22" s="100">
        <v>2.5056409854449901</v>
      </c>
      <c r="I22" s="100">
        <v>1.8083947077049101</v>
      </c>
      <c r="J22" s="100">
        <v>56.066815351587202</v>
      </c>
      <c r="K22" s="100">
        <v>58.5724563370322</v>
      </c>
      <c r="L22" s="52">
        <v>1.8083947077049101</v>
      </c>
    </row>
    <row r="23" spans="1:12">
      <c r="A23">
        <v>17</v>
      </c>
      <c r="B23" s="52" t="s">
        <v>39</v>
      </c>
      <c r="C23" s="53">
        <v>0.52500000000000002</v>
      </c>
      <c r="D23" s="52">
        <v>20.8558555299375</v>
      </c>
      <c r="E23" s="52">
        <v>7.8991551748652</v>
      </c>
      <c r="F23" s="52">
        <v>164.743639135547</v>
      </c>
      <c r="G23" s="54">
        <v>5.0000000000000001E-3</v>
      </c>
      <c r="H23" s="52">
        <v>1.40966065682871</v>
      </c>
      <c r="I23" s="52">
        <v>4.7023436765155999</v>
      </c>
      <c r="J23" s="52">
        <v>41.443570816821101</v>
      </c>
      <c r="K23" s="52">
        <v>42.853231473649799</v>
      </c>
      <c r="L23" s="52">
        <v>4.2233107448123501</v>
      </c>
    </row>
    <row r="24" spans="1:12">
      <c r="A24">
        <v>18</v>
      </c>
      <c r="B24" s="52" t="s">
        <v>40</v>
      </c>
      <c r="C24" s="53">
        <v>0.26250000000000001</v>
      </c>
      <c r="D24" s="52">
        <v>2.8604194987660998</v>
      </c>
      <c r="E24" s="52">
        <v>7.7679051748652004</v>
      </c>
      <c r="F24" s="52">
        <v>22.219467426750601</v>
      </c>
      <c r="G24" s="54">
        <v>0</v>
      </c>
      <c r="H24" s="52">
        <v>1.2784106568287099</v>
      </c>
      <c r="I24" s="52">
        <v>0</v>
      </c>
      <c r="J24" s="52">
        <v>4.6748802904462403</v>
      </c>
      <c r="K24" s="52">
        <v>5.9532909472749598</v>
      </c>
      <c r="L24" s="52">
        <v>0.57923494850013701</v>
      </c>
    </row>
    <row r="25" spans="1:12">
      <c r="A25">
        <v>19</v>
      </c>
      <c r="B25" s="52" t="s">
        <v>41</v>
      </c>
      <c r="C25" s="53" t="s">
        <v>194</v>
      </c>
      <c r="D25" s="52">
        <v>0.41964765633555001</v>
      </c>
      <c r="E25" s="52">
        <v>8.1682714154880198</v>
      </c>
      <c r="F25" s="52">
        <v>3.42779595582221</v>
      </c>
      <c r="G25" s="54">
        <v>0</v>
      </c>
      <c r="H25" s="52">
        <v>1.67877689745152</v>
      </c>
      <c r="I25" s="52">
        <v>0</v>
      </c>
      <c r="J25" s="52">
        <v>1.1826895787096501</v>
      </c>
      <c r="K25" s="52">
        <v>2.8614664761611799</v>
      </c>
      <c r="L25" s="52">
        <v>0</v>
      </c>
    </row>
    <row r="26" spans="1:12">
      <c r="A26">
        <v>20</v>
      </c>
      <c r="B26" s="52" t="s">
        <v>42</v>
      </c>
      <c r="C26" s="53">
        <v>0.53161624062281199</v>
      </c>
      <c r="D26" s="52">
        <v>69.533825840061695</v>
      </c>
      <c r="E26" s="52">
        <v>7.7491551748651997</v>
      </c>
      <c r="F26" s="52">
        <v>538.82840633669002</v>
      </c>
      <c r="G26" s="54">
        <v>0</v>
      </c>
      <c r="H26" s="52">
        <v>1.2596606568287001</v>
      </c>
      <c r="I26" s="52">
        <v>0</v>
      </c>
      <c r="J26" s="52">
        <v>110.33244842175399</v>
      </c>
      <c r="K26" s="52">
        <v>111.59210907858299</v>
      </c>
      <c r="L26" s="52">
        <v>0</v>
      </c>
    </row>
    <row r="27" spans="1:12">
      <c r="A27">
        <v>21</v>
      </c>
      <c r="B27" s="52" t="s">
        <v>43</v>
      </c>
      <c r="C27" s="99">
        <v>0.73085796757168997</v>
      </c>
      <c r="D27" s="52">
        <v>296.83513030949098</v>
      </c>
      <c r="E27" s="52">
        <v>10.194044815883601</v>
      </c>
      <c r="F27" s="52">
        <v>3025.9506213036102</v>
      </c>
      <c r="G27" s="53">
        <v>0</v>
      </c>
      <c r="H27" s="100">
        <v>3.7045502978471201</v>
      </c>
      <c r="I27" s="100">
        <v>0</v>
      </c>
      <c r="J27" s="100">
        <v>4073.6741730533499</v>
      </c>
      <c r="K27" s="100">
        <v>4077.3787233511998</v>
      </c>
      <c r="L27" s="52">
        <v>0</v>
      </c>
    </row>
    <row r="28" spans="1:12">
      <c r="A28">
        <v>22</v>
      </c>
      <c r="B28" s="52" t="s">
        <v>44</v>
      </c>
      <c r="C28" s="99">
        <v>1.21696065723257</v>
      </c>
      <c r="D28" s="52">
        <v>694.59420492420998</v>
      </c>
      <c r="E28" s="52">
        <v>10.194044815883601</v>
      </c>
      <c r="F28" s="52">
        <v>7080.7244538504501</v>
      </c>
      <c r="G28" s="53">
        <v>0</v>
      </c>
      <c r="H28" s="100">
        <v>3.7045502978471201</v>
      </c>
      <c r="I28" s="100">
        <v>0</v>
      </c>
      <c r="J28" s="100">
        <v>9532.3975649448403</v>
      </c>
      <c r="K28" s="100">
        <v>9536.1021152426893</v>
      </c>
      <c r="L28" s="52">
        <v>0</v>
      </c>
    </row>
    <row r="29" spans="1:12">
      <c r="A29">
        <v>23</v>
      </c>
      <c r="B29" s="55" t="s">
        <v>45</v>
      </c>
      <c r="C29" s="56">
        <v>0.86911624062281201</v>
      </c>
      <c r="D29" s="55">
        <v>34.526024291717697</v>
      </c>
      <c r="E29" s="55">
        <v>7.2020970545537999</v>
      </c>
      <c r="F29" s="55">
        <v>248.65977785683299</v>
      </c>
      <c r="G29" s="57">
        <v>5.0000000000000001E-3</v>
      </c>
      <c r="H29" s="55">
        <v>0.71260253651730299</v>
      </c>
      <c r="I29" s="55">
        <v>5.6690668477233102</v>
      </c>
      <c r="J29" s="55">
        <v>17.532397136399101</v>
      </c>
      <c r="K29" s="55">
        <v>18.2449996729164</v>
      </c>
      <c r="L29" s="55">
        <v>6.9915199190728403</v>
      </c>
    </row>
    <row r="30" spans="1:12">
      <c r="A30">
        <v>24</v>
      </c>
      <c r="B30" s="55" t="s">
        <v>46</v>
      </c>
      <c r="C30" s="56" t="s">
        <v>194</v>
      </c>
      <c r="D30" s="55">
        <v>19.102439643732598</v>
      </c>
      <c r="E30" s="55">
        <v>7.2020970545537999</v>
      </c>
      <c r="F30" s="55">
        <v>137.57762429291799</v>
      </c>
      <c r="G30" s="57">
        <v>0</v>
      </c>
      <c r="H30" s="55">
        <v>0.71260253651730299</v>
      </c>
      <c r="I30" s="55">
        <v>1.93412201392793</v>
      </c>
      <c r="J30" s="55">
        <v>9.7002642203538301</v>
      </c>
      <c r="K30" s="55">
        <v>10.4128667568711</v>
      </c>
      <c r="L30" s="55">
        <v>3.8682440278558601</v>
      </c>
    </row>
    <row r="31" spans="1:12">
      <c r="A31">
        <v>25</v>
      </c>
      <c r="B31" s="55" t="s">
        <v>47</v>
      </c>
      <c r="C31" s="56">
        <v>1.5793847335605899</v>
      </c>
      <c r="D31" s="55">
        <v>99.766312039568206</v>
      </c>
      <c r="E31" s="55">
        <v>0</v>
      </c>
      <c r="F31" s="55">
        <v>0</v>
      </c>
      <c r="G31" s="57">
        <v>0</v>
      </c>
      <c r="H31" s="55">
        <v>0</v>
      </c>
      <c r="I31" s="55">
        <v>10.1013390940062</v>
      </c>
      <c r="J31" s="55">
        <v>0</v>
      </c>
      <c r="K31" s="55">
        <v>0</v>
      </c>
      <c r="L31" s="55">
        <v>20.202678188012499</v>
      </c>
    </row>
    <row r="32" spans="1:12">
      <c r="A32">
        <v>26</v>
      </c>
      <c r="B32" s="55" t="s">
        <v>48</v>
      </c>
      <c r="C32" s="101">
        <v>0.22500000000000001</v>
      </c>
      <c r="D32" s="55">
        <v>12.336295138177199</v>
      </c>
      <c r="E32" s="55">
        <v>6.8630319000975302</v>
      </c>
      <c r="F32" s="55">
        <v>84.6643870623288</v>
      </c>
      <c r="G32" s="56">
        <v>5.0000000000000001E-3</v>
      </c>
      <c r="H32" s="102">
        <v>0.37353738206103498</v>
      </c>
      <c r="I32" s="102">
        <v>2.4980997654808998</v>
      </c>
      <c r="J32" s="102">
        <v>1.7212854293136901</v>
      </c>
      <c r="K32" s="102">
        <v>2.0948228113747298</v>
      </c>
      <c r="L32" s="55">
        <v>2.4980997654808998</v>
      </c>
    </row>
    <row r="33" spans="1:13">
      <c r="A33">
        <v>27</v>
      </c>
      <c r="B33" s="55" t="s">
        <v>49</v>
      </c>
      <c r="C33" s="56">
        <v>1.6452718738965699</v>
      </c>
      <c r="D33" s="55">
        <v>65.359147637060204</v>
      </c>
      <c r="E33" s="55">
        <v>5.9449029972940997</v>
      </c>
      <c r="F33" s="55">
        <v>388.55379268814698</v>
      </c>
      <c r="G33" s="57">
        <v>5.0000000000000001E-3</v>
      </c>
      <c r="H33" s="55">
        <v>-0.54459152074239103</v>
      </c>
      <c r="I33" s="55">
        <v>21.361109847705801</v>
      </c>
      <c r="J33" s="55">
        <v>19.384211069264001</v>
      </c>
      <c r="K33" s="55">
        <v>18.8396195485217</v>
      </c>
      <c r="L33" s="55">
        <v>13.235227396504699</v>
      </c>
    </row>
    <row r="34" spans="1:13">
      <c r="A34">
        <v>28</v>
      </c>
      <c r="B34" s="55" t="s">
        <v>50</v>
      </c>
      <c r="C34" s="101">
        <v>0.22500000000000001</v>
      </c>
      <c r="D34" s="55">
        <v>12.336295138177199</v>
      </c>
      <c r="E34" s="55">
        <v>5.0267740944906798</v>
      </c>
      <c r="F34" s="55">
        <v>62.011768822580898</v>
      </c>
      <c r="G34" s="56">
        <v>5.0000000000000001E-3</v>
      </c>
      <c r="H34" s="102">
        <v>-1.46272042354581</v>
      </c>
      <c r="I34" s="102">
        <v>2.4980997654808998</v>
      </c>
      <c r="J34" s="102">
        <v>26.394133061275902</v>
      </c>
      <c r="K34" s="102">
        <v>24.931412637730102</v>
      </c>
      <c r="L34" s="55">
        <v>2.4980997654808998</v>
      </c>
    </row>
    <row r="35" spans="1:13">
      <c r="A35">
        <v>29</v>
      </c>
      <c r="B35" s="55" t="s">
        <v>51</v>
      </c>
      <c r="C35" s="56">
        <v>2.0952718738965701</v>
      </c>
      <c r="D35" s="55">
        <v>0</v>
      </c>
      <c r="E35" s="55">
        <v>5.9449029972940997</v>
      </c>
      <c r="F35" s="55">
        <v>0</v>
      </c>
      <c r="G35" s="57">
        <v>0</v>
      </c>
      <c r="H35" s="55">
        <v>-0.54459152074239103</v>
      </c>
      <c r="I35" s="55">
        <v>0</v>
      </c>
      <c r="J35" s="55">
        <v>0</v>
      </c>
      <c r="K35" s="55">
        <v>-0.54459152074239103</v>
      </c>
      <c r="L35" s="55">
        <v>0</v>
      </c>
      <c r="M35" s="48"/>
    </row>
    <row r="36" spans="1:13">
      <c r="A36">
        <v>30</v>
      </c>
      <c r="B36" s="55" t="s">
        <v>52</v>
      </c>
      <c r="C36" s="56" t="s">
        <v>194</v>
      </c>
      <c r="D36" s="55">
        <v>19.8004559235894</v>
      </c>
      <c r="E36" s="55">
        <v>5.0097670603458102</v>
      </c>
      <c r="F36" s="55">
        <v>99.195671865827507</v>
      </c>
      <c r="G36" s="57">
        <v>0</v>
      </c>
      <c r="H36" s="55">
        <v>-1.47972745769067</v>
      </c>
      <c r="I36" s="55">
        <v>0</v>
      </c>
      <c r="J36" s="55">
        <v>43.354946598324702</v>
      </c>
      <c r="K36" s="55">
        <v>41.875219140634002</v>
      </c>
      <c r="L36" s="55">
        <v>0</v>
      </c>
      <c r="M36" s="48"/>
    </row>
    <row r="37" spans="1:13">
      <c r="A37">
        <v>31</v>
      </c>
      <c r="B37" s="55" t="s">
        <v>53</v>
      </c>
      <c r="C37" s="56">
        <v>0.67500000000000004</v>
      </c>
      <c r="D37" s="55">
        <v>26.814671395633901</v>
      </c>
      <c r="E37" s="55">
        <v>4.7847670603458097</v>
      </c>
      <c r="F37" s="55">
        <v>128.30195642782601</v>
      </c>
      <c r="G37" s="57">
        <v>5.0000000000000001E-3</v>
      </c>
      <c r="H37" s="55">
        <v>-1.7047274576906799</v>
      </c>
      <c r="I37" s="55">
        <v>3.7331050333609102</v>
      </c>
      <c r="J37" s="55">
        <v>77.926001373959707</v>
      </c>
      <c r="K37" s="55">
        <v>76.221273916268999</v>
      </c>
      <c r="L37" s="55">
        <v>5.4299709576158799</v>
      </c>
      <c r="M37" s="48"/>
    </row>
    <row r="38" spans="1:13">
      <c r="A38">
        <v>32</v>
      </c>
      <c r="B38" s="55" t="s">
        <v>54</v>
      </c>
      <c r="C38" s="101">
        <v>0.22500000000000001</v>
      </c>
      <c r="D38" s="55">
        <v>12.2923937319916</v>
      </c>
      <c r="E38" s="55">
        <v>4.5427600262009502</v>
      </c>
      <c r="F38" s="55">
        <v>55.841394872014597</v>
      </c>
      <c r="G38" s="56">
        <v>5.0000000000000001E-3</v>
      </c>
      <c r="H38" s="102">
        <v>-1.94673449183554</v>
      </c>
      <c r="I38" s="102">
        <v>2.4892097307282999</v>
      </c>
      <c r="J38" s="102">
        <v>46.585408689213303</v>
      </c>
      <c r="K38" s="102">
        <v>44.638674197377803</v>
      </c>
      <c r="L38" s="55">
        <v>2.4892097307282999</v>
      </c>
      <c r="M38" s="48"/>
    </row>
    <row r="39" spans="1:13">
      <c r="A39">
        <v>33</v>
      </c>
      <c r="B39" s="55" t="s">
        <v>55</v>
      </c>
      <c r="C39" s="56">
        <v>3.0972670603458101</v>
      </c>
      <c r="D39" s="55">
        <v>122.602428181649</v>
      </c>
      <c r="E39" s="55">
        <v>2.8986335301729</v>
      </c>
      <c r="F39" s="55">
        <v>355.379509207946</v>
      </c>
      <c r="G39" s="57">
        <v>5.0000000000000001E-3</v>
      </c>
      <c r="H39" s="55">
        <v>-3.59086098786358</v>
      </c>
      <c r="I39" s="55">
        <v>110.42456646210699</v>
      </c>
      <c r="J39" s="55">
        <v>1580.8703606085701</v>
      </c>
      <c r="K39" s="55">
        <v>1577.2794996207101</v>
      </c>
      <c r="L39" s="55">
        <v>24.826991706784</v>
      </c>
      <c r="M39" s="48"/>
    </row>
    <row r="40" spans="1:13">
      <c r="A40">
        <v>34</v>
      </c>
      <c r="B40" s="55" t="s">
        <v>56</v>
      </c>
      <c r="C40" s="101">
        <v>0.22500000000000001</v>
      </c>
      <c r="D40" s="55">
        <v>12.2923937319916</v>
      </c>
      <c r="E40" s="55">
        <v>1.2545070341448601</v>
      </c>
      <c r="F40" s="55">
        <v>15.420894403261601</v>
      </c>
      <c r="G40" s="56">
        <v>5.0000000000000001E-3</v>
      </c>
      <c r="H40" s="102">
        <v>-5.2349874838916302</v>
      </c>
      <c r="I40" s="102">
        <v>2.4892097307282999</v>
      </c>
      <c r="J40" s="102">
        <v>336.87420517554699</v>
      </c>
      <c r="K40" s="102">
        <v>331.63921769165501</v>
      </c>
      <c r="L40" s="55">
        <v>2.4892097307282999</v>
      </c>
      <c r="M40" s="48"/>
    </row>
    <row r="41" spans="1:13">
      <c r="A41">
        <v>35</v>
      </c>
      <c r="B41" s="55" t="s">
        <v>57</v>
      </c>
      <c r="C41" s="101">
        <v>3.5472670603458099</v>
      </c>
      <c r="D41" s="55">
        <v>11.806517369288899</v>
      </c>
      <c r="E41" s="55">
        <v>2.8986335301729</v>
      </c>
      <c r="F41" s="55">
        <v>34.222767121189896</v>
      </c>
      <c r="G41" s="56">
        <v>0</v>
      </c>
      <c r="H41" s="102">
        <v>-3.59086098786358</v>
      </c>
      <c r="I41" s="102">
        <v>13.5756291488435</v>
      </c>
      <c r="J41" s="102">
        <v>152.23657188473899</v>
      </c>
      <c r="K41" s="102">
        <v>148.64571089687499</v>
      </c>
      <c r="L41" s="55">
        <v>2.3908197672810201</v>
      </c>
      <c r="M41" s="48"/>
    </row>
    <row r="42" spans="1:13">
      <c r="A42">
        <v>36</v>
      </c>
      <c r="B42" s="55" t="s">
        <v>58</v>
      </c>
      <c r="C42" s="56" t="s">
        <v>194</v>
      </c>
      <c r="D42" s="55">
        <v>46.3330668611992</v>
      </c>
      <c r="E42" s="55">
        <v>1.2374999999999901</v>
      </c>
      <c r="F42" s="55">
        <v>57.337170240733997</v>
      </c>
      <c r="G42" s="57">
        <v>0</v>
      </c>
      <c r="H42" s="55">
        <v>-5.25199451803649</v>
      </c>
      <c r="I42" s="55">
        <v>0</v>
      </c>
      <c r="J42" s="55">
        <v>1278.02566712365</v>
      </c>
      <c r="K42" s="55">
        <v>1272.77367260562</v>
      </c>
      <c r="L42" s="55">
        <v>0</v>
      </c>
    </row>
    <row r="43" spans="1:13">
      <c r="B43" s="55" t="s">
        <v>59</v>
      </c>
      <c r="C43" s="101">
        <v>0.44979071392072401</v>
      </c>
      <c r="D43" s="55">
        <v>8.9299117504809207</v>
      </c>
      <c r="E43" s="55">
        <v>2.8986335301729</v>
      </c>
      <c r="F43" s="55">
        <v>25.884541621429001</v>
      </c>
      <c r="G43" s="56">
        <v>5.0000000000000001E-3</v>
      </c>
      <c r="H43" s="102">
        <v>-3.59086098786358</v>
      </c>
      <c r="I43" s="102">
        <v>1.80830712947238</v>
      </c>
      <c r="J43" s="102">
        <v>115.14480600881301</v>
      </c>
      <c r="K43" s="102">
        <v>111.553945020949</v>
      </c>
      <c r="L43" s="55">
        <v>1.80830712947238</v>
      </c>
    </row>
    <row r="44" spans="1:13">
      <c r="A44">
        <v>37</v>
      </c>
      <c r="B44" s="55" t="s">
        <v>60</v>
      </c>
      <c r="C44" s="56">
        <v>0.9</v>
      </c>
      <c r="D44" s="55">
        <v>35.752895194178599</v>
      </c>
      <c r="E44" s="55">
        <v>0.45</v>
      </c>
      <c r="F44" s="55">
        <v>16.0888028373803</v>
      </c>
      <c r="G44" s="57">
        <v>5.0000000000000001E-3</v>
      </c>
      <c r="H44" s="55">
        <v>-6.0394945180364896</v>
      </c>
      <c r="I44" s="55">
        <v>9.6532817024282291</v>
      </c>
      <c r="J44" s="55">
        <v>1304.10451533178</v>
      </c>
      <c r="K44" s="55">
        <v>1298.0650208137399</v>
      </c>
      <c r="L44" s="55">
        <v>7.2399612768211696</v>
      </c>
    </row>
    <row r="45" spans="1:13">
      <c r="A45">
        <v>38</v>
      </c>
      <c r="B45" s="55" t="s">
        <v>61</v>
      </c>
      <c r="C45" s="56">
        <v>0.45</v>
      </c>
      <c r="D45" s="55">
        <v>16.1993323728957</v>
      </c>
      <c r="E45" s="55">
        <v>0.22500000000000001</v>
      </c>
      <c r="F45" s="55">
        <v>3.6448497839015399</v>
      </c>
      <c r="G45" s="57">
        <v>0</v>
      </c>
      <c r="H45" s="55">
        <v>-6.2644945180364902</v>
      </c>
      <c r="I45" s="55">
        <v>0</v>
      </c>
      <c r="J45" s="55">
        <v>635.72484309176502</v>
      </c>
      <c r="K45" s="55">
        <v>629.46034857372797</v>
      </c>
      <c r="L45" s="55">
        <v>3.2803648055113799</v>
      </c>
    </row>
    <row r="46" spans="1:13">
      <c r="A46">
        <v>39</v>
      </c>
      <c r="B46" s="55" t="s">
        <v>62</v>
      </c>
      <c r="C46" s="56" t="s">
        <v>194</v>
      </c>
      <c r="D46" s="58">
        <v>2.1324825041812199</v>
      </c>
      <c r="E46" s="55">
        <v>1.26512074848753</v>
      </c>
      <c r="F46" s="55">
        <v>2.69784786182632</v>
      </c>
      <c r="G46" s="57">
        <v>0</v>
      </c>
      <c r="H46" s="55">
        <v>-5.2243737695489596</v>
      </c>
      <c r="I46" s="55">
        <v>0</v>
      </c>
      <c r="J46" s="55">
        <v>58.2041508057263</v>
      </c>
      <c r="K46" s="55">
        <v>52.979777036177303</v>
      </c>
      <c r="L46" s="55">
        <v>0</v>
      </c>
    </row>
    <row r="47" spans="1:13">
      <c r="A47">
        <v>40</v>
      </c>
      <c r="B47" s="55" t="s">
        <v>63</v>
      </c>
      <c r="C47" s="56">
        <v>1.26512074848753</v>
      </c>
      <c r="D47" s="55">
        <v>118.655916209132</v>
      </c>
      <c r="E47" s="55">
        <v>0.1125</v>
      </c>
      <c r="F47" s="55">
        <v>13.3487905735273</v>
      </c>
      <c r="G47" s="57">
        <v>0</v>
      </c>
      <c r="H47" s="55">
        <v>-6.37699451803649</v>
      </c>
      <c r="I47" s="55">
        <v>0</v>
      </c>
      <c r="J47" s="55">
        <v>4825.2684991160704</v>
      </c>
      <c r="K47" s="55">
        <v>4818.8915045980402</v>
      </c>
      <c r="L47" s="55">
        <v>0</v>
      </c>
    </row>
    <row r="48" spans="1:13">
      <c r="A48">
        <v>41</v>
      </c>
      <c r="B48" s="55" t="s">
        <v>64</v>
      </c>
      <c r="C48" s="101">
        <v>474.72559994200947</v>
      </c>
      <c r="D48" s="55">
        <v>548.87004693455719</v>
      </c>
      <c r="E48" s="55">
        <v>5.9449029972940997</v>
      </c>
      <c r="F48" s="55">
        <f>Table1[[#This Row],[Distance (m)]]*Table1[[#This Row],[Mass (kg)]]</f>
        <v>3262.9791871462021</v>
      </c>
      <c r="G48" s="56">
        <v>0</v>
      </c>
      <c r="H48" s="102">
        <v>-0.54459152074239103</v>
      </c>
      <c r="I48" s="102">
        <v>0</v>
      </c>
      <c r="J48" s="102">
        <v>295.66066191060003</v>
      </c>
      <c r="K48" s="102">
        <v>295.11607038985699</v>
      </c>
      <c r="L48" s="55">
        <v>0</v>
      </c>
    </row>
    <row r="49" spans="1:12">
      <c r="A49">
        <v>42</v>
      </c>
      <c r="B49" s="55" t="s">
        <v>65</v>
      </c>
      <c r="C49" s="101">
        <v>1110.857903864302</v>
      </c>
      <c r="D49" s="55">
        <v>1284.3559098268638</v>
      </c>
      <c r="E49" s="55">
        <v>5.9449029972940997</v>
      </c>
      <c r="F49" s="55">
        <f>Table1[[#This Row],[Distance (m)]]*Table1[[#This Row],[Mass (kg)]]</f>
        <v>7635.3712979221127</v>
      </c>
      <c r="G49" s="56">
        <v>0</v>
      </c>
      <c r="H49" s="102">
        <v>-0.54459152074239103</v>
      </c>
      <c r="I49" s="102">
        <v>0</v>
      </c>
      <c r="J49" s="102">
        <v>691.84594887080402</v>
      </c>
      <c r="K49" s="102">
        <v>691.30135735006104</v>
      </c>
      <c r="L49" s="55">
        <v>0</v>
      </c>
    </row>
    <row r="50" spans="1:12">
      <c r="A50" s="15" t="s">
        <v>66</v>
      </c>
      <c r="B50" s="15"/>
      <c r="C50" s="15"/>
      <c r="D50" s="15">
        <f>SUBTOTAL(109,Table1[Mass (kg)])</f>
        <v>3910.1589649749476</v>
      </c>
      <c r="E50" s="15"/>
      <c r="F50" s="15">
        <f>SUBTOTAL(109,Table1[Moment (kgm)])</f>
        <v>26189.893664132655</v>
      </c>
      <c r="G50" s="15"/>
      <c r="H50" s="15"/>
      <c r="I50" s="15">
        <f>SUBTOTAL(109,Table1[J0])</f>
        <v>235.77972638561175</v>
      </c>
      <c r="J50" s="15"/>
      <c r="K50" s="15">
        <f>SUBTOTAL(109,Table1[Jpitch/yaw])</f>
        <v>29073.410122071014</v>
      </c>
      <c r="L50" s="15">
        <f>SUBTOTAL(109,Table1[Jroll])</f>
        <v>163.79836510964481</v>
      </c>
    </row>
    <row r="51" spans="1:12">
      <c r="A51" s="49"/>
      <c r="B51" s="49"/>
      <c r="C51" s="49"/>
      <c r="D51" s="49"/>
      <c r="E51" s="49"/>
      <c r="F51" s="49" t="s">
        <v>67</v>
      </c>
      <c r="G51" s="49">
        <f>Table1[[#Totals],[Moment (kgm)]]/Table1[[#Totals],[Mass (kg)]]</f>
        <v>6.6979102125328689</v>
      </c>
      <c r="H51" s="49"/>
      <c r="I51" s="49"/>
      <c r="J51" s="49" t="s">
        <v>68</v>
      </c>
      <c r="K51" s="49">
        <f>Table1[[#Totals],[J0]]/Table1[[#Totals],[Jpitch/yaw]]</f>
        <v>8.1098063624335595E-3</v>
      </c>
      <c r="L51" s="49" t="s">
        <v>69</v>
      </c>
    </row>
    <row r="56" spans="1:12">
      <c r="J56" t="s">
        <v>213</v>
      </c>
      <c r="K56">
        <v>7257.4</v>
      </c>
      <c r="L56" t="s">
        <v>214</v>
      </c>
    </row>
    <row r="57" spans="1:12">
      <c r="J57" t="s">
        <v>215</v>
      </c>
      <c r="K57">
        <v>5535.1635723704221</v>
      </c>
      <c r="L57" t="s">
        <v>214</v>
      </c>
    </row>
    <row r="58" spans="1:12">
      <c r="J58" t="s">
        <v>216</v>
      </c>
      <c r="K58">
        <f>K56-K57</f>
        <v>1722.2364276295775</v>
      </c>
      <c r="L58" t="s">
        <v>214</v>
      </c>
    </row>
    <row r="59" spans="1:12">
      <c r="J59" t="s">
        <v>217</v>
      </c>
      <c r="K59">
        <f>SUM(M35:M38)</f>
        <v>0</v>
      </c>
      <c r="L59" t="s">
        <v>214</v>
      </c>
    </row>
    <row r="60" spans="1:12">
      <c r="J60" t="s">
        <v>218</v>
      </c>
      <c r="K60">
        <f>K59-K58</f>
        <v>-1722.2364276295775</v>
      </c>
      <c r="L60" t="s">
        <v>214</v>
      </c>
    </row>
    <row r="62" spans="1:12">
      <c r="J62" t="s">
        <v>219</v>
      </c>
      <c r="K62">
        <v>0.21978021978021978</v>
      </c>
    </row>
    <row r="63" spans="1:12">
      <c r="J63" s="4" t="s">
        <v>220</v>
      </c>
      <c r="K63" s="4">
        <v>0.78021978021978022</v>
      </c>
    </row>
    <row r="64" spans="1:12">
      <c r="J64" s="4"/>
      <c r="K64" s="4"/>
    </row>
    <row r="65" spans="9:12">
      <c r="I65" t="s">
        <v>194</v>
      </c>
      <c r="J65" s="37" t="s">
        <v>221</v>
      </c>
      <c r="K65">
        <f>K62*K58</f>
        <v>378.51350057792911</v>
      </c>
      <c r="L65" t="s">
        <v>214</v>
      </c>
    </row>
    <row r="66" spans="9:12">
      <c r="J66" s="37" t="s">
        <v>222</v>
      </c>
      <c r="K66">
        <f>K63*K58</f>
        <v>1343.7229270516484</v>
      </c>
      <c r="L66" t="s">
        <v>214</v>
      </c>
    </row>
    <row r="69" spans="9:12">
      <c r="J69" t="s">
        <v>67</v>
      </c>
      <c r="K69">
        <v>4.1040000000000001</v>
      </c>
      <c r="L69" t="s">
        <v>98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D4D63-A13B-46B1-AA01-442116F104F5}">
  <dimension ref="B1:T67"/>
  <sheetViews>
    <sheetView zoomScale="70" zoomScaleNormal="70" workbookViewId="0">
      <selection activeCell="K5" sqref="K5"/>
    </sheetView>
  </sheetViews>
  <sheetFormatPr defaultRowHeight="15"/>
  <cols>
    <col min="2" max="2" width="13.7109375" bestFit="1" customWidth="1"/>
    <col min="3" max="3" width="21.7109375" bestFit="1" customWidth="1"/>
    <col min="4" max="4" width="15" bestFit="1" customWidth="1"/>
    <col min="5" max="5" width="15.5703125" bestFit="1" customWidth="1"/>
    <col min="6" max="6" width="17.140625" bestFit="1" customWidth="1"/>
    <col min="7" max="7" width="14.28515625" bestFit="1" customWidth="1"/>
    <col min="8" max="8" width="24" bestFit="1" customWidth="1"/>
    <col min="9" max="9" width="18.140625" bestFit="1" customWidth="1"/>
    <col min="10" max="10" width="9.85546875" bestFit="1" customWidth="1"/>
    <col min="11" max="11" width="13" customWidth="1"/>
    <col min="12" max="12" width="11.28515625" customWidth="1"/>
    <col min="13" max="13" width="13.85546875" customWidth="1"/>
    <col min="14" max="14" width="17.28515625" customWidth="1"/>
    <col min="15" max="15" width="18.7109375" customWidth="1"/>
    <col min="16" max="16" width="9.42578125" customWidth="1"/>
    <col min="17" max="17" width="10.140625" customWidth="1"/>
    <col min="18" max="18" width="10.85546875" customWidth="1"/>
    <col min="19" max="19" width="11.5703125" customWidth="1"/>
  </cols>
  <sheetData>
    <row r="1" spans="2:20" ht="15.75" thickBot="1"/>
    <row r="2" spans="2:20" ht="15.75" thickBot="1">
      <c r="B2" s="165" t="s">
        <v>223</v>
      </c>
      <c r="C2" s="167"/>
      <c r="E2" s="165" t="s">
        <v>224</v>
      </c>
      <c r="F2" s="167"/>
    </row>
    <row r="3" spans="2:20" ht="18">
      <c r="B3" s="1" t="s">
        <v>144</v>
      </c>
      <c r="C3" s="2">
        <f>'HW10 and HW11'!C3</f>
        <v>0.42</v>
      </c>
      <c r="E3" s="1" t="s">
        <v>225</v>
      </c>
      <c r="F3" s="2">
        <v>1140</v>
      </c>
      <c r="K3" s="140"/>
    </row>
    <row r="4" spans="2:20" ht="18.75" thickBot="1">
      <c r="B4" s="6" t="s">
        <v>152</v>
      </c>
      <c r="C4" s="123">
        <f>'HW10 and HW11'!C4</f>
        <v>0.45</v>
      </c>
      <c r="E4" s="6" t="s">
        <v>226</v>
      </c>
      <c r="F4" s="123">
        <v>820</v>
      </c>
    </row>
    <row r="5" spans="2:20" ht="15.75" thickBot="1"/>
    <row r="6" spans="2:20" ht="15.75" thickBot="1">
      <c r="B6" s="165" t="s">
        <v>227</v>
      </c>
      <c r="C6" s="166"/>
      <c r="D6" s="166"/>
      <c r="E6" s="166"/>
      <c r="F6" s="166"/>
      <c r="G6" s="166"/>
      <c r="H6" s="166"/>
      <c r="I6" s="166"/>
      <c r="J6" s="166"/>
      <c r="K6" s="166"/>
      <c r="L6" s="166"/>
      <c r="M6" s="166"/>
      <c r="N6" s="166"/>
      <c r="O6" s="166"/>
      <c r="P6" s="166"/>
      <c r="Q6" s="166"/>
      <c r="R6" s="166"/>
      <c r="S6" s="167"/>
    </row>
    <row r="7" spans="2:20" ht="18.75">
      <c r="B7" s="15" t="s">
        <v>186</v>
      </c>
      <c r="C7" s="15" t="s">
        <v>187</v>
      </c>
      <c r="D7" s="15" t="s">
        <v>228</v>
      </c>
      <c r="E7" s="15" t="s">
        <v>11</v>
      </c>
      <c r="F7" s="15" t="s">
        <v>229</v>
      </c>
      <c r="G7" s="15" t="s">
        <v>230</v>
      </c>
      <c r="H7" s="15" t="s">
        <v>189</v>
      </c>
      <c r="I7" s="15" t="s">
        <v>190</v>
      </c>
      <c r="J7" s="136" t="s">
        <v>231</v>
      </c>
      <c r="K7" s="136" t="s">
        <v>232</v>
      </c>
      <c r="L7" s="136" t="s">
        <v>233</v>
      </c>
      <c r="M7" s="15" t="s">
        <v>234</v>
      </c>
      <c r="N7" s="15" t="s">
        <v>235</v>
      </c>
      <c r="O7" s="15" t="s">
        <v>236</v>
      </c>
      <c r="P7" s="15" t="s">
        <v>237</v>
      </c>
      <c r="Q7" s="15" t="s">
        <v>238</v>
      </c>
      <c r="R7" s="15" t="s">
        <v>239</v>
      </c>
      <c r="S7" s="15" t="s">
        <v>240</v>
      </c>
    </row>
    <row r="8" spans="2:20">
      <c r="B8">
        <v>1</v>
      </c>
      <c r="C8" t="s">
        <v>193</v>
      </c>
      <c r="D8" t="s">
        <v>241</v>
      </c>
      <c r="E8" s="140">
        <v>5.0000000000000001E-4</v>
      </c>
      <c r="F8" s="146"/>
      <c r="G8" s="31">
        <f>VLOOKUP(Table37[[#This Row],[Location]],External_Loads[[Location]:[Axial Load (N)]],3,FALSE)</f>
        <v>1957.8264589030525</v>
      </c>
      <c r="H8" s="31">
        <f>VLOOKUP(Table37[[#This Row],[Location]],External_Loads[[Location]:[Axial Load (N)]],4,FALSE)</f>
        <v>2656.1178959116633</v>
      </c>
      <c r="I8" s="31">
        <f>VLOOKUP(Table37[[#This Row],[Location]],External_Loads[[Location]:[Axial Load (N)]],5,FALSE)</f>
        <v>849.6325556819254</v>
      </c>
      <c r="J8" s="145">
        <f>(Table37[[#This Row],[Shear (N)]]/(2*PI()*$C$3*Table37[[#This Row],[Thickness (m)]]))/(10^6)</f>
        <v>1.4837988507167732</v>
      </c>
      <c r="K8" s="31">
        <f>Table37[[#This Row],[Axial Load (N)]]/(PI()*((($C$3+Table37[[#This Row],[Thickness (m)]])^2)-(($C$3)^2)))/10^6</f>
        <v>0.64353704246793553</v>
      </c>
      <c r="L8" s="148">
        <f>((-Table37[[#This Row],[Axial Load (N)]]/(2*PI()*$C$3*Table37[[#This Row],[Thickness (m)]]))/(10^6))</f>
        <v>-0.64392010023132595</v>
      </c>
      <c r="M8" s="142">
        <f>(Table37[[#This Row],[Bending Moment (Nm)]]/(PI()*($C$3^2)*Table37[[#This Row],[Thickness (m)]]))/(10^6)</f>
        <v>9.5858116228840267</v>
      </c>
      <c r="N8" s="142">
        <f>-ABS(Table37[[#This Row],[σa (MPA)]])-ABS(Table37[[#This Row],[σb (Mpa)]])+Table37[[#This Row],[σaxial (MPA)]]</f>
        <v>-9.5861946806474183</v>
      </c>
      <c r="O8" s="142">
        <f>Table37[[#This Row],[σaxial (MPA)]]*2</f>
        <v>1.2870740849358711</v>
      </c>
      <c r="P8" s="30">
        <f>ABS(VLOOKUP(Table37[[#This Row],[Material]],Table7[[Material]:[Source]],5,FALSE)/Table37[[#This Row],[σmax-vertical (Mpa)]])</f>
        <v>52.471289886846854</v>
      </c>
      <c r="Q8" s="149">
        <f>(Table37[[#This Row],[FSvertical]]-1)</f>
        <v>51.471289886846854</v>
      </c>
      <c r="R8" s="30">
        <f>ABS(VLOOKUP(Table37[[#This Row],[Material]],Table7[[Material]:[Source]],5,FALSE)/Table37[[#This Row],[σmax-horizontal (Mpa)]])</f>
        <v>390.80889428759042</v>
      </c>
      <c r="S8" s="143">
        <f>(Table37[[#This Row],[FShorizontal]]-1)</f>
        <v>389.80889428759042</v>
      </c>
      <c r="T8" s="147"/>
    </row>
    <row r="9" spans="2:20">
      <c r="B9">
        <v>2</v>
      </c>
      <c r="C9" t="s">
        <v>195</v>
      </c>
      <c r="D9" s="30" t="s">
        <v>241</v>
      </c>
      <c r="E9" s="140">
        <v>5.0000000000000001E-4</v>
      </c>
      <c r="F9" s="146"/>
      <c r="G9" s="31">
        <f>VLOOKUP(Table37[[#This Row],[Location]],External_Loads[[Location]:[Axial Load (N)]],3,FALSE)</f>
        <v>2367.280528147593</v>
      </c>
      <c r="H9" s="31">
        <f>VLOOKUP(Table37[[#This Row],[Location]],External_Loads[[Location]:[Axial Load (N)]],4,FALSE)</f>
        <v>4159.9671423325417</v>
      </c>
      <c r="I9" s="31">
        <f>VLOOKUP(Table37[[#This Row],[Location]],External_Loads[[Location]:[Axial Load (N)]],5,FALSE)</f>
        <v>1179.6557732066017</v>
      </c>
      <c r="J9" s="145">
        <f>(Table37[[#This Row],[Shear (N)]]/(2*PI()*$C$3*Table37[[#This Row],[Thickness (m)]]))/(10^6)</f>
        <v>1.7941161797137246</v>
      </c>
      <c r="K9" s="31">
        <f>Table37[[#This Row],[Axial Load (N)]]/(PI()*((($C$3+Table37[[#This Row],[Thickness (m)]])^2)-(($C$3)^2)))/10^6</f>
        <v>0.89350647211287393</v>
      </c>
      <c r="L9" s="148">
        <f>((-Table37[[#This Row],[Axial Load (N)]]/(2*PI()*$C$3*Table37[[#This Row],[Thickness (m)]]))/(10^6))</f>
        <v>-0.89403832120344051</v>
      </c>
      <c r="M9" s="142">
        <f>(Table37[[#This Row],[Bending Moment (Nm)]]/(PI()*($C$3^2)*Table37[[#This Row],[Thickness (m)]]))/(10^6)</f>
        <v>15.013136820909073</v>
      </c>
      <c r="N9" s="142">
        <f>-ABS(Table37[[#This Row],[σa (MPA)]])-ABS(Table37[[#This Row],[σb (Mpa)]])+Table37[[#This Row],[σaxial (MPA)]]</f>
        <v>-15.013668669999641</v>
      </c>
      <c r="O9" s="142">
        <f>Table37[[#This Row],[σaxial (MPA)]]*2</f>
        <v>1.7870129442257479</v>
      </c>
      <c r="P9" s="30">
        <f>ABS(VLOOKUP(Table37[[#This Row],[Material]],Table7[[Material]:[Source]],5,FALSE)/Table37[[#This Row],[σmax-vertical (Mpa)]])</f>
        <v>33.502804081796221</v>
      </c>
      <c r="Q9" s="149">
        <f>(Table37[[#This Row],[FSvertical]]-1)</f>
        <v>32.502804081796221</v>
      </c>
      <c r="R9" s="30">
        <f>ABS(VLOOKUP(Table37[[#This Row],[Material]],Table7[[Material]:[Source]],5,FALSE)/Table37[[#This Row],[σmax-horizontal (Mpa)]])</f>
        <v>281.47529743716149</v>
      </c>
      <c r="S9" s="143">
        <f>(Table37[[#This Row],[FShorizontal]]-1)</f>
        <v>280.47529743716149</v>
      </c>
    </row>
    <row r="10" spans="2:20">
      <c r="B10">
        <v>3</v>
      </c>
      <c r="C10" t="s">
        <v>196</v>
      </c>
      <c r="D10" s="30" t="s">
        <v>241</v>
      </c>
      <c r="E10" s="140">
        <v>5.0000000000000001E-4</v>
      </c>
      <c r="F10" s="146">
        <v>300000</v>
      </c>
      <c r="G10" s="31">
        <f>VLOOKUP(Table37[[#This Row],[Location]],External_Loads[[Location]:[Axial Load (N)]],3,FALSE)</f>
        <v>2582.9547089222897</v>
      </c>
      <c r="H10" s="31">
        <f>VLOOKUP(Table37[[#This Row],[Location]],External_Loads[[Location]:[Axial Load (N)]],4,FALSE)</f>
        <v>5049.2304088723595</v>
      </c>
      <c r="I10" s="31">
        <f>VLOOKUP(Table37[[#This Row],[Location]],External_Loads[[Location]:[Axial Load (N)]],5,FALSE)</f>
        <v>1258.3775128732882</v>
      </c>
      <c r="J10" s="145">
        <f>(Table37[[#This Row],[Shear (N)]]/(2*PI()*$C$3*Table37[[#This Row],[Thickness (m)]]))/(10^6)</f>
        <v>1.9575714747974771</v>
      </c>
      <c r="K10" s="31">
        <f>Table37[[#This Row],[Axial Load (N)]]/(PI()*((($C$3+Table37[[#This Row],[Thickness (m)]])^2)-(($C$3)^2)))/10^6</f>
        <v>0.95313266602957192</v>
      </c>
      <c r="L10" s="148">
        <f>((-Table37[[#This Row],[Axial Load (N)]]/(2*PI()*$C$3*Table37[[#This Row],[Thickness (m)]]))/(10^6))</f>
        <v>-0.95370000690223333</v>
      </c>
      <c r="M10" s="142">
        <f>(Table37[[#This Row],[Bending Moment (Nm)]]/(PI()*($C$3^2)*Table37[[#This Row],[Thickness (m)]]))/(10^6)</f>
        <v>18.222448489386569</v>
      </c>
      <c r="N10" s="142">
        <f>-ABS(Table37[[#This Row],[σa (MPA)]])-ABS(Table37[[#This Row],[σb (Mpa)]])+Table37[[#This Row],[σaxial (MPA)]]</f>
        <v>-18.223015830259232</v>
      </c>
      <c r="O10" s="142">
        <f>Table37[[#This Row],[σaxial (MPA)]]*2</f>
        <v>1.9062653320591438</v>
      </c>
      <c r="P10" s="30">
        <f>ABS(VLOOKUP(Table37[[#This Row],[Material]],Table7[[Material]:[Source]],5,FALSE)/Table37[[#This Row],[σmax-vertical (Mpa)]])</f>
        <v>27.602456403773235</v>
      </c>
      <c r="Q10" s="149">
        <f>(Table37[[#This Row],[FSvertical]]-1)</f>
        <v>26.602456403773235</v>
      </c>
      <c r="R10" s="30">
        <f>ABS(VLOOKUP(Table37[[#This Row],[Material]],Table7[[Material]:[Source]],5,FALSE)/Table37[[#This Row],[σmax-horizontal (Mpa)]])</f>
        <v>263.86673016639315</v>
      </c>
      <c r="S10" s="143">
        <f>(Table37[[#This Row],[FShorizontal]]-1)</f>
        <v>262.86673016639315</v>
      </c>
    </row>
    <row r="11" spans="2:20">
      <c r="B11">
        <v>4</v>
      </c>
      <c r="C11" t="s">
        <v>197</v>
      </c>
      <c r="D11" t="s">
        <v>242</v>
      </c>
      <c r="E11" s="140">
        <v>5.9119762763545935E-4</v>
      </c>
      <c r="F11" s="146"/>
      <c r="G11" s="31">
        <f>VLOOKUP(Table37[[#This Row],[Location]],External_Loads[[Location]:[Axial Load (N)]],3,FALSE)</f>
        <v>3091.4339005194402</v>
      </c>
      <c r="H11" s="31">
        <f>VLOOKUP(Table37[[#This Row],[Location]],External_Loads[[Location]:[Axial Load (N)]],4,FALSE)</f>
        <v>7421.9678369963822</v>
      </c>
      <c r="I11" s="31">
        <f>VLOOKUP(Table37[[#This Row],[Location]],External_Loads[[Location]:[Axial Load (N)]],5,FALSE)</f>
        <v>4443.078687611599</v>
      </c>
      <c r="J11" s="145">
        <f>(Table37[[#This Row],[Shear (N)]]/(2*PI()*$C$3*Table37[[#This Row],[Thickness (m)]]))/(10^6)</f>
        <v>1.9815184647885955</v>
      </c>
      <c r="K11" s="31">
        <f>Table37[[#This Row],[Axial Load (N)]]/(PI()*((($C$3+Table37[[#This Row],[Thickness (m)]])^2)-(($C$3)^2)))/10^6</f>
        <v>2.8458801827937181</v>
      </c>
      <c r="L11" s="31">
        <f>((-Table37[[#This Row],[Axial Load (N)]]/(2*PI()*$C$3*Table37[[#This Row],[Thickness (m)]]))/(10^6))</f>
        <v>-2.8478831323327851</v>
      </c>
      <c r="M11" s="142">
        <f>(Table37[[#This Row],[Bending Moment (Nm)]]/(PI()*($C$3^2)*Table37[[#This Row],[Thickness (m)]]))/(10^6)</f>
        <v>22.653636725484898</v>
      </c>
      <c r="N11" s="142">
        <f>-ABS(Table37[[#This Row],[σa (MPA)]])-ABS(Table37[[#This Row],[σb (Mpa)]])+Table37[[#This Row],[σaxial (MPA)]]</f>
        <v>-22.655639675023966</v>
      </c>
      <c r="O11" s="142">
        <f>Table37[[#This Row],[σaxial (MPA)]]*2</f>
        <v>5.6917603655874363</v>
      </c>
      <c r="P11" s="30">
        <f>ABS(VLOOKUP(Table37[[#This Row],[Material]],Table7[[Material]:[Source]],5,FALSE)/Table37[[#This Row],[σmax-vertical (Mpa)]])</f>
        <v>21.654652308972203</v>
      </c>
      <c r="Q11" s="149">
        <f>(Table37[[#This Row],[FSvertical]]-1)</f>
        <v>20.654652308972203</v>
      </c>
      <c r="R11" s="30">
        <f>ABS(VLOOKUP(Table37[[#This Row],[Material]],Table7[[Material]:[Source]],5,FALSE)/Table37[[#This Row],[σmax-horizontal (Mpa)]])</f>
        <v>86.194774285682016</v>
      </c>
      <c r="S11" s="143">
        <f>(Table37[[#This Row],[FShorizontal]]-1)</f>
        <v>85.194774285682016</v>
      </c>
    </row>
    <row r="12" spans="2:20">
      <c r="B12">
        <v>5</v>
      </c>
      <c r="C12" t="s">
        <v>198</v>
      </c>
      <c r="D12" t="s">
        <v>241</v>
      </c>
      <c r="E12" s="140">
        <v>5.8644606828182943E-4</v>
      </c>
      <c r="F12" s="146">
        <v>300000</v>
      </c>
      <c r="G12" s="31">
        <f>VLOOKUP(Table37[[#This Row],[Location]],External_Loads[[Location]:[Axial Load (N)]],3,FALSE)</f>
        <v>3651.5481831027246</v>
      </c>
      <c r="H12" s="31">
        <f>VLOOKUP(Table37[[#This Row],[Location]],External_Loads[[Location]:[Axial Load (N)]],4,FALSE)</f>
        <v>10511.441123033139</v>
      </c>
      <c r="I12" s="31">
        <f>VLOOKUP(Table37[[#This Row],[Location]],External_Loads[[Location]:[Axial Load (N)]],5,FALSE)</f>
        <v>4674.1304716295945</v>
      </c>
      <c r="J12" s="145">
        <f>(Table37[[#This Row],[Shear (N)]]/(2*PI()*$C$3*Table37[[#This Row],[Thickness (m)]]))/(10^6)</f>
        <v>2.35949900154184</v>
      </c>
      <c r="K12" s="31">
        <f>Table37[[#This Row],[Axial Load (N)]]/(PI()*((($C$3+Table37[[#This Row],[Thickness (m)]])^2)-(($C$3)^2)))/10^6</f>
        <v>3.0181477493092328</v>
      </c>
      <c r="L12" s="31">
        <f>((-Table37[[#This Row],[Axial Load (N)]]/(2*PI()*$C$3*Table37[[#This Row],[Thickness (m)]]))/(10^6))</f>
        <v>-3.0202548694059126</v>
      </c>
      <c r="M12" s="142">
        <f>(Table37[[#This Row],[Bending Moment (Nm)]]/(PI()*($C$3^2)*Table37[[#This Row],[Thickness (m)]]))/(10^6)</f>
        <v>32.343404301418765</v>
      </c>
      <c r="N12" s="142">
        <f>-ABS(Table37[[#This Row],[σa (MPA)]])-ABS(Table37[[#This Row],[σb (Mpa)]])+Table37[[#This Row],[σaxial (MPA)]]</f>
        <v>-32.34551142151544</v>
      </c>
      <c r="O12" s="142">
        <f>Table37[[#This Row],[σaxial (MPA)]]*2</f>
        <v>6.0362954986184656</v>
      </c>
      <c r="P12" s="30">
        <f>ABS(VLOOKUP(Table37[[#This Row],[Material]],Table7[[Material]:[Source]],5,FALSE)/Table37[[#This Row],[σmax-vertical (Mpa)]])</f>
        <v>15.550843931483389</v>
      </c>
      <c r="Q12" s="149">
        <f>(Table37[[#This Row],[FSvertical]]-1)</f>
        <v>14.550843931483389</v>
      </c>
      <c r="R12" s="30">
        <f>ABS(VLOOKUP(Table37[[#This Row],[Material]],Table7[[Material]:[Source]],5,FALSE)/Table37[[#This Row],[σmax-horizontal (Mpa)]])</f>
        <v>83.329253863586075</v>
      </c>
      <c r="S12" s="143">
        <f>(Table37[[#This Row],[FShorizontal]]-1)</f>
        <v>82.329253863586075</v>
      </c>
    </row>
    <row r="13" spans="2:20">
      <c r="B13">
        <v>6</v>
      </c>
      <c r="C13" t="s">
        <v>199</v>
      </c>
      <c r="D13" t="s">
        <v>241</v>
      </c>
      <c r="E13" s="140">
        <v>5.0000000000000001E-4</v>
      </c>
      <c r="F13" s="146"/>
      <c r="G13" s="31">
        <f>VLOOKUP(Table37[[#This Row],[Location]],External_Loads[[Location]:[Axial Load (N)]],3,FALSE)</f>
        <v>4015.6010712930138</v>
      </c>
      <c r="H13" s="31">
        <f>VLOOKUP(Table37[[#This Row],[Location]],External_Loads[[Location]:[Axial Load (N)]],4,FALSE)</f>
        <v>12687.891601997655</v>
      </c>
      <c r="I13" s="31">
        <f>VLOOKUP(Table37[[#This Row],[Location]],External_Loads[[Location]:[Axial Load (N)]],5,FALSE)</f>
        <v>12199.554359192365</v>
      </c>
      <c r="J13" s="145">
        <f>(Table37[[#This Row],[Shear (N)]]/(2*PI()*(($C$4+$C$3)/2)*Table37[[#This Row],[Thickness (m)]]))/(10^6)</f>
        <v>2.9384034941673263</v>
      </c>
      <c r="K13" s="31">
        <f>Table37[[#This Row],[Axial Load (N)]]/(PI()*((($C$4+Table37[[#This Row],[Thickness (m)]])^2)-(($C$4)^2)))/10^6</f>
        <v>8.624628005702645</v>
      </c>
      <c r="L13" s="31">
        <f>((-Table37[[#This Row],[Axial Load (N)]]/(2*PI()*$C$3*Table37[[#This Row],[Thickness (m)]]))/(10^6))</f>
        <v>-9.245806570398786</v>
      </c>
      <c r="M13" s="142">
        <f>(Table37[[#This Row],[Bending Moment (Nm)]]/(PI()*((($C$4+$C$3)/2)^2)*Table37[[#This Row],[Thickness (m)]]))/(10^6)</f>
        <v>42.686551266948314</v>
      </c>
      <c r="N13" s="142">
        <f>-ABS(Table37[[#This Row],[σa (MPA)]])-ABS(Table37[[#This Row],[σb (Mpa)]])+Table37[[#This Row],[σaxial (MPA)]]</f>
        <v>-43.307729831644451</v>
      </c>
      <c r="O13" s="142">
        <f>Table37[[#This Row],[σaxial (MPA)]]*2</f>
        <v>17.24925601140529</v>
      </c>
      <c r="P13" s="30">
        <f>ABS(VLOOKUP(Table37[[#This Row],[Material]],Table7[[Material]:[Source]],5,FALSE)/Table37[[#This Row],[σmax-vertical (Mpa)]])</f>
        <v>11.614554767829548</v>
      </c>
      <c r="Q13" s="149">
        <f>(Table37[[#This Row],[FSvertical]]-1)</f>
        <v>10.614554767829548</v>
      </c>
      <c r="R13" s="30">
        <f>ABS(VLOOKUP(Table37[[#This Row],[Material]],Table7[[Material]:[Source]],5,FALSE)/Table37[[#This Row],[σmax-horizontal (Mpa)]])</f>
        <v>29.160677983294701</v>
      </c>
      <c r="S13" s="143">
        <f>(Table37[[#This Row],[FShorizontal]]-1)</f>
        <v>28.160677983294701</v>
      </c>
    </row>
    <row r="14" spans="2:20">
      <c r="B14">
        <v>7</v>
      </c>
      <c r="C14" t="s">
        <v>200</v>
      </c>
      <c r="D14" t="s">
        <v>241</v>
      </c>
      <c r="E14" s="140">
        <v>5.0000000000000001E-4</v>
      </c>
      <c r="F14" s="146"/>
      <c r="G14" s="31">
        <f>VLOOKUP(Table37[[#This Row],[Location]],External_Loads[[Location]:[Axial Load (N)]],3,FALSE)</f>
        <v>4617.153462827755</v>
      </c>
      <c r="H14" s="31">
        <f>VLOOKUP(Table37[[#This Row],[Location]],External_Loads[[Location]:[Axial Load (N)]],4,FALSE)</f>
        <v>16710.023761645582</v>
      </c>
      <c r="I14" s="31">
        <f>VLOOKUP(Table37[[#This Row],[Location]],External_Loads[[Location]:[Axial Load (N)]],5,FALSE)</f>
        <v>13409.224747718043</v>
      </c>
      <c r="J14" s="145">
        <f>(Table37[[#This Row],[Shear (N)]]/(2*PI()*$C$4*Table37[[#This Row],[Thickness (m)]]))/(10^6)</f>
        <v>3.2659679849906618</v>
      </c>
      <c r="K14" s="31">
        <f>Table37[[#This Row],[Axial Load (N)]]/(PI()*((($C$4+Table37[[#This Row],[Thickness (m)]])^2)-(($C$4)^2)))/10^6</f>
        <v>9.4798196629853155</v>
      </c>
      <c r="L14" s="31">
        <f>((-Table37[[#This Row],[Axial Load (N)]]/(2*PI()*$C$3*Table37[[#This Row],[Thickness (m)]]))/(10^6))</f>
        <v>-10.162592388711905</v>
      </c>
      <c r="M14" s="142">
        <f>(Table37[[#This Row],[Bending Moment (Nm)]]/(PI()*($C$3^2)*Table37[[#This Row],[Thickness (m)]]))/(10^6)</f>
        <v>60.305734259612727</v>
      </c>
      <c r="N14" s="142">
        <f>-ABS(Table37[[#This Row],[σa (MPA)]])-ABS(Table37[[#This Row],[σb (Mpa)]])+Table37[[#This Row],[σaxial (MPA)]]</f>
        <v>-60.98850698533932</v>
      </c>
      <c r="O14" s="142">
        <f>Table37[[#This Row],[σaxial (MPA)]]*2</f>
        <v>18.959639325970631</v>
      </c>
      <c r="P14" s="30">
        <f>ABS(VLOOKUP(Table37[[#This Row],[Material]],Table7[[Material]:[Source]],5,FALSE)/Table37[[#This Row],[σmax-vertical (Mpa)]])</f>
        <v>8.2474555430732757</v>
      </c>
      <c r="Q14" s="149">
        <f>(Table37[[#This Row],[FSvertical]]-1)</f>
        <v>7.2474555430732757</v>
      </c>
      <c r="R14" s="30">
        <f>ABS(VLOOKUP(Table37[[#This Row],[Material]],Table7[[Material]:[Source]],5,FALSE)/Table37[[#This Row],[σmax-horizontal (Mpa)]])</f>
        <v>26.530040543070779</v>
      </c>
      <c r="S14" s="143">
        <f>(Table37[[#This Row],[FShorizontal]]-1)</f>
        <v>25.530040543070779</v>
      </c>
    </row>
    <row r="15" spans="2:20">
      <c r="B15">
        <v>8</v>
      </c>
      <c r="C15" t="s">
        <v>201</v>
      </c>
      <c r="D15" t="s">
        <v>241</v>
      </c>
      <c r="E15" s="140">
        <v>8.6699268126284065E-4</v>
      </c>
      <c r="F15" s="146">
        <v>300000</v>
      </c>
      <c r="G15" s="31">
        <f>VLOOKUP(Table37[[#This Row],[Location]],External_Loads[[Location]:[Axial Load (N)]],3,FALSE)</f>
        <v>5708.163464015629</v>
      </c>
      <c r="H15" s="31">
        <f>VLOOKUP(Table37[[#This Row],[Location]],External_Loads[[Location]:[Axial Load (N)]],4,FALSE)</f>
        <v>25694.955026581927</v>
      </c>
      <c r="I15" s="31">
        <f>VLOOKUP(Table37[[#This Row],[Location]],External_Loads[[Location]:[Axial Load (N)]],5,FALSE)</f>
        <v>23500.516240685545</v>
      </c>
      <c r="J15" s="145">
        <f>(Table37[[#This Row],[Shear (N)]]/(2*PI()*$C$4*Table37[[#This Row],[Thickness (m)]]))/(10^6)</f>
        <v>2.3285661931267723</v>
      </c>
      <c r="K15" s="31">
        <f>Table37[[#This Row],[Axial Load (N)]]/(PI()*((($C$4+Table37[[#This Row],[Thickness (m)]])^2)-(($C$4)^2)))/10^6</f>
        <v>9.577483746988019</v>
      </c>
      <c r="L15" s="31">
        <f>((-Table37[[#This Row],[Axial Load (N)]]/(2*PI()*$C$3*Table37[[#This Row],[Thickness (m)]]))/(10^6))</f>
        <v>-10.271474976907838</v>
      </c>
      <c r="M15" s="142">
        <f>(Table37[[#This Row],[Bending Moment (Nm)]]/(PI()*($C$3^2)*Table37[[#This Row],[Thickness (m)]]))/(10^6)</f>
        <v>53.479086097567162</v>
      </c>
      <c r="N15" s="142">
        <f>-ABS(Table37[[#This Row],[σa (MPA)]])-ABS(Table37[[#This Row],[σb (Mpa)]])+Table37[[#This Row],[σaxial (MPA)]]</f>
        <v>-54.173077327486979</v>
      </c>
      <c r="O15" s="142">
        <f>Table37[[#This Row],[σaxial (MPA)]]*2</f>
        <v>19.154967493976038</v>
      </c>
      <c r="P15" s="30">
        <f>ABS(VLOOKUP(Table37[[#This Row],[Material]],Table7[[Material]:[Source]],5,FALSE)/Table37[[#This Row],[σmax-vertical (Mpa)]])</f>
        <v>9.2850549537598805</v>
      </c>
      <c r="Q15" s="149">
        <f>(Table37[[#This Row],[FSvertical]]-1)</f>
        <v>8.2850549537598805</v>
      </c>
      <c r="R15" s="30">
        <f>ABS(VLOOKUP(Table37[[#This Row],[Material]],Table7[[Material]:[Source]],5,FALSE)/Table37[[#This Row],[σmax-horizontal (Mpa)]])</f>
        <v>26.259506843756654</v>
      </c>
      <c r="S15" s="143">
        <f>(Table37[[#This Row],[FShorizontal]]-1)</f>
        <v>25.259506843756654</v>
      </c>
    </row>
    <row r="16" spans="2:20">
      <c r="B16">
        <v>9</v>
      </c>
      <c r="C16" t="s">
        <v>202</v>
      </c>
      <c r="D16" t="s">
        <v>242</v>
      </c>
      <c r="E16" s="140">
        <v>5.0000000000000001E-4</v>
      </c>
      <c r="F16" s="146"/>
      <c r="G16" s="31">
        <f>VLOOKUP(Table37[[#This Row],[Location]],External_Loads[[Location]:[Axial Load (N)]],3,FALSE)</f>
        <v>6118.5360189412631</v>
      </c>
      <c r="H16" s="31">
        <f>VLOOKUP(Table37[[#This Row],[Location]],External_Loads[[Location]:[Axial Load (N)]],4,FALSE)</f>
        <v>29871.133751796413</v>
      </c>
      <c r="I16" s="31">
        <f>VLOOKUP(Table37[[#This Row],[Location]],External_Loads[[Location]:[Axial Load (N)]],5,FALSE)</f>
        <v>23774.980678888103</v>
      </c>
      <c r="J16" s="145">
        <f>(Table37[[#This Row],[Shear (N)]]/(2*PI()*$C$4*Table37[[#This Row],[Thickness (m)]]))/(10^6)</f>
        <v>4.3279788973347051</v>
      </c>
      <c r="K16" s="31">
        <f>Table37[[#This Row],[Axial Load (N)]]/(PI()*((($C$4+Table37[[#This Row],[Thickness (m)]])^2)-(($C$4)^2)))/10^6</f>
        <v>16.808020863784431</v>
      </c>
      <c r="L16" s="31">
        <f>((-Table37[[#This Row],[Axial Load (N)]]/(2*PI()*$C$3*Table37[[#This Row],[Thickness (m)]]))/(10^6))</f>
        <v>-18.018598556949275</v>
      </c>
      <c r="M16" s="142">
        <f>(Table37[[#This Row],[Bending Moment (Nm)]]/(PI()*($C$3^2)*Table37[[#This Row],[Thickness (m)]]))/(10^6)</f>
        <v>107.80359619858395</v>
      </c>
      <c r="N16" s="142">
        <f>-ABS(Table37[[#This Row],[σa (MPA)]])-ABS(Table37[[#This Row],[σb (Mpa)]])+Table37[[#This Row],[σaxial (MPA)]]</f>
        <v>-109.01417389174878</v>
      </c>
      <c r="O16" s="142">
        <f>Table37[[#This Row],[σaxial (MPA)]]*2</f>
        <v>33.616041727568863</v>
      </c>
      <c r="P16" s="30">
        <f>ABS(VLOOKUP(Table37[[#This Row],[Material]],Table7[[Material]:[Source]],5,FALSE)/Table37[[#This Row],[σmax-vertical (Mpa)]])</f>
        <v>4.5003322273227191</v>
      </c>
      <c r="Q16" s="149">
        <f>(Table37[[#This Row],[FSvertical]]-1)</f>
        <v>3.5003322273227191</v>
      </c>
      <c r="R16" s="30">
        <f>ABS(VLOOKUP(Table37[[#This Row],[Material]],Table7[[Material]:[Source]],5,FALSE)/Table37[[#This Row],[σmax-horizontal (Mpa)]])</f>
        <v>14.594222721875488</v>
      </c>
      <c r="S16" s="143">
        <f>(Table37[[#This Row],[FShorizontal]]-1)</f>
        <v>13.594222721875488</v>
      </c>
    </row>
    <row r="17" spans="2:19">
      <c r="B17">
        <v>10</v>
      </c>
      <c r="C17" t="s">
        <v>203</v>
      </c>
      <c r="D17" t="s">
        <v>242</v>
      </c>
      <c r="E17" s="140">
        <v>8.8170229318064583E-4</v>
      </c>
      <c r="F17" s="146">
        <v>300000</v>
      </c>
      <c r="G17" s="31">
        <f>VLOOKUP(Table37[[#This Row],[Location]],External_Loads[[Location]:[Axial Load (N)]],3,FALSE)</f>
        <v>7659.2809918223229</v>
      </c>
      <c r="H17" s="31">
        <f>VLOOKUP(Table37[[#This Row],[Location]],External_Loads[[Location]:[Axial Load (N)]],4,FALSE)</f>
        <v>51898.406093669735</v>
      </c>
      <c r="I17" s="31">
        <f>VLOOKUP(Table37[[#This Row],[Location]],External_Loads[[Location]:[Axial Load (N)]],5,FALSE)</f>
        <v>47441.607798653422</v>
      </c>
      <c r="J17" s="145">
        <f>(Table37[[#This Row],[Shear (N)]]/(2*PI()*$C$4*Table37[[#This Row],[Thickness (m)]]))/(10^6)</f>
        <v>3.0723709498131089</v>
      </c>
      <c r="K17" s="31">
        <f>Table37[[#This Row],[Axial Load (N)]]/(PI()*((($C$4+Table37[[#This Row],[Thickness (m)]])^2)-(($C$4)^2)))/10^6</f>
        <v>19.011649094046614</v>
      </c>
      <c r="L17" s="31">
        <f>((-Table37[[#This Row],[Axial Load (N)]]/(2*PI()*$C$3*Table37[[#This Row],[Thickness (m)]]))/(10^6))</f>
        <v>-20.389579522911006</v>
      </c>
      <c r="M17" s="142">
        <f>(Table37[[#This Row],[Bending Moment (Nm)]]/(PI()*($C$3^2)*Table37[[#This Row],[Thickness (m)]]))/(10^6)</f>
        <v>106.21444793980065</v>
      </c>
      <c r="N17" s="142">
        <f>-ABS(Table37[[#This Row],[σa (MPA)]])-ABS(Table37[[#This Row],[σb (Mpa)]])+Table37[[#This Row],[σaxial (MPA)]]</f>
        <v>-107.59237836866504</v>
      </c>
      <c r="O17" s="142">
        <f>Table37[[#This Row],[σaxial (MPA)]]*2</f>
        <v>38.023298188093229</v>
      </c>
      <c r="P17" s="30">
        <f>ABS(VLOOKUP(Table37[[#This Row],[Material]],Table7[[Material]:[Source]],5,FALSE)/Table37[[#This Row],[σmax-vertical (Mpa)]])</f>
        <v>4.5598025384192198</v>
      </c>
      <c r="Q17" s="149">
        <f>(Table37[[#This Row],[FSvertical]]-1)</f>
        <v>3.5598025384192198</v>
      </c>
      <c r="R17" s="30">
        <f>ABS(VLOOKUP(Table37[[#This Row],[Material]],Table7[[Material]:[Source]],5,FALSE)/Table37[[#This Row],[σmax-horizontal (Mpa)]])</f>
        <v>12.90261559039685</v>
      </c>
      <c r="S17" s="143">
        <f>(Table37[[#This Row],[FShorizontal]]-1)</f>
        <v>11.90261559039685</v>
      </c>
    </row>
    <row r="18" spans="2:19">
      <c r="B18">
        <v>11</v>
      </c>
      <c r="C18" t="s">
        <v>204</v>
      </c>
      <c r="D18" t="s">
        <v>241</v>
      </c>
      <c r="E18" s="140">
        <v>5.0000000000000001E-4</v>
      </c>
      <c r="F18" s="146"/>
      <c r="G18" s="31">
        <f>VLOOKUP(Table37[[#This Row],[Location]],External_Loads[[Location]:[Axial Load (N)]],3,FALSE)</f>
        <v>7871.8366955907841</v>
      </c>
      <c r="H18" s="31">
        <f>VLOOKUP(Table37[[#This Row],[Location]],External_Loads[[Location]:[Axial Load (N)]],4,FALSE)</f>
        <v>58879.537216310033</v>
      </c>
      <c r="I18" s="31">
        <f>VLOOKUP(Table37[[#This Row],[Location]],External_Loads[[Location]:[Axial Load (N)]],5,FALSE)</f>
        <v>50232.722876463966</v>
      </c>
      <c r="J18" s="145">
        <f>(Table37[[#This Row],[Shear (N)]]/(2*PI()*$C$4*Table37[[#This Row],[Thickness (m)]]))/(10^6)</f>
        <v>5.5681854280686434</v>
      </c>
      <c r="K18" s="31">
        <f>Table37[[#This Row],[Axial Load (N)]]/(PI()*((($C$4+Table37[[#This Row],[Thickness (m)]])^2)-(($C$4)^2)))/10^6</f>
        <v>35.512653640221352</v>
      </c>
      <c r="L18" s="31">
        <f>((-Table37[[#This Row],[Axial Load (N)]]/(2*PI()*$C$3*Table37[[#This Row],[Thickness (m)]]))/(10^6))</f>
        <v>-38.070410241688442</v>
      </c>
      <c r="M18" s="142">
        <f>(Table37[[#This Row],[Bending Moment (Nm)]]/(PI()*($C$3^2)*Table37[[#This Row],[Thickness (m)]]))/(10^6)</f>
        <v>212.49363707344574</v>
      </c>
      <c r="N18" s="142">
        <f>-ABS(Table37[[#This Row],[σa (MPA)]])-ABS(Table37[[#This Row],[σb (Mpa)]])+Table37[[#This Row],[σaxial (MPA)]]</f>
        <v>-215.05139367491284</v>
      </c>
      <c r="O18" s="142">
        <f>Table37[[#This Row],[σaxial (MPA)]]*2</f>
        <v>71.025307280442703</v>
      </c>
      <c r="P18" s="30">
        <f>ABS(VLOOKUP(Table37[[#This Row],[Material]],Table7[[Material]:[Source]],5,FALSE)/Table37[[#This Row],[σmax-vertical (Mpa)]])</f>
        <v>2.338975774136907</v>
      </c>
      <c r="Q18" s="149">
        <f>(Table37[[#This Row],[FSvertical]]-1)</f>
        <v>1.338975774136907</v>
      </c>
      <c r="R18" s="30">
        <f>ABS(VLOOKUP(Table37[[#This Row],[Material]],Table7[[Material]:[Source]],5,FALSE)/Table37[[#This Row],[σmax-horizontal (Mpa)]])</f>
        <v>7.0819827362929892</v>
      </c>
      <c r="S18" s="143">
        <f>(Table37[[#This Row],[FShorizontal]]-1)</f>
        <v>6.0819827362929892</v>
      </c>
    </row>
    <row r="19" spans="2:19" ht="15.75" thickBot="1">
      <c r="D19" s="31"/>
      <c r="E19" s="31"/>
      <c r="F19" s="31"/>
      <c r="G19" s="31"/>
    </row>
    <row r="20" spans="2:19" ht="15.75" thickBot="1">
      <c r="B20" s="165" t="s">
        <v>243</v>
      </c>
      <c r="C20" s="166"/>
      <c r="D20" s="166"/>
      <c r="E20" s="166"/>
      <c r="F20" s="166"/>
      <c r="G20" s="166"/>
      <c r="H20" s="166"/>
      <c r="I20" s="166"/>
      <c r="J20" s="166"/>
      <c r="K20" s="166"/>
      <c r="L20" s="166"/>
      <c r="M20" s="166"/>
      <c r="N20" s="166"/>
      <c r="O20" s="166"/>
      <c r="P20" s="166"/>
      <c r="Q20" s="166"/>
      <c r="R20" s="166"/>
      <c r="S20" s="167"/>
    </row>
    <row r="21" spans="2:19" ht="18.75">
      <c r="B21" s="15" t="s">
        <v>186</v>
      </c>
      <c r="C21" s="15" t="s">
        <v>187</v>
      </c>
      <c r="D21" s="15" t="s">
        <v>228</v>
      </c>
      <c r="E21" s="15" t="s">
        <v>11</v>
      </c>
      <c r="F21" s="15" t="s">
        <v>229</v>
      </c>
      <c r="G21" s="15" t="s">
        <v>230</v>
      </c>
      <c r="H21" s="15" t="s">
        <v>189</v>
      </c>
      <c r="I21" s="15" t="s">
        <v>190</v>
      </c>
      <c r="J21" s="136" t="s">
        <v>231</v>
      </c>
      <c r="K21" s="136" t="s">
        <v>232</v>
      </c>
      <c r="L21" s="136" t="s">
        <v>233</v>
      </c>
      <c r="M21" s="15" t="s">
        <v>234</v>
      </c>
      <c r="N21" s="15" t="s">
        <v>235</v>
      </c>
      <c r="O21" s="15" t="s">
        <v>236</v>
      </c>
      <c r="P21" s="15" t="s">
        <v>237</v>
      </c>
      <c r="Q21" s="15" t="s">
        <v>238</v>
      </c>
      <c r="R21" s="15" t="s">
        <v>239</v>
      </c>
      <c r="S21" s="15" t="s">
        <v>240</v>
      </c>
    </row>
    <row r="22" spans="2:19">
      <c r="B22">
        <v>1</v>
      </c>
      <c r="C22" t="s">
        <v>193</v>
      </c>
      <c r="D22" t="s">
        <v>241</v>
      </c>
      <c r="E22" s="140">
        <v>5.0000000000000001E-4</v>
      </c>
      <c r="G22" s="31">
        <f>VLOOKUP(Table379[[#This Row],[Location]],Table3[[Location]:[Axial Load (kN)]],3,FALSE)</f>
        <v>2165.3348161791528</v>
      </c>
      <c r="H22" s="31">
        <f>VLOOKUP(Table379[[#This Row],[Location]],Table3[[Location]:[Axial Load (kN)]],4,FALSE)</f>
        <v>3072.4790889237534</v>
      </c>
      <c r="I22" s="31">
        <f>VLOOKUP(Table379[[#This Row],[Location]],Table3[[Location]:[Axial Load (kN)]],5,FALSE)</f>
        <v>1976.8344288175053</v>
      </c>
      <c r="J22" s="31">
        <f>(Table379[[#This Row],[Shear (N)]]/(2*PI()*$C$3*Table379[[#This Row],[Thickness (m)]]))/(10^6)</f>
        <v>1.6410654259232988</v>
      </c>
      <c r="K22" s="31">
        <f>Table379[[#This Row],[Axial Load (N)]]/(PI()*((C$3+Table379[[#This Row],[Thickness (m)]])^2-C$3^2))/10^6</f>
        <v>1.4973133659514164</v>
      </c>
      <c r="L22" s="31">
        <f>(-Table379[[#This Row],[Axial Load (N)]]/(2*PI()*$C$3*Table379[[#This Row],[Thickness (m)]]))/(10^6)</f>
        <v>-1.498204623907379</v>
      </c>
      <c r="M22" s="142">
        <f>(Table379[[#This Row],[Bending Moment (Nm)]]/(PI()*($C$3^2)*Table379[[#This Row],[Thickness (m)]]))/(10^6)</f>
        <v>11.088440692714249</v>
      </c>
      <c r="N22" s="142">
        <f>-ABS(Table379[[#This Row],[σa (MPA)]])-ABS(Table379[[#This Row],[σb (Mpa)]])</f>
        <v>-12.586645316621627</v>
      </c>
      <c r="O22" s="142">
        <f>Table379[[#This Row],[σaxial (MPA)]]*2</f>
        <v>2.9946267319028328</v>
      </c>
      <c r="P22" s="30">
        <f>ABS(VLOOKUP(Table379[[#This Row],[Material]],Table7[[Material]:[Source]],5,FALSE)/Table379[[#This Row],[σmax-vertical (Mpa)]])</f>
        <v>39.962991515757579</v>
      </c>
      <c r="Q22" s="143">
        <f>(Table379[[#This Row],[FSvertical]]-1)</f>
        <v>38.962991515757579</v>
      </c>
      <c r="R22" s="144">
        <f>ABS(VLOOKUP(Table379[[#This Row],[Material]],Table7[[Material]:[Source]],5,FALSE)/Table379[[#This Row],[σmax-horizontal (Mpa)]])</f>
        <v>167.96751149028378</v>
      </c>
      <c r="S22" s="143">
        <f>(Table379[[#This Row],[FShorizontal]]-1)</f>
        <v>166.96751149028378</v>
      </c>
    </row>
    <row r="23" spans="2:19">
      <c r="B23">
        <v>2</v>
      </c>
      <c r="C23" t="s">
        <v>195</v>
      </c>
      <c r="D23" t="s">
        <v>242</v>
      </c>
      <c r="E23" s="140">
        <v>5.0000000000000001E-4</v>
      </c>
      <c r="G23" s="31">
        <f>VLOOKUP(Table379[[#This Row],[Location]],Table3[[Location]:[Axial Load (kN)]],3,FALSE)</f>
        <v>2126.728013203397</v>
      </c>
      <c r="H23" s="31">
        <f>VLOOKUP(Table379[[#This Row],[Location]],Table3[[Location]:[Axial Load (kN)]],4,FALSE)</f>
        <v>4209.2798674178093</v>
      </c>
      <c r="I23" s="31">
        <f>VLOOKUP(Table379[[#This Row],[Location]],Table3[[Location]:[Axial Load (kN)]],5,FALSE)</f>
        <v>2744.697258871473</v>
      </c>
      <c r="J23" s="31">
        <f>(Table379[[#This Row],[Shear (N)]]/(2*PI()*$C$3*Table379[[#This Row],[Thickness (m)]]))/(10^6)</f>
        <v>1.6118060757777446</v>
      </c>
      <c r="K23" s="31">
        <f>Table379[[#This Row],[Axial Load (N)]]/(PI()*((C$3+Table379[[#This Row],[Thickness (m)]])^2-C$3^2))/10^6</f>
        <v>2.0789155790132496</v>
      </c>
      <c r="L23" s="31">
        <f>(-Table379[[#This Row],[Axial Load (N)]]/(2*PI()*$C$3*Table379[[#This Row],[Thickness (m)]]))/(10^6)</f>
        <v>-2.0801530287627163</v>
      </c>
      <c r="M23" s="142">
        <f>(Table379[[#This Row],[Bending Moment (Nm)]]/(PI()*($C$3^2)*Table379[[#This Row],[Thickness (m)]]))/(10^6)</f>
        <v>15.191104257522497</v>
      </c>
      <c r="N23" s="142">
        <f>-ABS(Table379[[#This Row],[σa (MPA)]])-ABS(Table379[[#This Row],[σb (Mpa)]])</f>
        <v>-17.271257286285213</v>
      </c>
      <c r="O23" s="142">
        <f>Table379[[#This Row],[σaxial (MPA)]]*2</f>
        <v>4.1578311580264993</v>
      </c>
      <c r="P23" s="30">
        <f>ABS(VLOOKUP(Table379[[#This Row],[Material]],Table7[[Material]:[Source]],5,FALSE)/Table379[[#This Row],[σmax-vertical (Mpa)]])</f>
        <v>28.405575336404517</v>
      </c>
      <c r="Q23" s="143">
        <f>(Table379[[#This Row],[FSvertical]]-1)</f>
        <v>27.405575336404517</v>
      </c>
      <c r="R23" s="144">
        <f>ABS(VLOOKUP(Table379[[#This Row],[Material]],Table7[[Material]:[Source]],5,FALSE)/Table379[[#This Row],[σmax-horizontal (Mpa)]])</f>
        <v>117.99420932543632</v>
      </c>
      <c r="S23" s="143">
        <f>(Table379[[#This Row],[FShorizontal]]-1)</f>
        <v>116.99420932543632</v>
      </c>
    </row>
    <row r="24" spans="2:19">
      <c r="B24">
        <v>3</v>
      </c>
      <c r="C24" t="s">
        <v>196</v>
      </c>
      <c r="D24" s="30" t="s">
        <v>241</v>
      </c>
      <c r="E24" s="140">
        <v>5.0000000000000001E-4</v>
      </c>
      <c r="F24">
        <v>0</v>
      </c>
      <c r="G24" s="31">
        <f>VLOOKUP(Table379[[#This Row],[Location]],Table3[[Location]:[Axial Load (kN)]],3,FALSE)</f>
        <v>1777.0115976911206</v>
      </c>
      <c r="H24" s="31">
        <f>VLOOKUP(Table379[[#This Row],[Location]],Table3[[Location]:[Axial Load (kN)]],4,FALSE)</f>
        <v>4806.5883747838925</v>
      </c>
      <c r="I24" s="31">
        <f>VLOOKUP(Table379[[#This Row],[Location]],Table3[[Location]:[Axial Load (kN)]],5,FALSE)</f>
        <v>9700.3168863298724</v>
      </c>
      <c r="J24" s="31">
        <f>(Table379[[#This Row],[Shear (N)]]/(2*PI()*$C$3*Table379[[#This Row],[Thickness (m)]]))/(10^6)</f>
        <v>1.3467627604960399</v>
      </c>
      <c r="K24" s="31">
        <f>Table379[[#This Row],[Axial Load (N)]]/(PI()*((C$3+Table379[[#This Row],[Thickness (m)]])^2-C$3^2))/10^6</f>
        <v>7.3473093730738483</v>
      </c>
      <c r="L24" s="31">
        <f>(-Table379[[#This Row],[Axial Load (N)]]/(2*PI()*$C$3*Table379[[#This Row],[Thickness (m)]]))/(10^6)</f>
        <v>-7.3516827715103927</v>
      </c>
      <c r="M24" s="142">
        <f>(Table379[[#This Row],[Bending Moment (Nm)]]/(PI()*($C$3^2)*Table379[[#This Row],[Thickness (m)]]))/(10^6)</f>
        <v>17.346764155439821</v>
      </c>
      <c r="N24" s="142">
        <f>-ABS(Table379[[#This Row],[σa (MPA)]])-ABS(Table379[[#This Row],[σb (Mpa)]])</f>
        <v>-24.698446926950215</v>
      </c>
      <c r="O24" s="142">
        <f>Table379[[#This Row],[σaxial (MPA)]]*2</f>
        <v>14.694618746147697</v>
      </c>
      <c r="P24" s="30">
        <f>ABS(VLOOKUP(Table379[[#This Row],[Material]],Table7[[Material]:[Source]],5,FALSE)/Table379[[#This Row],[σmax-vertical (Mpa)]])</f>
        <v>20.36565300999316</v>
      </c>
      <c r="Q24" s="143">
        <f>(Table379[[#This Row],[FSvertical]]-1)</f>
        <v>19.36565300999316</v>
      </c>
      <c r="R24" s="144">
        <f>ABS(VLOOKUP(Table379[[#This Row],[Material]],Table7[[Material]:[Source]],5,FALSE)/Table379[[#This Row],[σmax-horizontal (Mpa)]])</f>
        <v>34.23021778852651</v>
      </c>
      <c r="S24" s="143">
        <f>(Table379[[#This Row],[FShorizontal]]-1)</f>
        <v>33.23021778852651</v>
      </c>
    </row>
    <row r="25" spans="2:19">
      <c r="B25">
        <v>4</v>
      </c>
      <c r="C25" t="s">
        <v>197</v>
      </c>
      <c r="D25" s="30" t="s">
        <v>241</v>
      </c>
      <c r="E25" s="140">
        <v>5.0000000000000001E-4</v>
      </c>
      <c r="G25" s="31">
        <f>VLOOKUP(Table379[[#This Row],[Location]],Table3[[Location]:[Axial Load (kN)]],3,FALSE)</f>
        <v>1744.9660074027602</v>
      </c>
      <c r="H25" s="31">
        <f>VLOOKUP(Table379[[#This Row],[Location]],Table3[[Location]:[Axial Load (kN)]],4,FALSE)</f>
        <v>6006.0712032254005</v>
      </c>
      <c r="I25" s="31">
        <f>VLOOKUP(Table379[[#This Row],[Location]],Table3[[Location]:[Axial Load (kN)]],5,FALSE)</f>
        <v>10337.681696490996</v>
      </c>
      <c r="J25" s="31">
        <f>(Table379[[#This Row],[Shear (N)]]/(2*PI()*$C$3*Table379[[#This Row],[Thickness (m)]]))/(10^6)</f>
        <v>1.3224760266927531</v>
      </c>
      <c r="K25" s="31">
        <f>Table379[[#This Row],[Axial Load (N)]]/(PI()*((C$3+Table379[[#This Row],[Thickness (m)]])^2-C$3^2))/10^6</f>
        <v>7.8300684930736946</v>
      </c>
      <c r="L25" s="31">
        <f>(-Table379[[#This Row],[Axial Load (N)]]/(2*PI()*$C$3*Table379[[#This Row],[Thickness (m)]]))/(10^6)</f>
        <v>-7.8347292481292987</v>
      </c>
      <c r="M25" s="142">
        <f>(Table379[[#This Row],[Bending Moment (Nm)]]/(PI()*($C$3^2)*Table379[[#This Row],[Thickness (m)]]))/(10^6)</f>
        <v>21.675644457034238</v>
      </c>
      <c r="N25" s="142">
        <f>-ABS(Table379[[#This Row],[σa (MPA)]])-ABS(Table379[[#This Row],[σb (Mpa)]])</f>
        <v>-29.510373705163538</v>
      </c>
      <c r="O25" s="142">
        <f>Table379[[#This Row],[σaxial (MPA)]]*2</f>
        <v>15.660136986147389</v>
      </c>
      <c r="P25" s="30">
        <f>ABS(VLOOKUP(Table379[[#This Row],[Material]],Table7[[Material]:[Source]],5,FALSE)/Table379[[#This Row],[σmax-vertical (Mpa)]])</f>
        <v>17.044853617424312</v>
      </c>
      <c r="Q25" s="143">
        <f>(Table379[[#This Row],[FSvertical]]-1)</f>
        <v>16.044853617424312</v>
      </c>
      <c r="R25" s="144">
        <f>ABS(VLOOKUP(Table379[[#This Row],[Material]],Table7[[Material]:[Source]],5,FALSE)/Table379[[#This Row],[σmax-horizontal (Mpa)]])</f>
        <v>32.119770117269262</v>
      </c>
      <c r="S25" s="143">
        <f>(Table379[[#This Row],[FShorizontal]]-1)</f>
        <v>31.119770117269262</v>
      </c>
    </row>
    <row r="26" spans="2:19">
      <c r="B26">
        <v>5</v>
      </c>
      <c r="C26" t="s">
        <v>198</v>
      </c>
      <c r="D26" t="s">
        <v>241</v>
      </c>
      <c r="E26" s="140">
        <v>5.0000000000000001E-4</v>
      </c>
      <c r="F26">
        <v>0</v>
      </c>
      <c r="G26" s="31">
        <f>VLOOKUP(Table379[[#This Row],[Location]],Table3[[Location]:[Axial Load (kN)]],3,FALSE)</f>
        <v>921.14981360802778</v>
      </c>
      <c r="H26" s="31">
        <f>VLOOKUP(Table379[[#This Row],[Location]],Table3[[Location]:[Axial Load (kN)]],4,FALSE)</f>
        <v>7344.1686396219338</v>
      </c>
      <c r="I26" s="31">
        <f>VLOOKUP(Table379[[#This Row],[Location]],Table3[[Location]:[Axial Load (kN)]],5,FALSE)</f>
        <v>26722.820720013795</v>
      </c>
      <c r="J26" s="31">
        <f>(Table379[[#This Row],[Shear (N)]]/(2*PI()*$C$3*Table379[[#This Row],[Thickness (m)]]))/(10^6)</f>
        <v>0.6981216483995033</v>
      </c>
      <c r="K26" s="31">
        <f>Table379[[#This Row],[Axial Load (N)]]/(PI()*((C$3+Table379[[#This Row],[Thickness (m)]])^2-C$3^2))/10^6</f>
        <v>20.240661563110564</v>
      </c>
      <c r="L26" s="31">
        <f>(-Table379[[#This Row],[Axial Load (N)]]/(2*PI()*$C$3*Table379[[#This Row],[Thickness (m)]]))/(10^6)</f>
        <v>-20.252709575946277</v>
      </c>
      <c r="M26" s="142">
        <f>(Table379[[#This Row],[Bending Moment (Nm)]]/(PI()*($C$3^2)*Table379[[#This Row],[Thickness (m)]]))/(10^6)</f>
        <v>26.504778727807512</v>
      </c>
      <c r="N26" s="142">
        <f>-ABS(Table379[[#This Row],[σa (MPA)]])-ABS(Table379[[#This Row],[σb (Mpa)]])</f>
        <v>-46.757488303753789</v>
      </c>
      <c r="O26" s="142">
        <f>Table379[[#This Row],[σaxial (MPA)]]*2</f>
        <v>40.481323126221127</v>
      </c>
      <c r="P26" s="30">
        <f>ABS(VLOOKUP(Table379[[#This Row],[Material]],Table7[[Material]:[Source]],5,FALSE)/Table379[[#This Row],[σmax-vertical (Mpa)]])</f>
        <v>10.757635156369554</v>
      </c>
      <c r="Q26" s="143">
        <f>(Table379[[#This Row],[FSvertical]]-1)</f>
        <v>9.7576351563695543</v>
      </c>
      <c r="R26" s="144">
        <f>ABS(VLOOKUP(Table379[[#This Row],[Material]],Table7[[Material]:[Source]],5,FALSE)/Table379[[#This Row],[σmax-horizontal (Mpa)]])</f>
        <v>12.425483189658635</v>
      </c>
      <c r="S26" s="143">
        <f>(Table379[[#This Row],[FShorizontal]]-1)</f>
        <v>11.425483189658635</v>
      </c>
    </row>
    <row r="27" spans="2:19">
      <c r="B27">
        <v>6</v>
      </c>
      <c r="C27" t="s">
        <v>199</v>
      </c>
      <c r="D27" t="s">
        <v>241</v>
      </c>
      <c r="E27" s="140">
        <v>5.0000000000000001E-4</v>
      </c>
      <c r="G27" s="31">
        <f>VLOOKUP(Table379[[#This Row],[Location]],Table3[[Location]:[Axial Load (kN)]],3,FALSE)</f>
        <v>837.59733714679328</v>
      </c>
      <c r="H27" s="31">
        <f>VLOOKUP(Table379[[#This Row],[Location]],Table3[[Location]:[Axial Load (kN)]],4,FALSE)</f>
        <v>7827.7722917661486</v>
      </c>
      <c r="I27" s="31">
        <f>VLOOKUP(Table379[[#This Row],[Location]],Table3[[Location]:[Axial Load (kN)]],5,FALSE)</f>
        <v>28384.622166609366</v>
      </c>
      <c r="J27" s="31">
        <f>(Table379[[#This Row],[Shear (N)]]/(2*PI()*(($C$4+$C$3)/2)*Table379[[#This Row],[Thickness (m)]]))/(10^6)</f>
        <v>0.61290922541388937</v>
      </c>
      <c r="K27" s="31">
        <f>Table379[[#This Row],[Axial Load (N)]]/(PI()*((C$3+Table379[[#This Row],[Thickness (m)]])^2-C$3^2))/10^6</f>
        <v>21.499359550798562</v>
      </c>
      <c r="L27" s="31">
        <f>(-Table379[[#This Row],[Axial Load (N)]]/(2*PI()*(($C$4+$C$3)/2)*Table379[[#This Row],[Thickness (m)]]))/(10^6)</f>
        <v>-20.770358278674319</v>
      </c>
      <c r="M27" s="142">
        <f>(Table379[[#This Row],[Bending Moment (Nm)]]/(PI()*((($C$4+$C$3)/2)^2)*Table379[[#This Row],[Thickness (m)]]))/(10^6)</f>
        <v>26.335392334677906</v>
      </c>
      <c r="N27" s="142">
        <f>-ABS(Table379[[#This Row],[σa (MPA)]])-ABS(Table379[[#This Row],[σb (Mpa)]])</f>
        <v>-47.105750613352228</v>
      </c>
      <c r="O27" s="142">
        <f>Table379[[#This Row],[σaxial (MPA)]]*2</f>
        <v>42.998719101597125</v>
      </c>
      <c r="P27" s="30">
        <f>ABS(VLOOKUP(Table379[[#This Row],[Material]],Table7[[Material]:[Source]],5,FALSE)/Table379[[#This Row],[σmax-vertical (Mpa)]])</f>
        <v>10.678101791194546</v>
      </c>
      <c r="Q27" s="143">
        <f>(Table379[[#This Row],[FSvertical]]-1)</f>
        <v>9.6781017911945462</v>
      </c>
      <c r="R27" s="144">
        <f>ABS(VLOOKUP(Table379[[#This Row],[Material]],Table7[[Material]:[Source]],5,FALSE)/Table379[[#This Row],[σmax-horizontal (Mpa)]])</f>
        <v>11.698022883228557</v>
      </c>
      <c r="S27" s="143">
        <f>(Table379[[#This Row],[FShorizontal]]-1)</f>
        <v>10.698022883228557</v>
      </c>
    </row>
    <row r="28" spans="2:19">
      <c r="B28">
        <v>7</v>
      </c>
      <c r="C28" t="s">
        <v>200</v>
      </c>
      <c r="D28" t="s">
        <v>241</v>
      </c>
      <c r="E28" s="140">
        <v>5.0000000000000001E-4</v>
      </c>
      <c r="G28" s="31">
        <f>VLOOKUP(Table379[[#This Row],[Location]],Table3[[Location]:[Axial Load (kN)]],3,FALSE)</f>
        <v>742.20607244817575</v>
      </c>
      <c r="H28" s="31">
        <f>VLOOKUP(Table379[[#This Row],[Location]],Table3[[Location]:[Axial Load (kN)]],4,FALSE)</f>
        <v>7140.5973325963587</v>
      </c>
      <c r="I28" s="31">
        <f>VLOOKUP(Table379[[#This Row],[Location]],Table3[[Location]:[Axial Load (kN)]],5,FALSE)</f>
        <v>31199.15423175523</v>
      </c>
      <c r="J28" s="31">
        <f>(Table379[[#This Row],[Shear (N)]]/(2*PI()*$C$4*Table379[[#This Row],[Thickness (m)]]))/(10^6)</f>
        <v>0.5250034009908825</v>
      </c>
      <c r="K28" s="31">
        <f>Table379[[#This Row],[Axial Load (N)]]/(PI()*((C$4+Table379[[#This Row],[Thickness (m)]])^2-C$4^2))/10^6</f>
        <v>22.056633498147388</v>
      </c>
      <c r="L28" s="31">
        <f>(-Table379[[#This Row],[Axial Load (N)]]/(2*PI()*$C$3*Table379[[#This Row],[Thickness (m)]]))/(10^6)</f>
        <v>-23.645236267953667</v>
      </c>
      <c r="M28" s="142">
        <f>(Table379[[#This Row],[Bending Moment (Nm)]]/(PI()*($C$3^2)*Table379[[#This Row],[Thickness (m)]]))/(10^6)</f>
        <v>25.770098914093268</v>
      </c>
      <c r="N28" s="142">
        <f>-ABS(Table379[[#This Row],[σa (MPA)]])-ABS(Table379[[#This Row],[σb (Mpa)]])</f>
        <v>-49.415335182046931</v>
      </c>
      <c r="O28" s="142">
        <f>Table379[[#This Row],[σaxial (MPA)]]*2</f>
        <v>44.113266996294776</v>
      </c>
      <c r="P28" s="30">
        <f>ABS(VLOOKUP(Table379[[#This Row],[Material]],Table7[[Material]:[Source]],5,FALSE)/Table379[[#This Row],[σmax-vertical (Mpa)]])</f>
        <v>10.179026372014668</v>
      </c>
      <c r="Q28" s="143">
        <f>(Table379[[#This Row],[FSvertical]]-1)</f>
        <v>9.1790263720146683</v>
      </c>
      <c r="R28" s="144">
        <f>ABS(VLOOKUP(Table379[[#This Row],[Material]],Table7[[Material]:[Source]],5,FALSE)/Table379[[#This Row],[σmax-horizontal (Mpa)]])</f>
        <v>11.402465386257806</v>
      </c>
      <c r="S28" s="143">
        <f>(Table379[[#This Row],[FShorizontal]]-1)</f>
        <v>10.402465386257806</v>
      </c>
    </row>
    <row r="29" spans="2:19">
      <c r="B29">
        <v>8</v>
      </c>
      <c r="C29" t="s">
        <v>201</v>
      </c>
      <c r="D29" t="s">
        <v>241</v>
      </c>
      <c r="E29" s="140">
        <v>5.0000000000000001E-4</v>
      </c>
      <c r="F29">
        <v>0</v>
      </c>
      <c r="G29" s="31">
        <f>VLOOKUP(Table379[[#This Row],[Location]],Table3[[Location]:[Axial Load (kN)]],3,FALSE)</f>
        <v>705.27651119882614</v>
      </c>
      <c r="H29" s="31">
        <f>VLOOKUP(Table379[[#This Row],[Location]],Table3[[Location]:[Axial Load (kN)]],4,FALSE)</f>
        <v>5919.4665569621347</v>
      </c>
      <c r="I29" s="31">
        <f>VLOOKUP(Table379[[#This Row],[Location]],Table3[[Location]:[Axial Load (kN)]],5,FALSE)</f>
        <v>31933.657874322693</v>
      </c>
      <c r="J29" s="31">
        <f>(Table379[[#This Row],[Shear (N)]]/(2*PI()*$C$4*Table379[[#This Row],[Thickness (m)]]))/(10^6)</f>
        <v>0.49888108001733189</v>
      </c>
      <c r="K29" s="31">
        <f>Table379[[#This Row],[Axial Load (N)]]/(PI()*((C$4+Table379[[#This Row],[Thickness (m)]])^2-C$4^2))/10^6</f>
        <v>22.575900063094053</v>
      </c>
      <c r="L29" s="31">
        <f>(-Table379[[#This Row],[Axial Load (N)]]/(2*PI()*$C$3*Table379[[#This Row],[Thickness (m)]]))/(10^6)</f>
        <v>-24.201902389066117</v>
      </c>
      <c r="M29" s="142">
        <f>(Table379[[#This Row],[Bending Moment (Nm)]]/(PI()*($C$3^2)*Table379[[#This Row],[Thickness (m)]]))/(10^6)</f>
        <v>21.363092131693563</v>
      </c>
      <c r="N29" s="142">
        <f>-ABS(Table379[[#This Row],[σa (MPA)]])-ABS(Table379[[#This Row],[σb (Mpa)]])</f>
        <v>-45.564994520759683</v>
      </c>
      <c r="O29" s="142">
        <f>Table379[[#This Row],[σaxial (MPA)]]*2</f>
        <v>45.151800126188107</v>
      </c>
      <c r="P29" s="30">
        <f>ABS(VLOOKUP(Table379[[#This Row],[Material]],Table7[[Material]:[Source]],5,FALSE)/Table379[[#This Row],[σmax-vertical (Mpa)]])</f>
        <v>11.039176132696126</v>
      </c>
      <c r="Q29" s="143">
        <f>(Table379[[#This Row],[FSvertical]]-1)</f>
        <v>10.039176132696126</v>
      </c>
      <c r="R29" s="144">
        <f>ABS(VLOOKUP(Table379[[#This Row],[Material]],Table7[[Material]:[Source]],5,FALSE)/Table379[[#This Row],[σmax-horizontal (Mpa)]])</f>
        <v>11.140198144796873</v>
      </c>
      <c r="S29" s="143">
        <f>(Table379[[#This Row],[FShorizontal]]-1)</f>
        <v>10.140198144796873</v>
      </c>
    </row>
    <row r="30" spans="2:19">
      <c r="B30">
        <v>5</v>
      </c>
      <c r="C30" t="s">
        <v>202</v>
      </c>
      <c r="D30" t="s">
        <v>242</v>
      </c>
      <c r="E30" s="140">
        <v>5.0000000000000001E-4</v>
      </c>
      <c r="G30" s="31">
        <f>VLOOKUP(Table379[[#This Row],[Location]],Table3[[Location]:[Axial Load (kN)]],3,FALSE)</f>
        <v>673.16908988158093</v>
      </c>
      <c r="H30" s="31">
        <f>VLOOKUP(Table379[[#This Row],[Location]],Table3[[Location]:[Axial Load (kN)]],4,FALSE)</f>
        <v>5443.4049119029269</v>
      </c>
      <c r="I30" s="31">
        <f>VLOOKUP(Table379[[#This Row],[Location]],Table3[[Location]:[Axial Load (kN)]],5,FALSE)</f>
        <v>32572.252461237265</v>
      </c>
      <c r="J30" s="31">
        <f>(Table379[[#This Row],[Shear (N)]]/(2*PI()*$C$4*Table379[[#This Row],[Thickness (m)]]))/(10^6)</f>
        <v>0.47616972529478219</v>
      </c>
      <c r="K30" s="31">
        <f>Table379[[#This Row],[Axial Load (N)]]/(PI()*((C$4+Table379[[#This Row],[Thickness (m)]])^2-C$4^2))/10^6</f>
        <v>23.027362517904422</v>
      </c>
      <c r="L30" s="31">
        <f>(-Table379[[#This Row],[Axial Load (N)]]/(2*PI()*$C$3*Table379[[#This Row],[Thickness (m)]]))/(10^6)</f>
        <v>-24.685880889728885</v>
      </c>
      <c r="M30" s="142">
        <f>(Table379[[#This Row],[Bending Moment (Nm)]]/(PI()*($C$3^2)*Table379[[#This Row],[Thickness (m)]]))/(10^6)</f>
        <v>19.645006779593057</v>
      </c>
      <c r="N30" s="142">
        <f>-ABS(Table379[[#This Row],[σa (MPA)]])-ABS(Table379[[#This Row],[σb (Mpa)]])</f>
        <v>-44.330887669321939</v>
      </c>
      <c r="O30" s="142">
        <f>Table379[[#This Row],[σaxial (MPA)]]*2</f>
        <v>46.054725035808843</v>
      </c>
      <c r="P30" s="30">
        <f>ABS(VLOOKUP(Table379[[#This Row],[Material]],Table7[[Material]:[Source]],5,FALSE)/Table379[[#This Row],[σmax-vertical (Mpa)]])</f>
        <v>11.066775916140909</v>
      </c>
      <c r="Q30" s="143">
        <f>(Table379[[#This Row],[FSvertical]]-1)</f>
        <v>10.066775916140909</v>
      </c>
      <c r="R30" s="144">
        <f>ABS(VLOOKUP(Table379[[#This Row],[Material]],Table7[[Material]:[Source]],5,FALSE)/Table379[[#This Row],[σmax-horizontal (Mpa)]])</f>
        <v>10.652544328916191</v>
      </c>
      <c r="S30" s="143">
        <f>(Table379[[#This Row],[FShorizontal]]-1)</f>
        <v>9.652544328916191</v>
      </c>
    </row>
    <row r="31" spans="2:19">
      <c r="B31">
        <v>6</v>
      </c>
      <c r="C31" t="s">
        <v>203</v>
      </c>
      <c r="D31" t="s">
        <v>242</v>
      </c>
      <c r="E31" s="140">
        <v>5.0000000000000001E-4</v>
      </c>
      <c r="F31">
        <v>0</v>
      </c>
      <c r="G31" s="31">
        <f>VLOOKUP(Table379[[#This Row],[Location]],Table3[[Location]:[Axial Load (kN)]],3,FALSE)</f>
        <v>-1238.3112480241168</v>
      </c>
      <c r="H31" s="31">
        <f>VLOOKUP(Table379[[#This Row],[Location]],Table3[[Location]:[Axial Load (kN)]],4,FALSE)</f>
        <v>3358.6991834522082</v>
      </c>
      <c r="I31" s="31">
        <f>VLOOKUP(Table379[[#This Row],[Location]],Table3[[Location]:[Axial Load (kN)]],5,FALSE)</f>
        <v>70590.285261790676</v>
      </c>
      <c r="J31" s="31">
        <f>(Table379[[#This Row],[Shear (N)]]/(2*PI()*$C$4*Table379[[#This Row],[Thickness (m)]]))/(10^6)</f>
        <v>-0.87592602759703209</v>
      </c>
      <c r="K31" s="31">
        <f>Table379[[#This Row],[Axial Load (N)]]/(PI()*((C$4+Table379[[#This Row],[Thickness (m)]])^2-C$4^2))/10^6</f>
        <v>49.904687767601636</v>
      </c>
      <c r="L31" s="31">
        <f>(-Table379[[#This Row],[Axial Load (N)]]/(2*PI()*$C$3*Table379[[#This Row],[Thickness (m)]]))/(10^6)</f>
        <v>-53.499013493718834</v>
      </c>
      <c r="M31" s="142">
        <f>(Table379[[#This Row],[Bending Moment (Nm)]]/(PI()*($C$3^2)*Table379[[#This Row],[Thickness (m)]]))/(10^6)</f>
        <v>12.121396313041531</v>
      </c>
      <c r="N31" s="142">
        <f>-ABS(Table379[[#This Row],[σa (MPA)]])-ABS(Table379[[#This Row],[σb (Mpa)]])</f>
        <v>-65.620409806760364</v>
      </c>
      <c r="O31" s="142">
        <f>Table379[[#This Row],[σaxial (MPA)]]*2</f>
        <v>99.809375535203273</v>
      </c>
      <c r="P31" s="30">
        <f>ABS(VLOOKUP(Table379[[#This Row],[Material]],Table7[[Material]:[Source]],5,FALSE)/Table379[[#This Row],[σmax-vertical (Mpa)]])</f>
        <v>7.4763324618776963</v>
      </c>
      <c r="Q31" s="143">
        <f>(Table379[[#This Row],[FSvertical]]-1)</f>
        <v>6.4763324618776963</v>
      </c>
      <c r="R31" s="144">
        <f>ABS(VLOOKUP(Table379[[#This Row],[Material]],Table7[[Material]:[Source]],5,FALSE)/Table379[[#This Row],[σmax-horizontal (Mpa)]])</f>
        <v>4.9153698975600033</v>
      </c>
      <c r="S31" s="143">
        <f>(Table379[[#This Row],[FShorizontal]]-1)</f>
        <v>3.9153698975600033</v>
      </c>
    </row>
    <row r="32" spans="2:19">
      <c r="B32">
        <v>9</v>
      </c>
      <c r="C32" t="s">
        <v>204</v>
      </c>
      <c r="D32" t="s">
        <v>241</v>
      </c>
      <c r="E32" s="140">
        <v>5.0000000000000001E-4</v>
      </c>
      <c r="G32" s="31">
        <f>VLOOKUP(Table379[[#This Row],[Location]],Table3[[Location]:[Axial Load (kN)]],3,FALSE)</f>
        <v>-1564.8216999247795</v>
      </c>
      <c r="H32" s="31">
        <f>VLOOKUP(Table379[[#This Row],[Location]],Table3[[Location]:[Axial Load (kN)]],4,FALSE)</f>
        <v>680.63567155374881</v>
      </c>
      <c r="I32" s="31">
        <f>VLOOKUP(Table379[[#This Row],[Location]],Table3[[Location]:[Axial Load (kN)]],5,FALSE)</f>
        <v>77084.354190421902</v>
      </c>
      <c r="J32" s="31">
        <f>(Table379[[#This Row],[Shear (N)]]/(2*PI()*$C$4*Table379[[#This Row],[Thickness (m)]]))/(10^6)</f>
        <v>-1.1068849271132943</v>
      </c>
      <c r="K32" s="31">
        <f>Table379[[#This Row],[Axial Load (N)]]/(PI()*((C$4+Table379[[#This Row],[Thickness (m)]])^2-C$4^2))/10^6</f>
        <v>54.49575126908384</v>
      </c>
      <c r="L32" s="31">
        <f>(-Table379[[#This Row],[Axial Load (N)]]/(2*PI()*$C$3*Table379[[#This Row],[Thickness (m)]]))/(10^6)</f>
        <v>-58.420742878343354</v>
      </c>
      <c r="M32" s="142">
        <f>(Table379[[#This Row],[Bending Moment (Nm)]]/(PI()*($C$3^2)*Table379[[#This Row],[Thickness (m)]]))/(10^6)</f>
        <v>2.4563839358832396</v>
      </c>
      <c r="N32" s="142">
        <f>-ABS(Table379[[#This Row],[σa (MPA)]])-ABS(Table379[[#This Row],[σb (Mpa)]])</f>
        <v>-60.877126814226592</v>
      </c>
      <c r="O32" s="142">
        <f>Table379[[#This Row],[σaxial (MPA)]]*2</f>
        <v>108.99150253816768</v>
      </c>
      <c r="P32" s="30">
        <f>ABS(VLOOKUP(Table379[[#This Row],[Material]],Table7[[Material]:[Source]],5,FALSE)/Table379[[#This Row],[σmax-vertical (Mpa)]])</f>
        <v>8.2625450037246519</v>
      </c>
      <c r="Q32" s="143">
        <f>(Table379[[#This Row],[FSvertical]]-1)</f>
        <v>7.2625450037246519</v>
      </c>
      <c r="R32" s="144">
        <f>ABS(VLOOKUP(Table379[[#This Row],[Material]],Table7[[Material]:[Source]],5,FALSE)/Table379[[#This Row],[σmax-horizontal (Mpa)]])</f>
        <v>4.6150386799544734</v>
      </c>
      <c r="S32" s="143">
        <f>(Table379[[#This Row],[FShorizontal]]-1)</f>
        <v>3.6150386799544734</v>
      </c>
    </row>
    <row r="33" spans="2:9" ht="15.75" thickBot="1">
      <c r="D33" s="31"/>
      <c r="E33" s="31"/>
      <c r="F33" s="31"/>
      <c r="G33" s="31"/>
    </row>
    <row r="34" spans="2:9" ht="15.75" thickBot="1">
      <c r="B34" s="165" t="s">
        <v>244</v>
      </c>
      <c r="C34" s="166"/>
      <c r="D34" s="166"/>
      <c r="E34" s="166"/>
      <c r="F34" s="166"/>
      <c r="G34" s="166"/>
      <c r="H34" s="166"/>
      <c r="I34" s="167"/>
    </row>
    <row r="35" spans="2:9">
      <c r="B35" s="15" t="s">
        <v>186</v>
      </c>
      <c r="C35" s="15" t="s">
        <v>187</v>
      </c>
      <c r="D35" s="15" t="s">
        <v>228</v>
      </c>
      <c r="E35" s="15" t="s">
        <v>11</v>
      </c>
      <c r="F35" s="15" t="s">
        <v>245</v>
      </c>
      <c r="G35" s="15" t="s">
        <v>246</v>
      </c>
      <c r="H35" s="15" t="s">
        <v>247</v>
      </c>
      <c r="I35" s="15" t="s">
        <v>248</v>
      </c>
    </row>
    <row r="36" spans="2:9">
      <c r="B36">
        <v>1</v>
      </c>
      <c r="C36" t="str">
        <f>C11</f>
        <v>Top of Ox Tank 2</v>
      </c>
      <c r="D36" t="s">
        <v>242</v>
      </c>
      <c r="E36" s="140">
        <f>E11</f>
        <v>5.9119762763545935E-4</v>
      </c>
      <c r="F36" s="139" t="s">
        <v>135</v>
      </c>
      <c r="G36" s="31">
        <f>O10</f>
        <v>1.9062653320591438</v>
      </c>
      <c r="H36" s="31">
        <f>VLOOKUP(Table37910[[#This Row],[Material]],Table7[[Material]:[Website]],5,FALSE)</f>
        <v>490.6</v>
      </c>
      <c r="I36" s="141">
        <f>(Table37910[[#This Row],[Yield Stress (Mpa)]]/Table37910[[#This Row],[Stress (Mpa)]])-1</f>
        <v>256.3618644525497</v>
      </c>
    </row>
    <row r="37" spans="2:9">
      <c r="B37">
        <v>2</v>
      </c>
      <c r="C37" t="str">
        <f>C12</f>
        <v>Bottom of Ox Tank 2</v>
      </c>
      <c r="D37" t="s">
        <v>241</v>
      </c>
      <c r="E37" s="140">
        <f>E12</f>
        <v>5.8644606828182943E-4</v>
      </c>
      <c r="F37" s="139" t="s">
        <v>135</v>
      </c>
      <c r="G37" s="31">
        <f>O12</f>
        <v>6.0362954986184656</v>
      </c>
      <c r="H37" s="31">
        <f>VLOOKUP(Table37910[[#This Row],[Material]],Table7[[Material]:[Website]],5,FALSE)</f>
        <v>503</v>
      </c>
      <c r="I37" s="141">
        <f>(Table37910[[#This Row],[Yield Stress (Mpa)]]/Table37910[[#This Row],[Stress (Mpa)]])-1</f>
        <v>82.329253863586075</v>
      </c>
    </row>
    <row r="38" spans="2:9">
      <c r="B38">
        <v>3</v>
      </c>
      <c r="C38" t="str">
        <f>C28</f>
        <v>Top of Fuel Tank 1</v>
      </c>
      <c r="D38" t="s">
        <v>241</v>
      </c>
      <c r="E38" s="140">
        <f>E28</f>
        <v>5.0000000000000001E-4</v>
      </c>
      <c r="F38" s="139" t="s">
        <v>249</v>
      </c>
      <c r="G38" s="31">
        <v>55</v>
      </c>
      <c r="H38" s="31">
        <f>VLOOKUP(Table37910[[#This Row],[Material]],Table7[[Material]:[Website]],5,FALSE)</f>
        <v>503</v>
      </c>
      <c r="I38" s="141">
        <f>(Table37910[[#This Row],[Yield Stress (Mpa)]]/Table37910[[#This Row],[Stress (Mpa)]])-1</f>
        <v>8.1454545454545446</v>
      </c>
    </row>
    <row r="39" spans="2:9">
      <c r="B39">
        <v>4</v>
      </c>
      <c r="C39" t="str">
        <f>C29</f>
        <v>Bottom of Fuel Tank 1</v>
      </c>
      <c r="D39" t="s">
        <v>241</v>
      </c>
      <c r="E39" s="140">
        <v>5.0000000000000001E-4</v>
      </c>
      <c r="F39" s="139" t="s">
        <v>135</v>
      </c>
      <c r="G39" s="31">
        <f>O15</f>
        <v>19.154967493976038</v>
      </c>
      <c r="H39" s="31">
        <f>VLOOKUP(Table37910[[#This Row],[Material]],Table7[[Material]:[Website]],5,FALSE)</f>
        <v>503</v>
      </c>
      <c r="I39" s="141">
        <f>(Table37910[[#This Row],[Yield Stress (Mpa)]]/Table37910[[#This Row],[Stress (Mpa)]])-1</f>
        <v>25.259506843756654</v>
      </c>
    </row>
    <row r="40" spans="2:9">
      <c r="B40">
        <v>5</v>
      </c>
      <c r="C40" t="str">
        <f>C15</f>
        <v>Bottom of Fuel Tank 1</v>
      </c>
      <c r="D40" t="s">
        <v>241</v>
      </c>
      <c r="E40" s="140">
        <v>5.0000000000000001E-4</v>
      </c>
      <c r="F40" s="139" t="s">
        <v>249</v>
      </c>
      <c r="G40" s="31">
        <v>66</v>
      </c>
      <c r="H40" s="31">
        <f>VLOOKUP(Table37910[[#This Row],[Material]],Table7[[Material]:[Website]],5,FALSE)</f>
        <v>503</v>
      </c>
      <c r="I40" s="141">
        <f>(Table37910[[#This Row],[Yield Stress (Mpa)]]/Table37910[[#This Row],[Stress (Mpa)]])-1</f>
        <v>6.6212121212121211</v>
      </c>
    </row>
    <row r="41" spans="2:9">
      <c r="B41">
        <v>6</v>
      </c>
      <c r="C41" t="s">
        <v>204</v>
      </c>
      <c r="D41" t="s">
        <v>241</v>
      </c>
      <c r="E41" s="140">
        <v>5.0000000000000001E-4</v>
      </c>
      <c r="F41" s="139" t="s">
        <v>249</v>
      </c>
      <c r="G41" s="31">
        <v>73</v>
      </c>
      <c r="H41" s="31">
        <f>VLOOKUP(Table37910[[#This Row],[Material]],Table7[[Material]:[Website]],5,FALSE)</f>
        <v>503</v>
      </c>
      <c r="I41" s="141">
        <f>(Table37910[[#This Row],[Yield Stress (Mpa)]]/Table37910[[#This Row],[Stress (Mpa)]])-1</f>
        <v>5.8904109589041092</v>
      </c>
    </row>
    <row r="42" spans="2:9" ht="15.75" thickBot="1">
      <c r="E42" s="140"/>
      <c r="F42" s="139"/>
      <c r="G42" s="31"/>
      <c r="H42" s="31"/>
      <c r="I42" s="138"/>
    </row>
    <row r="43" spans="2:9" ht="15.75" thickBot="1">
      <c r="B43" s="165" t="s">
        <v>228</v>
      </c>
      <c r="C43" s="172"/>
      <c r="D43" s="172"/>
      <c r="E43" s="172"/>
      <c r="F43" s="172"/>
      <c r="G43" s="172"/>
      <c r="H43" s="172"/>
      <c r="I43" s="173"/>
    </row>
    <row r="44" spans="2:9">
      <c r="B44" s="15" t="s">
        <v>250</v>
      </c>
      <c r="C44" s="15" t="s">
        <v>228</v>
      </c>
      <c r="D44" s="15" t="s">
        <v>251</v>
      </c>
      <c r="E44" s="15" t="s">
        <v>224</v>
      </c>
      <c r="F44" s="15" t="s">
        <v>252</v>
      </c>
      <c r="G44" s="15" t="s">
        <v>253</v>
      </c>
      <c r="H44" s="15" t="s">
        <v>254</v>
      </c>
      <c r="I44" s="15" t="s">
        <v>255</v>
      </c>
    </row>
    <row r="45" spans="2:9">
      <c r="B45" t="s">
        <v>256</v>
      </c>
      <c r="C45" t="s">
        <v>257</v>
      </c>
      <c r="D45">
        <v>-161.5</v>
      </c>
      <c r="E45">
        <v>2840</v>
      </c>
      <c r="F45">
        <f>7.31*10^4</f>
        <v>73100</v>
      </c>
      <c r="G45">
        <v>393</v>
      </c>
      <c r="H45" s="137" t="s">
        <v>258</v>
      </c>
      <c r="I45" s="137" t="s">
        <v>259</v>
      </c>
    </row>
    <row r="46" spans="2:9">
      <c r="B46" t="s">
        <v>260</v>
      </c>
      <c r="C46" t="s">
        <v>261</v>
      </c>
      <c r="D46">
        <v>20</v>
      </c>
      <c r="E46">
        <v>2840</v>
      </c>
      <c r="F46">
        <f>7.31*10^4</f>
        <v>73100</v>
      </c>
      <c r="G46">
        <v>393</v>
      </c>
      <c r="H46" s="137" t="s">
        <v>258</v>
      </c>
      <c r="I46" s="137" t="s">
        <v>259</v>
      </c>
    </row>
    <row r="47" spans="2:9">
      <c r="B47" t="s">
        <v>256</v>
      </c>
      <c r="C47" t="s">
        <v>262</v>
      </c>
      <c r="D47">
        <v>-183</v>
      </c>
      <c r="E47">
        <v>2840</v>
      </c>
      <c r="F47">
        <f>7.31*10^4</f>
        <v>73100</v>
      </c>
      <c r="G47">
        <v>393</v>
      </c>
      <c r="H47" s="137" t="s">
        <v>258</v>
      </c>
      <c r="I47" s="137" t="s">
        <v>259</v>
      </c>
    </row>
    <row r="48" spans="2:9">
      <c r="B48" t="s">
        <v>263</v>
      </c>
      <c r="C48" t="s">
        <v>264</v>
      </c>
      <c r="D48">
        <v>20</v>
      </c>
      <c r="E48">
        <v>2700</v>
      </c>
      <c r="F48">
        <f>7.24*10^4</f>
        <v>72400</v>
      </c>
      <c r="G48">
        <v>276</v>
      </c>
      <c r="H48" s="137" t="s">
        <v>265</v>
      </c>
      <c r="I48" s="137" t="s">
        <v>259</v>
      </c>
    </row>
    <row r="49" spans="2:9">
      <c r="B49" t="s">
        <v>256</v>
      </c>
      <c r="C49" t="s">
        <v>242</v>
      </c>
      <c r="D49">
        <v>-183</v>
      </c>
      <c r="E49">
        <v>2800</v>
      </c>
      <c r="F49">
        <v>73100</v>
      </c>
      <c r="G49">
        <v>490.6</v>
      </c>
      <c r="H49" s="137" t="s">
        <v>266</v>
      </c>
      <c r="I49" s="137" t="s">
        <v>259</v>
      </c>
    </row>
    <row r="50" spans="2:9">
      <c r="B50" t="s">
        <v>263</v>
      </c>
      <c r="C50" t="s">
        <v>241</v>
      </c>
      <c r="D50">
        <v>20</v>
      </c>
      <c r="E50">
        <v>2810</v>
      </c>
      <c r="F50">
        <v>71700</v>
      </c>
      <c r="G50">
        <v>503</v>
      </c>
      <c r="H50" s="137" t="s">
        <v>267</v>
      </c>
      <c r="I50" s="137" t="s">
        <v>259</v>
      </c>
    </row>
    <row r="51" spans="2:9">
      <c r="B51" t="s">
        <v>268</v>
      </c>
      <c r="C51" t="s">
        <v>269</v>
      </c>
      <c r="D51">
        <v>-173</v>
      </c>
      <c r="E51">
        <v>2800</v>
      </c>
      <c r="F51">
        <f>7.24*10^4</f>
        <v>72400</v>
      </c>
      <c r="G51">
        <v>486.5</v>
      </c>
      <c r="H51" s="137" t="s">
        <v>266</v>
      </c>
      <c r="I51" s="137" t="s">
        <v>259</v>
      </c>
    </row>
    <row r="52" spans="2:9">
      <c r="B52" t="s">
        <v>270</v>
      </c>
      <c r="C52" t="s">
        <v>271</v>
      </c>
      <c r="D52">
        <v>20</v>
      </c>
      <c r="E52">
        <v>3100</v>
      </c>
      <c r="F52">
        <f>7.24*10^4</f>
        <v>72400</v>
      </c>
      <c r="G52">
        <v>290</v>
      </c>
      <c r="H52" s="137" t="s">
        <v>272</v>
      </c>
      <c r="I52" s="137" t="s">
        <v>259</v>
      </c>
    </row>
    <row r="53" spans="2:9" ht="15.75" thickBot="1"/>
    <row r="54" spans="2:9" ht="15.75" thickBot="1">
      <c r="B54" s="165" t="s">
        <v>273</v>
      </c>
      <c r="C54" s="172"/>
      <c r="D54" s="172"/>
      <c r="E54" s="172"/>
      <c r="F54" s="172"/>
      <c r="G54" s="172"/>
      <c r="H54" s="172"/>
      <c r="I54" s="173"/>
    </row>
    <row r="55" spans="2:9" ht="18.75">
      <c r="B55" s="15" t="s">
        <v>186</v>
      </c>
      <c r="C55" s="15" t="s">
        <v>187</v>
      </c>
      <c r="D55" s="15" t="s">
        <v>7</v>
      </c>
      <c r="E55" s="15" t="s">
        <v>274</v>
      </c>
      <c r="F55" s="15" t="s">
        <v>275</v>
      </c>
      <c r="G55" s="15" t="s">
        <v>276</v>
      </c>
      <c r="H55" s="15" t="s">
        <v>277</v>
      </c>
      <c r="I55" s="136" t="s">
        <v>278</v>
      </c>
    </row>
    <row r="56" spans="2:9">
      <c r="B56" s="52">
        <v>1</v>
      </c>
      <c r="C56" s="52" t="s">
        <v>193</v>
      </c>
      <c r="D56" s="135">
        <f>VLOOKUP(Table10[[#This Row],[Location]],External_Loads[[Location]:[Height (m)]],2,FALSE)</f>
        <v>9.9589320543507078</v>
      </c>
      <c r="E56" s="134">
        <f>PI()*($C$3*2)*Table10[[#This Row],[Height]]*0.0005</f>
        <v>1.3140501267410195E-2</v>
      </c>
      <c r="F56" s="133">
        <f>Table10[[#This Row],[Vwall (m3)]]*VLOOKUP(VLOOKUP(Table10[[#This Row],[Location]],Table37[[Location]:[Material]],2,FALSE),Table7[[Material]:[Source]],3,FALSE)</f>
        <v>36.924808561422651</v>
      </c>
      <c r="G56" s="132">
        <f>SUM('HW10 and HW11'!E16:E17)</f>
        <v>32.525390896124996</v>
      </c>
      <c r="H56" s="132">
        <f>Table10[[#This Row],[Mwall (kg)]]+'HW10 and HW11'!E17</f>
        <v>49.410765318461848</v>
      </c>
      <c r="I56" s="131">
        <f>Table10[[#This Row],[Mrevised (kg)]]-Table10[[#This Row],[Mprevious (kg)]]</f>
        <v>16.885374422336852</v>
      </c>
    </row>
    <row r="57" spans="2:9">
      <c r="B57" s="52">
        <v>2</v>
      </c>
      <c r="C57" s="52" t="s">
        <v>195</v>
      </c>
      <c r="D57" s="135">
        <f>VLOOKUP(Table10[[#This Row],[Location]],External_Loads[[Location]:[Height (m)]],2,FALSE)</f>
        <v>9.4339320543507075</v>
      </c>
      <c r="E57" s="134">
        <f>PI()*($C$3*2)*Table10[[#This Row],[Height]]*0.0005</f>
        <v>1.2447780087293647E-2</v>
      </c>
      <c r="F57" s="133">
        <f>Table10[[#This Row],[Vwall (m3)]]*VLOOKUP(VLOOKUP(Table10[[#This Row],[Location]],Table37[[Location]:[Material]],2,FALSE),Table7[[Material]:[Source]],3,FALSE)</f>
        <v>34.978262045295146</v>
      </c>
      <c r="G57" s="132">
        <f>SUM('HW10 and HW11'!D19)</f>
        <v>0.22500000000000001</v>
      </c>
      <c r="H57" s="132">
        <f>Table10[[#This Row],[Mwall (kg)]]</f>
        <v>34.978262045295146</v>
      </c>
      <c r="I57" s="131">
        <f>Table10[[#This Row],[Mrevised (kg)]]-Table10[[#This Row],[Mprevious (kg)]]</f>
        <v>34.753262045295145</v>
      </c>
    </row>
    <row r="58" spans="2:9">
      <c r="B58" s="52">
        <v>3</v>
      </c>
      <c r="C58" s="52" t="s">
        <v>196</v>
      </c>
      <c r="D58" s="135">
        <f>VLOOKUP(Table10[[#This Row],[Location]],External_Loads[[Location]:[Height (m)]],2,FALSE)</f>
        <v>9.1530740867790179</v>
      </c>
      <c r="E58" s="134">
        <f>PI()*($C$3*2)*Table10[[#This Row],[Height]]*0.0005</f>
        <v>1.2077196729690988E-2</v>
      </c>
      <c r="F58" s="133">
        <f>Table10[[#This Row],[Vwall (m3)]]*VLOOKUP(VLOOKUP(Table10[[#This Row],[Location]],Table37[[Location]:[Material]],2,FALSE),Table7[[Material]:[Source]],3,FALSE)</f>
        <v>33.936922810431675</v>
      </c>
      <c r="G58" s="132">
        <v>354.67267299411566</v>
      </c>
      <c r="H58" s="132">
        <v>384.9711816868172</v>
      </c>
      <c r="I58" s="131">
        <f>Table10[[#This Row],[Mrevised (kg)]]-Table10[[#This Row],[Mprevious (kg)]]</f>
        <v>30.298508692701546</v>
      </c>
    </row>
    <row r="59" spans="2:9">
      <c r="B59" s="52">
        <v>4</v>
      </c>
      <c r="C59" s="52" t="s">
        <v>197</v>
      </c>
      <c r="D59" s="135">
        <f>VLOOKUP(Table10[[#This Row],[Location]],External_Loads[[Location]:[Height (m)]],2,FALSE)</f>
        <v>8.4780740867790172</v>
      </c>
      <c r="E59" s="134">
        <f>PI()*($C$3^2)*Table10[[#This Row],[Height]]*VLOOKUP(Table10[[#This Row],[Location]],Table37910[[Location]:[MS]],3,FALSE)</f>
        <v>2.777655259252837E-3</v>
      </c>
      <c r="F59" s="133">
        <f>Table10[[#This Row],[Vwall (m3)]]*VLOOKUP(VLOOKUP(Table10[[#This Row],[Location]],Table37[[Location]:[Material]],2,FALSE),Table7[[Material]:[Source]],3,FALSE)</f>
        <v>7.7774347259079439</v>
      </c>
      <c r="G59" s="132">
        <v>1234.0211358099173</v>
      </c>
      <c r="H59" s="132">
        <v>1238.8526669423786</v>
      </c>
      <c r="I59" s="131">
        <f>Table10[[#This Row],[Mrevised (kg)]]-Table10[[#This Row],[Mprevious (kg)]]</f>
        <v>4.8315311324613504</v>
      </c>
    </row>
    <row r="60" spans="2:9">
      <c r="B60" s="52">
        <v>5</v>
      </c>
      <c r="C60" s="52" t="s">
        <v>198</v>
      </c>
      <c r="D60" s="135">
        <f>VLOOKUP(Table10[[#This Row],[Location]],External_Loads[[Location]:[Height (m)]],2,FALSE)</f>
        <v>7.7112411337473521</v>
      </c>
      <c r="E60" s="134">
        <f>(PI()*($C$3*2)*Table10[[#This Row],[Height]]*E12)+((4/3)*PI()*($C$3^3)*E12)</f>
        <v>1.2115873157417859E-2</v>
      </c>
      <c r="F60" s="133">
        <f>Table10[[#This Row],[Vwall (m3)]]*VLOOKUP(VLOOKUP(Table10[[#This Row],[Location]],Table37[[Location]:[Material]],2,FALSE),Table7[[Material]:[Source]],3,FALSE)</f>
        <v>34.045603572344184</v>
      </c>
      <c r="G60" s="132">
        <v>167.85952177691374</v>
      </c>
      <c r="H60" s="132">
        <v>182.80131095821554</v>
      </c>
      <c r="I60" s="131">
        <f>Table10[[#This Row],[Mrevised (kg)]]-Table10[[#This Row],[Mprevious (kg)]]</f>
        <v>14.9417891813018</v>
      </c>
    </row>
    <row r="61" spans="2:9">
      <c r="B61" s="55">
        <v>6</v>
      </c>
      <c r="C61" s="55" t="s">
        <v>199</v>
      </c>
      <c r="D61" s="130">
        <f>VLOOKUP(Table10[[#This Row],[Location]],External_Loads[[Location]:[Height (m)]],2,FALSE)</f>
        <v>7.1862411337473517</v>
      </c>
      <c r="E61" s="129">
        <f>PI()*($C$4*2)*Table10[[#This Row],[Height]]*0.0005</f>
        <v>1.015930905871746E-2</v>
      </c>
      <c r="F61" s="128">
        <f>Table10[[#This Row],[Vwall (m3)]]*VLOOKUP(VLOOKUP(Table10[[#This Row],[Location]],Table37[[Location]:[Material]],2,FALSE),Table7[[Material]:[Source]],3,FALSE)</f>
        <v>28.547658454996061</v>
      </c>
      <c r="G61" s="127">
        <v>54.708686031026886</v>
      </c>
      <c r="H61" s="127">
        <v>32.141698785986001</v>
      </c>
      <c r="I61" s="126">
        <f>Table10[[#This Row],[Mrevised (kg)]]-Table10[[#This Row],[Mprevious (kg)]]</f>
        <v>-22.566987245040885</v>
      </c>
    </row>
    <row r="62" spans="2:9">
      <c r="B62" s="55">
        <v>7</v>
      </c>
      <c r="C62" s="55" t="s">
        <v>202</v>
      </c>
      <c r="D62" s="130">
        <f>VLOOKUP(Table10[[#This Row],[Location]],External_Loads[[Location]:[Height (m)]],2,FALSE)</f>
        <v>3.9968530192279692</v>
      </c>
      <c r="E62" s="129">
        <f>PI()*($C$4*2)*Table10[[#This Row],[Height]]*0.0005</f>
        <v>5.650417837208147E-3</v>
      </c>
      <c r="F62" s="128">
        <f>Table10[[#This Row],[Vwall (m3)]]*VLOOKUP(VLOOKUP(Table10[[#This Row],[Location]],Table37[[Location]:[Material]],2,FALSE),Table7[[Material]:[Source]],3,FALSE)</f>
        <v>15.821169944182811</v>
      </c>
      <c r="G62" s="127">
        <v>346.63950605517482</v>
      </c>
      <c r="H62" s="127">
        <v>314.91515351234841</v>
      </c>
      <c r="I62" s="126">
        <f>Table10[[#This Row],[Mrevised (kg)]]-Table10[[#This Row],[Mprevious (kg)]]</f>
        <v>-31.724352542826409</v>
      </c>
    </row>
    <row r="63" spans="2:9">
      <c r="B63" s="55">
        <v>8</v>
      </c>
      <c r="C63" s="55" t="s">
        <v>203</v>
      </c>
      <c r="D63" s="128">
        <f>VLOOKUP(Table10[[#This Row],[Location]],External_Loads[[Location]:[Height (m)]],2,FALSE)</f>
        <v>0.89999999999999902</v>
      </c>
      <c r="E63" s="129">
        <f>PI()*($C$4*2)*Table10[[#This Row],[Height]]*0.0005</f>
        <v>1.2723450247038649E-3</v>
      </c>
      <c r="F63" s="128">
        <f>Table10[[#This Row],[Vwall (m3)]]*VLOOKUP(VLOOKUP(Table10[[#This Row],[Location]],Table37[[Location]:[Material]],2,FALSE),Table7[[Material]:[Source]],3,FALSE)</f>
        <v>3.5625660691708214</v>
      </c>
      <c r="G63" s="127">
        <v>4425.5754608428488</v>
      </c>
      <c r="H63" s="127">
        <v>4383.5059571583843</v>
      </c>
      <c r="I63" s="126">
        <f>Table10[[#This Row],[Mrevised (kg)]]-Table10[[#This Row],[Mprevious (kg)]]</f>
        <v>-42.069503684464507</v>
      </c>
    </row>
    <row r="64" spans="2:9">
      <c r="B64" s="55">
        <v>9</v>
      </c>
      <c r="C64" s="55" t="s">
        <v>200</v>
      </c>
      <c r="D64" s="130">
        <f>VLOOKUP(Table10[[#This Row],[Location]],External_Loads[[Location]:[Height (m)]],2,FALSE)</f>
        <v>6.3171248931245394</v>
      </c>
      <c r="E64" s="129">
        <f>PI()*($C$4*2)*Table10[[#This Row],[Height]]*0.0005</f>
        <v>8.9306249202221674E-3</v>
      </c>
      <c r="F64" s="128">
        <f>Table10[[#This Row],[Vwall (m3)]]*VLOOKUP(VLOOKUP(Table10[[#This Row],[Location]],Table37[[Location]:[Material]],2,FALSE),Table7[[Material]:[Source]],3,FALSE)</f>
        <v>25.095056025824292</v>
      </c>
      <c r="G64" s="127">
        <v>42.305472071403557</v>
      </c>
      <c r="H64" s="127">
        <f>Table10[[#This Row],[Mwall (kg)]]</f>
        <v>25.095056025824292</v>
      </c>
      <c r="I64" s="126">
        <f>Table10[[#This Row],[Mrevised (kg)]]-Table10[[#This Row],[Mprevious (kg)]]</f>
        <v>-17.210416045579265</v>
      </c>
    </row>
    <row r="65" spans="2:9">
      <c r="B65" s="55">
        <v>10</v>
      </c>
      <c r="C65" s="55" t="s">
        <v>201</v>
      </c>
      <c r="D65" s="128">
        <f>VLOOKUP(Table10[[#This Row],[Location]],External_Loads[[Location]:[Height (m)]],2,FALSE)</f>
        <v>4.671853019227969</v>
      </c>
      <c r="E65" s="129">
        <f>PI()*($C$4*2)*Table10[[#This Row],[Height]]*0.0005</f>
        <v>6.6046766057360467E-3</v>
      </c>
      <c r="F65" s="128">
        <f>Table10[[#This Row],[Vwall (m3)]]*VLOOKUP(VLOOKUP(Table10[[#This Row],[Location]],Table37[[Location]:[Material]],2,FALSE),Table7[[Material]:[Source]],3,FALSE)</f>
        <v>18.559141262118292</v>
      </c>
      <c r="G65" s="127">
        <v>1209.0431455989853</v>
      </c>
      <c r="H65" s="127">
        <v>1249.3110257721289</v>
      </c>
      <c r="I65" s="126">
        <f>Table10[[#This Row],[Mrevised (kg)]]-Table10[[#This Row],[Mprevious (kg)]]</f>
        <v>40.267880173143567</v>
      </c>
    </row>
    <row r="66" spans="2:9">
      <c r="B66" s="55">
        <v>11</v>
      </c>
      <c r="C66" s="55" t="s">
        <v>204</v>
      </c>
      <c r="D66" s="130">
        <f>VLOOKUP(Table10[[#This Row],[Location]],External_Loads[[Location]:[Height (m)]],2,FALSE)</f>
        <v>1E-3</v>
      </c>
      <c r="E66" s="129">
        <f>PI()*($C$4*2)*Table10[[#This Row],[Height]]*0.0005</f>
        <v>1.4137166941154069E-6</v>
      </c>
      <c r="F66" s="128">
        <f>Table10[[#This Row],[Vwall (m3)]]*VLOOKUP(VLOOKUP(Table10[[#This Row],[Location]],Table37[[Location]:[Material]],2,FALSE),Table7[[Material]:[Source]],3,FALSE)</f>
        <v>3.9725439104642936E-3</v>
      </c>
      <c r="G66" s="127">
        <v>257.59244442734587</v>
      </c>
      <c r="H66" s="127">
        <v>216.53866476770034</v>
      </c>
      <c r="I66" s="126">
        <f>Table10[[#This Row],[Mrevised (kg)]]-Table10[[#This Row],[Mprevious (kg)]]</f>
        <v>-41.053779659645528</v>
      </c>
    </row>
    <row r="67" spans="2:9">
      <c r="H67" s="125" t="s">
        <v>279</v>
      </c>
      <c r="I67" s="124">
        <f>SUBTOTAL(109,Table10[ΔM (kg)])</f>
        <v>-12.646693530316341</v>
      </c>
    </row>
  </sheetData>
  <mergeCells count="7">
    <mergeCell ref="B54:I54"/>
    <mergeCell ref="B2:C2"/>
    <mergeCell ref="E2:F2"/>
    <mergeCell ref="B6:S6"/>
    <mergeCell ref="B20:S20"/>
    <mergeCell ref="B34:I34"/>
    <mergeCell ref="B43:I43"/>
  </mergeCells>
  <hyperlinks>
    <hyperlink ref="H45" r:id="rId1" xr:uid="{63DC1119-C1D6-4EDA-AC4A-29B3AD599BC7}"/>
    <hyperlink ref="H46" r:id="rId2" xr:uid="{3CAA2AB2-7A7E-4139-9836-A638E38B306C}"/>
    <hyperlink ref="H47" r:id="rId3" xr:uid="{83828380-B740-4943-B6CD-2967BDCF9B65}"/>
    <hyperlink ref="I45" r:id="rId4" xr:uid="{D09D2032-F2E0-407E-8CEC-ECD2C68D8C93}"/>
    <hyperlink ref="I46" r:id="rId5" xr:uid="{5E3E8419-1A03-4931-8D0F-8F37B356D2D6}"/>
    <hyperlink ref="I47" r:id="rId6" xr:uid="{1C6CBA81-0EE7-45D1-840E-0A8FE28C9257}"/>
    <hyperlink ref="I49" r:id="rId7" xr:uid="{B906767E-7D85-4BC9-A279-2D0C5FB24BC2}"/>
    <hyperlink ref="H49" r:id="rId8" xr:uid="{E3D42710-A821-441C-AA6B-0FF0BABCEFD9}"/>
    <hyperlink ref="I48" r:id="rId9" xr:uid="{126947F3-47D5-4098-AD1B-A921C925E065}"/>
    <hyperlink ref="H48" r:id="rId10" xr:uid="{95E0CE28-1C0B-4213-AC43-83D6FFF469C9}"/>
    <hyperlink ref="H50" r:id="rId11" xr:uid="{45544212-B6E5-449C-83BB-32DA812B49F7}"/>
    <hyperlink ref="I50" r:id="rId12" xr:uid="{468DC468-02AF-4898-ABBB-B1C0468B04D2}"/>
    <hyperlink ref="H52" r:id="rId13" xr:uid="{302B3BEE-FBD5-4997-BBB2-E38F6D986D61}"/>
    <hyperlink ref="I52" r:id="rId14" xr:uid="{2E6D798E-E302-4B40-8DB0-90A2C42EC990}"/>
    <hyperlink ref="I51" r:id="rId15" xr:uid="{0FFD031C-DFF8-43EC-8D5A-5A8719D34901}"/>
    <hyperlink ref="H51" r:id="rId16" xr:uid="{E7CEA020-FDDD-4533-BB34-3EE6A67A69B4}"/>
  </hyperlinks>
  <pageMargins left="0.7" right="0.7" top="0.75" bottom="0.75" header="0.3" footer="0.3"/>
  <ignoredErrors>
    <ignoredError sqref="J14:K18 M13 K28:K29 L27:M27 J13 K31" calculatedColumn="1"/>
  </ignoredErrors>
  <tableParts count="5">
    <tablePart r:id="rId17"/>
    <tablePart r:id="rId18"/>
    <tablePart r:id="rId19"/>
    <tablePart r:id="rId20"/>
    <tablePart r:id="rId2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Chase H. Edwards</cp:lastModifiedBy>
  <cp:revision/>
  <dcterms:created xsi:type="dcterms:W3CDTF">2020-10-16T19:44:22Z</dcterms:created>
  <dcterms:modified xsi:type="dcterms:W3CDTF">2021-03-20T01:25:29Z</dcterms:modified>
  <cp:category/>
  <cp:contentStatus/>
</cp:coreProperties>
</file>