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csupomona-my.sharepoint.com/personal/vpsheinkman_cpp_edu/Documents/ARO 4711L/Senior Design/Coding Folder/Excel/Ground and Wind Loads/"/>
    </mc:Choice>
  </mc:AlternateContent>
  <xr:revisionPtr revIDLastSave="276" documentId="13_ncr:1_{8ECCCB47-264B-441D-997E-4E71139705B2}" xr6:coauthVersionLast="46" xr6:coauthVersionMax="46" xr10:uidLastSave="{24FCCE25-2803-4F37-A374-F96C6A72C1B6}"/>
  <bookViews>
    <workbookView xWindow="-120" yWindow="-120" windowWidth="29040" windowHeight="15840" firstSheet="1" activeTab="1" xr2:uid="{00000000-000D-0000-FFFF-FFFF00000000}"/>
  </bookViews>
  <sheets>
    <sheet name="CM and J0 for ACS" sheetId="6" r:id="rId1"/>
    <sheet name="HW10 and HW11" sheetId="1" r:id="rId2"/>
    <sheet name="HW9 - CM and J0" sheetId="5" r:id="rId3"/>
    <sheet name="Stresses" sheetId="7" r:id="rId4"/>
  </sheets>
  <externalReferences>
    <externalReference r:id="rId5"/>
    <externalReference r:id="rId6"/>
  </externalReferences>
  <definedNames>
    <definedName name="airloadcone">'HW10 and HW11'!$S$9</definedName>
    <definedName name="airloadskirt">'HW10 and HW11'!$T$9</definedName>
    <definedName name="airloadskirt2">'HW10 and HW11'!$U$9</definedName>
    <definedName name="alpha" localSheetId="3">'[1]HW10 and HW11'!$M$6</definedName>
    <definedName name="alpha">'HW10 and HW11'!$M$5</definedName>
    <definedName name="areacone">'HW10 and HW11'!$S$4</definedName>
    <definedName name="areaskirt" localSheetId="3">'[1]HW10 and HW11'!$T$5</definedName>
    <definedName name="areaskirt">'HW10 and HW11'!$T$4</definedName>
    <definedName name="areaskirt2">'HW10 and HW11'!$U$4</definedName>
    <definedName name="axialcone" localSheetId="3">'[1]HW10 and HW11'!$S$9</definedName>
    <definedName name="axialcone">'HW10 and HW11'!$S$8</definedName>
    <definedName name="axialskirt" localSheetId="3">'[1]HW10 and HW11'!$T$9</definedName>
    <definedName name="axialskirt">'HW10 and HW11'!$T$8</definedName>
    <definedName name="Cd" localSheetId="3">'[1]HW10 and HW11'!$C$7</definedName>
    <definedName name="Cd">'HW10 and HW11'!$C$7</definedName>
    <definedName name="cmmaxq" localSheetId="3">'[1]HW10 and HW11'!$P$6</definedName>
    <definedName name="cmmaxq">'HW10 and HW11'!$P$5</definedName>
    <definedName name="cnalpha" localSheetId="3">'[1]HW10 and HW11'!#REF!</definedName>
    <definedName name="cnalpha">'HW10 and HW11'!#REF!</definedName>
    <definedName name="cnalphacone">'HW10 and HW11'!$S$3</definedName>
    <definedName name="cnalphaskirt">'HW10 and HW11'!$T$3</definedName>
    <definedName name="deltatvc" localSheetId="3">'[2]HW10 and HW11'!$M$7</definedName>
    <definedName name="deltatvc">'HW10 and HW11'!$M$7</definedName>
    <definedName name="dragcone">'HW10 and HW11'!$S$6</definedName>
    <definedName name="dragskirt">'HW10 and HW11'!$T$6</definedName>
    <definedName name="g0" localSheetId="3">'[1]HW10 and HW11'!$C$8</definedName>
    <definedName name="g0">'HW10 and HW11'!$C$8</definedName>
    <definedName name="g0maxq" localSheetId="3">'[1]HW10 and HW11'!#REF!</definedName>
    <definedName name="g0maxq">'HW10 and HW11'!#REF!</definedName>
    <definedName name="hfin" localSheetId="3">'[1]HW10 and HW11'!#REF!</definedName>
    <definedName name="hfin">'HW10 and HW11'!#REF!</definedName>
    <definedName name="hmaxq" localSheetId="3">'[2]HW10 and HW11'!$J$4</definedName>
    <definedName name="hmaxq">'HW10 and HW11'!$J$4</definedName>
    <definedName name="htotal">'HW10 and HW11'!$C$9</definedName>
    <definedName name="I_sp1" localSheetId="3">'[2]HW10 and HW11'!#REF!</definedName>
    <definedName name="I_sp1">'HW10 and HW11'!$F$7</definedName>
    <definedName name="I_sp2">'HW10 and HW11'!$G$7</definedName>
    <definedName name="lfin" localSheetId="3">'[1]HW10 and HW11'!#REF!</definedName>
    <definedName name="lfin">'HW10 and HW11'!#REF!</definedName>
    <definedName name="machmaxq" localSheetId="3">'[2]HW10 and HW11'!#REF!</definedName>
    <definedName name="machmaxq">'HW10 and HW11'!#REF!</definedName>
    <definedName name="mass1" localSheetId="3">'[1]HW10 and HW11'!$F$4</definedName>
    <definedName name="mass1">'HW10 and HW11'!$F$3</definedName>
    <definedName name="mass2">'HW10 and HW11'!$G$3</definedName>
    <definedName name="massmaxq" localSheetId="3">'[1]HW10 and HW11'!$J$9</definedName>
    <definedName name="massmaxq">'HW10 and HW11'!$J$7</definedName>
    <definedName name="mdotmaxq">'HW10 and HW11'!$P$4</definedName>
    <definedName name="mprop_left">'HW10 and HW11'!$P$3</definedName>
    <definedName name="nmax" localSheetId="3">'[1]HW10 and HW11'!$J$11</definedName>
    <definedName name="nmax">'HW10 and HW11'!$J$9</definedName>
    <definedName name="normalcone">'HW10 and HW11'!$S$5</definedName>
    <definedName name="normalskirt">'HW10 and HW11'!$T$5</definedName>
    <definedName name="nx" localSheetId="3">'[1]HW10 and HW11'!#REF!</definedName>
    <definedName name="nx">'HW10 and HW11'!#REF!</definedName>
    <definedName name="nz" localSheetId="3">'[1]HW10 and HW11'!#REF!</definedName>
    <definedName name="nz">'HW10 and HW11'!#REF!</definedName>
    <definedName name="nzmaxq" localSheetId="3">'[1]HW10 and HW11'!$M$9</definedName>
    <definedName name="nzmaxq">'HW10 and HW11'!$M$8</definedName>
    <definedName name="nzmaxqtest">'HW10 and HW11'!$P$7</definedName>
    <definedName name="qmaxq" localSheetId="3">'[1]HW10 and HW11'!$M$4</definedName>
    <definedName name="qmaxq">'HW10 and HW11'!$M$3</definedName>
    <definedName name="radius1">'HW10 and HW11'!$B$5</definedName>
    <definedName name="radius2">'HW10 and HW11'!$B$4</definedName>
    <definedName name="reqtrim" localSheetId="3">'[1]HW10 and HW11'!$M$7</definedName>
    <definedName name="reqtrim">'HW10 and HW11'!$M$6</definedName>
    <definedName name="rho" localSheetId="3">'[1]HW10 and HW11'!$C$6</definedName>
    <definedName name="rho">'HW10 and HW11'!$C$6</definedName>
    <definedName name="rhomaxq" localSheetId="3">'[2]HW10 and HW11'!$J$6</definedName>
    <definedName name="rhomaxq">'HW10 and HW11'!$J$6</definedName>
    <definedName name="shearcone" localSheetId="3">'[1]HW10 and HW11'!$S$8</definedName>
    <definedName name="shearcone">'HW10 and HW11'!$S$7</definedName>
    <definedName name="shearskirt" localSheetId="3">'[1]HW10 and HW11'!$T$8</definedName>
    <definedName name="shearskirt">'HW10 and HW11'!$T$7</definedName>
    <definedName name="shearskirt2">'HW10 and HW11'!$U$7</definedName>
    <definedName name="Struct1" localSheetId="3">'[2]HW10 and HW11'!$X$5</definedName>
    <definedName name="Struct1">'HW10 and HW11'!$F$8</definedName>
    <definedName name="Struct2">'HW10 and HW11'!$G$8</definedName>
    <definedName name="Td">'[2]HW10 and HW11'!$X$3</definedName>
    <definedName name="Thrust">'HW10 and HW11'!$G$5</definedName>
    <definedName name="Thrustmaxq" localSheetId="3">'[1]HW10 and HW11'!$J$10</definedName>
    <definedName name="Thrustmaxq">'HW10 and HW11'!$J$8</definedName>
    <definedName name="ThrustW1">'HW10 and HW11'!$F$4</definedName>
    <definedName name="ThrustW2">'HW10 and HW11'!$G$4</definedName>
    <definedName name="Thurst">'HW10 and HW11'!$F$5</definedName>
    <definedName name="timemaxq" localSheetId="3">'[2]HW10 and HW11'!$J$3</definedName>
    <definedName name="timemaxq">'HW10 and HW11'!$J$3</definedName>
    <definedName name="tmaxq" localSheetId="3">'[1]HW10 and HW11'!#REF!</definedName>
    <definedName name="tmaxq">'HW10 and HW11'!#REF!</definedName>
    <definedName name="TW" localSheetId="3">'[1]HW10 and HW11'!#REF!</definedName>
    <definedName name="TW">'HW10 and HW11'!#REF!</definedName>
    <definedName name="v" localSheetId="3">'[1]HW10 and HW11'!#REF!</definedName>
    <definedName name="v">'HW10 and HW11'!#REF!</definedName>
    <definedName name="Vloss">'HW10 and HW11'!$F$9</definedName>
    <definedName name="Vloss1">'HW10 and HW11'!$F$9</definedName>
    <definedName name="Vloss2">'HW10 and HW11'!$G$9</definedName>
    <definedName name="vmaxq" localSheetId="3">'[1]HW10 and HW11'!$J$6</definedName>
    <definedName name="vmaxq">'HW10 and HW11'!$J$5</definedName>
    <definedName name="vw" localSheetId="3">'[1]HW10 and HW11'!#REF!</definedName>
    <definedName name="vw">'HW10 and HW11'!#REF!</definedName>
    <definedName name="vwindmaxq" localSheetId="3">'[1]HW10 and HW11'!$M$5</definedName>
    <definedName name="vwindmaxq">'HW10 and HW11'!$M$4</definedName>
    <definedName name="wfin" localSheetId="3">'[1]HW10 and HW11'!#REF!</definedName>
    <definedName name="wfin">'HW10 and HW11'!#REF!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J7" i="1"/>
  <c r="P13" i="7"/>
  <c r="R23" i="7"/>
  <c r="S23" i="7" s="1"/>
  <c r="R18" i="7"/>
  <c r="S18" i="7" s="1"/>
  <c r="R19" i="7"/>
  <c r="S19" i="7" s="1"/>
  <c r="R20" i="7"/>
  <c r="S20" i="7" s="1"/>
  <c r="R21" i="7"/>
  <c r="S21" i="7" s="1"/>
  <c r="R22" i="7"/>
  <c r="S22" i="7" s="1"/>
  <c r="R24" i="7"/>
  <c r="S24" i="7" s="1"/>
  <c r="R25" i="7"/>
  <c r="S25" i="7" s="1"/>
  <c r="O15" i="7"/>
  <c r="R15" i="7" s="1"/>
  <c r="S15" i="7" s="1"/>
  <c r="O16" i="7"/>
  <c r="R16" i="7" s="1"/>
  <c r="S16" i="7" s="1"/>
  <c r="O17" i="7"/>
  <c r="O18" i="7"/>
  <c r="O19" i="7"/>
  <c r="O20" i="7"/>
  <c r="O21" i="7"/>
  <c r="O22" i="7"/>
  <c r="O23" i="7"/>
  <c r="O24" i="7"/>
  <c r="O25" i="7"/>
  <c r="R14" i="7"/>
  <c r="I29" i="7"/>
  <c r="K29" i="7" s="1"/>
  <c r="H29" i="7"/>
  <c r="G29" i="7"/>
  <c r="J29" i="7" s="1"/>
  <c r="I9" i="7"/>
  <c r="K9" i="7" s="1"/>
  <c r="I10" i="7"/>
  <c r="K10" i="7" s="1"/>
  <c r="I11" i="7"/>
  <c r="K11" i="7" s="1"/>
  <c r="I12" i="7"/>
  <c r="K12" i="7" s="1"/>
  <c r="I13" i="7"/>
  <c r="K13" i="7" s="1"/>
  <c r="I14" i="7"/>
  <c r="K14" i="7" s="1"/>
  <c r="I15" i="7"/>
  <c r="K15" i="7" s="1"/>
  <c r="I16" i="7"/>
  <c r="K16" i="7" s="1"/>
  <c r="I17" i="7"/>
  <c r="I18" i="7"/>
  <c r="I19" i="7"/>
  <c r="I20" i="7"/>
  <c r="K20" i="7" s="1"/>
  <c r="I21" i="7"/>
  <c r="K21" i="7" s="1"/>
  <c r="I22" i="7"/>
  <c r="K22" i="7" s="1"/>
  <c r="I23" i="7"/>
  <c r="K23" i="7" s="1"/>
  <c r="I24" i="7"/>
  <c r="K24" i="7" s="1"/>
  <c r="I25" i="7"/>
  <c r="K25" i="7" s="1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S29" i="7"/>
  <c r="S30" i="7"/>
  <c r="S31" i="7"/>
  <c r="S32" i="7"/>
  <c r="S33" i="7"/>
  <c r="S34" i="7"/>
  <c r="G9" i="7"/>
  <c r="J9" i="7" s="1"/>
  <c r="G10" i="7"/>
  <c r="J10" i="7" s="1"/>
  <c r="G11" i="7"/>
  <c r="J11" i="7" s="1"/>
  <c r="G12" i="7"/>
  <c r="J12" i="7" s="1"/>
  <c r="G13" i="7"/>
  <c r="J13" i="7" s="1"/>
  <c r="G14" i="7"/>
  <c r="J14" i="7" s="1"/>
  <c r="G15" i="7" l="1"/>
  <c r="J15" i="7" s="1"/>
  <c r="G16" i="7"/>
  <c r="J16" i="7" s="1"/>
  <c r="G79" i="7"/>
  <c r="D79" i="7"/>
  <c r="G78" i="7"/>
  <c r="D78" i="7"/>
  <c r="G77" i="7"/>
  <c r="D77" i="7"/>
  <c r="G76" i="7"/>
  <c r="D76" i="7"/>
  <c r="G75" i="7"/>
  <c r="D75" i="7"/>
  <c r="G74" i="7"/>
  <c r="D74" i="7"/>
  <c r="G73" i="7"/>
  <c r="D73" i="7"/>
  <c r="G72" i="7"/>
  <c r="D72" i="7"/>
  <c r="G71" i="7"/>
  <c r="D71" i="7"/>
  <c r="G70" i="7"/>
  <c r="D70" i="7"/>
  <c r="G69" i="7"/>
  <c r="D69" i="7"/>
  <c r="F65" i="7"/>
  <c r="F64" i="7"/>
  <c r="F61" i="7"/>
  <c r="F60" i="7"/>
  <c r="F59" i="7"/>
  <c r="F58" i="7"/>
  <c r="H54" i="7"/>
  <c r="I54" i="7" s="1"/>
  <c r="H53" i="7"/>
  <c r="I53" i="7" s="1"/>
  <c r="C53" i="7"/>
  <c r="H52" i="7"/>
  <c r="C52" i="7"/>
  <c r="H51" i="7"/>
  <c r="I51" i="7" s="1"/>
  <c r="E51" i="7"/>
  <c r="C51" i="7"/>
  <c r="H50" i="7"/>
  <c r="E50" i="7"/>
  <c r="C50" i="7"/>
  <c r="H49" i="7"/>
  <c r="E49" i="7"/>
  <c r="C49" i="7"/>
  <c r="C5" i="7"/>
  <c r="F71" i="5"/>
  <c r="F70" i="5"/>
  <c r="O10" i="7" l="1"/>
  <c r="R10" i="7" s="1"/>
  <c r="S10" i="7" s="1"/>
  <c r="K18" i="7"/>
  <c r="K17" i="7"/>
  <c r="G52" i="7"/>
  <c r="O14" i="7"/>
  <c r="S14" i="7" s="1"/>
  <c r="O9" i="7"/>
  <c r="R9" i="7" s="1"/>
  <c r="S9" i="7" s="1"/>
  <c r="O29" i="7"/>
  <c r="O13" i="7"/>
  <c r="R13" i="7" s="1"/>
  <c r="S13" i="7" s="1"/>
  <c r="O12" i="7"/>
  <c r="R12" i="7" s="1"/>
  <c r="S12" i="7" s="1"/>
  <c r="K19" i="7"/>
  <c r="G50" i="7" s="1"/>
  <c r="I50" i="7" s="1"/>
  <c r="O11" i="7"/>
  <c r="R11" i="7" s="1"/>
  <c r="S11" i="7" s="1"/>
  <c r="R17" i="7"/>
  <c r="S17" i="7" s="1"/>
  <c r="M29" i="7"/>
  <c r="L29" i="7"/>
  <c r="L9" i="7"/>
  <c r="M11" i="7"/>
  <c r="L10" i="7"/>
  <c r="M12" i="7"/>
  <c r="L11" i="7"/>
  <c r="M13" i="7"/>
  <c r="L12" i="7"/>
  <c r="M14" i="7"/>
  <c r="L13" i="7"/>
  <c r="L14" i="7"/>
  <c r="M9" i="7"/>
  <c r="M10" i="7"/>
  <c r="M18" i="7"/>
  <c r="M15" i="7"/>
  <c r="L15" i="7"/>
  <c r="L18" i="7"/>
  <c r="M17" i="7"/>
  <c r="L19" i="7"/>
  <c r="M22" i="7"/>
  <c r="L25" i="7"/>
  <c r="L20" i="7"/>
  <c r="L16" i="7"/>
  <c r="I52" i="7"/>
  <c r="M24" i="7"/>
  <c r="E72" i="7"/>
  <c r="F72" i="7" s="1"/>
  <c r="H72" i="7" s="1"/>
  <c r="I72" i="7" s="1"/>
  <c r="E76" i="7"/>
  <c r="F76" i="7" s="1"/>
  <c r="H76" i="7" s="1"/>
  <c r="I76" i="7" s="1"/>
  <c r="M20" i="7"/>
  <c r="L21" i="7"/>
  <c r="M21" i="7"/>
  <c r="L22" i="7"/>
  <c r="G49" i="7"/>
  <c r="I49" i="7" s="1"/>
  <c r="E71" i="7"/>
  <c r="F71" i="7" s="1"/>
  <c r="H71" i="7" s="1"/>
  <c r="I71" i="7" s="1"/>
  <c r="E75" i="7"/>
  <c r="F75" i="7" s="1"/>
  <c r="H75" i="7" s="1"/>
  <c r="I75" i="7" s="1"/>
  <c r="E79" i="7"/>
  <c r="F79" i="7" s="1"/>
  <c r="H79" i="7" s="1"/>
  <c r="I79" i="7" s="1"/>
  <c r="M25" i="7"/>
  <c r="E70" i="7"/>
  <c r="F70" i="7" s="1"/>
  <c r="H70" i="7" s="1"/>
  <c r="I70" i="7" s="1"/>
  <c r="E74" i="7"/>
  <c r="F74" i="7" s="1"/>
  <c r="H74" i="7" s="1"/>
  <c r="I74" i="7" s="1"/>
  <c r="E78" i="7"/>
  <c r="F78" i="7" s="1"/>
  <c r="H78" i="7" s="1"/>
  <c r="I78" i="7" s="1"/>
  <c r="M19" i="7"/>
  <c r="L23" i="7"/>
  <c r="E69" i="7"/>
  <c r="F69" i="7" s="1"/>
  <c r="H69" i="7" s="1"/>
  <c r="I69" i="7" s="1"/>
  <c r="E73" i="7"/>
  <c r="F73" i="7" s="1"/>
  <c r="H73" i="7" s="1"/>
  <c r="I73" i="7" s="1"/>
  <c r="E77" i="7"/>
  <c r="F77" i="7" s="1"/>
  <c r="H77" i="7" s="1"/>
  <c r="I77" i="7" s="1"/>
  <c r="M16" i="7"/>
  <c r="N16" i="7" s="1"/>
  <c r="P16" i="7" s="1"/>
  <c r="Q16" i="7" s="1"/>
  <c r="L17" i="7"/>
  <c r="M23" i="7"/>
  <c r="L24" i="7"/>
  <c r="N24" i="7" s="1"/>
  <c r="P24" i="7" s="1"/>
  <c r="Q24" i="7" s="1"/>
  <c r="H77" i="6"/>
  <c r="M105" i="6"/>
  <c r="M106" i="6" s="1"/>
  <c r="M97" i="6"/>
  <c r="M98" i="6" s="1"/>
  <c r="M88" i="6"/>
  <c r="M89" i="6" s="1"/>
  <c r="M80" i="6"/>
  <c r="M79" i="6"/>
  <c r="M115" i="6"/>
  <c r="M113" i="6"/>
  <c r="M114" i="6" s="1"/>
  <c r="M112" i="6"/>
  <c r="M111" i="6"/>
  <c r="M116" i="6" s="1"/>
  <c r="L117" i="6" s="1"/>
  <c r="M104" i="6"/>
  <c r="M96" i="6"/>
  <c r="M87" i="6"/>
  <c r="J87" i="6"/>
  <c r="H87" i="6"/>
  <c r="J85" i="6"/>
  <c r="H85" i="6"/>
  <c r="J83" i="6"/>
  <c r="H83" i="6"/>
  <c r="J81" i="6"/>
  <c r="H81" i="6"/>
  <c r="B81" i="6"/>
  <c r="B79" i="6"/>
  <c r="M78" i="6"/>
  <c r="J78" i="6"/>
  <c r="H78" i="6"/>
  <c r="B78" i="6"/>
  <c r="J77" i="6"/>
  <c r="B77" i="6"/>
  <c r="B76" i="6"/>
  <c r="L72" i="6"/>
  <c r="K72" i="6"/>
  <c r="I72" i="6"/>
  <c r="K73" i="6" s="1"/>
  <c r="D72" i="6"/>
  <c r="F71" i="6"/>
  <c r="F70" i="6"/>
  <c r="F72" i="6" s="1"/>
  <c r="G73" i="6" s="1"/>
  <c r="A7" i="6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E3" i="6"/>
  <c r="E2" i="6"/>
  <c r="E1" i="6"/>
  <c r="G2" i="6" s="1"/>
  <c r="M86" i="6" s="1"/>
  <c r="N18" i="7" l="1"/>
  <c r="P18" i="7" s="1"/>
  <c r="Q18" i="7" s="1"/>
  <c r="N20" i="7"/>
  <c r="P20" i="7" s="1"/>
  <c r="Q20" i="7" s="1"/>
  <c r="N17" i="7"/>
  <c r="P17" i="7" s="1"/>
  <c r="Q17" i="7" s="1"/>
  <c r="N25" i="7"/>
  <c r="P25" i="7" s="1"/>
  <c r="Q25" i="7" s="1"/>
  <c r="N22" i="7"/>
  <c r="P22" i="7" s="1"/>
  <c r="Q22" i="7" s="1"/>
  <c r="N29" i="7"/>
  <c r="P29" i="7" s="1"/>
  <c r="Q29" i="7" s="1"/>
  <c r="N14" i="7"/>
  <c r="P14" i="7" s="1"/>
  <c r="Q14" i="7" s="1"/>
  <c r="N15" i="7"/>
  <c r="P15" i="7" s="1"/>
  <c r="Q15" i="7" s="1"/>
  <c r="N11" i="7"/>
  <c r="P11" i="7" s="1"/>
  <c r="Q11" i="7" s="1"/>
  <c r="N10" i="7"/>
  <c r="P10" i="7" s="1"/>
  <c r="Q10" i="7" s="1"/>
  <c r="N13" i="7"/>
  <c r="Q13" i="7" s="1"/>
  <c r="N9" i="7"/>
  <c r="P9" i="7" s="1"/>
  <c r="Q9" i="7" s="1"/>
  <c r="N12" i="7"/>
  <c r="P12" i="7" s="1"/>
  <c r="Q12" i="7" s="1"/>
  <c r="M95" i="6"/>
  <c r="M100" i="6" s="1"/>
  <c r="M107" i="6"/>
  <c r="M90" i="6"/>
  <c r="M91" i="6" s="1"/>
  <c r="L92" i="6" s="1"/>
  <c r="N19" i="7"/>
  <c r="P19" i="7" s="1"/>
  <c r="Q19" i="7" s="1"/>
  <c r="M77" i="6"/>
  <c r="M99" i="6"/>
  <c r="M103" i="6"/>
  <c r="N21" i="7"/>
  <c r="P21" i="7" s="1"/>
  <c r="Q21" i="7" s="1"/>
  <c r="N23" i="7"/>
  <c r="P23" i="7" s="1"/>
  <c r="Q23" i="7" s="1"/>
  <c r="I80" i="7"/>
  <c r="I79" i="6"/>
  <c r="I80" i="6"/>
  <c r="I82" i="6"/>
  <c r="I84" i="6"/>
  <c r="I86" i="6"/>
  <c r="I88" i="6"/>
  <c r="L101" i="6"/>
  <c r="G13" i="1"/>
  <c r="N13" i="1"/>
  <c r="U4" i="1"/>
  <c r="U3" i="1" s="1"/>
  <c r="T4" i="1"/>
  <c r="T3" i="1" s="1"/>
  <c r="S4" i="1"/>
  <c r="G37" i="1"/>
  <c r="G58" i="1"/>
  <c r="J88" i="1"/>
  <c r="E82" i="6" s="1"/>
  <c r="J85" i="1"/>
  <c r="E79" i="6" s="1"/>
  <c r="L35" i="1"/>
  <c r="L36" i="1" s="1"/>
  <c r="L37" i="1" s="1"/>
  <c r="L38" i="1" s="1"/>
  <c r="L39" i="1" s="1"/>
  <c r="L40" i="1" s="1"/>
  <c r="L41" i="1" s="1"/>
  <c r="H72" i="1"/>
  <c r="I72" i="1" s="1"/>
  <c r="J72" i="1" s="1"/>
  <c r="H51" i="1"/>
  <c r="I51" i="1" s="1"/>
  <c r="J51" i="1" s="1"/>
  <c r="H30" i="1"/>
  <c r="I30" i="1" s="1"/>
  <c r="J30" i="1" s="1"/>
  <c r="Q14" i="1"/>
  <c r="M108" i="6" l="1"/>
  <c r="L109" i="6" s="1"/>
  <c r="J87" i="1"/>
  <c r="E81" i="6" s="1"/>
  <c r="U6" i="1"/>
  <c r="L42" i="1"/>
  <c r="L43" i="1" s="1"/>
  <c r="L44" i="1" s="1"/>
  <c r="L45" i="1" s="1"/>
  <c r="L46" i="1" s="1"/>
  <c r="L47" i="1" s="1"/>
  <c r="L48" i="1" s="1"/>
  <c r="L49" i="1" s="1"/>
  <c r="L50" i="1" s="1"/>
  <c r="L51" i="1" s="1"/>
  <c r="Q15" i="1"/>
  <c r="Q16" i="1" l="1"/>
  <c r="Q17" i="1" l="1"/>
  <c r="Q18" i="1" l="1"/>
  <c r="Q19" i="1" s="1"/>
  <c r="Q20" i="1" l="1"/>
  <c r="N14" i="1" l="1"/>
  <c r="L14" i="1"/>
  <c r="L15" i="1" s="1"/>
  <c r="L16" i="1" s="1"/>
  <c r="L17" i="1" s="1"/>
  <c r="L18" i="1" s="1"/>
  <c r="L19" i="1" s="1"/>
  <c r="L20" i="1" s="1"/>
  <c r="G31" i="1"/>
  <c r="G26" i="1"/>
  <c r="G24" i="1"/>
  <c r="G20" i="1"/>
  <c r="G16" i="1"/>
  <c r="H16" i="1"/>
  <c r="I16" i="1" s="1"/>
  <c r="H17" i="1"/>
  <c r="I17" i="1" s="1"/>
  <c r="J17" i="1" s="1"/>
  <c r="H18" i="1"/>
  <c r="I18" i="1" s="1"/>
  <c r="J18" i="1" s="1"/>
  <c r="H19" i="1"/>
  <c r="I19" i="1" s="1"/>
  <c r="J19" i="1" s="1"/>
  <c r="H20" i="1"/>
  <c r="I20" i="1" s="1"/>
  <c r="H21" i="1"/>
  <c r="I21" i="1" s="1"/>
  <c r="J21" i="1" s="1"/>
  <c r="H22" i="1"/>
  <c r="I22" i="1" s="1"/>
  <c r="J22" i="1" s="1"/>
  <c r="H23" i="1"/>
  <c r="I23" i="1" s="1"/>
  <c r="J23" i="1" s="1"/>
  <c r="H24" i="1"/>
  <c r="I24" i="1" s="1"/>
  <c r="H25" i="1"/>
  <c r="I25" i="1" s="1"/>
  <c r="J25" i="1" s="1"/>
  <c r="H26" i="1"/>
  <c r="I26" i="1" s="1"/>
  <c r="H27" i="1"/>
  <c r="I27" i="1" s="1"/>
  <c r="J27" i="1" s="1"/>
  <c r="H28" i="1"/>
  <c r="I28" i="1" s="1"/>
  <c r="J28" i="1" s="1"/>
  <c r="H29" i="1"/>
  <c r="I29" i="1" s="1"/>
  <c r="J29" i="1" s="1"/>
  <c r="H31" i="1"/>
  <c r="I31" i="1" s="1"/>
  <c r="H32" i="1"/>
  <c r="I32" i="1" s="1"/>
  <c r="J32" i="1" s="1"/>
  <c r="H33" i="1"/>
  <c r="I33" i="1" s="1"/>
  <c r="J33" i="1" s="1"/>
  <c r="H34" i="1"/>
  <c r="I34" i="1" s="1"/>
  <c r="J34" i="1" s="1"/>
  <c r="H35" i="1"/>
  <c r="I35" i="1" s="1"/>
  <c r="J35" i="1" s="1"/>
  <c r="H36" i="1"/>
  <c r="I36" i="1" s="1"/>
  <c r="J36" i="1" s="1"/>
  <c r="E1" i="5"/>
  <c r="E2" i="5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G73" i="1"/>
  <c r="G68" i="1"/>
  <c r="G66" i="1"/>
  <c r="G62" i="1"/>
  <c r="G52" i="1"/>
  <c r="G47" i="1"/>
  <c r="G45" i="1"/>
  <c r="G41" i="1"/>
  <c r="G3" i="1"/>
  <c r="F3" i="1"/>
  <c r="H70" i="1"/>
  <c r="I70" i="1" s="1"/>
  <c r="J70" i="1" s="1"/>
  <c r="H49" i="1"/>
  <c r="I49" i="1" s="1"/>
  <c r="J49" i="1" s="1"/>
  <c r="E3" i="5"/>
  <c r="H78" i="1"/>
  <c r="I78" i="1" s="1"/>
  <c r="J78" i="1" s="1"/>
  <c r="H77" i="1"/>
  <c r="I77" i="1" s="1"/>
  <c r="J77" i="1" s="1"/>
  <c r="H56" i="1"/>
  <c r="I56" i="1" s="1"/>
  <c r="J56" i="1" s="1"/>
  <c r="H57" i="1"/>
  <c r="I57" i="1" s="1"/>
  <c r="J57" i="1" s="1"/>
  <c r="H69" i="1"/>
  <c r="I69" i="1" s="1"/>
  <c r="J69" i="1" s="1"/>
  <c r="H67" i="1"/>
  <c r="I67" i="1" s="1"/>
  <c r="J67" i="1" s="1"/>
  <c r="H63" i="1"/>
  <c r="I63" i="1" s="1"/>
  <c r="J63" i="1" s="1"/>
  <c r="H61" i="1"/>
  <c r="I61" i="1" s="1"/>
  <c r="J61" i="1" s="1"/>
  <c r="H48" i="1"/>
  <c r="I48" i="1" s="1"/>
  <c r="J48" i="1" s="1"/>
  <c r="H46" i="1"/>
  <c r="I46" i="1" s="1"/>
  <c r="J46" i="1" s="1"/>
  <c r="H42" i="1"/>
  <c r="I42" i="1" s="1"/>
  <c r="J42" i="1" s="1"/>
  <c r="H40" i="1"/>
  <c r="I40" i="1" s="1"/>
  <c r="J40" i="1" s="1"/>
  <c r="J82" i="1" l="1"/>
  <c r="E76" i="6" s="1"/>
  <c r="M81" i="6" s="1"/>
  <c r="M82" i="6" s="1"/>
  <c r="L83" i="6" s="1"/>
  <c r="B80" i="6"/>
  <c r="N15" i="1"/>
  <c r="N16" i="1" s="1"/>
  <c r="N17" i="1" s="1"/>
  <c r="N18" i="1" s="1"/>
  <c r="N19" i="1" s="1"/>
  <c r="G2" i="5"/>
  <c r="A23" i="5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J24" i="1"/>
  <c r="J16" i="1"/>
  <c r="L21" i="1"/>
  <c r="L22" i="1" s="1"/>
  <c r="L23" i="1" s="1"/>
  <c r="L24" i="1" s="1"/>
  <c r="L25" i="1" s="1"/>
  <c r="L26" i="1" s="1"/>
  <c r="L27" i="1" s="1"/>
  <c r="L28" i="1" s="1"/>
  <c r="L29" i="1" s="1"/>
  <c r="L30" i="1" s="1"/>
  <c r="J26" i="1"/>
  <c r="J31" i="1"/>
  <c r="J20" i="1"/>
  <c r="P30" i="1"/>
  <c r="N20" i="1" l="1"/>
  <c r="A46" i="5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44" i="5"/>
  <c r="A45" i="5" s="1"/>
  <c r="K80" i="5"/>
  <c r="A65" i="5" l="1"/>
  <c r="A66" i="5" s="1"/>
  <c r="A67" i="5" s="1"/>
  <c r="A68" i="5" s="1"/>
  <c r="A69" i="5" s="1"/>
  <c r="A70" i="5" s="1"/>
  <c r="A71" i="5" s="1"/>
  <c r="M5" i="1" l="1"/>
  <c r="U5" i="1" l="1"/>
  <c r="U7" i="1" s="1"/>
  <c r="Q21" i="1"/>
  <c r="H13" i="1"/>
  <c r="U8" i="1" l="1"/>
  <c r="Q22" i="1"/>
  <c r="Q23" i="1" l="1"/>
  <c r="Q24" i="1" s="1"/>
  <c r="P13" i="1"/>
  <c r="I13" i="1"/>
  <c r="K88" i="5"/>
  <c r="K87" i="5"/>
  <c r="N21" i="1" l="1"/>
  <c r="N22" i="1" s="1"/>
  <c r="N23" i="1" s="1"/>
  <c r="K81" i="5"/>
  <c r="K82" i="5" s="1"/>
  <c r="D72" i="5"/>
  <c r="Q25" i="1" l="1"/>
  <c r="N24" i="1"/>
  <c r="N25" i="1" s="1"/>
  <c r="C9" i="1"/>
  <c r="Q26" i="1" l="1"/>
  <c r="Q27" i="1" s="1"/>
  <c r="Q28" i="1" s="1"/>
  <c r="Q29" i="1" s="1"/>
  <c r="N26" i="1"/>
  <c r="N27" i="1" s="1"/>
  <c r="N28" i="1" s="1"/>
  <c r="L72" i="5"/>
  <c r="I72" i="5" l="1"/>
  <c r="F72" i="5" l="1"/>
  <c r="G73" i="5" s="1"/>
  <c r="J94" i="1" s="1"/>
  <c r="P5" i="1" l="1"/>
  <c r="E88" i="6"/>
  <c r="J13" i="1"/>
  <c r="P14" i="1" s="1"/>
  <c r="U9" i="1" l="1"/>
  <c r="X4" i="1"/>
  <c r="X5" i="1"/>
  <c r="O14" i="1"/>
  <c r="P15" i="1" s="1"/>
  <c r="K72" i="5"/>
  <c r="K73" i="5" s="1"/>
  <c r="H14" i="1"/>
  <c r="H15" i="1"/>
  <c r="H37" i="1"/>
  <c r="H38" i="1"/>
  <c r="H39" i="1"/>
  <c r="H41" i="1"/>
  <c r="H43" i="1"/>
  <c r="H44" i="1"/>
  <c r="H45" i="1"/>
  <c r="H47" i="1"/>
  <c r="H50" i="1"/>
  <c r="H52" i="1"/>
  <c r="H53" i="1"/>
  <c r="H54" i="1"/>
  <c r="H55" i="1"/>
  <c r="H58" i="1"/>
  <c r="H59" i="1"/>
  <c r="H60" i="1"/>
  <c r="H62" i="1"/>
  <c r="H64" i="1"/>
  <c r="H65" i="1"/>
  <c r="H66" i="1"/>
  <c r="H68" i="1"/>
  <c r="H71" i="1"/>
  <c r="H73" i="1"/>
  <c r="H74" i="1"/>
  <c r="H75" i="1"/>
  <c r="O15" i="1" l="1"/>
  <c r="P16" i="1" s="1"/>
  <c r="I58" i="1"/>
  <c r="J58" i="1" s="1"/>
  <c r="I71" i="1"/>
  <c r="J71" i="1" s="1"/>
  <c r="I14" i="1"/>
  <c r="J14" i="1" s="1"/>
  <c r="I68" i="1"/>
  <c r="J68" i="1" s="1"/>
  <c r="I45" i="1"/>
  <c r="I38" i="1"/>
  <c r="I55" i="1"/>
  <c r="J55" i="1" s="1"/>
  <c r="I15" i="1"/>
  <c r="J15" i="1" s="1"/>
  <c r="I52" i="1"/>
  <c r="J52" i="1" s="1"/>
  <c r="I66" i="1"/>
  <c r="J66" i="1" s="1"/>
  <c r="I65" i="1"/>
  <c r="I64" i="1"/>
  <c r="I44" i="1"/>
  <c r="J44" i="1" s="1"/>
  <c r="I76" i="1"/>
  <c r="J76" i="1" s="1"/>
  <c r="I54" i="1"/>
  <c r="J54" i="1" s="1"/>
  <c r="I62" i="1"/>
  <c r="I43" i="1"/>
  <c r="I53" i="1"/>
  <c r="I41" i="1"/>
  <c r="J41" i="1" s="1"/>
  <c r="I75" i="1"/>
  <c r="J75" i="1" s="1"/>
  <c r="I74" i="1"/>
  <c r="I73" i="1"/>
  <c r="J73" i="1" s="1"/>
  <c r="I50" i="1"/>
  <c r="J50" i="1" s="1"/>
  <c r="I47" i="1"/>
  <c r="I60" i="1"/>
  <c r="J60" i="1" s="1"/>
  <c r="I59" i="1"/>
  <c r="J59" i="1" s="1"/>
  <c r="I39" i="1"/>
  <c r="I37" i="1"/>
  <c r="O16" i="1" l="1"/>
  <c r="P17" i="1" s="1"/>
  <c r="O17" i="1"/>
  <c r="J74" i="1"/>
  <c r="J38" i="1"/>
  <c r="J43" i="1"/>
  <c r="J53" i="1"/>
  <c r="J45" i="1"/>
  <c r="J39" i="1"/>
  <c r="J64" i="1"/>
  <c r="J62" i="1"/>
  <c r="J65" i="1"/>
  <c r="J47" i="1"/>
  <c r="J37" i="1"/>
  <c r="P18" i="1" l="1"/>
  <c r="O18" i="1"/>
  <c r="P19" i="1" l="1"/>
  <c r="O19" i="1"/>
  <c r="O20" i="1" l="1"/>
  <c r="G20" i="7"/>
  <c r="J20" i="7" s="1"/>
  <c r="P20" i="1"/>
  <c r="P21" i="1" l="1"/>
  <c r="O21" i="1"/>
  <c r="P22" i="1" l="1"/>
  <c r="G17" i="7"/>
  <c r="J17" i="7" s="1"/>
  <c r="O22" i="1"/>
  <c r="O23" i="1" l="1"/>
  <c r="G19" i="7" s="1"/>
  <c r="J19" i="7" s="1"/>
  <c r="G18" i="7"/>
  <c r="J18" i="7" s="1"/>
  <c r="P23" i="1"/>
  <c r="P24" i="1" s="1"/>
  <c r="O24" i="1"/>
  <c r="O25" i="1" s="1"/>
  <c r="O26" i="1" l="1"/>
  <c r="G21" i="7"/>
  <c r="J21" i="7" s="1"/>
  <c r="P25" i="1"/>
  <c r="P26" i="1" s="1"/>
  <c r="P27" i="1" s="1"/>
  <c r="O27" i="1" l="1"/>
  <c r="G22" i="7"/>
  <c r="J22" i="7" s="1"/>
  <c r="J83" i="1"/>
  <c r="O28" i="1" l="1"/>
  <c r="G23" i="7"/>
  <c r="J23" i="7" s="1"/>
  <c r="P28" i="1"/>
  <c r="P29" i="1" s="1"/>
  <c r="J84" i="1"/>
  <c r="E77" i="6"/>
  <c r="J86" i="1"/>
  <c r="E80" i="6" s="1"/>
  <c r="J89" i="1"/>
  <c r="E83" i="6" s="1"/>
  <c r="J90" i="1"/>
  <c r="E84" i="6" s="1"/>
  <c r="G24" i="7" l="1"/>
  <c r="J24" i="7" s="1"/>
  <c r="O29" i="1"/>
  <c r="G25" i="7" s="1"/>
  <c r="J25" i="7" s="1"/>
  <c r="J93" i="1"/>
  <c r="E78" i="6"/>
  <c r="J91" i="1"/>
  <c r="E85" i="6" s="1"/>
  <c r="J92" i="1"/>
  <c r="E86" i="6" s="1"/>
  <c r="P3" i="1"/>
  <c r="P4" i="1" l="1"/>
  <c r="E87" i="6"/>
  <c r="J9" i="1"/>
  <c r="Q35" i="1" l="1"/>
  <c r="B82" i="6"/>
  <c r="S5" i="1"/>
  <c r="T5" i="1"/>
  <c r="S6" i="1"/>
  <c r="T6" i="1"/>
  <c r="Q36" i="1" l="1"/>
  <c r="I30" i="7"/>
  <c r="T8" i="1"/>
  <c r="S8" i="1"/>
  <c r="S7" i="1"/>
  <c r="T7" i="1"/>
  <c r="T9" i="1" s="1"/>
  <c r="K30" i="7" l="1"/>
  <c r="O30" i="7" s="1"/>
  <c r="L30" i="7"/>
  <c r="Q37" i="1"/>
  <c r="I31" i="7"/>
  <c r="S9" i="1"/>
  <c r="M6" i="1" s="1"/>
  <c r="X3" i="1" s="1"/>
  <c r="X6" i="1" s="1"/>
  <c r="X7" i="1" s="1"/>
  <c r="P35" i="1"/>
  <c r="H30" i="7" s="1"/>
  <c r="M30" i="7" s="1"/>
  <c r="N30" i="7" s="1"/>
  <c r="P30" i="7" s="1"/>
  <c r="Q30" i="7" s="1"/>
  <c r="Q38" i="1" l="1"/>
  <c r="I32" i="7"/>
  <c r="K31" i="7"/>
  <c r="O31" i="7" s="1"/>
  <c r="L31" i="7"/>
  <c r="M7" i="1"/>
  <c r="M8" i="1"/>
  <c r="N35" i="1" s="1"/>
  <c r="O35" i="1" s="1"/>
  <c r="G30" i="7" s="1"/>
  <c r="J30" i="7" s="1"/>
  <c r="N49" i="1" l="1"/>
  <c r="N43" i="1"/>
  <c r="N48" i="1"/>
  <c r="K32" i="7"/>
  <c r="O32" i="7" s="1"/>
  <c r="L32" i="7"/>
  <c r="Q39" i="1"/>
  <c r="I33" i="7"/>
  <c r="N37" i="1"/>
  <c r="N45" i="1"/>
  <c r="N46" i="1"/>
  <c r="N47" i="1"/>
  <c r="N42" i="1"/>
  <c r="N44" i="1"/>
  <c r="N39" i="1"/>
  <c r="N50" i="1"/>
  <c r="N41" i="1"/>
  <c r="N38" i="1"/>
  <c r="N40" i="1"/>
  <c r="N36" i="1"/>
  <c r="O36" i="1" s="1"/>
  <c r="P36" i="1"/>
  <c r="H31" i="7" s="1"/>
  <c r="M31" i="7" s="1"/>
  <c r="N31" i="7" s="1"/>
  <c r="P31" i="7" s="1"/>
  <c r="Q31" i="7" s="1"/>
  <c r="K33" i="7" l="1"/>
  <c r="O33" i="7" s="1"/>
  <c r="L33" i="7"/>
  <c r="Q40" i="1"/>
  <c r="I34" i="7"/>
  <c r="O37" i="1"/>
  <c r="G32" i="7" s="1"/>
  <c r="J32" i="7" s="1"/>
  <c r="G31" i="7"/>
  <c r="J31" i="7" s="1"/>
  <c r="O38" i="1"/>
  <c r="P37" i="1"/>
  <c r="K34" i="7" l="1"/>
  <c r="O34" i="7" s="1"/>
  <c r="L34" i="7"/>
  <c r="Q41" i="1"/>
  <c r="I35" i="7"/>
  <c r="P38" i="1"/>
  <c r="H32" i="7"/>
  <c r="M32" i="7" s="1"/>
  <c r="N32" i="7" s="1"/>
  <c r="P32" i="7" s="1"/>
  <c r="Q32" i="7" s="1"/>
  <c r="O39" i="1"/>
  <c r="G33" i="7"/>
  <c r="J33" i="7" s="1"/>
  <c r="Q42" i="1" l="1"/>
  <c r="I36" i="7"/>
  <c r="K35" i="7"/>
  <c r="L35" i="7"/>
  <c r="O40" i="1"/>
  <c r="G34" i="7"/>
  <c r="J34" i="7" s="1"/>
  <c r="P39" i="1"/>
  <c r="H33" i="7"/>
  <c r="M33" i="7" s="1"/>
  <c r="N33" i="7" s="1"/>
  <c r="P33" i="7" s="1"/>
  <c r="Q33" i="7" s="1"/>
  <c r="K36" i="7" l="1"/>
  <c r="L36" i="7"/>
  <c r="Q43" i="1"/>
  <c r="I37" i="7"/>
  <c r="P40" i="1"/>
  <c r="H34" i="7"/>
  <c r="M34" i="7" s="1"/>
  <c r="N34" i="7" s="1"/>
  <c r="P34" i="7" s="1"/>
  <c r="Q34" i="7" s="1"/>
  <c r="O41" i="1"/>
  <c r="G35" i="7"/>
  <c r="J35" i="7" s="1"/>
  <c r="Q44" i="1" l="1"/>
  <c r="I38" i="7"/>
  <c r="K37" i="7"/>
  <c r="O37" i="7" s="1"/>
  <c r="R37" i="7" s="1"/>
  <c r="S37" i="7" s="1"/>
  <c r="L37" i="7"/>
  <c r="O42" i="1"/>
  <c r="G36" i="7"/>
  <c r="J36" i="7" s="1"/>
  <c r="P41" i="1"/>
  <c r="H35" i="7"/>
  <c r="M35" i="7" s="1"/>
  <c r="N35" i="7" s="1"/>
  <c r="P35" i="7" s="1"/>
  <c r="Q35" i="7" s="1"/>
  <c r="K38" i="7" l="1"/>
  <c r="L38" i="7"/>
  <c r="Q45" i="1"/>
  <c r="I39" i="7"/>
  <c r="H36" i="7"/>
  <c r="M36" i="7" s="1"/>
  <c r="N36" i="7" s="1"/>
  <c r="P36" i="7" s="1"/>
  <c r="Q36" i="7" s="1"/>
  <c r="P42" i="1"/>
  <c r="O43" i="1"/>
  <c r="G37" i="7"/>
  <c r="J37" i="7" s="1"/>
  <c r="K39" i="7" l="1"/>
  <c r="O39" i="7" s="1"/>
  <c r="R39" i="7" s="1"/>
  <c r="S39" i="7" s="1"/>
  <c r="L39" i="7"/>
  <c r="Q46" i="1"/>
  <c r="I40" i="7"/>
  <c r="O44" i="1"/>
  <c r="G38" i="7"/>
  <c r="J38" i="7" s="1"/>
  <c r="P43" i="1"/>
  <c r="H37" i="7"/>
  <c r="M37" i="7" s="1"/>
  <c r="N37" i="7" s="1"/>
  <c r="P37" i="7" s="1"/>
  <c r="Q37" i="7" s="1"/>
  <c r="K40" i="7" l="1"/>
  <c r="L40" i="7"/>
  <c r="Q47" i="1"/>
  <c r="I41" i="7"/>
  <c r="P44" i="1"/>
  <c r="H38" i="7"/>
  <c r="M38" i="7" s="1"/>
  <c r="N38" i="7" s="1"/>
  <c r="P38" i="7" s="1"/>
  <c r="Q38" i="7" s="1"/>
  <c r="O45" i="1"/>
  <c r="G39" i="7"/>
  <c r="J39" i="7" s="1"/>
  <c r="K41" i="7" l="1"/>
  <c r="L41" i="7"/>
  <c r="Q48" i="1"/>
  <c r="I42" i="7"/>
  <c r="O46" i="1"/>
  <c r="G40" i="7"/>
  <c r="J40" i="7" s="1"/>
  <c r="P45" i="1"/>
  <c r="H39" i="7"/>
  <c r="M39" i="7" s="1"/>
  <c r="N39" i="7" s="1"/>
  <c r="P39" i="7" s="1"/>
  <c r="Q39" i="7" s="1"/>
  <c r="K42" i="7" l="1"/>
  <c r="O42" i="7" s="1"/>
  <c r="R42" i="7" s="1"/>
  <c r="S42" i="7" s="1"/>
  <c r="L42" i="7"/>
  <c r="Q49" i="1"/>
  <c r="I43" i="7"/>
  <c r="H40" i="7"/>
  <c r="M40" i="7" s="1"/>
  <c r="N40" i="7" s="1"/>
  <c r="P40" i="7" s="1"/>
  <c r="Q40" i="7" s="1"/>
  <c r="P46" i="1"/>
  <c r="O47" i="1"/>
  <c r="G41" i="7"/>
  <c r="J41" i="7" s="1"/>
  <c r="Q50" i="1" l="1"/>
  <c r="I45" i="7" s="1"/>
  <c r="I44" i="7"/>
  <c r="K43" i="7"/>
  <c r="L43" i="7"/>
  <c r="O48" i="1"/>
  <c r="G42" i="7"/>
  <c r="J42" i="7" s="1"/>
  <c r="P47" i="1"/>
  <c r="H41" i="7"/>
  <c r="M41" i="7" s="1"/>
  <c r="N41" i="7" s="1"/>
  <c r="P41" i="7" s="1"/>
  <c r="Q41" i="7" s="1"/>
  <c r="K44" i="7" l="1"/>
  <c r="O44" i="7" s="1"/>
  <c r="R44" i="7" s="1"/>
  <c r="S44" i="7" s="1"/>
  <c r="L44" i="7"/>
  <c r="K45" i="7"/>
  <c r="L45" i="7"/>
  <c r="P48" i="1"/>
  <c r="H42" i="7"/>
  <c r="M42" i="7" s="1"/>
  <c r="N42" i="7" s="1"/>
  <c r="P42" i="7" s="1"/>
  <c r="Q42" i="7" s="1"/>
  <c r="O49" i="1"/>
  <c r="G43" i="7"/>
  <c r="J43" i="7" s="1"/>
  <c r="O50" i="1" l="1"/>
  <c r="G44" i="7"/>
  <c r="J44" i="7" s="1"/>
  <c r="P49" i="1"/>
  <c r="H43" i="7"/>
  <c r="M43" i="7" s="1"/>
  <c r="N43" i="7" s="1"/>
  <c r="P43" i="7" s="1"/>
  <c r="Q43" i="7" s="1"/>
  <c r="P50" i="1" l="1"/>
  <c r="H45" i="7" s="1"/>
  <c r="M45" i="7" s="1"/>
  <c r="N45" i="7" s="1"/>
  <c r="P45" i="7" s="1"/>
  <c r="Q45" i="7" s="1"/>
  <c r="H44" i="7"/>
  <c r="M44" i="7" s="1"/>
  <c r="N44" i="7" s="1"/>
  <c r="P44" i="7" s="1"/>
  <c r="Q44" i="7" s="1"/>
  <c r="O51" i="1"/>
  <c r="G45" i="7"/>
  <c r="J45" i="7" s="1"/>
</calcChain>
</file>

<file path=xl/sharedStrings.xml><?xml version="1.0" encoding="utf-8"?>
<sst xmlns="http://schemas.openxmlformats.org/spreadsheetml/2006/main" count="832" uniqueCount="301">
  <si>
    <t>R3</t>
  </si>
  <si>
    <t>h3</t>
  </si>
  <si>
    <t>R2</t>
  </si>
  <si>
    <t>h2</t>
  </si>
  <si>
    <t>htot</t>
  </si>
  <si>
    <t>R1</t>
  </si>
  <si>
    <t>h1</t>
  </si>
  <si>
    <t>Stage</t>
  </si>
  <si>
    <t>Item</t>
  </si>
  <si>
    <t>Height</t>
  </si>
  <si>
    <t>Mass (kg)</t>
  </si>
  <si>
    <t>Distance (m)</t>
  </si>
  <si>
    <t>Moment (kgm)</t>
  </si>
  <si>
    <t>Thickness (m)</t>
  </si>
  <si>
    <t>Dist from CM (m)</t>
  </si>
  <si>
    <t>J0</t>
  </si>
  <si>
    <t>m*cm^2</t>
  </si>
  <si>
    <t>Jpitch/yaw</t>
  </si>
  <si>
    <t>Jroll</t>
  </si>
  <si>
    <t>Mass at Max q</t>
  </si>
  <si>
    <t>Product of Max q (kg * m)</t>
  </si>
  <si>
    <t>Distance from Max q CM</t>
  </si>
  <si>
    <t>Column1</t>
  </si>
  <si>
    <t>PLF</t>
  </si>
  <si>
    <t>Payload</t>
  </si>
  <si>
    <t>PAF</t>
  </si>
  <si>
    <t xml:space="preserve"> </t>
  </si>
  <si>
    <t>Forward Skirt 3</t>
  </si>
  <si>
    <t>Avionics 3</t>
  </si>
  <si>
    <t>Wiring 3</t>
  </si>
  <si>
    <t>Fuel Dome Top 3</t>
  </si>
  <si>
    <t>Fuel Cylinder 3</t>
  </si>
  <si>
    <t>Fuel Dome Bottom 3</t>
  </si>
  <si>
    <t>Fuel Insulation 3</t>
  </si>
  <si>
    <t>Fuel Residual 3</t>
  </si>
  <si>
    <t>Intertank 3</t>
  </si>
  <si>
    <t>Ox Dome Top 3</t>
  </si>
  <si>
    <t>Ox Cylinder 3</t>
  </si>
  <si>
    <t>Ox Dome Bottom 3</t>
  </si>
  <si>
    <t>Ox Insulation 3</t>
  </si>
  <si>
    <t>Ox Residual 3</t>
  </si>
  <si>
    <t>Pressurant Tank 3</t>
  </si>
  <si>
    <t>Aft Skirt 3</t>
  </si>
  <si>
    <t>Thrust Structure 3</t>
  </si>
  <si>
    <t>Gimballs 3</t>
  </si>
  <si>
    <t>Engines 3</t>
  </si>
  <si>
    <t>Fuel 3</t>
  </si>
  <si>
    <t>Oxidizer 3</t>
  </si>
  <si>
    <t>Forward Skirt 2</t>
  </si>
  <si>
    <t>Avionics 2</t>
  </si>
  <si>
    <t>Wiring 2</t>
  </si>
  <si>
    <t>Fuel Dome Top 2</t>
  </si>
  <si>
    <t>Fuel Cylinder 2</t>
  </si>
  <si>
    <t>Fuel Dome Bottom 2</t>
  </si>
  <si>
    <t>Fuel Insulation 2</t>
  </si>
  <si>
    <t>Fuel Residual 2</t>
  </si>
  <si>
    <t>Intertank 2</t>
  </si>
  <si>
    <t>Ox Dome Top 2</t>
  </si>
  <si>
    <t>Ox Cylinder 2</t>
  </si>
  <si>
    <t>Ox Dome Bottom 2</t>
  </si>
  <si>
    <t>Ox Insulation 2</t>
  </si>
  <si>
    <t>Ox Residual 2</t>
  </si>
  <si>
    <t>Pressurant Tank 2</t>
  </si>
  <si>
    <t>Aft Skirt 2</t>
  </si>
  <si>
    <t>Thrust Structure 2</t>
  </si>
  <si>
    <t>Gimballs 2</t>
  </si>
  <si>
    <t>Engines 2</t>
  </si>
  <si>
    <t>Fuel 2</t>
  </si>
  <si>
    <t>Oxidizer 2</t>
  </si>
  <si>
    <t>Forward Skirt 1</t>
  </si>
  <si>
    <t>Avionics 1</t>
  </si>
  <si>
    <t>Wiring 1</t>
  </si>
  <si>
    <t>Fuel Dome Top 1</t>
  </si>
  <si>
    <t>Fuel Cylinder 1</t>
  </si>
  <si>
    <t>Fuel Dome Bottom 1</t>
  </si>
  <si>
    <t>Fuel Insulation 1</t>
  </si>
  <si>
    <t>Fuel Residual 1</t>
  </si>
  <si>
    <t>Intertank 1</t>
  </si>
  <si>
    <t>Ox Dome Top 1</t>
  </si>
  <si>
    <t>Ox Cylinder 1</t>
  </si>
  <si>
    <t>Ox Dome Bottom 1</t>
  </si>
  <si>
    <t>Ox Insulation 1</t>
  </si>
  <si>
    <t>Ox Residual 1</t>
  </si>
  <si>
    <t>Pressurant Tank 1</t>
  </si>
  <si>
    <t>Aft Skirt 1</t>
  </si>
  <si>
    <t>Thrust Structure 1</t>
  </si>
  <si>
    <t>Gimballs 1</t>
  </si>
  <si>
    <t>Engines 1</t>
  </si>
  <si>
    <t>Fuel 1</t>
  </si>
  <si>
    <t>Oxidizer 1</t>
  </si>
  <si>
    <t>Total</t>
  </si>
  <si>
    <t>CM</t>
  </si>
  <si>
    <t>J0/Jpitch</t>
  </si>
  <si>
    <t>kgm^3</t>
  </si>
  <si>
    <t>Max Q Conditions</t>
  </si>
  <si>
    <t>Propellant Left, Mass Flow, And CM</t>
  </si>
  <si>
    <t>Mass and Products for Conditional CM</t>
  </si>
  <si>
    <t>Vibration Analysis</t>
  </si>
  <si>
    <r>
      <t>t</t>
    </r>
    <r>
      <rPr>
        <vertAlign val="subscript"/>
        <sz val="11"/>
        <color theme="1"/>
        <rFont val="Calibri"/>
        <family val="2"/>
        <scheme val="minor"/>
      </rPr>
      <t>max-q</t>
    </r>
    <r>
      <rPr>
        <sz val="11"/>
        <color theme="1"/>
        <rFont val="Calibri"/>
        <family val="2"/>
        <scheme val="minor"/>
      </rPr>
      <t xml:space="preserve"> (s)</t>
    </r>
  </si>
  <si>
    <r>
      <t>m</t>
    </r>
    <r>
      <rPr>
        <vertAlign val="subscript"/>
        <sz val="11"/>
        <color theme="1"/>
        <rFont val="Calibri"/>
        <family val="2"/>
        <scheme val="minor"/>
      </rPr>
      <t>total</t>
    </r>
    <r>
      <rPr>
        <sz val="11"/>
        <color theme="1"/>
        <rFont val="Calibri"/>
        <family val="2"/>
        <scheme val="minor"/>
      </rPr>
      <t xml:space="preserve"> (kg)</t>
    </r>
  </si>
  <si>
    <t>Mass</t>
  </si>
  <si>
    <t>Product</t>
  </si>
  <si>
    <t>Stage 1 Wet, Stage 2 Wet, Stage 3 Wet</t>
  </si>
  <si>
    <r>
      <t>h</t>
    </r>
    <r>
      <rPr>
        <vertAlign val="subscript"/>
        <sz val="11"/>
        <color theme="1"/>
        <rFont val="Calibri"/>
        <family val="2"/>
        <scheme val="minor"/>
      </rPr>
      <t>max-q</t>
    </r>
    <r>
      <rPr>
        <sz val="11"/>
        <color theme="1"/>
        <rFont val="Calibri"/>
        <family val="2"/>
        <scheme val="minor"/>
      </rPr>
      <t xml:space="preserve"> (m)</t>
    </r>
  </si>
  <si>
    <r>
      <t>m</t>
    </r>
    <r>
      <rPr>
        <vertAlign val="subscript"/>
        <sz val="11"/>
        <color theme="1"/>
        <rFont val="Calibri"/>
        <family val="2"/>
        <scheme val="minor"/>
      </rPr>
      <t>maxq</t>
    </r>
    <r>
      <rPr>
        <sz val="11"/>
        <color theme="1"/>
        <rFont val="Calibri"/>
        <family val="2"/>
        <scheme val="minor"/>
      </rPr>
      <t xml:space="preserve"> (kg)</t>
    </r>
  </si>
  <si>
    <t>Total Full</t>
  </si>
  <si>
    <t>beta</t>
  </si>
  <si>
    <r>
      <t>v</t>
    </r>
    <r>
      <rPr>
        <vertAlign val="subscript"/>
        <sz val="11"/>
        <color theme="1"/>
        <rFont val="Calibri"/>
        <family val="2"/>
        <scheme val="minor"/>
      </rPr>
      <t>max-q</t>
    </r>
    <r>
      <rPr>
        <sz val="11"/>
        <color theme="1"/>
        <rFont val="Calibri"/>
        <family val="2"/>
        <scheme val="minor"/>
      </rPr>
      <t xml:space="preserve"> (m/s)</t>
    </r>
  </si>
  <si>
    <r>
      <t>m</t>
    </r>
    <r>
      <rPr>
        <vertAlign val="subscript"/>
        <sz val="11"/>
        <color theme="1"/>
        <rFont val="Calibri"/>
        <family val="2"/>
        <scheme val="minor"/>
      </rPr>
      <t>propellant used</t>
    </r>
    <r>
      <rPr>
        <sz val="11"/>
        <color theme="1"/>
        <rFont val="Calibri"/>
        <family val="2"/>
        <scheme val="minor"/>
      </rPr>
      <t xml:space="preserve"> (kg)</t>
    </r>
  </si>
  <si>
    <t>Total Empty (Dry)</t>
  </si>
  <si>
    <t>E</t>
  </si>
  <si>
    <t>Pa</t>
  </si>
  <si>
    <r>
      <t>ρ</t>
    </r>
    <r>
      <rPr>
        <vertAlign val="subscript"/>
        <sz val="11"/>
        <color theme="1"/>
        <rFont val="Calibri"/>
        <family val="2"/>
        <scheme val="minor"/>
      </rPr>
      <t>max-q</t>
    </r>
    <r>
      <rPr>
        <sz val="11"/>
        <color theme="1"/>
        <rFont val="Calibri"/>
        <family val="2"/>
        <scheme val="minor"/>
      </rPr>
      <t xml:space="preserve"> (kg/m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</si>
  <si>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m</t>
    </r>
    <r>
      <rPr>
        <vertAlign val="subscript"/>
        <sz val="11"/>
        <color theme="1"/>
        <rFont val="Calibri"/>
        <family val="2"/>
        <scheme val="minor"/>
      </rPr>
      <t>propellant total</t>
    </r>
    <r>
      <rPr>
        <sz val="11"/>
        <color theme="1"/>
        <rFont val="Calibri"/>
        <family val="2"/>
        <scheme val="minor"/>
      </rPr>
      <t xml:space="preserve"> (kg)</t>
    </r>
  </si>
  <si>
    <t>CM Position Full Max-q Conditions</t>
  </si>
  <si>
    <t>Rmean</t>
  </si>
  <si>
    <t>m</t>
  </si>
  <si>
    <r>
      <t>m</t>
    </r>
    <r>
      <rPr>
        <vertAlign val="subscript"/>
        <sz val="11"/>
        <color theme="1"/>
        <rFont val="Calibri"/>
        <family val="2"/>
        <scheme val="minor"/>
      </rPr>
      <t>max-q</t>
    </r>
    <r>
      <rPr>
        <sz val="11"/>
        <color theme="1"/>
        <rFont val="Calibri"/>
        <family val="2"/>
        <scheme val="minor"/>
      </rPr>
      <t xml:space="preserve"> (kg)</t>
    </r>
  </si>
  <si>
    <r>
      <t>m</t>
    </r>
    <r>
      <rPr>
        <vertAlign val="subscript"/>
        <sz val="11"/>
        <color theme="1"/>
        <rFont val="Calibri"/>
        <family val="2"/>
        <scheme val="minor"/>
      </rPr>
      <t>propellant left</t>
    </r>
    <r>
      <rPr>
        <sz val="11"/>
        <color theme="1"/>
        <rFont val="Calibri"/>
        <family val="2"/>
        <scheme val="minor"/>
      </rPr>
      <t xml:space="preserve"> (kg)</t>
    </r>
  </si>
  <si>
    <t>CM Position Empty (Dry)</t>
  </si>
  <si>
    <t>I</t>
  </si>
  <si>
    <t>m^4</t>
  </si>
  <si>
    <r>
      <t>T</t>
    </r>
    <r>
      <rPr>
        <vertAlign val="subscript"/>
        <sz val="11"/>
        <color theme="1"/>
        <rFont val="Calibri"/>
        <family val="2"/>
        <scheme val="minor"/>
      </rPr>
      <t>max-q</t>
    </r>
    <r>
      <rPr>
        <sz val="11"/>
        <color theme="1"/>
        <rFont val="Calibri"/>
        <family val="2"/>
        <scheme val="minor"/>
      </rPr>
      <t xml:space="preserve"> (s)</t>
    </r>
  </si>
  <si>
    <t>Fuel fraction</t>
  </si>
  <si>
    <t>Total for 1st Dry 2nd Full</t>
  </si>
  <si>
    <t>rhoA</t>
  </si>
  <si>
    <t>kg/m</t>
  </si>
  <si>
    <r>
      <t>n</t>
    </r>
    <r>
      <rPr>
        <vertAlign val="subscript"/>
        <sz val="11"/>
        <color theme="1"/>
        <rFont val="Calibri"/>
        <family val="2"/>
      </rPr>
      <t xml:space="preserve">max-q </t>
    </r>
    <r>
      <rPr>
        <sz val="11"/>
        <color theme="1"/>
        <rFont val="Calibri"/>
        <family val="2"/>
      </rPr>
      <t>(g0)</t>
    </r>
  </si>
  <si>
    <t>Oxidizer fraction</t>
  </si>
  <si>
    <t>CM for 1st Dry 2nd Full</t>
  </si>
  <si>
    <t>f1</t>
  </si>
  <si>
    <t>Hz</t>
  </si>
  <si>
    <r>
      <t>m</t>
    </r>
    <r>
      <rPr>
        <vertAlign val="subscript"/>
        <sz val="11"/>
        <color theme="1"/>
        <rFont val="Calibri"/>
        <family val="2"/>
        <scheme val="minor"/>
      </rPr>
      <t>fuel used</t>
    </r>
    <r>
      <rPr>
        <sz val="11"/>
        <color theme="1"/>
        <rFont val="Calibri"/>
        <family val="2"/>
        <scheme val="minor"/>
      </rPr>
      <t xml:space="preserve"> (kg)</t>
    </r>
  </si>
  <si>
    <t>Total for Only 2nd Full</t>
  </si>
  <si>
    <r>
      <t>m</t>
    </r>
    <r>
      <rPr>
        <vertAlign val="subscript"/>
        <sz val="11"/>
        <color theme="1"/>
        <rFont val="Calibri"/>
        <family val="2"/>
        <scheme val="minor"/>
      </rPr>
      <t xml:space="preserve">oxidizer used </t>
    </r>
    <r>
      <rPr>
        <sz val="11"/>
        <color theme="1"/>
        <rFont val="Calibri"/>
        <family val="2"/>
        <scheme val="minor"/>
      </rPr>
      <t>(kg)</t>
    </r>
  </si>
  <si>
    <t>CM for Only 2nd Full</t>
  </si>
  <si>
    <r>
      <t>m</t>
    </r>
    <r>
      <rPr>
        <vertAlign val="subscript"/>
        <sz val="11"/>
        <color theme="1"/>
        <rFont val="Calibri"/>
        <family val="2"/>
        <scheme val="minor"/>
      </rPr>
      <t xml:space="preserve">fuel remaining </t>
    </r>
    <r>
      <rPr>
        <sz val="11"/>
        <color theme="1"/>
        <rFont val="Calibri"/>
        <family val="2"/>
        <scheme val="minor"/>
      </rPr>
      <t>(kg)</t>
    </r>
  </si>
  <si>
    <t>Total for Only 2nd Empty</t>
  </si>
  <si>
    <t>Stage 1 Dry, Stage 2 Wet, Stage 3 Wet</t>
  </si>
  <si>
    <r>
      <t>m</t>
    </r>
    <r>
      <rPr>
        <vertAlign val="subscript"/>
        <sz val="11"/>
        <color theme="1"/>
        <rFont val="Calibri"/>
        <family val="2"/>
        <scheme val="minor"/>
      </rPr>
      <t>oxidizer left</t>
    </r>
    <r>
      <rPr>
        <sz val="11"/>
        <color theme="1"/>
        <rFont val="Calibri"/>
        <family val="2"/>
        <scheme val="minor"/>
      </rPr>
      <t xml:space="preserve"> (kg)</t>
    </r>
  </si>
  <si>
    <t>CM for Only 2nd Empty</t>
  </si>
  <si>
    <t>Max q</t>
  </si>
  <si>
    <r>
      <t>ṁ</t>
    </r>
    <r>
      <rPr>
        <vertAlign val="subscript"/>
        <sz val="12.55"/>
        <color theme="1"/>
        <rFont val="Calibri"/>
        <family val="2"/>
      </rPr>
      <t>max-q</t>
    </r>
    <r>
      <rPr>
        <sz val="11"/>
        <color theme="1"/>
        <rFont val="Calibri"/>
        <family val="2"/>
        <scheme val="minor"/>
      </rPr>
      <t xml:space="preserve"> (kg/s)</t>
    </r>
  </si>
  <si>
    <t>Total for Only 1st Empty</t>
  </si>
  <si>
    <t>fuel 1</t>
  </si>
  <si>
    <r>
      <t>CM</t>
    </r>
    <r>
      <rPr>
        <vertAlign val="subscript"/>
        <sz val="11"/>
        <color theme="1"/>
        <rFont val="Calibri"/>
        <family val="2"/>
      </rPr>
      <t>max-q</t>
    </r>
    <r>
      <rPr>
        <sz val="11"/>
        <color theme="1"/>
        <rFont val="Calibri"/>
        <family val="2"/>
      </rPr>
      <t xml:space="preserve"> (m)</t>
    </r>
  </si>
  <si>
    <t>CM for Only 1st Empty</t>
  </si>
  <si>
    <t>ox 1</t>
  </si>
  <si>
    <t>Stage 2 Wet, Stage 3 Wet</t>
  </si>
  <si>
    <t>Stage 2 Dry, Stage 3 Wet</t>
  </si>
  <si>
    <t>Stage 3 Wet</t>
  </si>
  <si>
    <t>Universal Values</t>
  </si>
  <si>
    <t>Stage 1</t>
  </si>
  <si>
    <t>Stage 2</t>
  </si>
  <si>
    <t>Max Q</t>
  </si>
  <si>
    <t>Max Q Mass and CM</t>
  </si>
  <si>
    <t>Cone</t>
  </si>
  <si>
    <t>Skirt</t>
  </si>
  <si>
    <t>Skirt2</t>
  </si>
  <si>
    <t>r3 (m)</t>
  </si>
  <si>
    <r>
      <t>q</t>
    </r>
    <r>
      <rPr>
        <vertAlign val="subscript"/>
        <sz val="11"/>
        <color theme="1"/>
        <rFont val="Calibri"/>
        <family val="2"/>
        <scheme val="minor"/>
      </rPr>
      <t>max-q</t>
    </r>
    <r>
      <rPr>
        <sz val="11"/>
        <color theme="1"/>
        <rFont val="Calibri"/>
        <family val="2"/>
        <scheme val="minor"/>
      </rPr>
      <t xml:space="preserve"> (Pa)</t>
    </r>
  </si>
  <si>
    <r>
      <t>m</t>
    </r>
    <r>
      <rPr>
        <vertAlign val="subscript"/>
        <sz val="11"/>
        <color theme="1"/>
        <rFont val="Calibri"/>
        <family val="2"/>
        <scheme val="minor"/>
      </rPr>
      <t>prop left</t>
    </r>
    <r>
      <rPr>
        <sz val="11"/>
        <color theme="1"/>
        <rFont val="Calibri"/>
        <family val="2"/>
        <scheme val="minor"/>
      </rPr>
      <t xml:space="preserve"> (kg)</t>
    </r>
  </si>
  <si>
    <r>
      <t>C</t>
    </r>
    <r>
      <rPr>
        <vertAlign val="subscript"/>
        <sz val="11"/>
        <color theme="1"/>
        <rFont val="Calibri"/>
        <family val="2"/>
        <scheme val="minor"/>
      </rPr>
      <t>nalpha</t>
    </r>
    <r>
      <rPr>
        <sz val="11"/>
        <color theme="1"/>
        <rFont val="Calibri"/>
        <family val="2"/>
        <scheme val="minor"/>
      </rPr>
      <t xml:space="preserve"> (1/rad)</t>
    </r>
  </si>
  <si>
    <r>
      <t>r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(m)</t>
    </r>
  </si>
  <si>
    <r>
      <t>h</t>
    </r>
    <r>
      <rPr>
        <vertAlign val="subscript"/>
        <sz val="11"/>
        <color theme="1"/>
        <rFont val="Calibri"/>
        <family val="2"/>
        <scheme val="minor"/>
      </rPr>
      <t>max-q</t>
    </r>
    <r>
      <rPr>
        <sz val="11"/>
        <color theme="1"/>
        <rFont val="Calibri"/>
        <family val="2"/>
        <scheme val="minor"/>
      </rPr>
      <t xml:space="preserve"> (km)</t>
    </r>
  </si>
  <si>
    <r>
      <t>v</t>
    </r>
    <r>
      <rPr>
        <vertAlign val="subscript"/>
        <sz val="11"/>
        <color theme="1"/>
        <rFont val="Calibri"/>
        <family val="2"/>
        <scheme val="minor"/>
      </rPr>
      <t>wind max-q</t>
    </r>
    <r>
      <rPr>
        <sz val="11"/>
        <color theme="1"/>
        <rFont val="Calibri"/>
        <family val="2"/>
        <scheme val="minor"/>
      </rPr>
      <t xml:space="preserve"> (m/s)</t>
    </r>
  </si>
  <si>
    <r>
      <t>area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</si>
  <si>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r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(m)</t>
    </r>
  </si>
  <si>
    <r>
      <t>α</t>
    </r>
    <r>
      <rPr>
        <vertAlign val="subscript"/>
        <sz val="11"/>
        <color theme="1"/>
        <rFont val="Calibri"/>
        <family val="2"/>
      </rPr>
      <t>max-q</t>
    </r>
    <r>
      <rPr>
        <sz val="11"/>
        <color theme="1"/>
        <rFont val="Calibri"/>
        <family val="2"/>
      </rPr>
      <t xml:space="preserve"> (deg)</t>
    </r>
  </si>
  <si>
    <t>N (N)</t>
  </si>
  <si>
    <r>
      <t>ρ (kg/m</t>
    </r>
    <r>
      <rPr>
        <vertAlign val="superscript"/>
        <sz val="11"/>
        <color theme="1"/>
        <rFont val="Calibri"/>
        <family val="2"/>
      </rPr>
      <t>3</t>
    </r>
    <r>
      <rPr>
        <sz val="11"/>
        <color theme="1"/>
        <rFont val="Calibri"/>
        <family val="2"/>
      </rPr>
      <t>)</t>
    </r>
  </si>
  <si>
    <t>Required Trim Force (N)</t>
  </si>
  <si>
    <t>D (N)</t>
  </si>
  <si>
    <r>
      <t>C</t>
    </r>
    <r>
      <rPr>
        <vertAlign val="subscript"/>
        <sz val="11"/>
        <color theme="1"/>
        <rFont val="Calibri"/>
        <family val="2"/>
        <scheme val="minor"/>
      </rPr>
      <t>d</t>
    </r>
  </si>
  <si>
    <r>
      <t>δ</t>
    </r>
    <r>
      <rPr>
        <vertAlign val="subscript"/>
        <sz val="11"/>
        <color theme="1"/>
        <rFont val="Calibri"/>
        <family val="2"/>
        <scheme val="minor"/>
      </rPr>
      <t>TVC</t>
    </r>
    <r>
      <rPr>
        <sz val="11"/>
        <color theme="1"/>
        <rFont val="Calibri"/>
        <family val="2"/>
        <scheme val="minor"/>
      </rPr>
      <t xml:space="preserve"> (deg)</t>
    </r>
  </si>
  <si>
    <t>Vi (N)</t>
  </si>
  <si>
    <r>
      <t>g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(m/s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</si>
  <si>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n</t>
    </r>
    <r>
      <rPr>
        <vertAlign val="subscript"/>
        <sz val="11"/>
        <color theme="1"/>
        <rFont val="Calibri"/>
        <family val="2"/>
        <scheme val="minor"/>
      </rPr>
      <t>z max-q</t>
    </r>
    <r>
      <rPr>
        <sz val="11"/>
        <color theme="1"/>
        <rFont val="Calibri"/>
        <family val="2"/>
        <scheme val="minor"/>
      </rPr>
      <t xml:space="preserve"> (g0)</t>
    </r>
  </si>
  <si>
    <t>Ai (N)</t>
  </si>
  <si>
    <r>
      <t>h</t>
    </r>
    <r>
      <rPr>
        <vertAlign val="subscript"/>
        <sz val="11"/>
        <color theme="1"/>
        <rFont val="Calibri"/>
        <family val="2"/>
        <scheme val="minor"/>
      </rPr>
      <t>tot</t>
    </r>
    <r>
      <rPr>
        <sz val="11"/>
        <color theme="1"/>
        <rFont val="Calibri"/>
        <family val="2"/>
        <scheme val="minor"/>
      </rPr>
      <t xml:space="preserve"> (m)</t>
    </r>
  </si>
  <si>
    <t>Airload (Nm)</t>
  </si>
  <si>
    <t>Rocket Data</t>
  </si>
  <si>
    <t>Ground Forces</t>
  </si>
  <si>
    <t>HW10 Chart 1</t>
  </si>
  <si>
    <t>HW10 Chart 2</t>
  </si>
  <si>
    <t>HW10 Chart 3</t>
  </si>
  <si>
    <t>Ext or Int</t>
  </si>
  <si>
    <t>Height (m)</t>
  </si>
  <si>
    <t>CG (m)</t>
  </si>
  <si>
    <r>
      <t>Area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</si>
  <si>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v</t>
    </r>
    <r>
      <rPr>
        <vertAlign val="subscript"/>
        <sz val="11"/>
        <color theme="1"/>
        <rFont val="Calibri"/>
        <family val="2"/>
        <scheme val="minor"/>
      </rPr>
      <t>ss</t>
    </r>
    <r>
      <rPr>
        <sz val="11"/>
        <color theme="1"/>
        <rFont val="Calibri"/>
        <family val="2"/>
        <scheme val="minor"/>
      </rPr>
      <t xml:space="preserve"> (m/s)</t>
    </r>
  </si>
  <si>
    <r>
      <t>v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(m/s)</t>
    </r>
  </si>
  <si>
    <t>Wind (N)</t>
  </si>
  <si>
    <t>Num</t>
  </si>
  <si>
    <t>Location</t>
  </si>
  <si>
    <t>Shear Load (N)</t>
  </si>
  <si>
    <t>Bending Moment (Nm)</t>
  </si>
  <si>
    <t>Axial Load (N)</t>
  </si>
  <si>
    <t>Top of PLF</t>
  </si>
  <si>
    <t>-</t>
  </si>
  <si>
    <t>Top of Foreward Skirt 3</t>
  </si>
  <si>
    <t>Top of Fuel Tank 3</t>
  </si>
  <si>
    <t>Bottom of Fuel Tank 3</t>
  </si>
  <si>
    <t>Top of Ox Tank 3</t>
  </si>
  <si>
    <t>Bottom of Ox Tank 3</t>
  </si>
  <si>
    <t>Top of Interstage</t>
  </si>
  <si>
    <t>Bottom of Fuel Tank 2</t>
  </si>
  <si>
    <t>Top of Ox Tank 2</t>
  </si>
  <si>
    <t>Bottom of Ox Tank 2</t>
  </si>
  <si>
    <t>Top of Fuel Tank 1</t>
  </si>
  <si>
    <t>Bottom of Fuel Tank 1</t>
  </si>
  <si>
    <t>Top of Ox Tank 1</t>
  </si>
  <si>
    <t>Bottom of Ox Tank 1</t>
  </si>
  <si>
    <t>Bottom of Aft Skirt 1</t>
  </si>
  <si>
    <t>Bottom</t>
  </si>
  <si>
    <t>Max Q Forces</t>
  </si>
  <si>
    <t>Inertia Relief (N)</t>
  </si>
  <si>
    <t>Axial Load (kN)</t>
  </si>
  <si>
    <t>HW11 Chart 1</t>
  </si>
  <si>
    <t>HW11 Chart 2</t>
  </si>
  <si>
    <t>HW11 Chart 3</t>
  </si>
  <si>
    <t>Orth Orbit</t>
  </si>
  <si>
    <t>Kero</t>
  </si>
  <si>
    <t>mtot</t>
  </si>
  <si>
    <t>kg</t>
  </si>
  <si>
    <t>mmaxq</t>
  </si>
  <si>
    <t>mpropused</t>
  </si>
  <si>
    <t>mproptot</t>
  </si>
  <si>
    <t>mpropleft</t>
  </si>
  <si>
    <t>frac-f1</t>
  </si>
  <si>
    <t>frac-ox1</t>
  </si>
  <si>
    <t>mass-f1</t>
  </si>
  <si>
    <t>mass-ox1</t>
  </si>
  <si>
    <t>Vernier</t>
  </si>
  <si>
    <t>Moment</t>
  </si>
  <si>
    <t>CM to H 2</t>
  </si>
  <si>
    <t>F</t>
  </si>
  <si>
    <t>CM to H 1</t>
  </si>
  <si>
    <t>F/2</t>
  </si>
  <si>
    <t>Radius</t>
  </si>
  <si>
    <t>Density</t>
  </si>
  <si>
    <t>LOx (kg/m^3)</t>
  </si>
  <si>
    <t>RP-1</t>
  </si>
  <si>
    <t>Stresses At Max Q</t>
  </si>
  <si>
    <t>Material</t>
  </si>
  <si>
    <t>Pressure (Pa)</t>
  </si>
  <si>
    <t>Shear (N)</t>
  </si>
  <si>
    <t>τ (Mpa)</t>
  </si>
  <si>
    <r>
      <t>σ</t>
    </r>
    <r>
      <rPr>
        <vertAlign val="subscript"/>
        <sz val="11"/>
        <color theme="1"/>
        <rFont val="Calibri"/>
        <family val="2"/>
      </rPr>
      <t>axial</t>
    </r>
    <r>
      <rPr>
        <sz val="11"/>
        <color theme="1"/>
        <rFont val="Calibri"/>
        <family val="2"/>
      </rPr>
      <t xml:space="preserve"> (MPA)</t>
    </r>
  </si>
  <si>
    <r>
      <t>σ</t>
    </r>
    <r>
      <rPr>
        <vertAlign val="subscript"/>
        <sz val="11"/>
        <color theme="1"/>
        <rFont val="Calibri"/>
        <family val="2"/>
      </rPr>
      <t>a</t>
    </r>
    <r>
      <rPr>
        <vertAlign val="superscript"/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</rPr>
      <t>(MPA)</t>
    </r>
  </si>
  <si>
    <r>
      <t>σ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(Mpa)</t>
    </r>
  </si>
  <si>
    <r>
      <t>σ</t>
    </r>
    <r>
      <rPr>
        <vertAlign val="subscript"/>
        <sz val="11"/>
        <color theme="1"/>
        <rFont val="Calibri"/>
        <family val="2"/>
        <scheme val="minor"/>
      </rPr>
      <t>max-vertical</t>
    </r>
    <r>
      <rPr>
        <sz val="11"/>
        <color theme="1"/>
        <rFont val="Calibri"/>
        <family val="2"/>
        <scheme val="minor"/>
      </rPr>
      <t xml:space="preserve"> (Mpa)</t>
    </r>
  </si>
  <si>
    <r>
      <t>σ</t>
    </r>
    <r>
      <rPr>
        <vertAlign val="subscript"/>
        <sz val="11"/>
        <color theme="1"/>
        <rFont val="Calibri"/>
        <family val="2"/>
        <scheme val="minor"/>
      </rPr>
      <t>max-horizontal</t>
    </r>
    <r>
      <rPr>
        <sz val="11"/>
        <color theme="1"/>
        <rFont val="Calibri"/>
        <family val="2"/>
        <scheme val="minor"/>
      </rPr>
      <t xml:space="preserve"> (Mpa)</t>
    </r>
  </si>
  <si>
    <r>
      <t>FS</t>
    </r>
    <r>
      <rPr>
        <vertAlign val="subscript"/>
        <sz val="11"/>
        <color theme="1"/>
        <rFont val="Calibri"/>
        <family val="2"/>
        <scheme val="minor"/>
      </rPr>
      <t>vertical</t>
    </r>
  </si>
  <si>
    <r>
      <t>MS</t>
    </r>
    <r>
      <rPr>
        <vertAlign val="subscript"/>
        <sz val="11"/>
        <color theme="1"/>
        <rFont val="Calibri"/>
        <family val="2"/>
        <scheme val="minor"/>
      </rPr>
      <t>vertical</t>
    </r>
  </si>
  <si>
    <r>
      <t>FS</t>
    </r>
    <r>
      <rPr>
        <vertAlign val="subscript"/>
        <sz val="11"/>
        <color theme="1"/>
        <rFont val="Calibri"/>
        <family val="2"/>
        <scheme val="minor"/>
      </rPr>
      <t>horizontal</t>
    </r>
  </si>
  <si>
    <r>
      <t>MS</t>
    </r>
    <r>
      <rPr>
        <vertAlign val="subscript"/>
        <sz val="11"/>
        <color theme="1"/>
        <rFont val="Calibri"/>
        <family val="2"/>
        <scheme val="minor"/>
      </rPr>
      <t>horizontal</t>
    </r>
  </si>
  <si>
    <t>Top of Foreward Skirt 2</t>
  </si>
  <si>
    <t>AL 7075-T6 (20C)</t>
  </si>
  <si>
    <t>Top of Fuel Tank 2</t>
  </si>
  <si>
    <t>AL 2014-T6 (-183C)</t>
  </si>
  <si>
    <t>Stresses At Ground</t>
  </si>
  <si>
    <t>Max Stresses</t>
  </si>
  <si>
    <t>Load Case</t>
  </si>
  <si>
    <t>Stress (Mpa)</t>
  </si>
  <si>
    <t>Yield Stress (Mpa)</t>
  </si>
  <si>
    <t>MS</t>
  </si>
  <si>
    <t>Ground Load</t>
  </si>
  <si>
    <t>Component</t>
  </si>
  <si>
    <r>
      <t>Op Temp (C</t>
    </r>
    <r>
      <rPr>
        <sz val="11"/>
        <color theme="1"/>
        <rFont val="Calibri"/>
        <family val="2"/>
      </rPr>
      <t>°)</t>
    </r>
  </si>
  <si>
    <t>Elastic Modulus</t>
  </si>
  <si>
    <t>Yield Stress</t>
  </si>
  <si>
    <t>Source</t>
  </si>
  <si>
    <t>Website</t>
  </si>
  <si>
    <t>LO2 Tank</t>
  </si>
  <si>
    <t>AL 2219-T87 (-161.5C)</t>
  </si>
  <si>
    <t>AL 2219-T87</t>
  </si>
  <si>
    <t>www.matweb.com</t>
  </si>
  <si>
    <t>RP-1 Tank</t>
  </si>
  <si>
    <t>AL 2219-T87 (20C)</t>
  </si>
  <si>
    <t>AL 2219-T87 (-183C)</t>
  </si>
  <si>
    <t>Walls</t>
  </si>
  <si>
    <t>AL 6061-T6 (20C)</t>
  </si>
  <si>
    <t>AL 6061-T6</t>
  </si>
  <si>
    <t>AL 2014-T6</t>
  </si>
  <si>
    <t>AL 7075-T6</t>
  </si>
  <si>
    <t>LCH4 Tank</t>
  </si>
  <si>
    <t>AL 2014-T6 (-173C)</t>
  </si>
  <si>
    <t>Fairing</t>
  </si>
  <si>
    <t>AL 2219-T852 (20C)</t>
  </si>
  <si>
    <t>AL 2219-T852</t>
  </si>
  <si>
    <t>Mass Estimations</t>
  </si>
  <si>
    <r>
      <t>V</t>
    </r>
    <r>
      <rPr>
        <vertAlign val="subscript"/>
        <sz val="11"/>
        <color theme="1"/>
        <rFont val="Calibri"/>
        <family val="2"/>
        <scheme val="minor"/>
      </rPr>
      <t>wall</t>
    </r>
    <r>
      <rPr>
        <sz val="11"/>
        <color theme="1"/>
        <rFont val="Calibri"/>
        <family val="2"/>
        <scheme val="minor"/>
      </rPr>
      <t xml:space="preserve">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</si>
  <si>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M</t>
    </r>
    <r>
      <rPr>
        <vertAlign val="subscript"/>
        <sz val="11"/>
        <color theme="1"/>
        <rFont val="Calibri"/>
        <family val="2"/>
        <scheme val="minor"/>
      </rPr>
      <t>wall</t>
    </r>
    <r>
      <rPr>
        <sz val="11"/>
        <color theme="1"/>
        <rFont val="Calibri"/>
        <family val="2"/>
        <scheme val="minor"/>
      </rPr>
      <t xml:space="preserve"> (kg)</t>
    </r>
  </si>
  <si>
    <r>
      <t>M</t>
    </r>
    <r>
      <rPr>
        <vertAlign val="subscript"/>
        <sz val="11"/>
        <color theme="1"/>
        <rFont val="Calibri"/>
        <family val="2"/>
        <scheme val="minor"/>
      </rPr>
      <t>previous</t>
    </r>
    <r>
      <rPr>
        <sz val="11"/>
        <color theme="1"/>
        <rFont val="Calibri"/>
        <family val="2"/>
        <scheme val="minor"/>
      </rPr>
      <t xml:space="preserve"> (kg)</t>
    </r>
  </si>
  <si>
    <r>
      <t>M</t>
    </r>
    <r>
      <rPr>
        <vertAlign val="subscript"/>
        <sz val="11"/>
        <color theme="1"/>
        <rFont val="Calibri"/>
        <family val="2"/>
        <scheme val="minor"/>
      </rPr>
      <t>revised</t>
    </r>
    <r>
      <rPr>
        <sz val="11"/>
        <color theme="1"/>
        <rFont val="Calibri"/>
        <family val="2"/>
        <scheme val="minor"/>
      </rPr>
      <t xml:space="preserve"> (kg)</t>
    </r>
  </si>
  <si>
    <t>ΔM (kg)</t>
  </si>
  <si>
    <t>Total ΔM</t>
  </si>
  <si>
    <r>
      <t>r</t>
    </r>
    <r>
      <rPr>
        <sz val="11"/>
        <color theme="1"/>
        <rFont val="Calibri"/>
        <family val="2"/>
      </rPr>
      <t>₃</t>
    </r>
    <r>
      <rPr>
        <sz val="11"/>
        <color theme="1"/>
        <rFont val="Calibri"/>
        <family val="2"/>
        <scheme val="minor"/>
      </rPr>
      <t xml:space="preserve"> (m)</t>
    </r>
  </si>
  <si>
    <t>Top of Interstage 2</t>
  </si>
  <si>
    <t>Top of Interstage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</si>
</sst>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  <font>
      <vertAlign val="subscript"/>
      <sz val="12.55"/>
      <color theme="1"/>
      <name val="Calibri"/>
      <family val="2"/>
    </font>
    <font>
      <vertAlign val="superscript"/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9" fontId="10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3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3" fillId="0" borderId="6" xfId="0" applyFont="1" applyBorder="1"/>
    <xf numFmtId="0" fontId="0" fillId="2" borderId="0" xfId="0" applyFill="1" applyBorder="1"/>
    <xf numFmtId="0" fontId="0" fillId="2" borderId="0" xfId="0" applyFill="1" applyBorder="1" applyAlignment="1">
      <alignment horizontal="right"/>
    </xf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0" fontId="0" fillId="4" borderId="0" xfId="0" applyFill="1" applyBorder="1"/>
    <xf numFmtId="0" fontId="0" fillId="4" borderId="0" xfId="0" applyFill="1" applyBorder="1" applyAlignment="1">
      <alignment horizontal="right"/>
    </xf>
    <xf numFmtId="0" fontId="0" fillId="5" borderId="0" xfId="0" applyFill="1" applyBorder="1"/>
    <xf numFmtId="0" fontId="0" fillId="5" borderId="0" xfId="0" applyFill="1"/>
    <xf numFmtId="0" fontId="0" fillId="2" borderId="6" xfId="0" applyFill="1" applyBorder="1"/>
    <xf numFmtId="0" fontId="0" fillId="3" borderId="6" xfId="0" applyFill="1" applyBorder="1"/>
    <xf numFmtId="0" fontId="0" fillId="4" borderId="6" xfId="0" applyFill="1" applyBorder="1"/>
    <xf numFmtId="165" fontId="0" fillId="4" borderId="0" xfId="0" applyNumberFormat="1" applyFill="1" applyBorder="1" applyAlignment="1">
      <alignment horizontal="right"/>
    </xf>
    <xf numFmtId="165" fontId="0" fillId="3" borderId="0" xfId="0" applyNumberFormat="1" applyFill="1" applyBorder="1" applyAlignment="1">
      <alignment horizontal="right"/>
    </xf>
    <xf numFmtId="165" fontId="0" fillId="2" borderId="0" xfId="0" applyNumberFormat="1" applyFill="1" applyBorder="1" applyAlignment="1">
      <alignment horizontal="right"/>
    </xf>
    <xf numFmtId="1" fontId="0" fillId="2" borderId="0" xfId="0" applyNumberFormat="1" applyFill="1" applyBorder="1" applyAlignment="1">
      <alignment horizontal="right"/>
    </xf>
    <xf numFmtId="2" fontId="0" fillId="2" borderId="0" xfId="0" applyNumberFormat="1" applyFill="1" applyBorder="1" applyAlignment="1">
      <alignment horizontal="right"/>
    </xf>
    <xf numFmtId="2" fontId="0" fillId="3" borderId="0" xfId="0" applyNumberFormat="1" applyFill="1" applyBorder="1" applyAlignment="1">
      <alignment horizontal="right"/>
    </xf>
    <xf numFmtId="165" fontId="0" fillId="2" borderId="0" xfId="0" quotePrefix="1" applyNumberFormat="1" applyFill="1" applyBorder="1" applyAlignment="1">
      <alignment horizontal="right"/>
    </xf>
    <xf numFmtId="165" fontId="0" fillId="3" borderId="0" xfId="0" quotePrefix="1" applyNumberFormat="1" applyFill="1" applyBorder="1" applyAlignment="1">
      <alignment horizontal="right"/>
    </xf>
    <xf numFmtId="165" fontId="0" fillId="4" borderId="0" xfId="0" quotePrefix="1" applyNumberFormat="1" applyFill="1" applyBorder="1" applyAlignment="1">
      <alignment horizontal="right"/>
    </xf>
    <xf numFmtId="165" fontId="0" fillId="0" borderId="16" xfId="0" applyNumberFormat="1" applyBorder="1"/>
    <xf numFmtId="165" fontId="0" fillId="0" borderId="0" xfId="0" applyNumberFormat="1" applyBorder="1"/>
    <xf numFmtId="165" fontId="0" fillId="0" borderId="0" xfId="0" applyNumberFormat="1"/>
    <xf numFmtId="1" fontId="0" fillId="0" borderId="0" xfId="0" applyNumberFormat="1"/>
    <xf numFmtId="1" fontId="0" fillId="0" borderId="0" xfId="0" applyNumberFormat="1" applyBorder="1"/>
    <xf numFmtId="165" fontId="0" fillId="2" borderId="0" xfId="0" applyNumberFormat="1" applyFill="1" applyBorder="1"/>
    <xf numFmtId="165" fontId="0" fillId="3" borderId="0" xfId="0" applyNumberFormat="1" applyFill="1" applyBorder="1"/>
    <xf numFmtId="165" fontId="0" fillId="4" borderId="0" xfId="0" applyNumberFormat="1" applyFill="1" applyBorder="1"/>
    <xf numFmtId="1" fontId="0" fillId="3" borderId="0" xfId="0" applyNumberFormat="1" applyFill="1" applyBorder="1" applyAlignment="1">
      <alignment horizontal="right"/>
    </xf>
    <xf numFmtId="0" fontId="0" fillId="0" borderId="0" xfId="0" applyFill="1" applyBorder="1"/>
    <xf numFmtId="0" fontId="3" fillId="0" borderId="8" xfId="0" applyFont="1" applyFill="1" applyBorder="1"/>
    <xf numFmtId="0" fontId="3" fillId="0" borderId="0" xfId="0" applyFont="1" applyFill="1" applyBorder="1"/>
    <xf numFmtId="0" fontId="1" fillId="5" borderId="1" xfId="0" applyFont="1" applyFill="1" applyBorder="1" applyAlignment="1"/>
    <xf numFmtId="0" fontId="1" fillId="5" borderId="3" xfId="0" applyFont="1" applyFill="1" applyBorder="1" applyAlignment="1"/>
    <xf numFmtId="0" fontId="0" fillId="5" borderId="3" xfId="0" applyFill="1" applyBorder="1"/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1" fillId="5" borderId="1" xfId="0" applyFont="1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0" fillId="5" borderId="6" xfId="0" applyFill="1" applyBorder="1"/>
    <xf numFmtId="0" fontId="0" fillId="0" borderId="0" xfId="0" applyFill="1"/>
    <xf numFmtId="0" fontId="0" fillId="2" borderId="0" xfId="0" applyFill="1"/>
    <xf numFmtId="0" fontId="0" fillId="2" borderId="0" xfId="0" applyFill="1" applyAlignment="1">
      <alignment horizontal="right"/>
    </xf>
    <xf numFmtId="0" fontId="0" fillId="2" borderId="0" xfId="0" applyFill="1" applyAlignment="1">
      <alignment horizontal="right" indent="1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right" indent="1"/>
    </xf>
    <xf numFmtId="0" fontId="0" fillId="4" borderId="0" xfId="0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right" indent="1"/>
    </xf>
    <xf numFmtId="164" fontId="0" fillId="4" borderId="0" xfId="0" applyNumberFormat="1" applyFill="1"/>
    <xf numFmtId="164" fontId="0" fillId="0" borderId="7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1" fontId="0" fillId="0" borderId="5" xfId="0" applyNumberFormat="1" applyBorder="1"/>
    <xf numFmtId="164" fontId="0" fillId="0" borderId="10" xfId="0" applyNumberFormat="1" applyFill="1" applyBorder="1"/>
    <xf numFmtId="0" fontId="1" fillId="0" borderId="0" xfId="0" applyFont="1" applyFill="1" applyBorder="1" applyAlignment="1"/>
    <xf numFmtId="164" fontId="0" fillId="0" borderId="10" xfId="0" applyNumberFormat="1" applyBorder="1"/>
    <xf numFmtId="166" fontId="0" fillId="0" borderId="7" xfId="0" applyNumberFormat="1" applyBorder="1"/>
    <xf numFmtId="0" fontId="1" fillId="0" borderId="18" xfId="0" applyFont="1" applyFill="1" applyBorder="1"/>
    <xf numFmtId="1" fontId="0" fillId="0" borderId="7" xfId="0" applyNumberFormat="1" applyBorder="1"/>
    <xf numFmtId="166" fontId="0" fillId="0" borderId="0" xfId="0" applyNumberFormat="1" applyBorder="1"/>
    <xf numFmtId="1" fontId="0" fillId="0" borderId="9" xfId="0" applyNumberFormat="1" applyBorder="1"/>
    <xf numFmtId="1" fontId="0" fillId="0" borderId="10" xfId="0" applyNumberFormat="1" applyBorder="1"/>
    <xf numFmtId="0" fontId="0" fillId="0" borderId="8" xfId="0" applyFill="1" applyBorder="1"/>
    <xf numFmtId="165" fontId="0" fillId="0" borderId="10" xfId="0" applyNumberFormat="1" applyBorder="1"/>
    <xf numFmtId="0" fontId="0" fillId="0" borderId="13" xfId="0" applyBorder="1"/>
    <xf numFmtId="0" fontId="0" fillId="0" borderId="15" xfId="0" applyBorder="1"/>
    <xf numFmtId="0" fontId="0" fillId="0" borderId="15" xfId="0" applyFill="1" applyBorder="1"/>
    <xf numFmtId="165" fontId="0" fillId="0" borderId="10" xfId="0" applyNumberFormat="1" applyFill="1" applyBorder="1"/>
    <xf numFmtId="1" fontId="0" fillId="0" borderId="17" xfId="0" applyNumberFormat="1" applyBorder="1"/>
    <xf numFmtId="0" fontId="0" fillId="5" borderId="7" xfId="0" applyFill="1" applyBorder="1"/>
    <xf numFmtId="165" fontId="0" fillId="2" borderId="7" xfId="0" applyNumberFormat="1" applyFill="1" applyBorder="1" applyAlignment="1">
      <alignment horizontal="right"/>
    </xf>
    <xf numFmtId="165" fontId="0" fillId="2" borderId="7" xfId="0" quotePrefix="1" applyNumberFormat="1" applyFill="1" applyBorder="1" applyAlignment="1">
      <alignment horizontal="right"/>
    </xf>
    <xf numFmtId="165" fontId="0" fillId="3" borderId="7" xfId="0" applyNumberFormat="1" applyFill="1" applyBorder="1" applyAlignment="1">
      <alignment horizontal="right"/>
    </xf>
    <xf numFmtId="165" fontId="0" fillId="3" borderId="7" xfId="0" quotePrefix="1" applyNumberFormat="1" applyFill="1" applyBorder="1" applyAlignment="1">
      <alignment horizontal="right"/>
    </xf>
    <xf numFmtId="1" fontId="0" fillId="3" borderId="7" xfId="0" quotePrefix="1" applyNumberFormat="1" applyFill="1" applyBorder="1" applyAlignment="1">
      <alignment horizontal="right"/>
    </xf>
    <xf numFmtId="165" fontId="0" fillId="4" borderId="7" xfId="0" quotePrefix="1" applyNumberFormat="1" applyFill="1" applyBorder="1" applyAlignment="1">
      <alignment horizontal="right"/>
    </xf>
    <xf numFmtId="2" fontId="0" fillId="0" borderId="16" xfId="0" applyNumberFormat="1" applyBorder="1"/>
    <xf numFmtId="1" fontId="0" fillId="0" borderId="14" xfId="0" applyNumberFormat="1" applyBorder="1"/>
    <xf numFmtId="1" fontId="0" fillId="0" borderId="16" xfId="0" applyNumberFormat="1" applyBorder="1"/>
    <xf numFmtId="0" fontId="3" fillId="0" borderId="19" xfId="0" applyFont="1" applyFill="1" applyBorder="1"/>
    <xf numFmtId="165" fontId="0" fillId="0" borderId="20" xfId="0" applyNumberFormat="1" applyFill="1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vertical="center" wrapText="1"/>
    </xf>
    <xf numFmtId="166" fontId="0" fillId="4" borderId="0" xfId="0" applyNumberFormat="1" applyFill="1" applyBorder="1" applyAlignment="1">
      <alignment horizontal="right"/>
    </xf>
    <xf numFmtId="0" fontId="0" fillId="3" borderId="0" xfId="0" applyNumberFormat="1" applyFill="1" applyAlignment="1">
      <alignment horizontal="right"/>
    </xf>
    <xf numFmtId="0" fontId="0" fillId="3" borderId="0" xfId="0" applyNumberFormat="1" applyFill="1"/>
    <xf numFmtId="0" fontId="0" fillId="4" borderId="0" xfId="0" applyNumberFormat="1" applyFill="1" applyAlignment="1">
      <alignment horizontal="right"/>
    </xf>
    <xf numFmtId="0" fontId="0" fillId="4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horizontal="right"/>
    </xf>
    <xf numFmtId="0" fontId="0" fillId="6" borderId="0" xfId="0" applyFill="1" applyAlignment="1">
      <alignment horizontal="right"/>
    </xf>
    <xf numFmtId="0" fontId="0" fillId="6" borderId="0" xfId="0" applyNumberFormat="1" applyFill="1"/>
    <xf numFmtId="0" fontId="0" fillId="6" borderId="6" xfId="0" applyFill="1" applyBorder="1"/>
    <xf numFmtId="0" fontId="0" fillId="6" borderId="0" xfId="0" applyFill="1" applyBorder="1"/>
    <xf numFmtId="0" fontId="0" fillId="6" borderId="0" xfId="0" applyFill="1" applyBorder="1" applyAlignment="1">
      <alignment horizontal="right"/>
    </xf>
    <xf numFmtId="165" fontId="0" fillId="6" borderId="0" xfId="0" applyNumberFormat="1" applyFill="1" applyBorder="1" applyAlignment="1">
      <alignment horizontal="right"/>
    </xf>
    <xf numFmtId="165" fontId="0" fillId="6" borderId="0" xfId="0" applyNumberFormat="1" applyFill="1" applyBorder="1"/>
    <xf numFmtId="165" fontId="0" fillId="6" borderId="0" xfId="0" quotePrefix="1" applyNumberFormat="1" applyFill="1" applyBorder="1" applyAlignment="1">
      <alignment horizontal="right"/>
    </xf>
    <xf numFmtId="165" fontId="0" fillId="6" borderId="7" xfId="0" quotePrefix="1" applyNumberFormat="1" applyFill="1" applyBorder="1" applyAlignment="1">
      <alignment horizontal="right"/>
    </xf>
    <xf numFmtId="1" fontId="0" fillId="0" borderId="0" xfId="0" applyNumberFormat="1" applyFill="1" applyBorder="1"/>
    <xf numFmtId="0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17" xfId="0" applyNumberFormat="1" applyBorder="1"/>
    <xf numFmtId="165" fontId="0" fillId="0" borderId="5" xfId="0" applyNumberFormat="1" applyBorder="1"/>
    <xf numFmtId="165" fontId="0" fillId="0" borderId="22" xfId="0" applyNumberFormat="1" applyBorder="1"/>
    <xf numFmtId="0" fontId="0" fillId="0" borderId="22" xfId="0" applyBorder="1"/>
    <xf numFmtId="0" fontId="0" fillId="0" borderId="23" xfId="0" applyBorder="1"/>
    <xf numFmtId="0" fontId="0" fillId="0" borderId="14" xfId="0" applyBorder="1"/>
    <xf numFmtId="165" fontId="0" fillId="0" borderId="24" xfId="0" applyNumberFormat="1" applyBorder="1"/>
    <xf numFmtId="0" fontId="0" fillId="0" borderId="24" xfId="0" applyBorder="1" applyAlignment="1">
      <alignment horizontal="right"/>
    </xf>
    <xf numFmtId="2" fontId="0" fillId="0" borderId="15" xfId="0" applyNumberFormat="1" applyBorder="1"/>
    <xf numFmtId="2" fontId="9" fillId="0" borderId="16" xfId="0" applyNumberFormat="1" applyFont="1" applyBorder="1"/>
    <xf numFmtId="0" fontId="0" fillId="0" borderId="16" xfId="0" applyBorder="1"/>
    <xf numFmtId="2" fontId="0" fillId="0" borderId="0" xfId="0" applyNumberFormat="1"/>
    <xf numFmtId="0" fontId="3" fillId="0" borderId="8" xfId="0" applyFont="1" applyBorder="1"/>
    <xf numFmtId="0" fontId="3" fillId="0" borderId="19" xfId="0" applyFont="1" applyBorder="1"/>
    <xf numFmtId="165" fontId="0" fillId="0" borderId="25" xfId="0" applyNumberFormat="1" applyBorder="1"/>
    <xf numFmtId="0" fontId="0" fillId="0" borderId="25" xfId="0" applyBorder="1" applyAlignment="1">
      <alignment horizontal="right"/>
    </xf>
    <xf numFmtId="0" fontId="0" fillId="0" borderId="26" xfId="0" applyBorder="1"/>
    <xf numFmtId="2" fontId="0" fillId="0" borderId="27" xfId="0" applyNumberFormat="1" applyBorder="1"/>
    <xf numFmtId="2" fontId="0" fillId="0" borderId="28" xfId="0" applyNumberFormat="1" applyBorder="1"/>
    <xf numFmtId="0" fontId="0" fillId="0" borderId="10" xfId="0" applyBorder="1"/>
    <xf numFmtId="0" fontId="3" fillId="5" borderId="0" xfId="0" applyFont="1" applyFill="1"/>
    <xf numFmtId="11" fontId="0" fillId="0" borderId="0" xfId="0" applyNumberFormat="1"/>
    <xf numFmtId="1" fontId="0" fillId="0" borderId="0" xfId="0" quotePrefix="1" applyNumberFormat="1"/>
    <xf numFmtId="166" fontId="0" fillId="0" borderId="0" xfId="0" applyNumberFormat="1"/>
    <xf numFmtId="9" fontId="0" fillId="0" borderId="0" xfId="1" applyFont="1"/>
    <xf numFmtId="0" fontId="0" fillId="0" borderId="0" xfId="0" quotePrefix="1"/>
    <xf numFmtId="164" fontId="0" fillId="0" borderId="0" xfId="0" applyNumberFormat="1"/>
    <xf numFmtId="1" fontId="0" fillId="0" borderId="0" xfId="0" applyNumberFormat="1" applyAlignment="1">
      <alignment horizontal="right"/>
    </xf>
    <xf numFmtId="9" fontId="0" fillId="0" borderId="0" xfId="1" applyFont="1" applyBorder="1"/>
    <xf numFmtId="9" fontId="0" fillId="0" borderId="0" xfId="1" applyFont="1" applyFill="1" applyBorder="1"/>
    <xf numFmtId="0" fontId="11" fillId="0" borderId="0" xfId="2"/>
    <xf numFmtId="165" fontId="0" fillId="3" borderId="0" xfId="0" applyNumberFormat="1" applyFill="1" applyAlignment="1">
      <alignment horizontal="right"/>
    </xf>
    <xf numFmtId="11" fontId="0" fillId="3" borderId="0" xfId="0" applyNumberFormat="1" applyFill="1"/>
    <xf numFmtId="165" fontId="0" fillId="3" borderId="0" xfId="0" applyNumberFormat="1" applyFill="1"/>
    <xf numFmtId="166" fontId="0" fillId="3" borderId="0" xfId="0" applyNumberFormat="1" applyFill="1"/>
    <xf numFmtId="2" fontId="0" fillId="3" borderId="0" xfId="0" applyNumberFormat="1" applyFill="1"/>
    <xf numFmtId="165" fontId="0" fillId="4" borderId="0" xfId="0" applyNumberFormat="1" applyFill="1" applyAlignment="1">
      <alignment horizontal="right"/>
    </xf>
    <xf numFmtId="11" fontId="0" fillId="4" borderId="0" xfId="0" applyNumberFormat="1" applyFill="1"/>
    <xf numFmtId="165" fontId="0" fillId="4" borderId="0" xfId="0" applyNumberFormat="1" applyFill="1"/>
    <xf numFmtId="166" fontId="0" fillId="4" borderId="0" xfId="0" applyNumberFormat="1" applyFill="1"/>
    <xf numFmtId="2" fontId="0" fillId="4" borderId="0" xfId="0" applyNumberFormat="1" applyFill="1"/>
    <xf numFmtId="166" fontId="0" fillId="2" borderId="0" xfId="0" applyNumberFormat="1" applyFill="1" applyAlignment="1">
      <alignment horizontal="right"/>
    </xf>
    <xf numFmtId="2" fontId="0" fillId="2" borderId="0" xfId="0" applyNumberFormat="1" applyFill="1"/>
    <xf numFmtId="166" fontId="0" fillId="0" borderId="0" xfId="0" applyNumberFormat="1" applyFill="1"/>
    <xf numFmtId="165" fontId="0" fillId="0" borderId="0" xfId="0" applyNumberFormat="1" applyFill="1"/>
    <xf numFmtId="0" fontId="0" fillId="0" borderId="0" xfId="0" applyNumberFormat="1" applyFill="1" applyAlignment="1">
      <alignment horizontal="right"/>
    </xf>
    <xf numFmtId="1" fontId="0" fillId="0" borderId="0" xfId="0" applyNumberFormat="1" applyFill="1"/>
    <xf numFmtId="2" fontId="3" fillId="0" borderId="0" xfId="0" applyNumberFormat="1" applyFont="1" applyFill="1"/>
    <xf numFmtId="1" fontId="3" fillId="0" borderId="0" xfId="0" applyNumberFormat="1" applyFont="1" applyFill="1"/>
    <xf numFmtId="9" fontId="0" fillId="0" borderId="0" xfId="1" applyNumberFormat="1" applyFont="1" applyFill="1"/>
    <xf numFmtId="0" fontId="0" fillId="0" borderId="0" xfId="0" applyNumberFormat="1" applyFill="1"/>
    <xf numFmtId="9" fontId="0" fillId="0" borderId="0" xfId="1" applyFont="1" applyFill="1"/>
    <xf numFmtId="164" fontId="0" fillId="0" borderId="0" xfId="0" applyNumberFormat="1" applyFill="1"/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left"/>
    </xf>
    <xf numFmtId="0" fontId="0" fillId="0" borderId="5" xfId="0" applyFont="1" applyFill="1" applyBorder="1" applyAlignment="1">
      <alignment horizontal="right"/>
    </xf>
    <xf numFmtId="0" fontId="0" fillId="0" borderId="11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16" xfId="0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5" borderId="2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1" fillId="7" borderId="21" xfId="0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1" fillId="5" borderId="3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136"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2" formatCode="0.00"/>
      <fill>
        <patternFill patternType="solid">
          <fgColor indexed="64"/>
          <bgColor theme="7" tint="0.79998168889431442"/>
        </patternFill>
      </fill>
    </dxf>
    <dxf>
      <numFmt numFmtId="2" formatCode="0.00"/>
    </dxf>
    <dxf>
      <numFmt numFmtId="166" formatCode="0.0"/>
      <fill>
        <patternFill patternType="solid">
          <fgColor indexed="64"/>
          <bgColor theme="7" tint="0.79998168889431442"/>
        </patternFill>
      </fill>
      <alignment horizontal="right" vertical="bottom" textRotation="0" wrapText="0" indent="0" justifyLastLine="0" shrinkToFit="0" readingOrder="0"/>
    </dxf>
    <dxf>
      <numFmt numFmtId="166" formatCode="0.0"/>
    </dxf>
    <dxf>
      <numFmt numFmtId="166" formatCode="0.0"/>
    </dxf>
    <dxf>
      <numFmt numFmtId="165" formatCode="0.000"/>
    </dxf>
    <dxf>
      <numFmt numFmtId="15" formatCode="0.00E+00"/>
    </dxf>
    <dxf>
      <numFmt numFmtId="165" formatCode="0.000"/>
      <fill>
        <patternFill patternType="none">
          <fgColor indexed="64"/>
          <bgColor auto="1"/>
        </patternFill>
      </fill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</dxf>
    <dxf>
      <numFmt numFmtId="13" formatCode="0%"/>
    </dxf>
    <dxf>
      <numFmt numFmtId="1" formatCode="0"/>
    </dxf>
    <dxf>
      <numFmt numFmtId="1" formatCode="0"/>
    </dxf>
    <dxf>
      <numFmt numFmtId="1" formatCode="0"/>
      <alignment horizontal="right" vertical="bottom" textRotation="0" wrapText="0" indent="0" justifyLastLine="0" shrinkToFit="0" readingOrder="0"/>
    </dxf>
    <dxf>
      <numFmt numFmtId="15" formatCode="0.00E+00"/>
    </dxf>
    <dxf>
      <numFmt numFmtId="165" formatCode="0.000"/>
      <fill>
        <patternFill patternType="none">
          <fgColor indexed="64"/>
          <bgColor auto="1"/>
        </patternFill>
      </fill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</dxf>
    <dxf>
      <numFmt numFmtId="164" formatCode="0.0000"/>
    </dxf>
    <dxf>
      <numFmt numFmtId="166" formatCode="0.0"/>
    </dxf>
    <dxf>
      <numFmt numFmtId="165" formatCode="0.000"/>
    </dxf>
    <dxf>
      <numFmt numFmtId="166" formatCode="0.0"/>
    </dxf>
    <dxf>
      <numFmt numFmtId="166" formatCode="0.0"/>
    </dxf>
    <dxf>
      <numFmt numFmtId="166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5" formatCode="0.00E+00"/>
    </dxf>
    <dxf>
      <numFmt numFmtId="165" formatCode="0.00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</dxf>
    <dxf>
      <fill>
        <patternFill patternType="none">
          <fgColor indexed="64"/>
          <bgColor auto="1"/>
        </patternFill>
      </fill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</dxf>
    <dxf>
      <numFmt numFmtId="13" formatCode="0%"/>
    </dxf>
    <dxf>
      <numFmt numFmtId="0" formatCode="General"/>
    </dxf>
    <dxf>
      <numFmt numFmtId="13" formatCode="0%"/>
    </dxf>
    <dxf>
      <numFmt numFmtId="165" formatCode="0.000"/>
    </dxf>
    <dxf>
      <numFmt numFmtId="166" formatCode="0.0"/>
      <fill>
        <patternFill patternType="none">
          <fgColor indexed="64"/>
          <bgColor indexed="65"/>
        </patternFill>
      </fill>
    </dxf>
    <dxf>
      <numFmt numFmtId="166" formatCode="0.0"/>
    </dxf>
    <dxf>
      <numFmt numFmtId="166" formatCode="0.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0" formatCode="General"/>
      <alignment horizontal="right" vertical="bottom" textRotation="0" wrapText="0" indent="0" justifyLastLine="0" shrinkToFit="0" readingOrder="0"/>
    </dxf>
    <dxf>
      <numFmt numFmtId="15" formatCode="0.00E+00"/>
    </dxf>
    <dxf>
      <numFmt numFmtId="165" formatCode="0.00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0" formatCode="General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0" formatCode="General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</dxf>
    <dxf>
      <numFmt numFmtId="165" formatCode="0.000"/>
      <alignment horizontal="right" vertical="bottom" textRotation="0" wrapText="0" indent="0" justifyLastLine="0" shrinkToFit="0" readingOrder="0"/>
    </dxf>
    <dxf>
      <numFmt numFmtId="165" formatCode="0.000"/>
      <alignment horizontal="right" vertical="bottom" textRotation="0" wrapText="0" indent="0" justifyLastLine="0" shrinkToFit="0" readingOrder="0"/>
    </dxf>
    <dxf>
      <numFmt numFmtId="165" formatCode="0.000"/>
      <alignment horizontal="right" vertical="bottom" textRotation="0" wrapText="0" indent="0" justifyLastLine="0" shrinkToFit="0" readingOrder="0"/>
    </dxf>
    <dxf>
      <numFmt numFmtId="165" formatCode="0.00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</dxf>
    <dxf>
      <fill>
        <patternFill patternType="solid">
          <fgColor indexed="64"/>
          <bgColor theme="0" tint="-0.14999847407452621"/>
        </patternFill>
      </fill>
    </dxf>
    <dxf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</dxf>
    <dxf>
      <fill>
        <patternFill patternType="solid">
          <fgColor indexed="64"/>
          <bgColor theme="0" tint="-0.14999847407452621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Axial Load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72610485153443"/>
          <c:y val="9.8121609798775156E-2"/>
          <c:w val="0.75131517852150609"/>
          <c:h val="0.76958996792067658"/>
        </c:manualLayout>
      </c:layout>
      <c:scatterChart>
        <c:scatterStyle val="lineMarker"/>
        <c:varyColors val="0"/>
        <c:ser>
          <c:idx val="0"/>
          <c:order val="0"/>
          <c:tx>
            <c:strRef>
              <c:f>'HW10 and HW11'!$Q$12</c:f>
              <c:strCache>
                <c:ptCount val="1"/>
                <c:pt idx="0">
                  <c:v>Axial Load 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'HW10 and HW11'!$N$13:$N$30</c:f>
              <c:numCache>
                <c:formatCode>0.000</c:formatCode>
                <c:ptCount val="18"/>
                <c:pt idx="0">
                  <c:v>13.611915800376</c:v>
                </c:pt>
                <c:pt idx="1">
                  <c:v>12.341915800376</c:v>
                </c:pt>
                <c:pt idx="2">
                  <c:v>11.886915800376002</c:v>
                </c:pt>
                <c:pt idx="3">
                  <c:v>11.876597818264134</c:v>
                </c:pt>
                <c:pt idx="4">
                  <c:v>11.291597818264133</c:v>
                </c:pt>
                <c:pt idx="5">
                  <c:v>11.025389435506252</c:v>
                </c:pt>
                <c:pt idx="6">
                  <c:v>10.570389435506254</c:v>
                </c:pt>
                <c:pt idx="7">
                  <c:v>9.9112488287487857</c:v>
                </c:pt>
                <c:pt idx="8">
                  <c:v>9.629437512325401</c:v>
                </c:pt>
                <c:pt idx="9">
                  <c:v>8.9544375123254003</c:v>
                </c:pt>
                <c:pt idx="10">
                  <c:v>8.1870257465600886</c:v>
                </c:pt>
                <c:pt idx="11">
                  <c:v>7.2870257465600883</c:v>
                </c:pt>
                <c:pt idx="12">
                  <c:v>6.3206156878737989</c:v>
                </c:pt>
                <c:pt idx="13">
                  <c:v>4.6740726821749687</c:v>
                </c:pt>
                <c:pt idx="14">
                  <c:v>3.9990726821749689</c:v>
                </c:pt>
                <c:pt idx="15">
                  <c:v>0.89999999999999902</c:v>
                </c:pt>
                <c:pt idx="16">
                  <c:v>1E-3</c:v>
                </c:pt>
                <c:pt idx="17">
                  <c:v>0</c:v>
                </c:pt>
              </c:numCache>
            </c:numRef>
          </c:xVal>
          <c:yVal>
            <c:numRef>
              <c:f>'HW10 and HW11'!$Q$13:$Q$30</c:f>
              <c:numCache>
                <c:formatCode>0</c:formatCode>
                <c:ptCount val="18"/>
                <c:pt idx="0">
                  <c:v>0</c:v>
                </c:pt>
                <c:pt idx="1">
                  <c:v>1670.8341207919134</c:v>
                </c:pt>
                <c:pt idx="2">
                  <c:v>1915.7024540536181</c:v>
                </c:pt>
                <c:pt idx="3">
                  <c:v>2941.1412850532479</c:v>
                </c:pt>
                <c:pt idx="4">
                  <c:v>3137.1784904664223</c:v>
                </c:pt>
                <c:pt idx="5">
                  <c:v>5559.3008628559946</c:v>
                </c:pt>
                <c:pt idx="6">
                  <c:v>5988.9875170722971</c:v>
                </c:pt>
                <c:pt idx="7">
                  <c:v>6970.4650591804475</c:v>
                </c:pt>
                <c:pt idx="8">
                  <c:v>7049.3523712181177</c:v>
                </c:pt>
                <c:pt idx="9">
                  <c:v>10243.580406077983</c:v>
                </c:pt>
                <c:pt idx="10">
                  <c:v>17318.643393342052</c:v>
                </c:pt>
                <c:pt idx="11">
                  <c:v>18162.193856864633</c:v>
                </c:pt>
                <c:pt idx="12">
                  <c:v>19451.074277149157</c:v>
                </c:pt>
                <c:pt idx="13">
                  <c:v>29555.274071284352</c:v>
                </c:pt>
                <c:pt idx="14">
                  <c:v>29829.73850948691</c:v>
                </c:pt>
                <c:pt idx="15">
                  <c:v>53526.579303482649</c:v>
                </c:pt>
                <c:pt idx="16">
                  <c:v>56389.71478075302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AD-4F01-B262-8060BCC38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101568"/>
        <c:axId val="754962576"/>
      </c:scatterChart>
      <c:valAx>
        <c:axId val="562101568"/>
        <c:scaling>
          <c:orientation val="maxMin"/>
          <c:max val="1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496640311190383"/>
              <c:y val="0.919061533974919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962576"/>
        <c:crosses val="autoZero"/>
        <c:crossBetween val="midCat"/>
      </c:valAx>
      <c:valAx>
        <c:axId val="754962576"/>
        <c:scaling>
          <c:orientation val="minMax"/>
          <c:max val="6000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Axial Moment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0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Bending Moment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72610485153443"/>
          <c:y val="9.8121609798775156E-2"/>
          <c:w val="0.75477295466234351"/>
          <c:h val="0.76588626421697292"/>
        </c:manualLayout>
      </c:layout>
      <c:scatterChart>
        <c:scatterStyle val="lineMarker"/>
        <c:varyColors val="0"/>
        <c:ser>
          <c:idx val="0"/>
          <c:order val="0"/>
          <c:tx>
            <c:strRef>
              <c:f>'HW10 and HW11'!$P$12</c:f>
              <c:strCache>
                <c:ptCount val="1"/>
                <c:pt idx="0">
                  <c:v>Bending Moment (Nm)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'HW10 and HW11'!$N$13:$N$30</c:f>
              <c:numCache>
                <c:formatCode>0.000</c:formatCode>
                <c:ptCount val="18"/>
                <c:pt idx="0">
                  <c:v>13.611915800376</c:v>
                </c:pt>
                <c:pt idx="1">
                  <c:v>12.341915800376</c:v>
                </c:pt>
                <c:pt idx="2">
                  <c:v>11.886915800376002</c:v>
                </c:pt>
                <c:pt idx="3">
                  <c:v>11.876597818264134</c:v>
                </c:pt>
                <c:pt idx="4">
                  <c:v>11.291597818264133</c:v>
                </c:pt>
                <c:pt idx="5">
                  <c:v>11.025389435506252</c:v>
                </c:pt>
                <c:pt idx="6">
                  <c:v>10.570389435506254</c:v>
                </c:pt>
                <c:pt idx="7">
                  <c:v>9.9112488287487857</c:v>
                </c:pt>
                <c:pt idx="8">
                  <c:v>9.629437512325401</c:v>
                </c:pt>
                <c:pt idx="9">
                  <c:v>8.9544375123254003</c:v>
                </c:pt>
                <c:pt idx="10">
                  <c:v>8.1870257465600886</c:v>
                </c:pt>
                <c:pt idx="11">
                  <c:v>7.2870257465600883</c:v>
                </c:pt>
                <c:pt idx="12">
                  <c:v>6.3206156878737989</c:v>
                </c:pt>
                <c:pt idx="13">
                  <c:v>4.6740726821749687</c:v>
                </c:pt>
                <c:pt idx="14">
                  <c:v>3.9990726821749689</c:v>
                </c:pt>
                <c:pt idx="15">
                  <c:v>0.89999999999999902</c:v>
                </c:pt>
                <c:pt idx="16">
                  <c:v>1E-3</c:v>
                </c:pt>
                <c:pt idx="17">
                  <c:v>0</c:v>
                </c:pt>
              </c:numCache>
            </c:numRef>
          </c:xVal>
          <c:yVal>
            <c:numRef>
              <c:f>'HW10 and HW11'!$P$13:$P$30</c:f>
              <c:numCache>
                <c:formatCode>0</c:formatCode>
                <c:ptCount val="18"/>
                <c:pt idx="0">
                  <c:v>0</c:v>
                </c:pt>
                <c:pt idx="1">
                  <c:v>1460.4741513884499</c:v>
                </c:pt>
                <c:pt idx="2">
                  <c:v>2122.9908770627312</c:v>
                </c:pt>
                <c:pt idx="3">
                  <c:v>2138.9325412759958</c:v>
                </c:pt>
                <c:pt idx="4">
                  <c:v>3108.2367781818066</c:v>
                </c:pt>
                <c:pt idx="5">
                  <c:v>3591.6935743248505</c:v>
                </c:pt>
                <c:pt idx="6">
                  <c:v>4407.9784481815595</c:v>
                </c:pt>
                <c:pt idx="7">
                  <c:v>6064.0979792288899</c:v>
                </c:pt>
                <c:pt idx="8">
                  <c:v>6891.8474309473559</c:v>
                </c:pt>
                <c:pt idx="9">
                  <c:v>9132.3563683691245</c:v>
                </c:pt>
                <c:pt idx="10">
                  <c:v>12111.498140488253</c:v>
                </c:pt>
                <c:pt idx="11">
                  <c:v>15844.623046644703</c:v>
                </c:pt>
                <c:pt idx="12">
                  <c:v>20500.816774353254</c:v>
                </c:pt>
                <c:pt idx="13">
                  <c:v>29863.664333824294</c:v>
                </c:pt>
                <c:pt idx="14">
                  <c:v>34192.300555411646</c:v>
                </c:pt>
                <c:pt idx="15">
                  <c:v>56937.470629393007</c:v>
                </c:pt>
                <c:pt idx="16">
                  <c:v>64122.84620941319</c:v>
                </c:pt>
                <c:pt idx="17" formatCode="0.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77-4CF5-B534-8665B8DDC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377408"/>
        <c:axId val="783534224"/>
      </c:scatterChart>
      <c:valAx>
        <c:axId val="570377408"/>
        <c:scaling>
          <c:orientation val="maxMin"/>
          <c:max val="1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 (m)</a:t>
                </a:r>
              </a:p>
            </c:rich>
          </c:tx>
          <c:layout>
            <c:manualLayout>
              <c:xMode val="edge"/>
              <c:yMode val="edge"/>
              <c:x val="0.44948156083390123"/>
              <c:y val="0.919061533974919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534224"/>
        <c:crosses val="autoZero"/>
        <c:crossBetween val="midCat"/>
      </c:valAx>
      <c:valAx>
        <c:axId val="783534224"/>
        <c:scaling>
          <c:orientation val="minMax"/>
          <c:max val="7000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Bending Moment</a:t>
                </a:r>
                <a:r>
                  <a:rPr lang="en-US" baseline="0"/>
                  <a:t> (Nm)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37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Shear Load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05268557590522"/>
          <c:y val="9.8121609798775156E-2"/>
          <c:w val="0.76736777107628273"/>
          <c:h val="0.776997375328083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'HW10 and HW11'!$O$12</c:f>
              <c:strCache>
                <c:ptCount val="1"/>
                <c:pt idx="0">
                  <c:v>Shear Load 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'HW10 and HW11'!$N$13:$N$30</c:f>
              <c:numCache>
                <c:formatCode>0.000</c:formatCode>
                <c:ptCount val="18"/>
                <c:pt idx="0">
                  <c:v>13.611915800376</c:v>
                </c:pt>
                <c:pt idx="1">
                  <c:v>12.341915800376</c:v>
                </c:pt>
                <c:pt idx="2">
                  <c:v>11.886915800376002</c:v>
                </c:pt>
                <c:pt idx="3">
                  <c:v>11.876597818264134</c:v>
                </c:pt>
                <c:pt idx="4">
                  <c:v>11.291597818264133</c:v>
                </c:pt>
                <c:pt idx="5">
                  <c:v>11.025389435506252</c:v>
                </c:pt>
                <c:pt idx="6">
                  <c:v>10.570389435506254</c:v>
                </c:pt>
                <c:pt idx="7">
                  <c:v>9.9112488287487857</c:v>
                </c:pt>
                <c:pt idx="8">
                  <c:v>9.629437512325401</c:v>
                </c:pt>
                <c:pt idx="9">
                  <c:v>8.9544375123254003</c:v>
                </c:pt>
                <c:pt idx="10">
                  <c:v>8.1870257465600886</c:v>
                </c:pt>
                <c:pt idx="11">
                  <c:v>7.2870257465600883</c:v>
                </c:pt>
                <c:pt idx="12">
                  <c:v>6.3206156878737989</c:v>
                </c:pt>
                <c:pt idx="13">
                  <c:v>4.6740726821749687</c:v>
                </c:pt>
                <c:pt idx="14">
                  <c:v>3.9990726821749689</c:v>
                </c:pt>
                <c:pt idx="15">
                  <c:v>0.89999999999999902</c:v>
                </c:pt>
                <c:pt idx="16">
                  <c:v>1E-3</c:v>
                </c:pt>
                <c:pt idx="17">
                  <c:v>0</c:v>
                </c:pt>
              </c:numCache>
            </c:numRef>
          </c:xVal>
          <c:yVal>
            <c:numRef>
              <c:f>'HW10 and HW11'!$O$13:$O$30</c:f>
              <c:numCache>
                <c:formatCode>0</c:formatCode>
                <c:ptCount val="18"/>
                <c:pt idx="0">
                  <c:v>0</c:v>
                </c:pt>
                <c:pt idx="1">
                  <c:v>852.4168198765442</c:v>
                </c:pt>
                <c:pt idx="2">
                  <c:v>1033.4165382491674</c:v>
                </c:pt>
                <c:pt idx="3">
                  <c:v>1037.4924014396763</c:v>
                </c:pt>
                <c:pt idx="4">
                  <c:v>1266.4789303898224</c:v>
                </c:pt>
                <c:pt idx="5">
                  <c:v>1369.2890332434076</c:v>
                </c:pt>
                <c:pt idx="6">
                  <c:v>1540.693346973758</c:v>
                </c:pt>
                <c:pt idx="7">
                  <c:v>2065.0231486363027</c:v>
                </c:pt>
                <c:pt idx="8">
                  <c:v>2301.1661245317373</c:v>
                </c:pt>
                <c:pt idx="9">
                  <c:v>2856.4968747239354</c:v>
                </c:pt>
                <c:pt idx="10">
                  <c:v>3469.5909425152199</c:v>
                </c:pt>
                <c:pt idx="11">
                  <c:v>4147.9165623960453</c:v>
                </c:pt>
                <c:pt idx="12">
                  <c:v>4841.8749304444609</c:v>
                </c:pt>
                <c:pt idx="13">
                  <c:v>5933.9375857127652</c:v>
                </c:pt>
                <c:pt idx="14">
                  <c:v>6344.3862856889373</c:v>
                </c:pt>
                <c:pt idx="15">
                  <c:v>7886.4717119334346</c:v>
                </c:pt>
                <c:pt idx="16">
                  <c:v>8099.0274157018957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D7-4E6D-A7EF-42DE57AF1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814704"/>
        <c:axId val="783530480"/>
      </c:scatterChart>
      <c:valAx>
        <c:axId val="436814704"/>
        <c:scaling>
          <c:orientation val="maxMin"/>
          <c:max val="1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 (m)</a:t>
                </a:r>
              </a:p>
            </c:rich>
          </c:tx>
          <c:layout>
            <c:manualLayout>
              <c:xMode val="edge"/>
              <c:yMode val="edge"/>
              <c:x val="0.45001280917233411"/>
              <c:y val="0.922765237678623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530480"/>
        <c:crosses val="autoZero"/>
        <c:crossBetween val="midCat"/>
      </c:valAx>
      <c:valAx>
        <c:axId val="783530480"/>
        <c:scaling>
          <c:orientation val="minMax"/>
          <c:max val="900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 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1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Axial Load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64445967044175"/>
          <c:y val="9.8121609798775156E-2"/>
          <c:w val="0.75131517852150609"/>
          <c:h val="0.76958996792067658"/>
        </c:manualLayout>
      </c:layout>
      <c:scatterChart>
        <c:scatterStyle val="lineMarker"/>
        <c:varyColors val="0"/>
        <c:ser>
          <c:idx val="0"/>
          <c:order val="0"/>
          <c:tx>
            <c:strRef>
              <c:f>'HW10 and HW11'!$Q$33</c:f>
              <c:strCache>
                <c:ptCount val="1"/>
                <c:pt idx="0">
                  <c:v>Axial Load (kN)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'HW10 and HW11'!$N$13:$N$30</c:f>
              <c:numCache>
                <c:formatCode>0.000</c:formatCode>
                <c:ptCount val="18"/>
                <c:pt idx="0">
                  <c:v>13.611915800376</c:v>
                </c:pt>
                <c:pt idx="1">
                  <c:v>12.341915800376</c:v>
                </c:pt>
                <c:pt idx="2">
                  <c:v>11.886915800376002</c:v>
                </c:pt>
                <c:pt idx="3">
                  <c:v>11.876597818264134</c:v>
                </c:pt>
                <c:pt idx="4">
                  <c:v>11.291597818264133</c:v>
                </c:pt>
                <c:pt idx="5">
                  <c:v>11.025389435506252</c:v>
                </c:pt>
                <c:pt idx="6">
                  <c:v>10.570389435506254</c:v>
                </c:pt>
                <c:pt idx="7">
                  <c:v>9.9112488287487857</c:v>
                </c:pt>
                <c:pt idx="8">
                  <c:v>9.629437512325401</c:v>
                </c:pt>
                <c:pt idx="9">
                  <c:v>8.9544375123254003</c:v>
                </c:pt>
                <c:pt idx="10">
                  <c:v>8.1870257465600886</c:v>
                </c:pt>
                <c:pt idx="11">
                  <c:v>7.2870257465600883</c:v>
                </c:pt>
                <c:pt idx="12">
                  <c:v>6.3206156878737989</c:v>
                </c:pt>
                <c:pt idx="13">
                  <c:v>4.6740726821749687</c:v>
                </c:pt>
                <c:pt idx="14">
                  <c:v>3.9990726821749689</c:v>
                </c:pt>
                <c:pt idx="15">
                  <c:v>0.89999999999999902</c:v>
                </c:pt>
                <c:pt idx="16">
                  <c:v>1E-3</c:v>
                </c:pt>
                <c:pt idx="17">
                  <c:v>0</c:v>
                </c:pt>
              </c:numCache>
            </c:numRef>
          </c:xVal>
          <c:yVal>
            <c:numRef>
              <c:f>'HW10 and HW11'!$Q$34:$Q$50</c:f>
              <c:numCache>
                <c:formatCode>0</c:formatCode>
                <c:ptCount val="17"/>
                <c:pt idx="0">
                  <c:v>0</c:v>
                </c:pt>
                <c:pt idx="1">
                  <c:v>3562.1633314761898</c:v>
                </c:pt>
                <c:pt idx="2">
                  <c:v>4084.2145554307958</c:v>
                </c:pt>
                <c:pt idx="3">
                  <c:v>6298.2464992856039</c:v>
                </c:pt>
                <c:pt idx="4">
                  <c:v>6731.5674781233929</c:v>
                </c:pt>
                <c:pt idx="5">
                  <c:v>11996.555206730867</c:v>
                </c:pt>
                <c:pt idx="6">
                  <c:v>12912.633005614065</c:v>
                </c:pt>
                <c:pt idx="7">
                  <c:v>15005.110809160458</c:v>
                </c:pt>
                <c:pt idx="8">
                  <c:v>21399.238774402966</c:v>
                </c:pt>
                <c:pt idx="9">
                  <c:v>21983.284957821164</c:v>
                </c:pt>
                <c:pt idx="10">
                  <c:v>37045.305266002288</c:v>
                </c:pt>
                <c:pt idx="11">
                  <c:v>40419.193750427774</c:v>
                </c:pt>
                <c:pt idx="12">
                  <c:v>41613.358724076417</c:v>
                </c:pt>
                <c:pt idx="13">
                  <c:v>51835.233496096196</c:v>
                </c:pt>
                <c:pt idx="14">
                  <c:v>52420.382641300377</c:v>
                </c:pt>
                <c:pt idx="15">
                  <c:v>76452.592166140035</c:v>
                </c:pt>
                <c:pt idx="16">
                  <c:v>82556.702731794008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C4-4B08-9799-C9DEC7DC5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101568"/>
        <c:axId val="754962576"/>
      </c:scatterChart>
      <c:valAx>
        <c:axId val="562101568"/>
        <c:scaling>
          <c:orientation val="maxMin"/>
          <c:max val="1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036974400989932"/>
              <c:y val="0.92283522892971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962576"/>
        <c:crosses val="autoZero"/>
        <c:crossBetween val="midCat"/>
      </c:valAx>
      <c:valAx>
        <c:axId val="754962576"/>
        <c:scaling>
          <c:orientation val="minMax"/>
          <c:max val="9000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Axial Moment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0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Bending Moment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72610485153443"/>
          <c:y val="9.8121609798775156E-2"/>
          <c:w val="0.75477295466234351"/>
          <c:h val="0.776997375328083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'HW10 and HW11'!$P$33</c:f>
              <c:strCache>
                <c:ptCount val="1"/>
                <c:pt idx="0">
                  <c:v>Bending Moment (Nm)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'HW10 and HW11'!$N$13:$N$30</c:f>
              <c:numCache>
                <c:formatCode>0.000</c:formatCode>
                <c:ptCount val="18"/>
                <c:pt idx="0">
                  <c:v>13.611915800376</c:v>
                </c:pt>
                <c:pt idx="1">
                  <c:v>12.341915800376</c:v>
                </c:pt>
                <c:pt idx="2">
                  <c:v>11.886915800376002</c:v>
                </c:pt>
                <c:pt idx="3">
                  <c:v>11.876597818264134</c:v>
                </c:pt>
                <c:pt idx="4">
                  <c:v>11.291597818264133</c:v>
                </c:pt>
                <c:pt idx="5">
                  <c:v>11.025389435506252</c:v>
                </c:pt>
                <c:pt idx="6">
                  <c:v>10.570389435506254</c:v>
                </c:pt>
                <c:pt idx="7">
                  <c:v>9.9112488287487857</c:v>
                </c:pt>
                <c:pt idx="8">
                  <c:v>9.629437512325401</c:v>
                </c:pt>
                <c:pt idx="9">
                  <c:v>8.9544375123254003</c:v>
                </c:pt>
                <c:pt idx="10">
                  <c:v>8.1870257465600886</c:v>
                </c:pt>
                <c:pt idx="11">
                  <c:v>7.2870257465600883</c:v>
                </c:pt>
                <c:pt idx="12">
                  <c:v>6.3206156878737989</c:v>
                </c:pt>
                <c:pt idx="13">
                  <c:v>4.6740726821749687</c:v>
                </c:pt>
                <c:pt idx="14">
                  <c:v>3.9990726821749689</c:v>
                </c:pt>
                <c:pt idx="15">
                  <c:v>0.89999999999999902</c:v>
                </c:pt>
                <c:pt idx="16">
                  <c:v>1E-3</c:v>
                </c:pt>
                <c:pt idx="17">
                  <c:v>0</c:v>
                </c:pt>
              </c:numCache>
            </c:numRef>
          </c:xVal>
          <c:yVal>
            <c:numRef>
              <c:f>'HW10 and HW11'!$P$34:$P$53</c:f>
              <c:numCache>
                <c:formatCode>0</c:formatCode>
                <c:ptCount val="20"/>
                <c:pt idx="0">
                  <c:v>0</c:v>
                </c:pt>
                <c:pt idx="1">
                  <c:v>1688.7916698266345</c:v>
                </c:pt>
                <c:pt idx="2">
                  <c:v>2524.5748859690698</c:v>
                </c:pt>
                <c:pt idx="3">
                  <c:v>2543.2893041390403</c:v>
                </c:pt>
                <c:pt idx="4">
                  <c:v>3546.9851130617453</c:v>
                </c:pt>
                <c:pt idx="5">
                  <c:v>3998.6155686534485</c:v>
                </c:pt>
                <c:pt idx="6">
                  <c:v>4664.4493505682649</c:v>
                </c:pt>
                <c:pt idx="7">
                  <c:v>5721.5396237492087</c:v>
                </c:pt>
                <c:pt idx="8">
                  <c:v>6130.1037151846785</c:v>
                </c:pt>
                <c:pt idx="9">
                  <c:v>6917.5697036505508</c:v>
                </c:pt>
                <c:pt idx="10">
                  <c:v>7792.9961480374395</c:v>
                </c:pt>
                <c:pt idx="11">
                  <c:v>7366.635933816844</c:v>
                </c:pt>
                <c:pt idx="12">
                  <c:v>7053.2082372161904</c:v>
                </c:pt>
                <c:pt idx="13">
                  <c:v>6606.2734010907288</c:v>
                </c:pt>
                <c:pt idx="14">
                  <c:v>6483.9396163078663</c:v>
                </c:pt>
                <c:pt idx="15">
                  <c:v>5841.9715402673473</c:v>
                </c:pt>
                <c:pt idx="16">
                  <c:v>3157.2452897985595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E3-403E-B426-0CC22BA7F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377408"/>
        <c:axId val="783534224"/>
      </c:scatterChart>
      <c:valAx>
        <c:axId val="570377408"/>
        <c:scaling>
          <c:orientation val="maxMin"/>
          <c:max val="1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 (m)</a:t>
                </a:r>
              </a:p>
            </c:rich>
          </c:tx>
          <c:layout>
            <c:manualLayout>
              <c:xMode val="edge"/>
              <c:yMode val="edge"/>
              <c:x val="0.45591258102405707"/>
              <c:y val="0.921027121609798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534224"/>
        <c:crosses val="autoZero"/>
        <c:crossBetween val="midCat"/>
      </c:valAx>
      <c:valAx>
        <c:axId val="783534224"/>
        <c:scaling>
          <c:orientation val="minMax"/>
          <c:min val="-20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Bending Moment</a:t>
                </a:r>
                <a:r>
                  <a:rPr lang="en-US" baseline="0"/>
                  <a:t> (Nm)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37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Shear Load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37937081883748"/>
          <c:y val="8.752133884298556E-2"/>
          <c:w val="0.76543815379080149"/>
          <c:h val="0.78070107903178765"/>
        </c:manualLayout>
      </c:layout>
      <c:scatterChart>
        <c:scatterStyle val="lineMarker"/>
        <c:varyColors val="0"/>
        <c:ser>
          <c:idx val="0"/>
          <c:order val="0"/>
          <c:tx>
            <c:strRef>
              <c:f>'HW10 and HW11'!$O$33</c:f>
              <c:strCache>
                <c:ptCount val="1"/>
                <c:pt idx="0">
                  <c:v>Shear Load 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'HW10 and HW11'!$N$13:$N$30</c:f>
              <c:numCache>
                <c:formatCode>0.000</c:formatCode>
                <c:ptCount val="18"/>
                <c:pt idx="0">
                  <c:v>13.611915800376</c:v>
                </c:pt>
                <c:pt idx="1">
                  <c:v>12.341915800376</c:v>
                </c:pt>
                <c:pt idx="2">
                  <c:v>11.886915800376002</c:v>
                </c:pt>
                <c:pt idx="3">
                  <c:v>11.876597818264134</c:v>
                </c:pt>
                <c:pt idx="4">
                  <c:v>11.291597818264133</c:v>
                </c:pt>
                <c:pt idx="5">
                  <c:v>11.025389435506252</c:v>
                </c:pt>
                <c:pt idx="6">
                  <c:v>10.570389435506254</c:v>
                </c:pt>
                <c:pt idx="7">
                  <c:v>9.9112488287487857</c:v>
                </c:pt>
                <c:pt idx="8">
                  <c:v>9.629437512325401</c:v>
                </c:pt>
                <c:pt idx="9">
                  <c:v>8.9544375123254003</c:v>
                </c:pt>
                <c:pt idx="10">
                  <c:v>8.1870257465600886</c:v>
                </c:pt>
                <c:pt idx="11">
                  <c:v>7.2870257465600883</c:v>
                </c:pt>
                <c:pt idx="12">
                  <c:v>6.3206156878737989</c:v>
                </c:pt>
                <c:pt idx="13">
                  <c:v>4.6740726821749687</c:v>
                </c:pt>
                <c:pt idx="14">
                  <c:v>3.9990726821749689</c:v>
                </c:pt>
                <c:pt idx="15">
                  <c:v>0.89999999999999902</c:v>
                </c:pt>
                <c:pt idx="16">
                  <c:v>1E-3</c:v>
                </c:pt>
                <c:pt idx="17">
                  <c:v>0</c:v>
                </c:pt>
              </c:numCache>
            </c:numRef>
          </c:xVal>
          <c:yVal>
            <c:numRef>
              <c:f>'HW10 and HW11'!$O$34:$O$53</c:f>
              <c:numCache>
                <c:formatCode>0</c:formatCode>
                <c:ptCount val="20"/>
                <c:pt idx="0">
                  <c:v>0</c:v>
                </c:pt>
                <c:pt idx="1">
                  <c:v>1836.8861893240403</c:v>
                </c:pt>
                <c:pt idx="2">
                  <c:v>1813.7672625391142</c:v>
                </c:pt>
                <c:pt idx="3">
                  <c:v>1715.7193314918006</c:v>
                </c:pt>
                <c:pt idx="4">
                  <c:v>1696.5298046322785</c:v>
                </c:pt>
                <c:pt idx="5">
                  <c:v>1463.3709492633379</c:v>
                </c:pt>
                <c:pt idx="6">
                  <c:v>1484.0990162598243</c:v>
                </c:pt>
                <c:pt idx="7">
                  <c:v>1449.7788684314437</c:v>
                </c:pt>
                <c:pt idx="8">
                  <c:v>1166.616279208698</c:v>
                </c:pt>
                <c:pt idx="9">
                  <c:v>1140.7519189047848</c:v>
                </c:pt>
                <c:pt idx="10">
                  <c:v>473.73357135621654</c:v>
                </c:pt>
                <c:pt idx="11">
                  <c:v>324.32164150559259</c:v>
                </c:pt>
                <c:pt idx="12">
                  <c:v>271.43830108207385</c:v>
                </c:pt>
                <c:pt idx="13">
                  <c:v>-181.23523671535247</c:v>
                </c:pt>
                <c:pt idx="14">
                  <c:v>-207.14844144603188</c:v>
                </c:pt>
                <c:pt idx="15">
                  <c:v>-1271.4096997111437</c:v>
                </c:pt>
                <c:pt idx="16">
                  <c:v>-1541.7289304284702</c:v>
                </c:pt>
                <c:pt idx="17" formatCode="0.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DB-43EF-AE05-7E76B203E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814704"/>
        <c:axId val="783530480"/>
      </c:scatterChart>
      <c:valAx>
        <c:axId val="436814704"/>
        <c:scaling>
          <c:orientation val="maxMin"/>
          <c:max val="1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Height (m)</a:t>
                </a:r>
              </a:p>
            </c:rich>
          </c:tx>
          <c:layout>
            <c:manualLayout>
              <c:xMode val="edge"/>
              <c:yMode val="edge"/>
              <c:x val="0.45155051405867086"/>
              <c:y val="0.917503937007874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530480"/>
        <c:crosses val="autoZero"/>
        <c:crossBetween val="midCat"/>
      </c:valAx>
      <c:valAx>
        <c:axId val="783530480"/>
        <c:scaling>
          <c:orientation val="minMax"/>
          <c:max val="2400"/>
          <c:min val="-24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Shear Force (N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14704"/>
        <c:crosses val="autoZero"/>
        <c:crossBetween val="midCat"/>
        <c:majorUnit val="8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609598</xdr:colOff>
      <xdr:row>11</xdr:row>
      <xdr:rowOff>55220</xdr:rowOff>
    </xdr:from>
    <xdr:to>
      <xdr:col>50</xdr:col>
      <xdr:colOff>524254</xdr:colOff>
      <xdr:row>29</xdr:row>
      <xdr:rowOff>7595</xdr:rowOff>
    </xdr:to>
    <xdr:graphicFrame macro="">
      <xdr:nvGraphicFramePr>
        <xdr:cNvPr id="13" name="Chart 7">
          <a:extLst>
            <a:ext uri="{FF2B5EF4-FFF2-40B4-BE49-F238E27FC236}">
              <a16:creationId xmlns:a16="http://schemas.microsoft.com/office/drawing/2014/main" id="{C3CEFC2C-8E6A-4705-B80D-57E6602CE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6803</xdr:colOff>
      <xdr:row>11</xdr:row>
      <xdr:rowOff>39902</xdr:rowOff>
    </xdr:from>
    <xdr:to>
      <xdr:col>39</xdr:col>
      <xdr:colOff>531059</xdr:colOff>
      <xdr:row>28</xdr:row>
      <xdr:rowOff>182777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E1036232-F46A-4EB2-831E-5DF410028456}"/>
            </a:ext>
            <a:ext uri="{147F2762-F138-4A5C-976F-8EAC2B608ADB}">
              <a16:predDERef xmlns:a16="http://schemas.microsoft.com/office/drawing/2014/main" pred="{C3CEFC2C-8E6A-4705-B80D-57E6602CE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52387</xdr:colOff>
      <xdr:row>11</xdr:row>
      <xdr:rowOff>21328</xdr:rowOff>
    </xdr:from>
    <xdr:to>
      <xdr:col>28</xdr:col>
      <xdr:colOff>576643</xdr:colOff>
      <xdr:row>28</xdr:row>
      <xdr:rowOff>164203</xdr:rowOff>
    </xdr:to>
    <xdr:graphicFrame macro="">
      <xdr:nvGraphicFramePr>
        <xdr:cNvPr id="9" name="Chart 11">
          <a:extLst>
            <a:ext uri="{FF2B5EF4-FFF2-40B4-BE49-F238E27FC236}">
              <a16:creationId xmlns:a16="http://schemas.microsoft.com/office/drawing/2014/main" id="{7EA7E242-A6BA-4A93-8BDC-CDAF3E3EEF10}"/>
            </a:ext>
            <a:ext uri="{147F2762-F138-4A5C-976F-8EAC2B608ADB}">
              <a16:predDERef xmlns:a16="http://schemas.microsoft.com/office/drawing/2014/main" pred="{E1036232-F46A-4EB2-831E-5DF410028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20782</xdr:colOff>
      <xdr:row>38</xdr:row>
      <xdr:rowOff>85282</xdr:rowOff>
    </xdr:from>
    <xdr:to>
      <xdr:col>50</xdr:col>
      <xdr:colOff>545038</xdr:colOff>
      <xdr:row>56</xdr:row>
      <xdr:rowOff>85282</xdr:rowOff>
    </xdr:to>
    <xdr:graphicFrame macro="">
      <xdr:nvGraphicFramePr>
        <xdr:cNvPr id="200" name="Chart 199">
          <a:extLst>
            <a:ext uri="{FF2B5EF4-FFF2-40B4-BE49-F238E27FC236}">
              <a16:creationId xmlns:a16="http://schemas.microsoft.com/office/drawing/2014/main" id="{3AC36556-A7B9-402C-BE77-CB78E1CD4AFD}"/>
            </a:ext>
            <a:ext uri="{147F2762-F138-4A5C-976F-8EAC2B608ADB}">
              <a16:predDERef xmlns:a16="http://schemas.microsoft.com/office/drawing/2014/main" pred="{7EA7E242-A6BA-4A93-8BDC-CDAF3E3EEF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12987</xdr:colOff>
      <xdr:row>38</xdr:row>
      <xdr:rowOff>95569</xdr:rowOff>
    </xdr:from>
    <xdr:to>
      <xdr:col>39</xdr:col>
      <xdr:colOff>537243</xdr:colOff>
      <xdr:row>56</xdr:row>
      <xdr:rowOff>95569</xdr:rowOff>
    </xdr:to>
    <xdr:graphicFrame macro="">
      <xdr:nvGraphicFramePr>
        <xdr:cNvPr id="201" name="Chart 200">
          <a:extLst>
            <a:ext uri="{FF2B5EF4-FFF2-40B4-BE49-F238E27FC236}">
              <a16:creationId xmlns:a16="http://schemas.microsoft.com/office/drawing/2014/main" id="{482C035A-6507-42F8-8867-6F96053EA9B8}"/>
            </a:ext>
            <a:ext uri="{147F2762-F138-4A5C-976F-8EAC2B608ADB}">
              <a16:predDERef xmlns:a16="http://schemas.microsoft.com/office/drawing/2014/main" pred="{3AC36556-A7B9-402C-BE77-CB78E1CD4A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36801</xdr:colOff>
      <xdr:row>38</xdr:row>
      <xdr:rowOff>93199</xdr:rowOff>
    </xdr:from>
    <xdr:to>
      <xdr:col>28</xdr:col>
      <xdr:colOff>561057</xdr:colOff>
      <xdr:row>56</xdr:row>
      <xdr:rowOff>93199</xdr:rowOff>
    </xdr:to>
    <xdr:graphicFrame macro="">
      <xdr:nvGraphicFramePr>
        <xdr:cNvPr id="4" name="Chart 201">
          <a:extLst>
            <a:ext uri="{FF2B5EF4-FFF2-40B4-BE49-F238E27FC236}">
              <a16:creationId xmlns:a16="http://schemas.microsoft.com/office/drawing/2014/main" id="{44E0BB16-8E77-42D5-A35F-AA1CF2DA7CD3}"/>
            </a:ext>
            <a:ext uri="{147F2762-F138-4A5C-976F-8EAC2B608ADB}">
              <a16:predDERef xmlns:a16="http://schemas.microsoft.com/office/drawing/2014/main" pred="{482C035A-6507-42F8-8867-6F96053EA9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W12%20-%20Edwards%20Lym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nerva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W12"/>
      <sheetName val="HW10 and HW11"/>
      <sheetName val="HW7 - Max Q"/>
      <sheetName val="HW9 - CM and J0"/>
      <sheetName val="HW9 - Rocket Data"/>
      <sheetName val="HW9 - Drawing"/>
      <sheetName val="HW12 - Edwards Lyman"/>
    </sheetNames>
    <sheetDataSet>
      <sheetData sheetId="0" refreshError="1"/>
      <sheetData sheetId="1">
        <row r="4">
          <cell r="F4">
            <v>7257.3625726340015</v>
          </cell>
          <cell r="M4">
            <v>13102.237619458259</v>
          </cell>
        </row>
        <row r="5">
          <cell r="M5">
            <v>52</v>
          </cell>
          <cell r="T5">
            <v>0.35342917352885178</v>
          </cell>
        </row>
        <row r="6">
          <cell r="C6">
            <v>1.2806999999999999</v>
          </cell>
          <cell r="J6">
            <v>273.12084572845822</v>
          </cell>
          <cell r="M6">
            <v>10.779638050142864</v>
          </cell>
          <cell r="P6">
            <v>2.8097059453158515</v>
          </cell>
        </row>
        <row r="7">
          <cell r="C7">
            <v>0.77</v>
          </cell>
          <cell r="M7">
            <v>4978.0139721340138</v>
          </cell>
        </row>
        <row r="8">
          <cell r="C8">
            <v>9.8059999999999992</v>
          </cell>
          <cell r="S8">
            <v>1507.9337889740839</v>
          </cell>
          <cell r="T8">
            <v>2725.1137981904944</v>
          </cell>
        </row>
        <row r="9">
          <cell r="J9">
            <v>5535.1635723704221</v>
          </cell>
          <cell r="M9">
            <v>0.1697021468271156</v>
          </cell>
          <cell r="S9">
            <v>467.12487414071694</v>
          </cell>
          <cell r="T9">
            <v>423.93946286387552</v>
          </cell>
        </row>
        <row r="10">
          <cell r="J10">
            <v>88066</v>
          </cell>
        </row>
        <row r="11">
          <cell r="J11">
            <v>1.5917911382742835</v>
          </cell>
        </row>
        <row r="21">
          <cell r="E21">
            <v>39.206438746604839</v>
          </cell>
        </row>
        <row r="22">
          <cell r="E22">
            <v>3.6384141177301341</v>
          </cell>
        </row>
        <row r="23">
          <cell r="E23">
            <v>2.9459035934465896</v>
          </cell>
        </row>
        <row r="24">
          <cell r="E24">
            <v>6.8007740518320272</v>
          </cell>
        </row>
        <row r="25">
          <cell r="E25">
            <v>17.548936562952587</v>
          </cell>
        </row>
        <row r="26">
          <cell r="E26">
            <v>1.5548778280898012</v>
          </cell>
        </row>
        <row r="27">
          <cell r="E27">
            <v>2.9063136973641144</v>
          </cell>
        </row>
        <row r="28">
          <cell r="E28">
            <v>11.90820695343211</v>
          </cell>
        </row>
        <row r="29">
          <cell r="E29">
            <v>1.3863474631550248</v>
          </cell>
        </row>
        <row r="30">
          <cell r="E30">
            <v>2.2076928678349139</v>
          </cell>
        </row>
        <row r="31">
          <cell r="E31">
            <v>70.76572856296923</v>
          </cell>
        </row>
        <row r="32">
          <cell r="E32">
            <v>47.545522487009201</v>
          </cell>
        </row>
        <row r="33">
          <cell r="E33">
            <v>228.32825500519635</v>
          </cell>
        </row>
        <row r="35">
          <cell r="E35">
            <v>45.632069753635406</v>
          </cell>
        </row>
        <row r="36">
          <cell r="E36">
            <v>10.774201078676059</v>
          </cell>
        </row>
        <row r="37">
          <cell r="E37">
            <v>85.293588324552161</v>
          </cell>
        </row>
        <row r="38">
          <cell r="E38">
            <v>42.305472071403557</v>
          </cell>
        </row>
        <row r="39">
          <cell r="E39">
            <v>12.854104155953635</v>
          </cell>
          <cell r="F39">
            <v>2.3176239972991892</v>
          </cell>
        </row>
        <row r="40">
          <cell r="E40">
            <v>24.026362908324554</v>
          </cell>
        </row>
        <row r="41">
          <cell r="E41">
            <v>28.203648047602371</v>
          </cell>
        </row>
        <row r="42">
          <cell r="E42">
            <v>22.456998043725001</v>
          </cell>
        </row>
        <row r="43">
          <cell r="E43">
            <v>1.0050125260769012</v>
          </cell>
        </row>
        <row r="44">
          <cell r="E44">
            <v>193.07268165398798</v>
          </cell>
        </row>
        <row r="60">
          <cell r="D60">
            <v>145.84939368850723</v>
          </cell>
        </row>
        <row r="61">
          <cell r="D61">
            <v>341.28758123110691</v>
          </cell>
        </row>
        <row r="62">
          <cell r="D62">
            <v>1206.7255216016861</v>
          </cell>
        </row>
        <row r="63">
          <cell r="D63">
            <v>4283.8756016859852</v>
          </cell>
        </row>
      </sheetData>
      <sheetData sheetId="2" refreshError="1"/>
      <sheetData sheetId="3" refreshError="1"/>
      <sheetData sheetId="4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M and J0 for ACS"/>
      <sheetName val="HW10 and HW11"/>
      <sheetName val="HW9 - CM and J0"/>
      <sheetName val="Stresses"/>
      <sheetName val="Minerva 1"/>
    </sheetNames>
    <sheetDataSet>
      <sheetData sheetId="0"/>
      <sheetData sheetId="1">
        <row r="3">
          <cell r="J3">
            <v>76</v>
          </cell>
          <cell r="X3">
            <v>10020.290834875366</v>
          </cell>
        </row>
        <row r="4">
          <cell r="C4">
            <v>0.45</v>
          </cell>
          <cell r="J4">
            <v>11061.525699064699</v>
          </cell>
        </row>
        <row r="5">
          <cell r="X5">
            <v>14293.52869406175</v>
          </cell>
        </row>
        <row r="6">
          <cell r="J6">
            <v>0.287968887587638</v>
          </cell>
        </row>
        <row r="7">
          <cell r="M7">
            <v>1.3483529124767057</v>
          </cell>
        </row>
        <row r="16">
          <cell r="E16">
            <v>20.039434139085799</v>
          </cell>
        </row>
        <row r="17">
          <cell r="E17">
            <v>12.485956757039199</v>
          </cell>
        </row>
        <row r="19">
          <cell r="D19">
            <v>0.22500000000000001</v>
          </cell>
        </row>
      </sheetData>
      <sheetData sheetId="2"/>
      <sheetData sheetId="3"/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A600FDD-F215-4FA2-A88F-AE99ABEFE2B1}" name="Table17" displayName="Table17" ref="A5:P72" totalsRowCount="1" totalsRowDxfId="127">
  <autoFilter ref="A5:P71" xr:uid="{5599E242-3E0C-4102-AD2C-6F9CCFF5CE18}"/>
  <tableColumns count="16">
    <tableColumn id="1" xr3:uid="{5DFF0083-2B2A-4258-A153-98B3F999F2D4}" name="Stage" totalsRowLabel="Total" dataDxfId="126" totalsRowDxfId="125">
      <calculatedColumnFormula>A5+1</calculatedColumnFormula>
    </tableColumn>
    <tableColumn id="2" xr3:uid="{9D93C85D-8B7C-49D5-A488-18244084AAFB}" name="Item" totalsRowDxfId="124"/>
    <tableColumn id="6" xr3:uid="{70E12AA2-0AED-4ED2-9888-2018D0090E38}" name="Height" dataDxfId="123" totalsRowDxfId="122"/>
    <tableColumn id="3" xr3:uid="{3BBA64E2-05CE-46B6-90DB-EDAF7D55256E}" name="Mass (kg)" totalsRowFunction="sum" totalsRowDxfId="121"/>
    <tableColumn id="4" xr3:uid="{110E1012-2281-4012-81EE-BACB329E8719}" name="Distance (m)" totalsRowDxfId="120"/>
    <tableColumn id="5" xr3:uid="{697EE0F6-E46F-4772-876F-74515EFDDAA5}" name="Moment (kgm)" totalsRowFunction="sum" totalsRowDxfId="119">
      <calculatedColumnFormula>D6*E6</calculatedColumnFormula>
    </tableColumn>
    <tableColumn id="15" xr3:uid="{43C185E3-7E66-47AE-9B59-65AAF1F38D2F}" name="Thickness (m)" dataDxfId="118" totalsRowDxfId="117"/>
    <tableColumn id="16" xr3:uid="{5F5D3E53-6D66-4C01-8ECF-4AD51D3569FA}" name="Dist from CM (m)" dataDxfId="116" totalsRowDxfId="115">
      <calculatedColumnFormula>Table17[[#This Row],[Distance (m)]]-$G$73</calculatedColumnFormula>
    </tableColumn>
    <tableColumn id="11" xr3:uid="{0EA5C388-FF8F-4D8A-A8B4-FE3AA33ABA68}" name="J0" totalsRowFunction="sum" dataDxfId="114" totalsRowDxfId="113">
      <calculatedColumnFormula>(Table17[[#This Row],[Mass (kg)]]*(((C2^2)/2)+((Table17[[#This Row],[Distance (m)]]^2)/12)))</calculatedColumnFormula>
    </tableColumn>
    <tableColumn id="12" xr3:uid="{03107FEE-83CB-4A79-A19C-41BF02E3A0A7}" name="m*cm^2" dataDxfId="112" totalsRowDxfId="111">
      <calculatedColumnFormula>Table17[[#This Row],[Mass (kg)]]*(Table17[[#This Row],[Dist from CM (m)]]^2)</calculatedColumnFormula>
    </tableColumn>
    <tableColumn id="13" xr3:uid="{007F7195-9A5E-4930-B8F0-69B5E98C88BD}" name="Jpitch/yaw" totalsRowFunction="sum" dataDxfId="110" totalsRowDxfId="109">
      <calculatedColumnFormula>Table17[[#This Row],[m*cm^2]]+Table17[[#This Row],[J0]]</calculatedColumnFormula>
    </tableColumn>
    <tableColumn id="8" xr3:uid="{5F47EC05-6024-4038-B779-7251EC802672}" name="Jroll" totalsRowFunction="custom" dataDxfId="108" totalsRowDxfId="107">
      <totalsRowFormula>SUBTOTAL(109,Table17[Jroll])</totalsRowFormula>
    </tableColumn>
    <tableColumn id="9" xr3:uid="{8400BF34-4967-4344-A3C2-6F65E1A15C02}" name="Mass at Max q" dataDxfId="106" totalsRowDxfId="105"/>
    <tableColumn id="10" xr3:uid="{BFDFD656-62D8-4CC2-8575-51FF5BD5E60D}" name="Product of Max q (kg * m)" dataDxfId="104" totalsRowDxfId="103"/>
    <tableColumn id="14" xr3:uid="{96A81393-3362-4EAC-927F-A7B9CDD79C19}" name="Distance from Max q CM" dataDxfId="102" totalsRowDxfId="101"/>
    <tableColumn id="7" xr3:uid="{3E972CBA-4B75-4F1F-BB9D-CEA13AE2D9C5}" name="Column1" dataDxfId="100" totalsRowDxfId="9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EC1059D-35EC-4783-9751-5CB6F231B35C}" name="Table10" displayName="Table10" ref="B68:I80" totalsRowCount="1" headerRowDxfId="28" tableBorderDxfId="27">
  <autoFilter ref="B68:I79" xr:uid="{9D2C92C1-24EF-433D-AC68-BD0C051470D5}"/>
  <tableColumns count="8">
    <tableColumn id="1" xr3:uid="{80960877-2348-4598-BB42-A4E28953767E}" name="Num"/>
    <tableColumn id="2" xr3:uid="{D3599480-7DA3-46A3-8B57-25A53F310CF1}" name="Location"/>
    <tableColumn id="5" xr3:uid="{15D38A08-03A3-4875-9014-1F74E835746B}" name="Height" dataDxfId="26">
      <calculatedColumnFormula>VLOOKUP(Table10[[#This Row],[Location]],[2]!External_Loads[[Location]:[Height (m)]],2,FALSE)</calculatedColumnFormula>
    </tableColumn>
    <tableColumn id="3" xr3:uid="{31C62CB9-D1AE-4762-AB8A-9DB5D5993E56}" name="Vwall (m3)" dataDxfId="25">
      <calculatedColumnFormula>PI()*($C$4^2)*Table10[[#This Row],[Height]]*VLOOKUP(Table10[[#This Row],[Location]],[1]!Table37910[[Location]:[MS]],3,FALSE)</calculatedColumnFormula>
    </tableColumn>
    <tableColumn id="4" xr3:uid="{6E5691BE-9DAA-4001-BD51-DECBADAF478D}" name="Mwall (kg)" dataDxfId="24">
      <calculatedColumnFormula>Table10[[#This Row],[Vwall (m3)]]*VLOOKUP(VLOOKUP(Table10[[#This Row],[Location]],Table37[[Location]:[Material]],2,FALSE),Table7[[Material]:[Source]],3,FALSE)</calculatedColumnFormula>
    </tableColumn>
    <tableColumn id="6" xr3:uid="{582F329A-4410-4AD8-A1B5-7ECE8359AA93}" name="Mprevious (kg)" dataDxfId="23"/>
    <tableColumn id="7" xr3:uid="{8140B06A-FBD2-4A3C-A9BF-B54F09AA4D9F}" name="Mrevised (kg)" totalsRowLabel="Total ΔM" dataDxfId="22" totalsRowDxfId="21"/>
    <tableColumn id="8" xr3:uid="{96FF2F29-A257-419F-829B-795224EA86DB}" name="ΔM (kg)" totalsRowFunction="sum" dataDxfId="20" totalsRowDxfId="19">
      <calculatedColumnFormula>Table10[[#This Row],[Mrevised (kg)]]-Table10[[#This Row],[Mprevious (kg)]]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6E8CBD-B7D1-4B8D-8218-3F53B0ADDE29}" name="Rocket_Data" displayName="Rocket_Data" ref="B12:J78" totalsRowShown="0" headerRowDxfId="98" tableBorderDxfId="97">
  <autoFilter ref="B12:J78" xr:uid="{1774718E-1AC9-4985-B56D-071192113D44}"/>
  <tableColumns count="9">
    <tableColumn id="1" xr3:uid="{78033B97-0947-443E-9D9A-FFD9A89AB603}" name="Item"/>
    <tableColumn id="10" xr3:uid="{30181409-BBD6-41D4-8A27-06DD9E7F421B}" name="Ext or Int"/>
    <tableColumn id="2" xr3:uid="{EE0A3455-7CAB-4A1D-B081-B430CF69B628}" name="Height (m)" dataDxfId="96"/>
    <tableColumn id="3" xr3:uid="{EC61A65C-251D-4742-9FC7-68877FD6D6BB}" name="Mass (kg)" dataDxfId="95"/>
    <tableColumn id="4" xr3:uid="{D36C9B97-4E76-41C2-9B38-87FE5240C618}" name="CG (m)"/>
    <tableColumn id="8" xr3:uid="{C708A961-7693-4702-A2DB-DA7CD9FEEE88}" name="Area (m2)" dataDxfId="94"/>
    <tableColumn id="9" xr3:uid="{71308532-E378-4402-AD45-D9CBB31A62C9}" name="vss (m/s)" dataDxfId="93">
      <calculatedColumnFormula>IF(Rocket_Data[[#This Row],[Ext or Int]]="E",9.5*(Rocket_Data[[#This Row],[CG (m)]]^0.2),"-")</calculatedColumnFormula>
    </tableColumn>
    <tableColumn id="5" xr3:uid="{469414E7-2B61-45F8-A478-6A775636D763}" name="vr (m/s)" dataDxfId="92">
      <calculatedColumnFormula>IF(Rocket_Data[[#This Row],[vss (m/s)]]="-","-",SQRT(((1.25*Rocket_Data[[#This Row],[vss (m/s)]])^2)+((2.56*Rocket_Data[[#This Row],[vss (m/s)]])^2)))</calculatedColumnFormula>
    </tableColumn>
    <tableColumn id="6" xr3:uid="{3D7C659E-01CD-4DB5-AE3A-811F2FAFDAF6}" name="Wind (N)" dataDxfId="91">
      <calculatedColumnFormula>IF(Rocket_Data[[#This Row],[vr (m/s)]]="-","-",(1/2)*rho*(Rocket_Data[[#This Row],[vr (m/s)]]^2)*Rocket_Data[[#This Row],[Area (m2)]]*Cd)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893C18-AF47-43DE-927D-5B59E596645D}" name="External_Loads" displayName="External_Loads" ref="L12:Q30" totalsRowShown="0" headerRowDxfId="90" tableBorderDxfId="89">
  <autoFilter ref="L12:Q30" xr:uid="{04D5EAE5-48C2-4727-A1D5-A306083B0CD1}"/>
  <tableColumns count="6">
    <tableColumn id="1" xr3:uid="{CCC971EF-A9E3-4C5A-B88B-15B5695AA514}" name="Num" dataDxfId="88">
      <calculatedColumnFormula>L12+1</calculatedColumnFormula>
    </tableColumn>
    <tableColumn id="2" xr3:uid="{5E66C13B-E668-498D-8FF5-CD1E07D046C1}" name="Location"/>
    <tableColumn id="8" xr3:uid="{01653CCB-1757-44B1-9CF3-8851B93CC286}" name="Height (m)" dataDxfId="87"/>
    <tableColumn id="3" xr3:uid="{63697DB5-463B-4208-AA9F-1D7F2734139A}" name="Shear Load (N)" dataDxfId="86"/>
    <tableColumn id="6" xr3:uid="{37236E73-4040-412F-A9C8-089EEB4B79D3}" name="Bending Moment (Nm)" dataDxfId="85">
      <calculatedColumnFormula>External_Loads[[#This Row],[Shear Load (N)]]*External_Loads[[#This Row],[Height (m)]]</calculatedColumnFormula>
    </tableColumn>
    <tableColumn id="7" xr3:uid="{E61DB084-EF54-4452-B5E3-C1A231D055AF}" name="Axial Load (N)" dataDxfId="84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A686BD-DA52-4B4E-82EA-B05CC37878DF}" name="Table3" displayName="Table3" ref="L33:Q51" totalsRowShown="0" headerRowDxfId="83" tableBorderDxfId="82">
  <autoFilter ref="L33:Q51" xr:uid="{3CCB5809-8E74-4BF2-9045-0408BC224C3C}"/>
  <tableColumns count="6">
    <tableColumn id="1" xr3:uid="{E1F8CD46-3830-418C-978D-25FA3DCD567F}" name="Num" dataDxfId="81">
      <calculatedColumnFormula>L33+1</calculatedColumnFormula>
    </tableColumn>
    <tableColumn id="2" xr3:uid="{2BBD7659-D95A-4CBD-B5F5-7D8366948A99}" name="Location"/>
    <tableColumn id="7" xr3:uid="{49813717-4577-43EE-A78D-638DACAB8833}" name="Inertia Relief (N)" dataDxfId="80"/>
    <tableColumn id="3" xr3:uid="{5FC5697B-757D-4E8A-ABCF-460094EFBAA2}" name="Shear Load (N)" dataDxfId="79"/>
    <tableColumn id="4" xr3:uid="{2AD12196-F34B-457E-ADF3-D3FD7BF70ECC}" name="Bending Moment (Nm)" dataDxfId="78"/>
    <tableColumn id="5" xr3:uid="{FB56D202-227F-414B-918D-5E3621CCBC17}" name="Axial Load (kN)" dataDxfId="77">
      <calculatedColumnFormula>Q13*TAN(RADIANS(alpha))*Table3[[#This Row],[Inertia Relief (N)]]+Q13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BF94CFA-99FD-4317-9DBE-116864080B44}" name="Table1" displayName="Table1" ref="A5:L72" totalsRowCount="1" totalsRowDxfId="76">
  <autoFilter ref="A5:L71" xr:uid="{F85DC791-C50E-4841-830D-EC2237A8FF43}"/>
  <tableColumns count="12">
    <tableColumn id="1" xr3:uid="{B67BB253-D664-4452-9855-7B0193FAF82C}" name="Stage" totalsRowLabel="Total" dataDxfId="18" totalsRowDxfId="11">
      <calculatedColumnFormula>A5+1</calculatedColumnFormula>
    </tableColumn>
    <tableColumn id="2" xr3:uid="{DEABA097-B562-4017-A6A4-3370C9DD4C69}" name="Item" totalsRowDxfId="10"/>
    <tableColumn id="6" xr3:uid="{7A56402C-82F4-4102-85C4-38F18399D3A5}" name="Height" dataDxfId="17" totalsRowDxfId="9"/>
    <tableColumn id="3" xr3:uid="{F1FF1536-1D81-424A-8258-C8F5A4848847}" name="Mass (kg)" totalsRowFunction="sum" totalsRowDxfId="8"/>
    <tableColumn id="4" xr3:uid="{AED4EA98-C7FD-4C8B-8840-906728CF1095}" name="Distance (m)" totalsRowDxfId="7"/>
    <tableColumn id="5" xr3:uid="{8F639793-00F5-4FDB-A754-122E249A7E6E}" name="Moment (kgm)" totalsRowFunction="sum" totalsRowDxfId="6">
      <calculatedColumnFormula>D6*E6</calculatedColumnFormula>
    </tableColumn>
    <tableColumn id="15" xr3:uid="{30900EBF-E458-4AD1-925D-DD0271E58DE6}" name="Thickness (m)" dataDxfId="16" totalsRowDxfId="5"/>
    <tableColumn id="16" xr3:uid="{E09633EF-AE2F-443C-84D1-BBB1EE699986}" name="Dist from CM (m)" dataDxfId="15" totalsRowDxfId="4">
      <calculatedColumnFormula>Table1[[#This Row],[Distance (m)]]-$G$73</calculatedColumnFormula>
    </tableColumn>
    <tableColumn id="11" xr3:uid="{0D6E2F7F-A9B0-4831-B494-D36ACED24846}" name="J0" totalsRowFunction="sum" dataDxfId="14" totalsRowDxfId="3">
      <calculatedColumnFormula>(Table1[[#This Row],[Mass (kg)]]*(((C2^2)/2)+((Table1[[#This Row],[Distance (m)]]^2)/12)))</calculatedColumnFormula>
    </tableColumn>
    <tableColumn id="12" xr3:uid="{4E55097A-37F7-428C-92B6-6F1F3A60F9DC}" name="m*cm^2" dataDxfId="13" totalsRowDxfId="2">
      <calculatedColumnFormula>Table1[[#This Row],[Mass (kg)]]*(Table1[[#This Row],[Dist from CM (m)]]^2)</calculatedColumnFormula>
    </tableColumn>
    <tableColumn id="13" xr3:uid="{B9660108-302F-4BA4-B2E4-5C257BAFA1F2}" name="Jpitch/yaw" totalsRowFunction="sum" dataDxfId="12" totalsRowDxfId="1">
      <calculatedColumnFormula>Table1[[#This Row],[m*cm^2]]+Table1[[#This Row],[J0]]</calculatedColumnFormula>
    </tableColumn>
    <tableColumn id="14" xr3:uid="{01D11996-526A-4E81-ABE1-7B665DD0AD15}" name="Jroll" totalsRowFunction="sum" totalsRowDxfId="0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F8A610C-6D58-4FF7-992E-BF49199B03BD}" name="Table37" displayName="Table37" ref="B8:S25" totalsRowShown="0" headerRowDxfId="75" tableBorderDxfId="74">
  <autoFilter ref="B8:S25" xr:uid="{686C91B3-A139-4527-A691-960BAF3FBA35}"/>
  <tableColumns count="18">
    <tableColumn id="1" xr3:uid="{658934AB-918A-4307-9E32-14FB7EF3E566}" name="Num"/>
    <tableColumn id="2" xr3:uid="{D5B6B92D-0DE6-4323-AA48-BB3CBC76F5BD}" name="Location"/>
    <tableColumn id="7" xr3:uid="{B0A6E636-3D05-4E98-891C-F94422322B7F}" name="Material" dataDxfId="73"/>
    <tableColumn id="3" xr3:uid="{3C5258F0-F49B-43C5-8016-4F3A37191909}" name="Thickness (m)" dataDxfId="72"/>
    <tableColumn id="14" xr3:uid="{2EB6F680-6F87-4E59-A49C-1143498AD71B}" name="Pressure (Pa)" dataDxfId="71"/>
    <tableColumn id="11" xr3:uid="{E24D076C-15DF-4ADB-B8FD-806424766BDB}" name="Shear (N)" dataDxfId="70">
      <calculatedColumnFormula>VLOOKUP(Table37[[#This Row],[Location]],External_Loads[[Location]:[Axial Load (N)]],3,FALSE)</calculatedColumnFormula>
    </tableColumn>
    <tableColumn id="12" xr3:uid="{CC2ADEBF-2035-4A55-9D3E-2A93681B991C}" name="Bending Moment (Nm)" dataDxfId="69">
      <calculatedColumnFormula>VLOOKUP(Table37[[#This Row],[Location]],External_Loads[[Location]:[Axial Load (N)]],4,FALSE)</calculatedColumnFormula>
    </tableColumn>
    <tableColumn id="13" xr3:uid="{D764A707-EF43-4E93-B268-13F571022777}" name="Axial Load (N)" dataDxfId="68">
      <calculatedColumnFormula>VLOOKUP(Table37[[#This Row],[Location]],External_Loads[[Location]:[Axial Load (N)]],5,FALSE)</calculatedColumnFormula>
    </tableColumn>
    <tableColumn id="4" xr3:uid="{44E6F2A8-2A79-4A80-972F-3D56F20C7A16}" name="τ (Mpa)" dataDxfId="67">
      <calculatedColumnFormula>(Table37[[#This Row],[Shear (N)]]/(2*PI()*$C$4*Table37[[#This Row],[Thickness (m)]]))/(10^6)</calculatedColumnFormula>
    </tableColumn>
    <tableColumn id="15" xr3:uid="{ED53CFEF-6205-4847-A6F1-1583F6AB83B8}" name="σaxial (MPA)" dataDxfId="66"/>
    <tableColumn id="5" xr3:uid="{B7302899-5AE0-41A1-8443-A8AA5C55ED25}" name="σa (MPA)" dataDxfId="65">
      <calculatedColumnFormula>((-Table37[[#This Row],[Axial Load (N)]]/(2*PI()*$C$4*Table37[[#This Row],[Thickness (m)]]))/(10^6))</calculatedColumnFormula>
    </tableColumn>
    <tableColumn id="6" xr3:uid="{ADC9CA24-1869-474F-A5E6-B041C7D9FAA4}" name="σb (Mpa)" dataDxfId="64">
      <calculatedColumnFormula>(Table37[[#This Row],[Bending Moment (Nm)]]/(PI()*($C$4^2)*Table37[[#This Row],[Thickness (m)]]))/(10^6)</calculatedColumnFormula>
    </tableColumn>
    <tableColumn id="8" xr3:uid="{866F2314-8272-4974-B651-991B8A1069C9}" name="σmax-vertical (Mpa)" dataDxfId="63">
      <calculatedColumnFormula>-ABS(Table37[[#This Row],[σa (MPA)]])-ABS(Table37[[#This Row],[σb (Mpa)]])+Table37[[#This Row],[σaxial (MPA)]]</calculatedColumnFormula>
    </tableColumn>
    <tableColumn id="16" xr3:uid="{933D9914-1C5B-45EC-8922-4860CB64D573}" name="σmax-horizontal (Mpa)" dataDxfId="62">
      <calculatedColumnFormula>Table37[[#This Row],[σaxial (MPA)]]*2</calculatedColumnFormula>
    </tableColumn>
    <tableColumn id="9" xr3:uid="{07D360CB-5423-47A6-A6CF-37AB411B2BE2}" name="FSvertical" dataDxfId="61">
      <calculatedColumnFormula>ABS(VLOOKUP(Table37[[#This Row],[Material]],Table7[[Material]:[Source]],5,FALSE)/Table37[[#This Row],[σmax-vertical (Mpa)]])</calculatedColumnFormula>
    </tableColumn>
    <tableColumn id="10" xr3:uid="{0CC27365-898C-463E-88C8-F8A5B1FA48B2}" name="MSvertical" dataDxfId="60" dataCellStyle="Percent">
      <calculatedColumnFormula>(Table37[[#This Row],[FSvertical]]-1)</calculatedColumnFormula>
    </tableColumn>
    <tableColumn id="17" xr3:uid="{7423CCF7-E706-474E-9B8D-34008902C331}" name="FShorizontal" dataDxfId="59">
      <calculatedColumnFormula>ABS(VLOOKUP(Table37[[#This Row],[Material]],[1]!Table7[[Material]:[Source]],5,FALSE)/Table37[[#This Row],[σmax-horizontal (Mpa)]])</calculatedColumnFormula>
    </tableColumn>
    <tableColumn id="18" xr3:uid="{09788FAC-9BAF-418E-A3FA-8D1A6378E71B}" name="MShorizontal" dataDxfId="58" dataCellStyle="Percent">
      <calculatedColumnFormula>(Table37[[#This Row],[FShorizontal]]-1)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92965E4-6760-44AB-B19E-D08C1CC1ADAF}" name="Table7" displayName="Table7" ref="B57:I65" totalsRowShown="0" headerRowDxfId="57" tableBorderDxfId="56">
  <autoFilter ref="B57:I65" xr:uid="{D8F88899-6EB2-4171-9329-CA5FD19074B2}"/>
  <tableColumns count="8">
    <tableColumn id="7" xr3:uid="{E5F6ED7B-C944-41E4-84C3-017C23497248}" name="Component"/>
    <tableColumn id="1" xr3:uid="{FD339A6A-46C7-426A-9C78-8E01530414C1}" name="Material" dataDxfId="55"/>
    <tableColumn id="2" xr3:uid="{3E0FE65D-01F1-47A1-8CA8-04E7BB602CDD}" name="Op Temp (C°)"/>
    <tableColumn id="3" xr3:uid="{2CF2893E-2928-4B79-A13B-45443ECBE849}" name="Density"/>
    <tableColumn id="4" xr3:uid="{9612487C-D107-4D09-AEDE-823B1625E09C}" name="Elastic Modulus" dataDxfId="54">
      <calculatedColumnFormula>7.24*10^4</calculatedColumnFormula>
    </tableColumn>
    <tableColumn id="5" xr3:uid="{6957B033-C897-424F-B065-068C0D19DA95}" name="Yield Stress"/>
    <tableColumn id="6" xr3:uid="{71C70A65-213A-4329-A089-AC50BE00A519}" name="Source"/>
    <tableColumn id="8" xr3:uid="{B4752E70-AD17-46C9-ABF1-A2EE12AA2F2D}" name="Website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FB52794-7F9A-4234-BC5A-0BAD38D8A4DC}" name="Table379" displayName="Table379" ref="B28:S45" totalsRowShown="0" headerRowDxfId="53" tableBorderDxfId="52">
  <autoFilter ref="B28:S45" xr:uid="{85CF6C5F-7B80-4593-B788-11204DDFB036}"/>
  <tableColumns count="18">
    <tableColumn id="1" xr3:uid="{794A7DF5-4AE9-4386-89CE-C52786ED1EBC}" name="Num"/>
    <tableColumn id="2" xr3:uid="{E3807BFD-AEB0-40F0-BCDB-BF2A69442C4C}" name="Location"/>
    <tableColumn id="7" xr3:uid="{94417A9D-1205-4838-9E9C-6E9D15068C5D}" name="Material" dataDxfId="51"/>
    <tableColumn id="3" xr3:uid="{FB25A461-0CE4-4BCA-A463-21869EF8EB79}" name="Thickness (m)" dataDxfId="50"/>
    <tableColumn id="15" xr3:uid="{5470CFFE-64D3-4E8F-9221-C7A732DA9AEC}" name="Pressure (Pa)" dataDxfId="49"/>
    <tableColumn id="11" xr3:uid="{3F1DF716-6E9D-4748-98ED-34C79D4F1A4A}" name="Shear (N)" dataDxfId="48">
      <calculatedColumnFormula>VLOOKUP(Table379[[#This Row],[Location]],Table3[[Location]:[Axial Load (kN)]],3,FALSE)</calculatedColumnFormula>
    </tableColumn>
    <tableColumn id="12" xr3:uid="{96AD36E6-F1BE-4632-949F-699B561DEFDC}" name="Bending Moment (Nm)" dataDxfId="47">
      <calculatedColumnFormula>VLOOKUP(Table379[[#This Row],[Location]],Table3[[Location]:[Axial Load (kN)]],4,FALSE)</calculatedColumnFormula>
    </tableColumn>
    <tableColumn id="13" xr3:uid="{86D8E704-2F10-499E-B13A-4924BFBECEC9}" name="Axial Load (N)" dataDxfId="46">
      <calculatedColumnFormula>VLOOKUP(Table379[[#This Row],[Location]],Table3[[Location]:[Axial Load (kN)]],5,FALSE)</calculatedColumnFormula>
    </tableColumn>
    <tableColumn id="4" xr3:uid="{CF85E74A-D595-408D-95B2-093076F00689}" name="τ (Mpa)" dataDxfId="45"/>
    <tableColumn id="16" xr3:uid="{5CD09F4E-EBCB-4FE0-8F9E-6046864CCAC8}" name="σaxial (MPA)" dataDxfId="44">
      <calculatedColumnFormula>Table379[[#This Row],[Axial Load (N)]]/(PI()*((($C$3+Table379[[#This Row],[Thickness (m)]])^2)-(($C$3)^2)))/10^6</calculatedColumnFormula>
    </tableColumn>
    <tableColumn id="5" xr3:uid="{6B3DA0DB-6C0A-4F74-8E91-FFD9A6063424}" name="σa (MPA)" dataDxfId="43">
      <calculatedColumnFormula>(-Table379[[#This Row],[Axial Load (N)]]/(2*PI()*$C$4*Table379[[#This Row],[Thickness (m)]]))/(10^6)</calculatedColumnFormula>
    </tableColumn>
    <tableColumn id="6" xr3:uid="{F85B0076-FDD4-491F-AC1B-1D928702267F}" name="σb (Mpa)" dataDxfId="42">
      <calculatedColumnFormula>(Table379[[#This Row],[Bending Moment (Nm)]]/(PI()*($C$4^2)*Table379[[#This Row],[Thickness (m)]]))/(10^6)</calculatedColumnFormula>
    </tableColumn>
    <tableColumn id="8" xr3:uid="{49E52A04-EA7A-4704-95C9-8BF1B4FD2D1B}" name="σmax-vertical (Mpa)" dataDxfId="41">
      <calculatedColumnFormula>-ABS(Table379[[#This Row],[σa (MPA)]])-ABS(Table379[[#This Row],[σb (Mpa)]])</calculatedColumnFormula>
    </tableColumn>
    <tableColumn id="17" xr3:uid="{E55138F4-1EE0-4C22-922E-2594D49A0633}" name="σmax-horizontal (Mpa)" dataDxfId="40">
      <calculatedColumnFormula>Table379[[#This Row],[σaxial (MPA)]]*2</calculatedColumnFormula>
    </tableColumn>
    <tableColumn id="9" xr3:uid="{BC818CD8-C1D4-4155-8599-90C1E3475D91}" name="FSvertical" dataDxfId="39">
      <calculatedColumnFormula>ABS(VLOOKUP(Table379[[#This Row],[Material]],Table7[[Material]:[Source]],5,FALSE)/Table379[[#This Row],[σmax-vertical (Mpa)]])</calculatedColumnFormula>
    </tableColumn>
    <tableColumn id="10" xr3:uid="{AA45E028-6269-4F33-88C8-8159A10EAFB3}" name="MSvertical" dataCellStyle="Percent">
      <calculatedColumnFormula>(Table379[[#This Row],[FSvertical]]-1)</calculatedColumnFormula>
    </tableColumn>
    <tableColumn id="18" xr3:uid="{D9BE60DD-AC45-4444-AC03-A8E1606D7E56}" name="FShorizontal" dataDxfId="38"/>
    <tableColumn id="19" xr3:uid="{09105B3E-550F-426E-91E7-06333E88A4BF}" name="MShorizontal" dataDxfId="37">
      <calculatedColumnFormula>(Table379[[#This Row],[FShorizontal]]-1)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9A89143-E8EC-4E97-889C-3EA8E491F02F}" name="Table37910" displayName="Table37910" ref="B48:I54" totalsRowShown="0" headerRowDxfId="36" tableBorderDxfId="35">
  <autoFilter ref="B48:I54" xr:uid="{DFA50F3C-2610-4E5D-85E7-312AAE7BCB62}"/>
  <tableColumns count="8">
    <tableColumn id="1" xr3:uid="{77AF86E0-CE24-4431-80DE-C206A15A8AB4}" name="Num"/>
    <tableColumn id="2" xr3:uid="{18CD37A3-BCB9-45F3-B2AE-7326B5ADA3B1}" name="Location"/>
    <tableColumn id="7" xr3:uid="{033AB4EA-9157-4909-8701-CF9F2A9A3B05}" name="Material" dataDxfId="34"/>
    <tableColumn id="3" xr3:uid="{B2F9AB65-AC1C-4715-8040-4684E42C61A7}" name="Thickness (m)" dataDxfId="33"/>
    <tableColumn id="8" xr3:uid="{A7B66BE1-7689-436F-912E-79A5ACEE0C2F}" name="Load Case" dataDxfId="32"/>
    <tableColumn id="4" xr3:uid="{26B40851-63A6-48D0-A45D-FA11FE719330}" name="Stress (Mpa)" dataDxfId="31"/>
    <tableColumn id="5" xr3:uid="{A400FF80-1458-4252-86EF-0F23BA684244}" name="Yield Stress (Mpa)" dataDxfId="30">
      <calculatedColumnFormula>VLOOKUP(Table37910[[#This Row],[Material]],Table7[[Material]:[Website]],5,FALSE)</calculatedColumnFormula>
    </tableColumn>
    <tableColumn id="6" xr3:uid="{361C94E4-B979-48DF-ADCE-778CB3E87F93}" name="MS" dataDxfId="29" dataCellStyle="Percent">
      <calculatedColumnFormula>(Table37910[[#This Row],[Yield Stress (Mpa)]]/Table37910[[#This Row],[Stress (Mpa)]])-1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atweb.com/search/DataSheet.aspx?MatGUID=e5de9f1161d34f71a34ae016723d097f" TargetMode="External"/><Relationship Id="rId13" Type="http://schemas.openxmlformats.org/officeDocument/2006/relationships/hyperlink" Target="http://www.matweb.com/search/DataSheet.aspx?MatGUID=053c1a9682d1498baef14f959f459617" TargetMode="External"/><Relationship Id="rId18" Type="http://schemas.openxmlformats.org/officeDocument/2006/relationships/table" Target="../tables/table7.xml"/><Relationship Id="rId3" Type="http://schemas.openxmlformats.org/officeDocument/2006/relationships/hyperlink" Target="http://www.matweb.com/search/DataSheet.aspx?MatGUID=86215ca4233a49fdb6b556235fc726b7" TargetMode="External"/><Relationship Id="rId21" Type="http://schemas.openxmlformats.org/officeDocument/2006/relationships/table" Target="../tables/table10.xml"/><Relationship Id="rId7" Type="http://schemas.openxmlformats.org/officeDocument/2006/relationships/hyperlink" Target="http://www.matweb.com/" TargetMode="External"/><Relationship Id="rId12" Type="http://schemas.openxmlformats.org/officeDocument/2006/relationships/hyperlink" Target="http://www.matweb.com/" TargetMode="External"/><Relationship Id="rId17" Type="http://schemas.openxmlformats.org/officeDocument/2006/relationships/table" Target="../tables/table6.xml"/><Relationship Id="rId2" Type="http://schemas.openxmlformats.org/officeDocument/2006/relationships/hyperlink" Target="http://www.matweb.com/search/DataSheet.aspx?MatGUID=86215ca4233a49fdb6b556235fc726b7" TargetMode="External"/><Relationship Id="rId16" Type="http://schemas.openxmlformats.org/officeDocument/2006/relationships/hyperlink" Target="http://www.matweb.com/search/DataSheet.aspx?MatGUID=e5de9f1161d34f71a34ae016723d097f" TargetMode="External"/><Relationship Id="rId20" Type="http://schemas.openxmlformats.org/officeDocument/2006/relationships/table" Target="../tables/table9.xml"/><Relationship Id="rId1" Type="http://schemas.openxmlformats.org/officeDocument/2006/relationships/hyperlink" Target="http://www.matweb.com/search/DataSheet.aspx?MatGUID=86215ca4233a49fdb6b556235fc726b7" TargetMode="External"/><Relationship Id="rId6" Type="http://schemas.openxmlformats.org/officeDocument/2006/relationships/hyperlink" Target="http://www.matweb.com/" TargetMode="External"/><Relationship Id="rId11" Type="http://schemas.openxmlformats.org/officeDocument/2006/relationships/hyperlink" Target="http://www.matweb.com/search/DataSheet.aspx?MatGUID=4f19a42be94546b686bbf43f79c51b7d" TargetMode="External"/><Relationship Id="rId5" Type="http://schemas.openxmlformats.org/officeDocument/2006/relationships/hyperlink" Target="http://www.matweb.com/" TargetMode="External"/><Relationship Id="rId15" Type="http://schemas.openxmlformats.org/officeDocument/2006/relationships/hyperlink" Target="http://www.matweb.com/" TargetMode="External"/><Relationship Id="rId10" Type="http://schemas.openxmlformats.org/officeDocument/2006/relationships/hyperlink" Target="http://www.matweb.com/search/DataSheet.aspx?MatGUID=b8d536e0b9b54bd7b69e4124d8f1d20a" TargetMode="External"/><Relationship Id="rId19" Type="http://schemas.openxmlformats.org/officeDocument/2006/relationships/table" Target="../tables/table8.xml"/><Relationship Id="rId4" Type="http://schemas.openxmlformats.org/officeDocument/2006/relationships/hyperlink" Target="http://www.matweb.com/" TargetMode="External"/><Relationship Id="rId9" Type="http://schemas.openxmlformats.org/officeDocument/2006/relationships/hyperlink" Target="http://www.matweb.com/" TargetMode="External"/><Relationship Id="rId14" Type="http://schemas.openxmlformats.org/officeDocument/2006/relationships/hyperlink" Target="http://www.matwe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FBC43-4EEC-4804-9732-88465EE4501E}">
  <dimension ref="A1:Q117"/>
  <sheetViews>
    <sheetView workbookViewId="0">
      <selection activeCell="H78" sqref="H78"/>
    </sheetView>
  </sheetViews>
  <sheetFormatPr defaultRowHeight="15" x14ac:dyDescent="0.25"/>
  <cols>
    <col min="1" max="16" width="19.5703125" customWidth="1"/>
  </cols>
  <sheetData>
    <row r="1" spans="1:16" x14ac:dyDescent="0.25">
      <c r="A1" t="s">
        <v>0</v>
      </c>
      <c r="C1">
        <v>0.35</v>
      </c>
      <c r="D1" t="s">
        <v>1</v>
      </c>
      <c r="E1">
        <f>C6+C9+C13+C17+C19+C24</f>
        <v>3.0415263648697488</v>
      </c>
    </row>
    <row r="2" spans="1:16" x14ac:dyDescent="0.25">
      <c r="A2" t="s">
        <v>2</v>
      </c>
      <c r="C2">
        <v>0.55000000000000004</v>
      </c>
      <c r="D2" t="s">
        <v>3</v>
      </c>
      <c r="E2">
        <f>C30+C38+C45+C34+C40</f>
        <v>3.283363688946165</v>
      </c>
      <c r="F2" t="s">
        <v>4</v>
      </c>
      <c r="G2">
        <f>SUM(E1:E3)</f>
        <v>13.611915800376003</v>
      </c>
    </row>
    <row r="3" spans="1:16" x14ac:dyDescent="0.25">
      <c r="A3" t="s">
        <v>5</v>
      </c>
      <c r="C3">
        <v>0.82</v>
      </c>
      <c r="D3" t="s">
        <v>6</v>
      </c>
      <c r="E3">
        <f>C66+C61+C59+C55+C51</f>
        <v>7.2870257465600892</v>
      </c>
    </row>
    <row r="5" spans="1:16" x14ac:dyDescent="0.25">
      <c r="A5" t="s">
        <v>7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J5" t="s">
        <v>16</v>
      </c>
      <c r="K5" t="s">
        <v>17</v>
      </c>
      <c r="L5" t="s">
        <v>18</v>
      </c>
      <c r="M5" t="s">
        <v>19</v>
      </c>
      <c r="N5" t="s">
        <v>20</v>
      </c>
      <c r="O5" t="s">
        <v>21</v>
      </c>
      <c r="P5" t="s">
        <v>22</v>
      </c>
    </row>
    <row r="6" spans="1:16" x14ac:dyDescent="0.25">
      <c r="A6">
        <v>0</v>
      </c>
      <c r="B6" s="50" t="s">
        <v>23</v>
      </c>
      <c r="C6" s="51">
        <v>1.27</v>
      </c>
      <c r="D6" s="50">
        <v>30.634078942709699</v>
      </c>
      <c r="E6" s="50">
        <v>14.0552491337093</v>
      </c>
      <c r="F6" s="50">
        <v>430.56961152150399</v>
      </c>
      <c r="G6" s="52">
        <v>5.0000000000000001E-3</v>
      </c>
      <c r="H6" s="50">
        <v>8.2767413821696998</v>
      </c>
      <c r="I6" s="50">
        <v>3.9098445143907798</v>
      </c>
      <c r="J6" s="50">
        <v>2098.5706651195901</v>
      </c>
      <c r="K6" s="50">
        <v>2106.8474065017599</v>
      </c>
      <c r="L6" s="50">
        <v>4.6594434071861404</v>
      </c>
      <c r="M6" s="50">
        <v>30.634078942709699</v>
      </c>
      <c r="N6" s="50"/>
      <c r="O6" s="50"/>
      <c r="P6" s="50"/>
    </row>
    <row r="7" spans="1:16" x14ac:dyDescent="0.25">
      <c r="A7">
        <f t="shared" ref="A7:A70" si="0">A6+1</f>
        <v>1</v>
      </c>
      <c r="B7" s="50" t="s">
        <v>24</v>
      </c>
      <c r="C7" s="51">
        <v>1.27</v>
      </c>
      <c r="D7" s="50">
        <v>95</v>
      </c>
      <c r="E7" s="50">
        <v>14.0552491337093</v>
      </c>
      <c r="F7" s="50">
        <v>1335.2486677023801</v>
      </c>
      <c r="G7" s="52">
        <v>0</v>
      </c>
      <c r="H7" s="50">
        <v>8.2767413821696998</v>
      </c>
      <c r="I7" s="50">
        <v>12.768791666666599</v>
      </c>
      <c r="J7" s="50">
        <v>6507.9225511954301</v>
      </c>
      <c r="K7" s="50">
        <v>6516.1992925776003</v>
      </c>
      <c r="L7" s="50">
        <v>14.449499999999899</v>
      </c>
      <c r="M7" s="50">
        <v>95</v>
      </c>
      <c r="N7" s="50"/>
      <c r="O7" s="50"/>
      <c r="P7" s="50"/>
    </row>
    <row r="8" spans="1:16" x14ac:dyDescent="0.25">
      <c r="A8">
        <f t="shared" si="0"/>
        <v>2</v>
      </c>
      <c r="B8" s="50" t="s">
        <v>25</v>
      </c>
      <c r="C8" s="51" t="s">
        <v>26</v>
      </c>
      <c r="D8" s="50">
        <v>29.249999999999901</v>
      </c>
      <c r="E8" s="50">
        <v>13.631915800375999</v>
      </c>
      <c r="F8" s="50">
        <v>398.73353716099803</v>
      </c>
      <c r="G8" s="52">
        <v>0</v>
      </c>
      <c r="H8" s="50">
        <v>7.8534080488363598</v>
      </c>
      <c r="I8" s="50">
        <v>2.2244624999999898</v>
      </c>
      <c r="J8" s="50">
        <v>1804.02352595968</v>
      </c>
      <c r="K8" s="50">
        <v>1811.87693400852</v>
      </c>
      <c r="L8" s="50">
        <v>4.4489249999999902</v>
      </c>
      <c r="M8" s="50">
        <v>29.249999999999901</v>
      </c>
      <c r="N8" s="50"/>
      <c r="O8" s="50"/>
      <c r="P8" s="50"/>
    </row>
    <row r="9" spans="1:16" x14ac:dyDescent="0.25">
      <c r="A9">
        <f t="shared" si="0"/>
        <v>3</v>
      </c>
      <c r="B9" s="99" t="s">
        <v>27</v>
      </c>
      <c r="C9" s="100">
        <v>0.45499999999999902</v>
      </c>
      <c r="D9" s="99">
        <v>15.0518416422467</v>
      </c>
      <c r="E9" s="99">
        <v>13.404415800376</v>
      </c>
      <c r="F9" s="99">
        <v>201.76114393408901</v>
      </c>
      <c r="G9" s="101">
        <v>5.0000000000000001E-3</v>
      </c>
      <c r="H9" s="102">
        <v>7.6259080488363598</v>
      </c>
      <c r="I9" s="102">
        <v>1.4043681832250401</v>
      </c>
      <c r="J9" s="102">
        <v>875.33192695343598</v>
      </c>
      <c r="K9" s="102">
        <v>882.95783500227196</v>
      </c>
      <c r="L9" s="99">
        <v>2.2893851137857202</v>
      </c>
      <c r="M9" s="99">
        <v>15.0518416422467</v>
      </c>
      <c r="N9" s="99"/>
      <c r="O9" s="99"/>
      <c r="P9" s="102"/>
    </row>
    <row r="10" spans="1:16" x14ac:dyDescent="0.25">
      <c r="A10">
        <f t="shared" si="0"/>
        <v>4</v>
      </c>
      <c r="B10" s="99" t="s">
        <v>28</v>
      </c>
      <c r="C10" s="100" t="s">
        <v>26</v>
      </c>
      <c r="D10" s="99">
        <v>9.1839488952909107</v>
      </c>
      <c r="E10" s="99">
        <v>13.404415800376</v>
      </c>
      <c r="F10" s="99">
        <v>123.10546968188299</v>
      </c>
      <c r="G10" s="101">
        <v>0</v>
      </c>
      <c r="H10" s="102">
        <v>7.6259080488363598</v>
      </c>
      <c r="I10" s="102">
        <v>0.69843931348687405</v>
      </c>
      <c r="J10" s="102">
        <v>534.08771329306398</v>
      </c>
      <c r="K10" s="102">
        <v>541.71362134189997</v>
      </c>
      <c r="L10" s="99">
        <v>1.3968786269737401</v>
      </c>
      <c r="M10" s="99">
        <v>9.1839488952909107</v>
      </c>
      <c r="N10" s="99"/>
      <c r="O10" s="99"/>
      <c r="P10" s="102"/>
    </row>
    <row r="11" spans="1:16" x14ac:dyDescent="0.25">
      <c r="A11">
        <f t="shared" si="0"/>
        <v>5</v>
      </c>
      <c r="B11" s="99" t="s">
        <v>29</v>
      </c>
      <c r="C11" s="100">
        <v>0.44288159121743698</v>
      </c>
      <c r="D11" s="99">
        <v>26.327425208632398</v>
      </c>
      <c r="E11" s="99">
        <v>0</v>
      </c>
      <c r="F11" s="99">
        <v>0</v>
      </c>
      <c r="G11" s="101">
        <v>0</v>
      </c>
      <c r="H11" s="102">
        <v>0</v>
      </c>
      <c r="I11" s="102">
        <v>2.0022006871164901</v>
      </c>
      <c r="J11" s="102">
        <v>0</v>
      </c>
      <c r="K11" s="102">
        <v>0</v>
      </c>
      <c r="L11" s="99">
        <v>4.0044013742329803</v>
      </c>
      <c r="M11" s="99">
        <v>26.327425208632398</v>
      </c>
      <c r="N11" s="99"/>
      <c r="O11" s="99"/>
      <c r="P11" s="102"/>
    </row>
    <row r="12" spans="1:16" x14ac:dyDescent="0.25">
      <c r="A12">
        <f t="shared" si="0"/>
        <v>6</v>
      </c>
      <c r="B12" s="99" t="s">
        <v>30</v>
      </c>
      <c r="C12" s="100">
        <v>0.19499999999999901</v>
      </c>
      <c r="D12" s="99">
        <v>0.735485544626862</v>
      </c>
      <c r="E12" s="99">
        <v>13.259676370783801</v>
      </c>
      <c r="F12" s="99">
        <v>9.7523002971418595</v>
      </c>
      <c r="G12" s="101">
        <v>5.0000000000000001E-3</v>
      </c>
      <c r="H12" s="102">
        <v>7.4811686192441504</v>
      </c>
      <c r="I12" s="102">
        <v>0.111867351337745</v>
      </c>
      <c r="J12" s="102">
        <v>41.163569578838299</v>
      </c>
      <c r="K12" s="102">
        <v>48.644738198082401</v>
      </c>
      <c r="L12" s="99">
        <v>0.111867351337745</v>
      </c>
      <c r="M12" s="99">
        <v>0.735485544626862</v>
      </c>
      <c r="N12" s="99"/>
      <c r="O12" s="99"/>
      <c r="P12" s="102"/>
    </row>
    <row r="13" spans="1:16" x14ac:dyDescent="0.25">
      <c r="A13">
        <f t="shared" si="0"/>
        <v>7</v>
      </c>
      <c r="B13" s="99" t="s">
        <v>31</v>
      </c>
      <c r="C13" s="100">
        <v>1.0317982111868599E-2</v>
      </c>
      <c r="D13" s="99">
        <v>5.8374820715369001E-2</v>
      </c>
      <c r="E13" s="99">
        <v>13.17175680932</v>
      </c>
      <c r="F13" s="99">
        <v>0.76889894225050104</v>
      </c>
      <c r="G13" s="101">
        <v>5.0000000000000001E-3</v>
      </c>
      <c r="H13" s="102">
        <v>7.3932490577804302</v>
      </c>
      <c r="I13" s="102">
        <v>4.4399230010269903E-3</v>
      </c>
      <c r="J13" s="102">
        <v>3.1907753842013902</v>
      </c>
      <c r="K13" s="102">
        <v>10.5840244419818</v>
      </c>
      <c r="L13" s="99">
        <v>8.8788102308076204E-3</v>
      </c>
      <c r="M13" s="99">
        <v>5.8374820715369001E-2</v>
      </c>
      <c r="N13" s="99"/>
      <c r="O13" s="99"/>
      <c r="P13" s="102"/>
    </row>
    <row r="14" spans="1:16" x14ac:dyDescent="0.25">
      <c r="A14">
        <f t="shared" si="0"/>
        <v>8</v>
      </c>
      <c r="B14" s="99" t="s">
        <v>32</v>
      </c>
      <c r="C14" s="100">
        <v>0.19499999999999901</v>
      </c>
      <c r="D14" s="99">
        <v>0.735485544626862</v>
      </c>
      <c r="E14" s="99">
        <v>13.0838372478563</v>
      </c>
      <c r="F14" s="99">
        <v>9.6229731640488705</v>
      </c>
      <c r="G14" s="101">
        <v>5.0000000000000001E-3</v>
      </c>
      <c r="H14" s="102">
        <v>7.3053294963167099</v>
      </c>
      <c r="I14" s="102">
        <v>0.111867351337745</v>
      </c>
      <c r="J14" s="102">
        <v>39.251274169067798</v>
      </c>
      <c r="K14" s="102">
        <v>46.5566036653845</v>
      </c>
      <c r="L14" s="99">
        <v>0.111867351337745</v>
      </c>
      <c r="M14" s="99">
        <v>0.735485544626862</v>
      </c>
      <c r="N14" s="99"/>
      <c r="O14" s="99"/>
      <c r="P14" s="102"/>
    </row>
    <row r="15" spans="1:16" x14ac:dyDescent="0.25">
      <c r="A15">
        <f t="shared" si="0"/>
        <v>9</v>
      </c>
      <c r="B15" s="99" t="s">
        <v>33</v>
      </c>
      <c r="C15" s="100">
        <v>0.40031798211186798</v>
      </c>
      <c r="D15" s="99">
        <v>0</v>
      </c>
      <c r="E15" s="99">
        <v>13.17175680932</v>
      </c>
      <c r="F15" s="99">
        <v>0</v>
      </c>
      <c r="G15" s="101">
        <v>0</v>
      </c>
      <c r="H15" s="102">
        <v>7.3932490577804302</v>
      </c>
      <c r="I15" s="102">
        <v>0</v>
      </c>
      <c r="J15" s="102">
        <v>0</v>
      </c>
      <c r="K15" s="102">
        <v>7.3932490577804302</v>
      </c>
      <c r="L15" s="99">
        <v>0</v>
      </c>
      <c r="M15" s="99">
        <v>0</v>
      </c>
      <c r="N15" s="99"/>
      <c r="O15" s="99"/>
      <c r="P15" s="102"/>
    </row>
    <row r="16" spans="1:16" x14ac:dyDescent="0.25">
      <c r="A16">
        <f t="shared" si="0"/>
        <v>10</v>
      </c>
      <c r="B16" s="99" t="s">
        <v>34</v>
      </c>
      <c r="C16" s="100" t="s">
        <v>26</v>
      </c>
      <c r="D16" s="99">
        <v>2.0666836621203899</v>
      </c>
      <c r="E16" s="99">
        <v>0</v>
      </c>
      <c r="F16" s="99">
        <v>0</v>
      </c>
      <c r="G16" s="101">
        <v>0</v>
      </c>
      <c r="H16" s="102">
        <v>-5.7785077515396504</v>
      </c>
      <c r="I16" s="102">
        <v>0</v>
      </c>
      <c r="J16" s="102">
        <v>69.008947955957296</v>
      </c>
      <c r="K16" s="102">
        <v>63.230440204417597</v>
      </c>
      <c r="L16" s="99">
        <v>0</v>
      </c>
      <c r="M16" s="99">
        <v>2.0666836621203899</v>
      </c>
      <c r="N16" s="99"/>
      <c r="O16" s="99"/>
      <c r="P16" s="102"/>
    </row>
    <row r="17" spans="1:16" x14ac:dyDescent="0.25">
      <c r="A17">
        <f t="shared" si="0"/>
        <v>11</v>
      </c>
      <c r="B17" s="99" t="s">
        <v>35</v>
      </c>
      <c r="C17" s="100">
        <v>0.58499999999999996</v>
      </c>
      <c r="D17" s="99">
        <v>19.352367825745802</v>
      </c>
      <c r="E17" s="99">
        <v>12.874097818264101</v>
      </c>
      <c r="F17" s="99">
        <v>249.14427640367899</v>
      </c>
      <c r="G17" s="101">
        <v>5.0000000000000001E-3</v>
      </c>
      <c r="H17" s="102">
        <v>7.0955900667244904</v>
      </c>
      <c r="I17" s="102">
        <v>2.02365291307845</v>
      </c>
      <c r="J17" s="102">
        <v>974.34137280939103</v>
      </c>
      <c r="K17" s="102">
        <v>981.43696287611601</v>
      </c>
      <c r="L17" s="99">
        <v>2.94349514629593</v>
      </c>
      <c r="M17" s="99">
        <v>19.352367825745802</v>
      </c>
      <c r="N17" s="99"/>
      <c r="O17" s="99"/>
      <c r="P17" s="102"/>
    </row>
    <row r="18" spans="1:16" x14ac:dyDescent="0.25">
      <c r="A18">
        <f t="shared" si="0"/>
        <v>12</v>
      </c>
      <c r="B18" s="99" t="s">
        <v>36</v>
      </c>
      <c r="C18" s="100">
        <v>0.19499999999999901</v>
      </c>
      <c r="D18" s="99">
        <v>0.63918891636864505</v>
      </c>
      <c r="E18" s="99">
        <v>12.6643583886719</v>
      </c>
      <c r="F18" s="99">
        <v>8.09491751495937</v>
      </c>
      <c r="G18" s="101">
        <v>5.0000000000000001E-3</v>
      </c>
      <c r="H18" s="102">
        <v>6.8858506371322799</v>
      </c>
      <c r="I18" s="102">
        <v>9.7220634179670903E-2</v>
      </c>
      <c r="J18" s="102">
        <v>30.307103477110701</v>
      </c>
      <c r="K18" s="102">
        <v>37.192954114243001</v>
      </c>
      <c r="L18" s="99">
        <v>9.7220634179670903E-2</v>
      </c>
      <c r="M18" s="99">
        <v>0.63918891636864505</v>
      </c>
      <c r="N18" s="99"/>
      <c r="O18" s="99"/>
      <c r="P18" s="102"/>
    </row>
    <row r="19" spans="1:16" x14ac:dyDescent="0.25">
      <c r="A19">
        <f t="shared" si="0"/>
        <v>13</v>
      </c>
      <c r="B19" s="99" t="s">
        <v>37</v>
      </c>
      <c r="C19" s="100">
        <v>0.266208382757882</v>
      </c>
      <c r="D19" s="99">
        <v>1.3089034438712299</v>
      </c>
      <c r="E19" s="99">
        <v>12.448493626885201</v>
      </c>
      <c r="F19" s="99">
        <v>16.293876179239099</v>
      </c>
      <c r="G19" s="101">
        <v>5.0000000000000001E-3</v>
      </c>
      <c r="H19" s="102">
        <v>6.6699858753455503</v>
      </c>
      <c r="I19" s="102">
        <v>0.107271934694688</v>
      </c>
      <c r="J19" s="102">
        <v>58.231427796934099</v>
      </c>
      <c r="K19" s="102">
        <v>64.901413672279602</v>
      </c>
      <c r="L19" s="99">
        <v>0.19908421381281399</v>
      </c>
      <c r="M19" s="99">
        <v>1.3089034438712299</v>
      </c>
      <c r="N19" s="99"/>
      <c r="O19" s="99"/>
      <c r="P19" s="102"/>
    </row>
    <row r="20" spans="1:16" x14ac:dyDescent="0.25">
      <c r="A20">
        <f t="shared" si="0"/>
        <v>14</v>
      </c>
      <c r="B20" s="99" t="s">
        <v>38</v>
      </c>
      <c r="C20" s="100">
        <v>0.19499999999999901</v>
      </c>
      <c r="D20" s="99">
        <v>0.63918891636864505</v>
      </c>
      <c r="E20" s="99">
        <v>12.2326288650984</v>
      </c>
      <c r="F20" s="99">
        <v>7.8189607886221104</v>
      </c>
      <c r="G20" s="101">
        <v>5.0000000000000001E-3</v>
      </c>
      <c r="H20" s="102">
        <v>6.4541211135588297</v>
      </c>
      <c r="I20" s="102">
        <v>9.7220634179670903E-2</v>
      </c>
      <c r="J20" s="102">
        <v>26.625848543358401</v>
      </c>
      <c r="K20" s="102">
        <v>33.0799696569172</v>
      </c>
      <c r="L20" s="99">
        <v>9.7220634179670903E-2</v>
      </c>
      <c r="M20" s="99">
        <v>0.63918891636864505</v>
      </c>
      <c r="N20" s="99"/>
      <c r="O20" s="99"/>
      <c r="P20" s="102"/>
    </row>
    <row r="21" spans="1:16" x14ac:dyDescent="0.25">
      <c r="A21">
        <f t="shared" si="0"/>
        <v>15</v>
      </c>
      <c r="B21" s="99" t="s">
        <v>39</v>
      </c>
      <c r="C21" s="100">
        <v>0.65620838275788196</v>
      </c>
      <c r="D21" s="99">
        <v>2.2137941937060499</v>
      </c>
      <c r="E21" s="99">
        <v>12.448493626885201</v>
      </c>
      <c r="F21" s="99">
        <v>27.558402911585201</v>
      </c>
      <c r="G21" s="101">
        <v>0</v>
      </c>
      <c r="H21" s="102">
        <v>6.6699858753455503</v>
      </c>
      <c r="I21" s="102">
        <v>0.24779910522908499</v>
      </c>
      <c r="J21" s="102">
        <v>98.488851375310404</v>
      </c>
      <c r="K21" s="102">
        <v>105.158837250655</v>
      </c>
      <c r="L21" s="99">
        <v>0.33671809686269</v>
      </c>
      <c r="M21" s="99">
        <v>2.2137941937060499</v>
      </c>
      <c r="N21" s="99"/>
      <c r="O21" s="99"/>
      <c r="P21" s="102"/>
    </row>
    <row r="22" spans="1:16" x14ac:dyDescent="0.25">
      <c r="A22">
        <f t="shared" si="0"/>
        <v>16</v>
      </c>
      <c r="B22" s="99" t="s">
        <v>40</v>
      </c>
      <c r="C22" s="100" t="s">
        <v>26</v>
      </c>
      <c r="D22" s="99">
        <v>4.8360397693617196</v>
      </c>
      <c r="E22" s="99">
        <v>0</v>
      </c>
      <c r="F22" s="99">
        <v>0</v>
      </c>
      <c r="G22" s="101">
        <v>0</v>
      </c>
      <c r="H22" s="102">
        <v>-5.7785077515396504</v>
      </c>
      <c r="I22" s="102">
        <v>0</v>
      </c>
      <c r="J22" s="102">
        <v>161.48093821693999</v>
      </c>
      <c r="K22" s="102">
        <v>155.7024304654</v>
      </c>
      <c r="L22" s="99">
        <v>0</v>
      </c>
      <c r="M22" s="99">
        <v>4.8360397693617196</v>
      </c>
      <c r="N22" s="99"/>
      <c r="O22" s="99"/>
      <c r="P22" s="102"/>
    </row>
    <row r="23" spans="1:16" x14ac:dyDescent="0.25">
      <c r="A23" s="111">
        <f>A22+1</f>
        <v>17</v>
      </c>
      <c r="B23" s="99" t="s">
        <v>41</v>
      </c>
      <c r="C23" s="100">
        <v>0.38916464956663099</v>
      </c>
      <c r="D23" s="99">
        <v>1.39241404331457</v>
      </c>
      <c r="E23" s="99">
        <v>12.448493626885201</v>
      </c>
      <c r="F23" s="99">
        <v>17.3334573441869</v>
      </c>
      <c r="G23" s="101">
        <v>5.0000000000000001E-3</v>
      </c>
      <c r="H23" s="102">
        <v>6.6699858753455503</v>
      </c>
      <c r="I23" s="102">
        <v>0.211786175988146</v>
      </c>
      <c r="J23" s="102">
        <v>61.946706769216902</v>
      </c>
      <c r="K23" s="102">
        <v>68.616692644562406</v>
      </c>
      <c r="L23" s="99">
        <v>0.211786175988146</v>
      </c>
      <c r="M23" s="99">
        <v>1.39241404331457</v>
      </c>
      <c r="N23" s="99"/>
      <c r="O23" s="99"/>
      <c r="P23" s="102"/>
    </row>
    <row r="24" spans="1:16" x14ac:dyDescent="0.25">
      <c r="A24">
        <f>A23+1</f>
        <v>18</v>
      </c>
      <c r="B24" s="99" t="s">
        <v>42</v>
      </c>
      <c r="C24" s="100">
        <v>0.45499999999999902</v>
      </c>
      <c r="D24" s="99">
        <v>15.0518416422467</v>
      </c>
      <c r="E24" s="99">
        <v>11.6978894355062</v>
      </c>
      <c r="F24" s="99">
        <v>176.07477933175099</v>
      </c>
      <c r="G24" s="101">
        <v>5.0000000000000001E-3</v>
      </c>
      <c r="H24" s="102">
        <v>5.91938168396661</v>
      </c>
      <c r="I24" s="102">
        <v>2.5490607401179002</v>
      </c>
      <c r="J24" s="102">
        <v>527.40267623234695</v>
      </c>
      <c r="K24" s="102">
        <v>533.32205791631395</v>
      </c>
      <c r="L24" s="99">
        <v>2.2893851137857202</v>
      </c>
      <c r="M24" s="99">
        <v>15.0518416422467</v>
      </c>
      <c r="N24" s="99"/>
      <c r="O24" s="99"/>
      <c r="P24" s="102"/>
    </row>
    <row r="25" spans="1:16" x14ac:dyDescent="0.25">
      <c r="A25">
        <f t="shared" si="0"/>
        <v>19</v>
      </c>
      <c r="B25" s="99" t="s">
        <v>43</v>
      </c>
      <c r="C25" s="100">
        <v>0.22749999999999901</v>
      </c>
      <c r="D25" s="99">
        <v>1.04706826104824</v>
      </c>
      <c r="E25" s="99">
        <v>11.5841394355062</v>
      </c>
      <c r="F25" s="99">
        <v>12.1293847344759</v>
      </c>
      <c r="G25" s="101">
        <v>0</v>
      </c>
      <c r="H25" s="102">
        <v>5.8056316839666096</v>
      </c>
      <c r="I25" s="102">
        <v>0</v>
      </c>
      <c r="J25" s="102">
        <v>35.291811897775098</v>
      </c>
      <c r="K25" s="102">
        <v>41.0974435817417</v>
      </c>
      <c r="L25" s="99">
        <v>0.15925908250543699</v>
      </c>
      <c r="M25" s="99">
        <v>1.04706826104824</v>
      </c>
      <c r="N25" s="99"/>
      <c r="O25" s="99"/>
      <c r="P25" s="102"/>
    </row>
    <row r="26" spans="1:16" x14ac:dyDescent="0.25">
      <c r="A26">
        <f t="shared" si="0"/>
        <v>20</v>
      </c>
      <c r="B26" s="99" t="s">
        <v>44</v>
      </c>
      <c r="C26" s="100" t="s">
        <v>26</v>
      </c>
      <c r="D26" s="99">
        <v>0.16357182093175299</v>
      </c>
      <c r="E26" s="99">
        <v>11.792030042263701</v>
      </c>
      <c r="F26" s="99">
        <v>1.9288438264950101</v>
      </c>
      <c r="G26" s="101">
        <v>0</v>
      </c>
      <c r="H26" s="102">
        <v>6.0135222907240804</v>
      </c>
      <c r="I26" s="102">
        <v>0</v>
      </c>
      <c r="J26" s="102">
        <v>5.91515785163726</v>
      </c>
      <c r="K26" s="102">
        <v>11.9286801423613</v>
      </c>
      <c r="L26" s="99">
        <v>0</v>
      </c>
      <c r="M26" s="99">
        <v>0.16357182093175299</v>
      </c>
      <c r="N26" s="99"/>
      <c r="O26" s="99"/>
      <c r="P26" s="102"/>
    </row>
    <row r="27" spans="1:16" x14ac:dyDescent="0.25">
      <c r="A27">
        <f t="shared" si="0"/>
        <v>21</v>
      </c>
      <c r="B27" s="99" t="s">
        <v>45</v>
      </c>
      <c r="C27" s="100">
        <v>0.32164060675746797</v>
      </c>
      <c r="D27" s="99">
        <v>62.855950048339501</v>
      </c>
      <c r="E27" s="99">
        <v>11.567889435506199</v>
      </c>
      <c r="F27" s="99">
        <v>727.11068052289602</v>
      </c>
      <c r="G27" s="101">
        <v>0</v>
      </c>
      <c r="H27" s="102">
        <v>5.7893816839666101</v>
      </c>
      <c r="I27" s="102">
        <v>0</v>
      </c>
      <c r="J27" s="102">
        <v>2106.7391241793098</v>
      </c>
      <c r="K27" s="102">
        <v>2112.5285058632699</v>
      </c>
      <c r="L27" s="99">
        <v>0</v>
      </c>
      <c r="M27" s="99">
        <v>62.855950048339501</v>
      </c>
      <c r="N27" s="99"/>
      <c r="O27" s="99"/>
      <c r="P27" s="102"/>
    </row>
    <row r="28" spans="1:16" x14ac:dyDescent="0.25">
      <c r="A28">
        <f t="shared" si="0"/>
        <v>22</v>
      </c>
      <c r="B28" s="99" t="s">
        <v>46</v>
      </c>
      <c r="C28" s="100">
        <v>0.40031798211186798</v>
      </c>
      <c r="D28" s="99">
        <v>103.77873100724899</v>
      </c>
      <c r="E28" s="99">
        <v>13.17175680932</v>
      </c>
      <c r="F28" s="99">
        <v>1366.9482068073301</v>
      </c>
      <c r="G28" s="101">
        <v>0</v>
      </c>
      <c r="H28" s="102">
        <v>7.3932490577804302</v>
      </c>
      <c r="I28" s="102">
        <v>0</v>
      </c>
      <c r="J28" s="102">
        <v>5672.5590972891396</v>
      </c>
      <c r="K28" s="102">
        <v>5679.9523463469204</v>
      </c>
      <c r="L28" s="99">
        <v>0</v>
      </c>
      <c r="M28" s="99">
        <v>103.77873100724899</v>
      </c>
      <c r="N28" s="99"/>
      <c r="O28" s="99"/>
      <c r="P28" s="102"/>
    </row>
    <row r="29" spans="1:16" x14ac:dyDescent="0.25">
      <c r="A29">
        <f t="shared" si="0"/>
        <v>23</v>
      </c>
      <c r="B29" s="99" t="s">
        <v>47</v>
      </c>
      <c r="C29" s="100">
        <v>0.65620838275788196</v>
      </c>
      <c r="D29" s="99">
        <v>242.84223055696299</v>
      </c>
      <c r="E29" s="99">
        <v>12.448493626885201</v>
      </c>
      <c r="F29" s="99">
        <v>3023.0199594269402</v>
      </c>
      <c r="G29" s="101">
        <v>0</v>
      </c>
      <c r="H29" s="102">
        <v>6.6699858753455503</v>
      </c>
      <c r="I29" s="102">
        <v>0</v>
      </c>
      <c r="J29" s="102">
        <v>10803.737954039099</v>
      </c>
      <c r="K29" s="102">
        <v>10810.407939914499</v>
      </c>
      <c r="L29" s="99">
        <v>0</v>
      </c>
      <c r="M29" s="99">
        <v>242.84223055696299</v>
      </c>
      <c r="N29" s="99"/>
      <c r="O29" s="99"/>
      <c r="P29" s="102"/>
    </row>
    <row r="30" spans="1:16" x14ac:dyDescent="0.25">
      <c r="A30">
        <f t="shared" si="0"/>
        <v>24</v>
      </c>
      <c r="B30" s="53" t="s">
        <v>48</v>
      </c>
      <c r="C30" s="54">
        <v>0.659140606757468</v>
      </c>
      <c r="D30" s="53">
        <v>23.579406475256899</v>
      </c>
      <c r="E30" s="53">
        <v>11.1329722201423</v>
      </c>
      <c r="F30" s="53">
        <v>262.50887725647902</v>
      </c>
      <c r="G30" s="55">
        <v>5.0000000000000001E-3</v>
      </c>
      <c r="H30" s="53">
        <v>5.3544644686026697</v>
      </c>
      <c r="I30" s="53">
        <v>2.9425673731986302</v>
      </c>
      <c r="J30" s="53">
        <v>676.02841567320797</v>
      </c>
      <c r="K30" s="53">
        <v>681.38288014181103</v>
      </c>
      <c r="L30" s="53">
        <v>4.7748298112395302</v>
      </c>
      <c r="M30" s="53">
        <v>23.579406475256899</v>
      </c>
      <c r="N30" s="53"/>
      <c r="O30" s="53"/>
      <c r="P30" s="53"/>
    </row>
    <row r="31" spans="1:16" x14ac:dyDescent="0.25">
      <c r="A31">
        <f t="shared" si="0"/>
        <v>25</v>
      </c>
      <c r="B31" s="53" t="s">
        <v>49</v>
      </c>
      <c r="C31" s="54" t="s">
        <v>26</v>
      </c>
      <c r="D31" s="53">
        <v>12.360719596617701</v>
      </c>
      <c r="E31" s="53">
        <v>11.1329722201423</v>
      </c>
      <c r="F31" s="53">
        <v>137.611547890113</v>
      </c>
      <c r="G31" s="55">
        <v>0</v>
      </c>
      <c r="H31" s="53">
        <v>5.3544644686026697</v>
      </c>
      <c r="I31" s="53">
        <v>1.25152285915754</v>
      </c>
      <c r="J31" s="53">
        <v>354.385412298262</v>
      </c>
      <c r="K31" s="53">
        <v>359.73987676686397</v>
      </c>
      <c r="L31" s="53">
        <v>2.50304571831508</v>
      </c>
      <c r="M31" s="53">
        <v>12.360719596617701</v>
      </c>
      <c r="N31" s="53"/>
      <c r="O31" s="53"/>
      <c r="P31" s="53"/>
    </row>
    <row r="32" spans="1:16" x14ac:dyDescent="0.25">
      <c r="A32">
        <f t="shared" si="0"/>
        <v>26</v>
      </c>
      <c r="B32" s="53" t="s">
        <v>50</v>
      </c>
      <c r="C32" s="54">
        <v>0.65605577054717401</v>
      </c>
      <c r="D32" s="53">
        <v>43.829027186820298</v>
      </c>
      <c r="E32" s="53">
        <v>0</v>
      </c>
      <c r="F32" s="53">
        <v>0</v>
      </c>
      <c r="G32" s="55">
        <v>0</v>
      </c>
      <c r="H32" s="53">
        <v>0</v>
      </c>
      <c r="I32" s="53">
        <v>4.43768900266556</v>
      </c>
      <c r="J32" s="53">
        <v>0</v>
      </c>
      <c r="K32" s="53">
        <v>0</v>
      </c>
      <c r="L32" s="53">
        <v>8.87537800533112</v>
      </c>
      <c r="M32" s="53">
        <v>43.829027186820298</v>
      </c>
      <c r="N32" s="53"/>
      <c r="O32" s="53"/>
      <c r="P32" s="53"/>
    </row>
    <row r="33" spans="1:17" x14ac:dyDescent="0.25">
      <c r="A33">
        <f t="shared" si="0"/>
        <v>27</v>
      </c>
      <c r="B33" s="53" t="s">
        <v>51</v>
      </c>
      <c r="C33" s="95">
        <v>0.22500000000000001</v>
      </c>
      <c r="D33" s="53">
        <v>1.12984238193703</v>
      </c>
      <c r="E33" s="53">
        <v>10.906741794603899</v>
      </c>
      <c r="F33" s="53">
        <v>12.322899128387499</v>
      </c>
      <c r="G33" s="54">
        <v>5.0000000000000001E-3</v>
      </c>
      <c r="H33" s="96">
        <v>5.1282340430642801</v>
      </c>
      <c r="I33" s="96">
        <v>0.22879308234224899</v>
      </c>
      <c r="J33" s="96">
        <v>29.713481209045501</v>
      </c>
      <c r="K33" s="96">
        <v>34.8417152521098</v>
      </c>
      <c r="L33" s="53">
        <v>0.22879308234224899</v>
      </c>
      <c r="M33" s="53">
        <v>1.12984238193703</v>
      </c>
      <c r="N33" s="53"/>
      <c r="O33" s="53"/>
      <c r="P33" s="96"/>
    </row>
    <row r="34" spans="1:17" x14ac:dyDescent="0.25">
      <c r="A34">
        <f t="shared" si="0"/>
        <v>28</v>
      </c>
      <c r="B34" s="53" t="s">
        <v>52</v>
      </c>
      <c r="C34" s="54">
        <v>0.28181131642338503</v>
      </c>
      <c r="D34" s="53">
        <v>2.1226824600307199</v>
      </c>
      <c r="E34" s="53">
        <v>10.6703431705371</v>
      </c>
      <c r="F34" s="53">
        <v>22.649750290607699</v>
      </c>
      <c r="G34" s="55">
        <v>5.0000000000000001E-3</v>
      </c>
      <c r="H34" s="53">
        <v>4.8918354189974496</v>
      </c>
      <c r="I34" s="53">
        <v>0.228969797818316</v>
      </c>
      <c r="J34" s="53">
        <v>50.7959053978649</v>
      </c>
      <c r="K34" s="53">
        <v>55.687740816862302</v>
      </c>
      <c r="L34" s="53">
        <v>0.42984319815622102</v>
      </c>
      <c r="M34" s="53">
        <v>2.1226824600307199</v>
      </c>
      <c r="N34" s="53"/>
      <c r="O34" s="53"/>
      <c r="P34" s="53"/>
    </row>
    <row r="35" spans="1:17" x14ac:dyDescent="0.25">
      <c r="A35">
        <f t="shared" si="0"/>
        <v>29</v>
      </c>
      <c r="B35" s="53" t="s">
        <v>53</v>
      </c>
      <c r="C35" s="95">
        <v>0.22500000000000001</v>
      </c>
      <c r="D35" s="53">
        <v>1.12984238193703</v>
      </c>
      <c r="E35" s="53">
        <v>10.433944546470199</v>
      </c>
      <c r="F35" s="53">
        <v>11.7887127593828</v>
      </c>
      <c r="G35" s="54">
        <v>5.0000000000000001E-3</v>
      </c>
      <c r="H35" s="96">
        <v>4.6554367949306199</v>
      </c>
      <c r="I35" s="96">
        <v>0.22879308234224899</v>
      </c>
      <c r="J35" s="96">
        <v>24.4871776085607</v>
      </c>
      <c r="K35" s="96">
        <v>29.142614403491301</v>
      </c>
      <c r="L35" s="53">
        <v>0.22879308234224899</v>
      </c>
      <c r="M35" s="53">
        <v>1.12984238193703</v>
      </c>
      <c r="N35" s="53"/>
      <c r="O35" s="53"/>
      <c r="P35" s="96"/>
    </row>
    <row r="36" spans="1:17" x14ac:dyDescent="0.25">
      <c r="A36">
        <f t="shared" si="0"/>
        <v>30</v>
      </c>
      <c r="B36" s="53" t="s">
        <v>54</v>
      </c>
      <c r="C36" s="54">
        <v>0.73181131642338504</v>
      </c>
      <c r="D36" s="53">
        <v>0</v>
      </c>
      <c r="E36" s="53">
        <v>10.6703431705371</v>
      </c>
      <c r="F36" s="53">
        <v>0</v>
      </c>
      <c r="G36" s="55">
        <v>0</v>
      </c>
      <c r="H36" s="53">
        <v>4.8918354189974496</v>
      </c>
      <c r="I36" s="53">
        <v>0</v>
      </c>
      <c r="J36" s="53">
        <v>0</v>
      </c>
      <c r="K36" s="53">
        <v>4.8918354189974496</v>
      </c>
      <c r="L36" s="53">
        <v>0</v>
      </c>
      <c r="M36" s="53">
        <v>0</v>
      </c>
      <c r="N36" s="53"/>
      <c r="O36" s="53"/>
      <c r="P36" s="53"/>
      <c r="Q36" s="49"/>
    </row>
    <row r="37" spans="1:17" x14ac:dyDescent="0.25">
      <c r="A37">
        <f t="shared" si="0"/>
        <v>31</v>
      </c>
      <c r="B37" s="53" t="s">
        <v>55</v>
      </c>
      <c r="C37" s="54" t="s">
        <v>26</v>
      </c>
      <c r="D37" s="53">
        <v>5.9221178701416104</v>
      </c>
      <c r="E37" s="53">
        <v>0</v>
      </c>
      <c r="F37" s="53">
        <v>0</v>
      </c>
      <c r="G37" s="55">
        <v>0</v>
      </c>
      <c r="H37" s="53">
        <v>-5.7785077515396504</v>
      </c>
      <c r="I37" s="53">
        <v>0</v>
      </c>
      <c r="J37" s="53">
        <v>197.74633698431899</v>
      </c>
      <c r="K37" s="53">
        <v>191.967829232779</v>
      </c>
      <c r="L37" s="53">
        <v>0</v>
      </c>
      <c r="M37" s="53">
        <v>5.9221178701416104</v>
      </c>
      <c r="N37" s="53"/>
      <c r="O37" s="53"/>
      <c r="P37" s="53"/>
      <c r="Q37" s="49"/>
    </row>
    <row r="38" spans="1:17" x14ac:dyDescent="0.25">
      <c r="A38">
        <f t="shared" si="0"/>
        <v>32</v>
      </c>
      <c r="B38" s="53" t="s">
        <v>56</v>
      </c>
      <c r="C38" s="54">
        <v>0.67500000000000004</v>
      </c>
      <c r="D38" s="53">
        <v>25.7649867502532</v>
      </c>
      <c r="E38" s="53">
        <v>10.191937512325399</v>
      </c>
      <c r="F38" s="53">
        <v>262.595134964473</v>
      </c>
      <c r="G38" s="55">
        <v>5.0000000000000001E-3</v>
      </c>
      <c r="H38" s="53">
        <v>4.4134297607857604</v>
      </c>
      <c r="I38" s="53">
        <v>3.5869692491368199</v>
      </c>
      <c r="J38" s="53">
        <v>501.859745375214</v>
      </c>
      <c r="K38" s="53">
        <v>506.27317513600002</v>
      </c>
      <c r="L38" s="53">
        <v>5.2174098169262901</v>
      </c>
      <c r="M38" s="53">
        <v>25.7649867502532</v>
      </c>
      <c r="N38" s="53"/>
      <c r="O38" s="53"/>
      <c r="P38" s="53"/>
      <c r="Q38" s="49"/>
    </row>
    <row r="39" spans="1:17" x14ac:dyDescent="0.25">
      <c r="A39">
        <f t="shared" si="0"/>
        <v>33</v>
      </c>
      <c r="B39" s="53" t="s">
        <v>57</v>
      </c>
      <c r="C39" s="95">
        <v>0.22500000000000001</v>
      </c>
      <c r="D39" s="53">
        <v>1.0418518325467301</v>
      </c>
      <c r="E39" s="53">
        <v>9.9499304781805495</v>
      </c>
      <c r="F39" s="53">
        <v>10.366353302405001</v>
      </c>
      <c r="G39" s="54">
        <v>5.0000000000000001E-3</v>
      </c>
      <c r="H39" s="96">
        <v>4.1714227266409001</v>
      </c>
      <c r="I39" s="96">
        <v>0.21097499609071399</v>
      </c>
      <c r="J39" s="96">
        <v>18.129021574623501</v>
      </c>
      <c r="K39" s="96">
        <v>22.300444301264399</v>
      </c>
      <c r="L39" s="53">
        <v>0.21097499609071399</v>
      </c>
      <c r="M39" s="53">
        <v>1.0418518325467301</v>
      </c>
      <c r="N39" s="53"/>
      <c r="O39" s="53"/>
      <c r="P39" s="96"/>
      <c r="Q39" s="49"/>
    </row>
    <row r="40" spans="1:17" x14ac:dyDescent="0.25">
      <c r="A40">
        <f t="shared" si="0"/>
        <v>34</v>
      </c>
      <c r="B40" s="53" t="s">
        <v>58</v>
      </c>
      <c r="C40" s="54">
        <v>0.767411765765312</v>
      </c>
      <c r="D40" s="53">
        <v>5.3301956965367996</v>
      </c>
      <c r="E40" s="53">
        <v>9.4707316294427599</v>
      </c>
      <c r="F40" s="53">
        <v>50.4808529743107</v>
      </c>
      <c r="G40" s="55">
        <v>5.0000000000000001E-3</v>
      </c>
      <c r="H40" s="53">
        <v>3.6922238779030998</v>
      </c>
      <c r="I40" s="53">
        <v>0.80127091518745996</v>
      </c>
      <c r="J40" s="53">
        <v>72.663984323490396</v>
      </c>
      <c r="K40" s="53">
        <v>76.3562082013935</v>
      </c>
      <c r="L40" s="53">
        <v>1.0793646285487</v>
      </c>
      <c r="M40" s="53">
        <v>5.3301956965367996</v>
      </c>
      <c r="N40" s="53"/>
      <c r="O40" s="53"/>
      <c r="P40" s="53"/>
      <c r="Q40" s="49"/>
    </row>
    <row r="41" spans="1:17" x14ac:dyDescent="0.25">
      <c r="A41">
        <f t="shared" si="0"/>
        <v>35</v>
      </c>
      <c r="B41" s="53" t="s">
        <v>59</v>
      </c>
      <c r="C41" s="95">
        <v>0.22500000000000001</v>
      </c>
      <c r="D41" s="53">
        <v>1.0418518325467301</v>
      </c>
      <c r="E41" s="53">
        <v>8.9915327807049596</v>
      </c>
      <c r="F41" s="53">
        <v>9.3678449049815509</v>
      </c>
      <c r="G41" s="54">
        <v>5.0000000000000001E-3</v>
      </c>
      <c r="H41" s="96">
        <v>3.2130250291653102</v>
      </c>
      <c r="I41" s="96">
        <v>0.21097499609071399</v>
      </c>
      <c r="J41" s="96">
        <v>10.755588480115801</v>
      </c>
      <c r="K41" s="96">
        <v>13.9686135092811</v>
      </c>
      <c r="L41" s="53">
        <v>0.21097499609071399</v>
      </c>
      <c r="M41" s="53">
        <v>1.0418518325467301</v>
      </c>
      <c r="N41" s="53"/>
      <c r="O41" s="53"/>
      <c r="P41" s="96"/>
      <c r="Q41" s="49"/>
    </row>
    <row r="42" spans="1:17" x14ac:dyDescent="0.25">
      <c r="A42">
        <f t="shared" si="0"/>
        <v>36</v>
      </c>
      <c r="B42" s="53" t="s">
        <v>60</v>
      </c>
      <c r="C42" s="95">
        <v>1.2174117657653101</v>
      </c>
      <c r="D42" s="53">
        <v>4.4087429097396003</v>
      </c>
      <c r="E42" s="53">
        <v>9.4707316294427599</v>
      </c>
      <c r="F42" s="53">
        <v>41.754020921352399</v>
      </c>
      <c r="G42" s="54">
        <v>0</v>
      </c>
      <c r="H42" s="96">
        <v>3.6922238779030998</v>
      </c>
      <c r="I42" s="96">
        <v>0.990898551616614</v>
      </c>
      <c r="J42" s="96">
        <v>60.102263391148</v>
      </c>
      <c r="K42" s="96">
        <v>63.794487269051103</v>
      </c>
      <c r="L42" s="53">
        <v>0.89277043922226995</v>
      </c>
      <c r="M42" s="53">
        <v>4.4087429097396003</v>
      </c>
      <c r="N42" s="53"/>
      <c r="O42" s="53"/>
      <c r="P42" s="96"/>
      <c r="Q42" s="49"/>
    </row>
    <row r="43" spans="1:17" x14ac:dyDescent="0.25">
      <c r="A43">
        <f t="shared" si="0"/>
        <v>37</v>
      </c>
      <c r="B43" s="53" t="s">
        <v>61</v>
      </c>
      <c r="C43" s="54" t="s">
        <v>26</v>
      </c>
      <c r="D43" s="53">
        <v>13.8577558161313</v>
      </c>
      <c r="E43" s="53">
        <v>0</v>
      </c>
      <c r="F43" s="53">
        <v>0</v>
      </c>
      <c r="G43" s="55">
        <v>0</v>
      </c>
      <c r="H43" s="53">
        <v>-5.7785077515396504</v>
      </c>
      <c r="I43" s="53">
        <v>0</v>
      </c>
      <c r="J43" s="53">
        <v>462.72642854330701</v>
      </c>
      <c r="K43" s="53">
        <v>456.94792079176699</v>
      </c>
      <c r="L43" s="53">
        <v>0</v>
      </c>
      <c r="M43" s="53">
        <v>13.8577558161313</v>
      </c>
      <c r="N43" s="53"/>
      <c r="O43" s="53"/>
      <c r="P43" s="53"/>
    </row>
    <row r="44" spans="1:17" x14ac:dyDescent="0.25">
      <c r="A44" s="111">
        <f>A43+1</f>
        <v>38</v>
      </c>
      <c r="B44" s="53" t="s">
        <v>62</v>
      </c>
      <c r="C44" s="95">
        <v>0.44767967563037803</v>
      </c>
      <c r="D44" s="53">
        <v>3.8383401359831599</v>
      </c>
      <c r="E44" s="53">
        <v>9.4707316294427599</v>
      </c>
      <c r="F44" s="53">
        <v>36.351889330415403</v>
      </c>
      <c r="G44" s="54">
        <v>5.0000000000000001E-3</v>
      </c>
      <c r="H44" s="96">
        <v>3.6922238779030998</v>
      </c>
      <c r="I44" s="96">
        <v>0.77726387753659099</v>
      </c>
      <c r="J44" s="96">
        <v>52.326237787201897</v>
      </c>
      <c r="K44" s="96">
        <v>56.018461665105001</v>
      </c>
      <c r="L44" s="53">
        <v>0.77726387753659099</v>
      </c>
      <c r="M44" s="53">
        <v>3.8383401359831599</v>
      </c>
      <c r="N44" s="53"/>
      <c r="O44" s="53"/>
      <c r="P44" s="96"/>
    </row>
    <row r="45" spans="1:17" x14ac:dyDescent="0.25">
      <c r="A45">
        <f>A44+1</f>
        <v>39</v>
      </c>
      <c r="B45" s="53" t="s">
        <v>63</v>
      </c>
      <c r="C45" s="54">
        <v>0.9</v>
      </c>
      <c r="D45" s="53">
        <v>34.353315667004303</v>
      </c>
      <c r="E45" s="53">
        <v>8.1870257465600993</v>
      </c>
      <c r="F45" s="53">
        <v>281.25147984547101</v>
      </c>
      <c r="G45" s="55">
        <v>5.0000000000000001E-3</v>
      </c>
      <c r="H45" s="53">
        <v>2.4085179950204498</v>
      </c>
      <c r="I45" s="53">
        <v>9.2753952300911795</v>
      </c>
      <c r="J45" s="53">
        <v>199.282173373913</v>
      </c>
      <c r="K45" s="53">
        <v>201.69069136893401</v>
      </c>
      <c r="L45" s="53">
        <v>6.9565464225683797</v>
      </c>
      <c r="M45" s="53">
        <v>34.353315667004303</v>
      </c>
      <c r="N45" s="53"/>
      <c r="O45" s="53"/>
      <c r="P45" s="53"/>
    </row>
    <row r="46" spans="1:17" x14ac:dyDescent="0.25">
      <c r="A46">
        <f t="shared" si="0"/>
        <v>40</v>
      </c>
      <c r="B46" s="53" t="s">
        <v>64</v>
      </c>
      <c r="C46" s="54">
        <v>0.45</v>
      </c>
      <c r="D46" s="53">
        <v>4.0032272205307198</v>
      </c>
      <c r="E46" s="53">
        <v>7.9620257465600996</v>
      </c>
      <c r="F46" s="53">
        <v>31.8737981991959</v>
      </c>
      <c r="G46" s="55">
        <v>0</v>
      </c>
      <c r="H46" s="53">
        <v>2.1835179950204502</v>
      </c>
      <c r="I46" s="53">
        <v>0</v>
      </c>
      <c r="J46" s="53">
        <v>19.0863899216913</v>
      </c>
      <c r="K46" s="53">
        <v>21.269907916711698</v>
      </c>
      <c r="L46" s="53">
        <v>0.81065351215747194</v>
      </c>
      <c r="M46" s="53">
        <v>4.0032272205307198</v>
      </c>
      <c r="N46" s="53"/>
      <c r="O46" s="53"/>
      <c r="P46" s="53"/>
    </row>
    <row r="47" spans="1:17" x14ac:dyDescent="0.25">
      <c r="A47">
        <f t="shared" si="0"/>
        <v>41</v>
      </c>
      <c r="B47" s="53" t="s">
        <v>65</v>
      </c>
      <c r="C47" s="54" t="s">
        <v>26</v>
      </c>
      <c r="D47" s="53">
        <v>0.57509756829159697</v>
      </c>
      <c r="E47" s="53">
        <v>8.3659358052463908</v>
      </c>
      <c r="F47" s="53">
        <v>4.8112293380808104</v>
      </c>
      <c r="G47" s="55">
        <v>0</v>
      </c>
      <c r="H47" s="53">
        <v>2.58742805370674</v>
      </c>
      <c r="I47" s="53">
        <v>0</v>
      </c>
      <c r="J47" s="53">
        <v>3.8501539601684498</v>
      </c>
      <c r="K47" s="53">
        <v>6.4375820138751898</v>
      </c>
      <c r="L47" s="53">
        <v>0</v>
      </c>
      <c r="M47" s="53">
        <v>0.57509756829159697</v>
      </c>
      <c r="N47" s="53"/>
      <c r="O47" s="53"/>
      <c r="P47" s="53"/>
    </row>
    <row r="48" spans="1:17" x14ac:dyDescent="0.25">
      <c r="A48">
        <f t="shared" si="0"/>
        <v>42</v>
      </c>
      <c r="B48" s="53" t="s">
        <v>66</v>
      </c>
      <c r="C48" s="54">
        <v>0.62891005868628902</v>
      </c>
      <c r="D48" s="53">
        <v>73.742347532400601</v>
      </c>
      <c r="E48" s="53">
        <v>7.8495257465600998</v>
      </c>
      <c r="F48" s="53">
        <v>578.84245556736198</v>
      </c>
      <c r="G48" s="55">
        <v>0</v>
      </c>
      <c r="H48" s="53">
        <v>2.0710179950204499</v>
      </c>
      <c r="I48" s="53">
        <v>0</v>
      </c>
      <c r="J48" s="53">
        <v>316.28944844009999</v>
      </c>
      <c r="K48" s="53">
        <v>318.360466435121</v>
      </c>
      <c r="L48" s="53">
        <v>0</v>
      </c>
      <c r="M48" s="53">
        <v>73.742347532400601</v>
      </c>
      <c r="N48" s="53"/>
      <c r="O48" s="53"/>
      <c r="P48" s="53"/>
    </row>
    <row r="49" spans="1:16" x14ac:dyDescent="0.25">
      <c r="A49">
        <f t="shared" si="0"/>
        <v>43</v>
      </c>
      <c r="B49" s="53" t="s">
        <v>67</v>
      </c>
      <c r="C49" s="95">
        <v>0.73181131642338504</v>
      </c>
      <c r="D49" s="53">
        <v>297.80552124410099</v>
      </c>
      <c r="E49" s="53">
        <v>10.6703431705371</v>
      </c>
      <c r="F49" s="53">
        <v>3177.6871097552298</v>
      </c>
      <c r="G49" s="54">
        <v>0</v>
      </c>
      <c r="H49" s="96">
        <v>4.8918354189974496</v>
      </c>
      <c r="I49" s="96">
        <v>0</v>
      </c>
      <c r="J49" s="96">
        <v>7126.5021353491702</v>
      </c>
      <c r="K49" s="96">
        <v>7131.3939707681702</v>
      </c>
      <c r="L49" s="53">
        <v>0</v>
      </c>
      <c r="M49" s="53">
        <v>297.80552124410099</v>
      </c>
      <c r="N49" s="53"/>
      <c r="O49" s="53"/>
      <c r="P49" s="96"/>
    </row>
    <row r="50" spans="1:16" x14ac:dyDescent="0.25">
      <c r="A50">
        <f t="shared" si="0"/>
        <v>44</v>
      </c>
      <c r="B50" s="53" t="s">
        <v>68</v>
      </c>
      <c r="C50" s="95">
        <v>1.2174117657653101</v>
      </c>
      <c r="D50" s="53">
        <v>696.86491971119597</v>
      </c>
      <c r="E50" s="53">
        <v>9.4707316294427599</v>
      </c>
      <c r="F50" s="53">
        <v>6599.8206365579199</v>
      </c>
      <c r="G50" s="54">
        <v>0</v>
      </c>
      <c r="H50" s="96">
        <v>3.6922238779030998</v>
      </c>
      <c r="I50" s="96">
        <v>0</v>
      </c>
      <c r="J50" s="96">
        <v>9500.0229793411308</v>
      </c>
      <c r="K50" s="96">
        <v>9503.7152032190297</v>
      </c>
      <c r="L50" s="53">
        <v>0</v>
      </c>
      <c r="M50" s="53">
        <v>696.86491971119597</v>
      </c>
      <c r="N50" s="53"/>
      <c r="O50" s="53"/>
      <c r="P50" s="96"/>
    </row>
    <row r="51" spans="1:16" x14ac:dyDescent="0.25">
      <c r="A51">
        <f t="shared" si="0"/>
        <v>45</v>
      </c>
      <c r="B51" s="56" t="s">
        <v>69</v>
      </c>
      <c r="C51" s="57">
        <v>0.96641005868628904</v>
      </c>
      <c r="D51" s="56">
        <v>36.888210899798104</v>
      </c>
      <c r="E51" s="56">
        <v>7.2538207172169598</v>
      </c>
      <c r="F51" s="56">
        <v>267.58046844602399</v>
      </c>
      <c r="G51" s="58">
        <v>5.0000000000000001E-3</v>
      </c>
      <c r="H51" s="56">
        <v>1.4753129656773001</v>
      </c>
      <c r="I51" s="56">
        <v>6.6059051540353497</v>
      </c>
      <c r="J51" s="56">
        <v>80.288974446513393</v>
      </c>
      <c r="K51" s="56">
        <v>81.764287412190797</v>
      </c>
      <c r="L51" s="56">
        <v>7.4698627072091197</v>
      </c>
      <c r="M51" s="56">
        <v>36.888210899798104</v>
      </c>
      <c r="N51" s="56"/>
      <c r="O51" s="56"/>
      <c r="P51" s="56"/>
    </row>
    <row r="52" spans="1:16" x14ac:dyDescent="0.25">
      <c r="A52">
        <f t="shared" si="0"/>
        <v>46</v>
      </c>
      <c r="B52" s="56" t="s">
        <v>70</v>
      </c>
      <c r="C52" s="57" t="s">
        <v>26</v>
      </c>
      <c r="D52" s="56">
        <v>19.102439643732598</v>
      </c>
      <c r="E52" s="56">
        <v>7.2538207172169598</v>
      </c>
      <c r="F52" s="56">
        <v>138.56567243709401</v>
      </c>
      <c r="G52" s="58">
        <v>0</v>
      </c>
      <c r="H52" s="56">
        <v>1.4753129656773001</v>
      </c>
      <c r="I52" s="56">
        <v>1.93412201392793</v>
      </c>
      <c r="J52" s="56">
        <v>41.5773834244184</v>
      </c>
      <c r="K52" s="56">
        <v>43.052696390095697</v>
      </c>
      <c r="L52" s="56">
        <v>3.8682440278558601</v>
      </c>
      <c r="M52" s="56">
        <v>19.102439643732598</v>
      </c>
      <c r="N52" s="56"/>
      <c r="O52" s="56"/>
      <c r="P52" s="56"/>
    </row>
    <row r="53" spans="1:16" x14ac:dyDescent="0.25">
      <c r="A53">
        <f t="shared" si="0"/>
        <v>47</v>
      </c>
      <c r="B53" s="56" t="s">
        <v>71</v>
      </c>
      <c r="C53" s="57">
        <v>1.5801539219684499</v>
      </c>
      <c r="D53" s="56">
        <v>99.778456813111603</v>
      </c>
      <c r="E53" s="56">
        <v>0</v>
      </c>
      <c r="F53" s="56">
        <v>0</v>
      </c>
      <c r="G53" s="58">
        <v>0</v>
      </c>
      <c r="H53" s="56">
        <v>0</v>
      </c>
      <c r="I53" s="56">
        <v>10.1025687523275</v>
      </c>
      <c r="J53" s="56">
        <v>0</v>
      </c>
      <c r="K53" s="56">
        <v>0</v>
      </c>
      <c r="L53" s="56">
        <v>20.205137504655099</v>
      </c>
      <c r="M53" s="56">
        <v>99.778456813111603</v>
      </c>
      <c r="N53" s="56"/>
      <c r="O53" s="56"/>
      <c r="P53" s="56"/>
    </row>
    <row r="54" spans="1:16" x14ac:dyDescent="0.25">
      <c r="A54">
        <f t="shared" si="0"/>
        <v>48</v>
      </c>
      <c r="B54" s="56" t="s">
        <v>72</v>
      </c>
      <c r="C54" s="97">
        <v>0.22500000000000001</v>
      </c>
      <c r="D54" s="56">
        <v>1.12984238193703</v>
      </c>
      <c r="E54" s="56">
        <v>6.8661086537289497</v>
      </c>
      <c r="F54" s="56">
        <v>7.7576205559675904</v>
      </c>
      <c r="G54" s="57">
        <v>5.0000000000000001E-3</v>
      </c>
      <c r="H54" s="98">
        <v>1.0876009021893001</v>
      </c>
      <c r="I54" s="98">
        <v>0.22879308234224899</v>
      </c>
      <c r="J54" s="98">
        <v>1.3364631237804601</v>
      </c>
      <c r="K54" s="98">
        <v>2.4240640259697699</v>
      </c>
      <c r="L54" s="56">
        <v>0.22879308234224899</v>
      </c>
      <c r="M54" s="56">
        <v>1.12984238193703</v>
      </c>
      <c r="N54" s="56"/>
      <c r="O54" s="56"/>
      <c r="P54" s="98"/>
    </row>
    <row r="55" spans="1:16" x14ac:dyDescent="0.25">
      <c r="A55">
        <f t="shared" si="0"/>
        <v>49</v>
      </c>
      <c r="B55" s="56" t="s">
        <v>73</v>
      </c>
      <c r="C55" s="57">
        <v>1.6465430056988299</v>
      </c>
      <c r="D55" s="56">
        <v>12.402227143470199</v>
      </c>
      <c r="E55" s="56">
        <v>5.9473441850243898</v>
      </c>
      <c r="F55" s="56">
        <v>73.760313483069496</v>
      </c>
      <c r="G55" s="58">
        <v>5.0000000000000001E-3</v>
      </c>
      <c r="H55" s="56">
        <v>0.168836433484746</v>
      </c>
      <c r="I55" s="56">
        <v>4.0577026649860102</v>
      </c>
      <c r="J55" s="56">
        <v>0.353534678146468</v>
      </c>
      <c r="K55" s="56">
        <v>0.52237111163121497</v>
      </c>
      <c r="L55" s="56">
        <v>2.5114509965527199</v>
      </c>
      <c r="M55" s="56">
        <v>12.402227143470199</v>
      </c>
      <c r="N55" s="56"/>
      <c r="O55" s="56"/>
      <c r="P55" s="56"/>
    </row>
    <row r="56" spans="1:16" x14ac:dyDescent="0.25">
      <c r="A56">
        <f t="shared" si="0"/>
        <v>50</v>
      </c>
      <c r="B56" s="56" t="s">
        <v>74</v>
      </c>
      <c r="C56" s="97">
        <v>0.22500000000000001</v>
      </c>
      <c r="D56" s="56">
        <v>1.12984238193703</v>
      </c>
      <c r="E56" s="56">
        <v>5.0285797163198396</v>
      </c>
      <c r="F56" s="56">
        <v>5.6815024844470603</v>
      </c>
      <c r="G56" s="57">
        <v>5.0000000000000001E-3</v>
      </c>
      <c r="H56" s="98">
        <v>-0.749928035219809</v>
      </c>
      <c r="I56" s="98">
        <v>0.22879308234224899</v>
      </c>
      <c r="J56" s="98">
        <v>0.635414382402957</v>
      </c>
      <c r="K56" s="98">
        <v>-0.114513652816852</v>
      </c>
      <c r="L56" s="56">
        <v>0.22879308234224899</v>
      </c>
      <c r="M56" s="56">
        <v>1.12984238193703</v>
      </c>
      <c r="N56" s="56"/>
      <c r="O56" s="56"/>
      <c r="P56" s="98"/>
    </row>
    <row r="57" spans="1:16" x14ac:dyDescent="0.25">
      <c r="A57">
        <f t="shared" si="0"/>
        <v>51</v>
      </c>
      <c r="B57" s="56" t="s">
        <v>75</v>
      </c>
      <c r="C57" s="57">
        <v>2.0965430056988299</v>
      </c>
      <c r="D57" s="56">
        <v>0</v>
      </c>
      <c r="E57" s="56">
        <v>5.9473441850243898</v>
      </c>
      <c r="F57" s="56">
        <v>0</v>
      </c>
      <c r="G57" s="58">
        <v>0</v>
      </c>
      <c r="H57" s="56">
        <v>0.168836433484746</v>
      </c>
      <c r="I57" s="56">
        <v>0</v>
      </c>
      <c r="J57" s="56">
        <v>0</v>
      </c>
      <c r="K57" s="56">
        <v>0.168836433484746</v>
      </c>
      <c r="L57" s="56">
        <v>0</v>
      </c>
      <c r="M57" s="56">
        <v>0</v>
      </c>
      <c r="N57" s="56"/>
      <c r="O57" s="56"/>
      <c r="P57" s="56"/>
    </row>
    <row r="58" spans="1:16" x14ac:dyDescent="0.25">
      <c r="A58">
        <f t="shared" si="0"/>
        <v>52</v>
      </c>
      <c r="B58" s="56" t="s">
        <v>76</v>
      </c>
      <c r="C58" s="57" t="s">
        <v>26</v>
      </c>
      <c r="D58" s="56">
        <v>19.8133944693842</v>
      </c>
      <c r="E58" s="56">
        <v>0</v>
      </c>
      <c r="F58" s="56">
        <v>0</v>
      </c>
      <c r="G58" s="58">
        <v>0</v>
      </c>
      <c r="H58" s="56">
        <v>-5.7785077515396504</v>
      </c>
      <c r="I58" s="56">
        <v>0</v>
      </c>
      <c r="J58" s="56">
        <v>661.59206308610806</v>
      </c>
      <c r="K58" s="56">
        <v>655.81355533456804</v>
      </c>
      <c r="L58" s="56">
        <v>0</v>
      </c>
      <c r="M58" s="56">
        <v>19.8133944693842</v>
      </c>
      <c r="N58" s="56"/>
      <c r="O58" s="56"/>
      <c r="P58" s="56"/>
    </row>
    <row r="59" spans="1:16" x14ac:dyDescent="0.25">
      <c r="A59">
        <f t="shared" si="0"/>
        <v>53</v>
      </c>
      <c r="B59" s="56" t="s">
        <v>77</v>
      </c>
      <c r="C59" s="57">
        <v>0.67500000000000004</v>
      </c>
      <c r="D59" s="56">
        <v>25.7649867502532</v>
      </c>
      <c r="E59" s="56">
        <v>4.7865726821749703</v>
      </c>
      <c r="F59" s="56">
        <v>123.32598173536201</v>
      </c>
      <c r="G59" s="58">
        <v>5.0000000000000001E-3</v>
      </c>
      <c r="H59" s="56">
        <v>-0.99193506936467202</v>
      </c>
      <c r="I59" s="56">
        <v>3.5869692491368199</v>
      </c>
      <c r="J59" s="56">
        <v>25.351076923099601</v>
      </c>
      <c r="K59" s="56">
        <v>24.359141853735</v>
      </c>
      <c r="L59" s="56">
        <v>5.2174098169262901</v>
      </c>
      <c r="M59" s="56">
        <v>25.7649867502532</v>
      </c>
      <c r="N59" s="56"/>
      <c r="O59" s="56"/>
      <c r="P59" s="56"/>
    </row>
    <row r="60" spans="1:16" x14ac:dyDescent="0.25">
      <c r="A60">
        <f t="shared" si="0"/>
        <v>54</v>
      </c>
      <c r="B60" s="56" t="s">
        <v>78</v>
      </c>
      <c r="C60" s="97">
        <v>0.22500000000000001</v>
      </c>
      <c r="D60" s="56">
        <v>1.0946098034163101</v>
      </c>
      <c r="E60" s="56">
        <v>4.54456564803011</v>
      </c>
      <c r="F60" s="56">
        <v>4.9745261106027696</v>
      </c>
      <c r="G60" s="57">
        <v>5.0000000000000001E-3</v>
      </c>
      <c r="H60" s="98">
        <v>-1.2339421035095299</v>
      </c>
      <c r="I60" s="98">
        <v>0.22165848519180301</v>
      </c>
      <c r="J60" s="98">
        <v>1.6666672422851401</v>
      </c>
      <c r="K60" s="98">
        <v>0.43272513877560997</v>
      </c>
      <c r="L60" s="56">
        <v>0.22165848519180301</v>
      </c>
      <c r="M60" s="56">
        <v>1.0946098034163101</v>
      </c>
      <c r="N60" s="56"/>
      <c r="O60" s="56"/>
      <c r="P60" s="98"/>
    </row>
    <row r="61" spans="1:16" x14ac:dyDescent="0.25">
      <c r="A61">
        <f t="shared" si="0"/>
        <v>55</v>
      </c>
      <c r="B61" s="56" t="s">
        <v>79</v>
      </c>
      <c r="C61" s="57">
        <v>3.0990726821749699</v>
      </c>
      <c r="D61" s="56">
        <v>22.615168929389402</v>
      </c>
      <c r="E61" s="56">
        <v>2.8995363410874799</v>
      </c>
      <c r="F61" s="56">
        <v>65.573504170597303</v>
      </c>
      <c r="G61" s="58">
        <v>5.0000000000000001E-3</v>
      </c>
      <c r="H61" s="56">
        <v>-2.8789714104521602</v>
      </c>
      <c r="I61" s="56">
        <v>20.3899333435335</v>
      </c>
      <c r="J61" s="56">
        <v>187.445293550728</v>
      </c>
      <c r="K61" s="56">
        <v>184.56632214027599</v>
      </c>
      <c r="L61" s="56">
        <v>4.5795717082013603</v>
      </c>
      <c r="M61" s="56">
        <v>22.615168929389402</v>
      </c>
      <c r="N61" s="56"/>
      <c r="O61" s="56"/>
      <c r="P61" s="56"/>
    </row>
    <row r="62" spans="1:16" x14ac:dyDescent="0.25">
      <c r="A62">
        <f t="shared" si="0"/>
        <v>56</v>
      </c>
      <c r="B62" s="56" t="s">
        <v>80</v>
      </c>
      <c r="C62" s="97">
        <v>0.22500000000000001</v>
      </c>
      <c r="D62" s="56">
        <v>1.0946098034163101</v>
      </c>
      <c r="E62" s="56">
        <v>1.2545070341448601</v>
      </c>
      <c r="F62" s="56">
        <v>1.37319569802968</v>
      </c>
      <c r="G62" s="57">
        <v>5.0000000000000001E-3</v>
      </c>
      <c r="H62" s="98">
        <v>-4.5240007173947898</v>
      </c>
      <c r="I62" s="98">
        <v>0.22165848519180301</v>
      </c>
      <c r="J62" s="98">
        <v>22.402921837064699</v>
      </c>
      <c r="K62" s="98">
        <v>17.878921119669901</v>
      </c>
      <c r="L62" s="56">
        <v>0.22165848519180301</v>
      </c>
      <c r="M62" s="56">
        <v>1.0946098034163101</v>
      </c>
      <c r="N62" s="56"/>
      <c r="O62" s="56"/>
      <c r="P62" s="98"/>
    </row>
    <row r="63" spans="1:16" x14ac:dyDescent="0.25">
      <c r="A63">
        <f t="shared" si="0"/>
        <v>57</v>
      </c>
      <c r="B63" s="56" t="s">
        <v>81</v>
      </c>
      <c r="C63" s="97">
        <v>3.5490726821749701</v>
      </c>
      <c r="D63" s="56">
        <v>11.812250593615101</v>
      </c>
      <c r="E63" s="56">
        <v>2.8995363410874799</v>
      </c>
      <c r="F63" s="56">
        <v>34.250049866219399</v>
      </c>
      <c r="G63" s="57">
        <v>0</v>
      </c>
      <c r="H63" s="98">
        <v>-2.8789714104521602</v>
      </c>
      <c r="I63" s="98">
        <v>13.5948342825076</v>
      </c>
      <c r="J63" s="98">
        <v>97.905560065817994</v>
      </c>
      <c r="K63" s="98">
        <v>95.026588655365899</v>
      </c>
      <c r="L63" s="56">
        <v>2.39198074520707</v>
      </c>
      <c r="M63" s="56">
        <v>11.812250593615101</v>
      </c>
      <c r="N63" s="56"/>
      <c r="O63" s="56"/>
      <c r="P63" s="98"/>
    </row>
    <row r="64" spans="1:16" x14ac:dyDescent="0.25">
      <c r="A64">
        <f t="shared" si="0"/>
        <v>58</v>
      </c>
      <c r="B64" s="56" t="s">
        <v>82</v>
      </c>
      <c r="C64" s="57" t="s">
        <v>26</v>
      </c>
      <c r="D64" s="56">
        <v>46.363343058359</v>
      </c>
      <c r="E64" s="56">
        <v>0</v>
      </c>
      <c r="F64" s="56">
        <v>0</v>
      </c>
      <c r="G64" s="58">
        <v>0</v>
      </c>
      <c r="H64" s="56">
        <v>-5.7785077515396504</v>
      </c>
      <c r="I64" s="56">
        <v>0</v>
      </c>
      <c r="J64" s="56">
        <v>1548.12542762149</v>
      </c>
      <c r="K64" s="56">
        <v>1542.3469198699499</v>
      </c>
      <c r="L64" s="56">
        <v>0</v>
      </c>
      <c r="M64" s="56">
        <v>46.363343058359</v>
      </c>
      <c r="N64" s="56"/>
      <c r="O64" s="56"/>
      <c r="P64" s="56"/>
    </row>
    <row r="65" spans="1:16" x14ac:dyDescent="0.25">
      <c r="A65" s="111">
        <f>A64+1</f>
        <v>59</v>
      </c>
      <c r="B65" s="56" t="s">
        <v>83</v>
      </c>
      <c r="C65" s="97">
        <v>0.44987704176683702</v>
      </c>
      <c r="D65" s="56">
        <v>12.4411860759778</v>
      </c>
      <c r="E65" s="56">
        <v>2.8995363410874799</v>
      </c>
      <c r="F65" s="56">
        <v>36.073671153529503</v>
      </c>
      <c r="G65" s="57">
        <v>5.0000000000000001E-3</v>
      </c>
      <c r="H65" s="98">
        <v>-2.8789714104521602</v>
      </c>
      <c r="I65" s="98">
        <v>2.51934018038552</v>
      </c>
      <c r="J65" s="98">
        <v>103.118476957309</v>
      </c>
      <c r="K65" s="98">
        <v>100.239505546857</v>
      </c>
      <c r="L65" s="56">
        <v>2.51934018038552</v>
      </c>
      <c r="M65" s="56">
        <v>12.4411860759778</v>
      </c>
      <c r="N65" s="56"/>
      <c r="O65" s="56"/>
      <c r="P65" s="98"/>
    </row>
    <row r="66" spans="1:16" x14ac:dyDescent="0.25">
      <c r="A66">
        <f>A65+1</f>
        <v>60</v>
      </c>
      <c r="B66" s="56" t="s">
        <v>84</v>
      </c>
      <c r="C66" s="57">
        <v>0.9</v>
      </c>
      <c r="D66" s="56">
        <v>34.353315667004303</v>
      </c>
      <c r="E66" s="56">
        <v>0.45</v>
      </c>
      <c r="F66" s="56">
        <v>15.458992050151901</v>
      </c>
      <c r="G66" s="58">
        <v>5.0000000000000001E-3</v>
      </c>
      <c r="H66" s="56">
        <v>-5.3285077515396502</v>
      </c>
      <c r="I66" s="56">
        <v>9.2753952300911795</v>
      </c>
      <c r="J66" s="56">
        <v>975.39351509599999</v>
      </c>
      <c r="K66" s="56">
        <v>970.06500734446104</v>
      </c>
      <c r="L66" s="56">
        <v>6.9565464225683797</v>
      </c>
      <c r="M66" s="56">
        <v>34.353315667004303</v>
      </c>
      <c r="N66" s="56"/>
      <c r="O66" s="56"/>
      <c r="P66" s="56"/>
    </row>
    <row r="67" spans="1:16" x14ac:dyDescent="0.25">
      <c r="A67">
        <f t="shared" si="0"/>
        <v>61</v>
      </c>
      <c r="B67" s="56" t="s">
        <v>85</v>
      </c>
      <c r="C67" s="57">
        <v>0.45</v>
      </c>
      <c r="D67" s="56">
        <v>17.723076001915199</v>
      </c>
      <c r="E67" s="56">
        <v>0.22500000000000001</v>
      </c>
      <c r="F67" s="56">
        <v>3.98769210043092</v>
      </c>
      <c r="G67" s="58">
        <v>0</v>
      </c>
      <c r="H67" s="56">
        <v>-5.5535077515396498</v>
      </c>
      <c r="I67" s="56">
        <v>0</v>
      </c>
      <c r="J67" s="56">
        <v>546.605333052584</v>
      </c>
      <c r="K67" s="56">
        <v>541.05182530104503</v>
      </c>
      <c r="L67" s="56">
        <v>3.5889228903878299</v>
      </c>
      <c r="M67" s="56">
        <v>17.723076001915199</v>
      </c>
      <c r="N67" s="56"/>
      <c r="O67" s="56"/>
      <c r="P67" s="56"/>
    </row>
    <row r="68" spans="1:16" x14ac:dyDescent="0.25">
      <c r="A68">
        <f t="shared" si="0"/>
        <v>62</v>
      </c>
      <c r="B68" s="56" t="s">
        <v>86</v>
      </c>
      <c r="C68" s="57" t="s">
        <v>26</v>
      </c>
      <c r="D68" s="59">
        <v>2.3199965356644499</v>
      </c>
      <c r="E68" s="56">
        <v>1.3232837221203699</v>
      </c>
      <c r="F68" s="56">
        <v>3.0700136510204401</v>
      </c>
      <c r="G68" s="58">
        <v>0</v>
      </c>
      <c r="H68" s="56">
        <v>-4.45522402941927</v>
      </c>
      <c r="I68" s="56">
        <v>0</v>
      </c>
      <c r="J68" s="56">
        <v>46.049660309700997</v>
      </c>
      <c r="K68" s="56">
        <v>41.594436280281798</v>
      </c>
      <c r="L68" s="56">
        <v>0</v>
      </c>
      <c r="M68" s="59">
        <v>2.3199965356644499</v>
      </c>
      <c r="N68" s="56"/>
      <c r="O68" s="56"/>
      <c r="P68" s="56"/>
    </row>
    <row r="69" spans="1:16" x14ac:dyDescent="0.25">
      <c r="A69">
        <f t="shared" si="0"/>
        <v>63</v>
      </c>
      <c r="B69" s="56" t="s">
        <v>87</v>
      </c>
      <c r="C69" s="57">
        <v>1.3232837221203699</v>
      </c>
      <c r="D69" s="56">
        <v>124.267278465583</v>
      </c>
      <c r="E69" s="56">
        <v>0.1125</v>
      </c>
      <c r="F69" s="56">
        <v>13.9800688273781</v>
      </c>
      <c r="G69" s="58">
        <v>0</v>
      </c>
      <c r="H69" s="56">
        <v>-5.6660077515396496</v>
      </c>
      <c r="I69" s="56">
        <v>0</v>
      </c>
      <c r="J69" s="56">
        <v>3989.4324488882598</v>
      </c>
      <c r="K69" s="56">
        <v>3983.76644113672</v>
      </c>
      <c r="L69" s="56">
        <v>0</v>
      </c>
      <c r="M69" s="56">
        <v>124.267278465583</v>
      </c>
      <c r="N69" s="56"/>
      <c r="O69" s="56"/>
      <c r="P69" s="56"/>
    </row>
    <row r="70" spans="1:16" x14ac:dyDescent="0.25">
      <c r="A70">
        <f t="shared" si="0"/>
        <v>64</v>
      </c>
      <c r="B70" s="56" t="s">
        <v>88</v>
      </c>
      <c r="C70" s="97">
        <v>2.0965430056988299</v>
      </c>
      <c r="D70" s="57">
        <v>998.19431048333104</v>
      </c>
      <c r="E70" s="56">
        <v>5.9473441850243898</v>
      </c>
      <c r="F70" s="56">
        <f>Table17[[#This Row],[Mass (kg)]]*Table17[[#This Row],[Distance (m)]]</f>
        <v>5936.6051279774692</v>
      </c>
      <c r="G70" s="57">
        <v>0</v>
      </c>
      <c r="H70" s="98">
        <v>0.168836433484746</v>
      </c>
      <c r="I70" s="98">
        <v>0</v>
      </c>
      <c r="J70" s="98">
        <v>28.454268753669702</v>
      </c>
      <c r="K70" s="98">
        <v>28.623105187154501</v>
      </c>
      <c r="L70" s="56">
        <v>0</v>
      </c>
      <c r="M70" s="56">
        <v>546.71908561391945</v>
      </c>
      <c r="N70" s="56"/>
      <c r="O70" s="56"/>
      <c r="P70" s="98"/>
    </row>
    <row r="71" spans="1:16" x14ac:dyDescent="0.25">
      <c r="A71">
        <f t="shared" ref="A71" si="1">A70+1</f>
        <v>65</v>
      </c>
      <c r="B71" s="56" t="s">
        <v>89</v>
      </c>
      <c r="C71" s="97">
        <v>3.5490726821749701</v>
      </c>
      <c r="D71" s="57">
        <v>2335.77468653099</v>
      </c>
      <c r="E71" s="56">
        <v>2.8995363410874799</v>
      </c>
      <c r="F71" s="56">
        <f>Table17[[#This Row],[Mass (kg)]]*Table17[[#This Row],[Distance (m)]]</f>
        <v>6772.6635881888224</v>
      </c>
      <c r="G71" s="57">
        <v>0</v>
      </c>
      <c r="H71" s="98">
        <v>-2.8789714104521602</v>
      </c>
      <c r="I71" s="98">
        <v>0</v>
      </c>
      <c r="J71" s="98">
        <v>19360.013323454801</v>
      </c>
      <c r="K71" s="98">
        <v>19357.134352044399</v>
      </c>
      <c r="L71" s="56">
        <v>0</v>
      </c>
      <c r="M71" s="56">
        <v>1279.3226603365713</v>
      </c>
      <c r="N71" s="56"/>
      <c r="O71" s="56"/>
      <c r="P71" s="98"/>
    </row>
    <row r="72" spans="1:16" x14ac:dyDescent="0.25">
      <c r="A72" s="15" t="s">
        <v>90</v>
      </c>
      <c r="B72" s="15"/>
      <c r="C72" s="15"/>
      <c r="D72" s="15">
        <f>SUBTOTAL(109,Table17[Mass (kg)])</f>
        <v>5741.9296394087733</v>
      </c>
      <c r="E72" s="15"/>
      <c r="F72" s="15">
        <f>SUBTOTAL(109,Table17[Moment (kgm)])</f>
        <v>33179.78493011884</v>
      </c>
      <c r="G72" s="15"/>
      <c r="H72" s="15"/>
      <c r="I72" s="15">
        <f>SUBTOTAL(109,Table17[J0])</f>
        <v>126.71005064730406</v>
      </c>
      <c r="J72" s="15"/>
      <c r="K72" s="15">
        <f>SUBTOTAL(109,Table17[Jpitch/yaw])</f>
        <v>80078.228592747415</v>
      </c>
      <c r="L72" s="15">
        <f>SUBTOTAL(109,Table17[Jroll])</f>
        <v>131.22132785457978</v>
      </c>
      <c r="M72" s="15"/>
      <c r="N72" s="15"/>
      <c r="O72" s="15"/>
      <c r="P72" s="15"/>
    </row>
    <row r="73" spans="1:16" x14ac:dyDescent="0.25">
      <c r="A73" s="50"/>
      <c r="B73" s="50"/>
      <c r="C73" s="50"/>
      <c r="D73" s="50"/>
      <c r="E73" s="50"/>
      <c r="F73" s="50" t="s">
        <v>91</v>
      </c>
      <c r="G73" s="50">
        <f>Table17[[#Totals],[Moment (kgm)]]/Table17[[#Totals],[Mass (kg)]]</f>
        <v>5.7785077515396459</v>
      </c>
      <c r="H73" s="50"/>
      <c r="I73" s="50"/>
      <c r="J73" s="50" t="s">
        <v>92</v>
      </c>
      <c r="K73" s="50">
        <f>Table17[[#Totals],[J0]]/Table17[[#Totals],[Jpitch/yaw]]</f>
        <v>1.5823283415984557E-3</v>
      </c>
      <c r="L73" s="50" t="s">
        <v>93</v>
      </c>
    </row>
    <row r="75" spans="1:16" x14ac:dyDescent="0.25">
      <c r="A75" s="45" t="s">
        <v>94</v>
      </c>
      <c r="B75" s="47"/>
      <c r="D75" s="177" t="s">
        <v>95</v>
      </c>
      <c r="E75" s="178"/>
      <c r="G75" s="177" t="s">
        <v>96</v>
      </c>
      <c r="H75" s="179"/>
      <c r="I75" s="179"/>
      <c r="J75" s="180"/>
      <c r="L75" s="181" t="s">
        <v>97</v>
      </c>
      <c r="M75" s="182"/>
      <c r="N75" s="183"/>
    </row>
    <row r="76" spans="1:16" ht="18" x14ac:dyDescent="0.35">
      <c r="A76" s="1" t="s">
        <v>98</v>
      </c>
      <c r="B76" s="115">
        <f>timemaxq</f>
        <v>63</v>
      </c>
      <c r="D76" s="75" t="s">
        <v>99</v>
      </c>
      <c r="E76" s="116">
        <f>'HW10 and HW11'!J82</f>
        <v>5757.4345183277719</v>
      </c>
      <c r="G76" s="117"/>
      <c r="H76" s="75" t="s">
        <v>100</v>
      </c>
      <c r="I76" s="118"/>
      <c r="J76" s="119" t="s">
        <v>101</v>
      </c>
      <c r="L76" s="174" t="s">
        <v>102</v>
      </c>
      <c r="M76" s="175"/>
      <c r="N76" s="176"/>
    </row>
    <row r="77" spans="1:16" ht="18" x14ac:dyDescent="0.35">
      <c r="A77" s="3" t="s">
        <v>103</v>
      </c>
      <c r="B77" s="61">
        <f>hmaxq</f>
        <v>10224.309548659599</v>
      </c>
      <c r="D77" s="76" t="s">
        <v>104</v>
      </c>
      <c r="E77" s="120">
        <f>'HW10 and HW11'!J83</f>
        <v>3948.9347438596719</v>
      </c>
      <c r="G77" s="121" t="s">
        <v>105</v>
      </c>
      <c r="H77" s="122">
        <f>SUM(Q27:Q71)</f>
        <v>0</v>
      </c>
      <c r="J77" s="123">
        <f>SUM(R27:R71)</f>
        <v>0</v>
      </c>
      <c r="L77" s="76" t="s">
        <v>106</v>
      </c>
      <c r="M77">
        <f>4.73004/G2</f>
        <v>0.34749259908508556</v>
      </c>
      <c r="N77" s="124"/>
    </row>
    <row r="78" spans="1:16" ht="18" x14ac:dyDescent="0.35">
      <c r="A78" s="3" t="s">
        <v>107</v>
      </c>
      <c r="B78" s="61">
        <f>vmaxq</f>
        <v>395.48937070204198</v>
      </c>
      <c r="D78" s="76" t="s">
        <v>108</v>
      </c>
      <c r="E78" s="120">
        <f>'HW10 and HW11'!J84</f>
        <v>1808.4997744681</v>
      </c>
      <c r="G78" s="121" t="s">
        <v>109</v>
      </c>
      <c r="H78" s="122">
        <f>SUM(D27:D48) + SUM(D51:D69)</f>
        <v>1157.6024983452221</v>
      </c>
      <c r="J78" s="87">
        <f>SUM(R27:R48) + SUM(R51:R69)</f>
        <v>0</v>
      </c>
      <c r="L78" s="76" t="s">
        <v>110</v>
      </c>
      <c r="M78">
        <f>73000000000</f>
        <v>73000000000</v>
      </c>
      <c r="N78" s="124" t="s">
        <v>111</v>
      </c>
    </row>
    <row r="79" spans="1:16" ht="18.75" x14ac:dyDescent="0.35">
      <c r="A79" s="3" t="s">
        <v>112</v>
      </c>
      <c r="B79" s="61">
        <f>rhomaxq</f>
        <v>0.32131942147831799</v>
      </c>
      <c r="D79" s="76" t="s">
        <v>113</v>
      </c>
      <c r="E79" s="120">
        <f>'HW10 and HW11'!J85</f>
        <v>3333.9689970143208</v>
      </c>
      <c r="G79" s="121" t="s">
        <v>114</v>
      </c>
      <c r="H79" s="76"/>
      <c r="I79" s="125" t="e">
        <f>J77/H77</f>
        <v>#DIV/0!</v>
      </c>
      <c r="J79" s="87"/>
      <c r="L79" s="76" t="s">
        <v>115</v>
      </c>
      <c r="M79">
        <f>SQRT(C3*C2*C1)</f>
        <v>0.39730341050637857</v>
      </c>
      <c r="N79" s="124" t="s">
        <v>116</v>
      </c>
    </row>
    <row r="80" spans="1:16" ht="18" x14ac:dyDescent="0.35">
      <c r="A80" s="3" t="s">
        <v>117</v>
      </c>
      <c r="B80" s="61">
        <f>massmaxq</f>
        <v>3948.9347438596719</v>
      </c>
      <c r="D80" s="76" t="s">
        <v>118</v>
      </c>
      <c r="E80" s="120">
        <f>'HW10 and HW11'!J86</f>
        <v>1525.4692225462209</v>
      </c>
      <c r="G80" s="121" t="s">
        <v>119</v>
      </c>
      <c r="H80" s="76"/>
      <c r="I80" s="125">
        <f>J78/H78</f>
        <v>0</v>
      </c>
      <c r="J80" s="87"/>
      <c r="L80" s="76" t="s">
        <v>120</v>
      </c>
      <c r="M80">
        <f>PI()*(M79^3)*0.005</f>
        <v>9.8511460169070707E-4</v>
      </c>
      <c r="N80" s="124" t="s">
        <v>121</v>
      </c>
    </row>
    <row r="81" spans="1:14" ht="18" x14ac:dyDescent="0.35">
      <c r="A81" s="3" t="s">
        <v>122</v>
      </c>
      <c r="B81" s="61">
        <f>Thrustmaxq</f>
        <v>83356.024272451003</v>
      </c>
      <c r="D81" s="76" t="s">
        <v>123</v>
      </c>
      <c r="E81" s="120">
        <f>'HW10 and HW11'!J87</f>
        <v>0.29940119760479045</v>
      </c>
      <c r="G81" s="121" t="s">
        <v>124</v>
      </c>
      <c r="H81" s="122">
        <f>SUM(D27:D50) + SUM(D51:D69)</f>
        <v>2152.2729393005193</v>
      </c>
      <c r="J81" s="87">
        <f>SUM(R27:R50) + SUM(R51:R69)</f>
        <v>0</v>
      </c>
      <c r="L81" s="76" t="s">
        <v>125</v>
      </c>
      <c r="M81">
        <f>E76/G2</f>
        <v>422.97018309272335</v>
      </c>
      <c r="N81" s="124" t="s">
        <v>126</v>
      </c>
    </row>
    <row r="82" spans="1:14" ht="18" x14ac:dyDescent="0.35">
      <c r="A82" s="126" t="s">
        <v>127</v>
      </c>
      <c r="B82" s="74">
        <f>nmax</f>
        <v>2.1319670738995065</v>
      </c>
      <c r="D82" s="76" t="s">
        <v>128</v>
      </c>
      <c r="E82" s="120">
        <f>'HW10 and HW11'!J88</f>
        <v>0.70059880239520955</v>
      </c>
      <c r="G82" s="121" t="s">
        <v>129</v>
      </c>
      <c r="H82" s="76"/>
      <c r="I82" s="125">
        <f>J81/H81</f>
        <v>0</v>
      </c>
      <c r="J82" s="87"/>
      <c r="L82" s="76" t="s">
        <v>130</v>
      </c>
      <c r="M82">
        <f>((M77^2)/(2*PI()))*SQRT((M78*M80)/M81)</f>
        <v>7.9243049860272015</v>
      </c>
      <c r="N82" s="124" t="s">
        <v>131</v>
      </c>
    </row>
    <row r="83" spans="1:14" ht="18" x14ac:dyDescent="0.35">
      <c r="D83" s="76" t="s">
        <v>132</v>
      </c>
      <c r="E83" s="120">
        <f>'HW10 and HW11'!J89</f>
        <v>541.4669983437426</v>
      </c>
      <c r="G83" s="121" t="s">
        <v>133</v>
      </c>
      <c r="H83" s="122">
        <f>SUM(D27:D50)</f>
        <v>1662.1787038825541</v>
      </c>
      <c r="J83" s="87">
        <f>SUM(R27:R50)</f>
        <v>0</v>
      </c>
      <c r="L83" s="171" t="str">
        <f>IF(M82&gt;1, "We are fine!", "Our diameter is too small!")</f>
        <v>We are fine!</v>
      </c>
      <c r="M83" s="172"/>
      <c r="N83" s="173"/>
    </row>
    <row r="84" spans="1:14" ht="18" x14ac:dyDescent="0.35">
      <c r="A84">
        <v>996.90045590385103</v>
      </c>
      <c r="D84" s="76" t="s">
        <v>134</v>
      </c>
      <c r="E84" s="120">
        <f>'HW10 and HW11'!J90</f>
        <v>1267.0327761243575</v>
      </c>
      <c r="G84" s="121" t="s">
        <v>135</v>
      </c>
      <c r="H84" s="76"/>
      <c r="I84" s="125">
        <f>J83/H83</f>
        <v>0</v>
      </c>
      <c r="J84" s="87"/>
      <c r="L84" s="76"/>
      <c r="N84" s="124"/>
    </row>
    <row r="85" spans="1:14" ht="18" x14ac:dyDescent="0.35">
      <c r="A85">
        <v>2332.7470668150099</v>
      </c>
      <c r="D85" s="76" t="s">
        <v>136</v>
      </c>
      <c r="E85" s="120">
        <f>'HW10 and HW11'!J91</f>
        <v>456.72731213958713</v>
      </c>
      <c r="G85" s="121" t="s">
        <v>137</v>
      </c>
      <c r="H85" s="122">
        <f>SUM(D27:D48)</f>
        <v>667.50826292725731</v>
      </c>
      <c r="J85" s="87">
        <f>SUM(R27:R48)</f>
        <v>0</v>
      </c>
      <c r="L85" s="174" t="s">
        <v>138</v>
      </c>
      <c r="M85" s="175"/>
      <c r="N85" s="176"/>
    </row>
    <row r="86" spans="1:14" ht="18" x14ac:dyDescent="0.35">
      <c r="D86" s="76" t="s">
        <v>139</v>
      </c>
      <c r="E86" s="120">
        <f>'HW10 and HW11'!J92</f>
        <v>1068.7419104066337</v>
      </c>
      <c r="G86" s="121" t="s">
        <v>140</v>
      </c>
      <c r="H86" s="76"/>
      <c r="I86" s="125">
        <f>J85/H85</f>
        <v>0</v>
      </c>
      <c r="J86" s="87"/>
      <c r="L86" s="76" t="s">
        <v>106</v>
      </c>
      <c r="M86">
        <f>4.73004/G2</f>
        <v>0.34749259908508556</v>
      </c>
      <c r="N86" s="124"/>
    </row>
    <row r="87" spans="1:14" ht="18.75" x14ac:dyDescent="0.35">
      <c r="B87" t="s">
        <v>141</v>
      </c>
      <c r="D87" s="76" t="s">
        <v>142</v>
      </c>
      <c r="E87" s="120">
        <f>'HW10 and HW11'!J93</f>
        <v>28.706345626477777</v>
      </c>
      <c r="G87" s="121" t="s">
        <v>143</v>
      </c>
      <c r="H87" s="122">
        <f>SUM(D51:D69)</f>
        <v>490.09423541796491</v>
      </c>
      <c r="J87" s="87">
        <f>SUM(R51:R69)</f>
        <v>0</v>
      </c>
      <c r="L87" s="76" t="s">
        <v>110</v>
      </c>
      <c r="M87">
        <f>73000000000</f>
        <v>73000000000</v>
      </c>
      <c r="N87" s="124" t="s">
        <v>111</v>
      </c>
    </row>
    <row r="88" spans="1:14" ht="18" x14ac:dyDescent="0.35">
      <c r="A88" t="s">
        <v>144</v>
      </c>
      <c r="B88">
        <v>546.71908561391945</v>
      </c>
      <c r="D88" s="127" t="s">
        <v>145</v>
      </c>
      <c r="E88" s="128">
        <f>'HW10 and HW11'!J94</f>
        <v>7.7931300116765794</v>
      </c>
      <c r="G88" s="129" t="s">
        <v>146</v>
      </c>
      <c r="H88" s="130"/>
      <c r="I88" s="131">
        <f>J87/H87</f>
        <v>0</v>
      </c>
      <c r="J88" s="132"/>
      <c r="L88" s="76" t="s">
        <v>115</v>
      </c>
      <c r="M88">
        <f>SQRT(C3*C2*C1)</f>
        <v>0.39730341050637857</v>
      </c>
      <c r="N88" s="124" t="s">
        <v>116</v>
      </c>
    </row>
    <row r="89" spans="1:14" x14ac:dyDescent="0.25">
      <c r="A89" t="s">
        <v>147</v>
      </c>
      <c r="B89">
        <v>1279.3226603365713</v>
      </c>
      <c r="L89" s="76" t="s">
        <v>120</v>
      </c>
      <c r="M89">
        <f>PI()*(M88^3)*0.005</f>
        <v>9.8511460169070707E-4</v>
      </c>
      <c r="N89" s="124" t="s">
        <v>121</v>
      </c>
    </row>
    <row r="90" spans="1:14" x14ac:dyDescent="0.25">
      <c r="L90" s="76" t="s">
        <v>125</v>
      </c>
      <c r="M90">
        <f>H81/G2</f>
        <v>158.11682726108745</v>
      </c>
      <c r="N90" s="124" t="s">
        <v>126</v>
      </c>
    </row>
    <row r="91" spans="1:14" x14ac:dyDescent="0.25">
      <c r="L91" s="76" t="s">
        <v>130</v>
      </c>
      <c r="M91">
        <f>((M86^2)/(2*PI()))*SQRT((M87*M89)/M90)</f>
        <v>12.960656872975406</v>
      </c>
      <c r="N91" s="124" t="s">
        <v>131</v>
      </c>
    </row>
    <row r="92" spans="1:14" x14ac:dyDescent="0.25">
      <c r="L92" s="171" t="str">
        <f>IF(M91&gt;1, "We are fine!", "Our diameter is too small!")</f>
        <v>We are fine!</v>
      </c>
      <c r="M92" s="172"/>
      <c r="N92" s="173"/>
    </row>
    <row r="93" spans="1:14" x14ac:dyDescent="0.25">
      <c r="L93" s="76"/>
      <c r="N93" s="124"/>
    </row>
    <row r="94" spans="1:14" x14ac:dyDescent="0.25">
      <c r="L94" s="174" t="s">
        <v>148</v>
      </c>
      <c r="M94" s="175"/>
      <c r="N94" s="176"/>
    </row>
    <row r="95" spans="1:14" x14ac:dyDescent="0.25">
      <c r="L95" s="76" t="s">
        <v>106</v>
      </c>
      <c r="M95">
        <f>4.73004/SUM(E1:E2)</f>
        <v>0.74784541071133503</v>
      </c>
      <c r="N95" s="124"/>
    </row>
    <row r="96" spans="1:14" x14ac:dyDescent="0.25">
      <c r="L96" s="76" t="s">
        <v>110</v>
      </c>
      <c r="M96">
        <f>73000000000</f>
        <v>73000000000</v>
      </c>
      <c r="N96" s="124" t="s">
        <v>111</v>
      </c>
    </row>
    <row r="97" spans="12:14" x14ac:dyDescent="0.25">
      <c r="L97" s="76" t="s">
        <v>115</v>
      </c>
      <c r="M97">
        <f>SQRT(C2*C1)</f>
        <v>0.43874821936960612</v>
      </c>
      <c r="N97" s="124" t="s">
        <v>116</v>
      </c>
    </row>
    <row r="98" spans="12:14" x14ac:dyDescent="0.25">
      <c r="L98" s="76" t="s">
        <v>120</v>
      </c>
      <c r="M98">
        <f>PI()*(M97^3)*0.005</f>
        <v>1.3266793758941393E-3</v>
      </c>
      <c r="N98" s="124" t="s">
        <v>121</v>
      </c>
    </row>
    <row r="99" spans="12:14" x14ac:dyDescent="0.25">
      <c r="L99" s="76" t="s">
        <v>125</v>
      </c>
      <c r="M99">
        <f>H83/SUM(E1:E2)</f>
        <v>262.7996201894029</v>
      </c>
      <c r="N99" s="124" t="s">
        <v>126</v>
      </c>
    </row>
    <row r="100" spans="12:14" x14ac:dyDescent="0.25">
      <c r="L100" s="76" t="s">
        <v>130</v>
      </c>
      <c r="M100">
        <f>((M95^2)/(2*PI()))*SQRT((M96*M98)/M99)</f>
        <v>54.035086338990887</v>
      </c>
      <c r="N100" s="124" t="s">
        <v>131</v>
      </c>
    </row>
    <row r="101" spans="12:14" x14ac:dyDescent="0.25">
      <c r="L101" s="171" t="str">
        <f>IF(M100&gt;1, "We are fine!", "Our diameter is too small!")</f>
        <v>We are fine!</v>
      </c>
      <c r="M101" s="172"/>
      <c r="N101" s="173"/>
    </row>
    <row r="102" spans="12:14" x14ac:dyDescent="0.25">
      <c r="L102" s="174" t="s">
        <v>149</v>
      </c>
      <c r="M102" s="175"/>
      <c r="N102" s="176"/>
    </row>
    <row r="103" spans="12:14" x14ac:dyDescent="0.25">
      <c r="L103" s="76" t="s">
        <v>106</v>
      </c>
      <c r="M103">
        <f>4.73004/SUM(E1:E2)</f>
        <v>0.74784541071133503</v>
      </c>
      <c r="N103" s="124"/>
    </row>
    <row r="104" spans="12:14" x14ac:dyDescent="0.25">
      <c r="L104" s="76" t="s">
        <v>110</v>
      </c>
      <c r="M104">
        <f>73000000000</f>
        <v>73000000000</v>
      </c>
      <c r="N104" s="124" t="s">
        <v>111</v>
      </c>
    </row>
    <row r="105" spans="12:14" x14ac:dyDescent="0.25">
      <c r="L105" s="76" t="s">
        <v>115</v>
      </c>
      <c r="M105">
        <f>SQRT(C2*C1)</f>
        <v>0.43874821936960612</v>
      </c>
      <c r="N105" s="124" t="s">
        <v>116</v>
      </c>
    </row>
    <row r="106" spans="12:14" x14ac:dyDescent="0.25">
      <c r="L106" s="76" t="s">
        <v>120</v>
      </c>
      <c r="M106">
        <f>PI()*(M105^3)*0.005</f>
        <v>1.3266793758941393E-3</v>
      </c>
      <c r="N106" s="124" t="s">
        <v>121</v>
      </c>
    </row>
    <row r="107" spans="12:14" x14ac:dyDescent="0.25">
      <c r="L107" s="76" t="s">
        <v>125</v>
      </c>
      <c r="M107">
        <f>H91/SUM(E1:E2)</f>
        <v>0</v>
      </c>
      <c r="N107" s="124" t="s">
        <v>126</v>
      </c>
    </row>
    <row r="108" spans="12:14" x14ac:dyDescent="0.25">
      <c r="L108" s="76" t="s">
        <v>130</v>
      </c>
      <c r="M108" t="e">
        <f>((M103^2)/(2*PI()))*SQRT((M104*M106)/M107)</f>
        <v>#DIV/0!</v>
      </c>
      <c r="N108" s="124" t="s">
        <v>131</v>
      </c>
    </row>
    <row r="109" spans="12:14" x14ac:dyDescent="0.25">
      <c r="L109" s="171" t="e">
        <f>IF(M108&gt;1, "We are fine!", "Our diameter is too small!")</f>
        <v>#DIV/0!</v>
      </c>
      <c r="M109" s="172"/>
      <c r="N109" s="173"/>
    </row>
    <row r="110" spans="12:14" x14ac:dyDescent="0.25">
      <c r="L110" s="174" t="s">
        <v>150</v>
      </c>
      <c r="M110" s="175"/>
      <c r="N110" s="176"/>
    </row>
    <row r="111" spans="12:14" x14ac:dyDescent="0.25">
      <c r="L111" s="76" t="s">
        <v>106</v>
      </c>
      <c r="M111">
        <f>4.73004/E39</f>
        <v>0.4753842260880739</v>
      </c>
      <c r="N111" s="124"/>
    </row>
    <row r="112" spans="12:14" x14ac:dyDescent="0.25">
      <c r="L112" s="76" t="s">
        <v>110</v>
      </c>
      <c r="M112">
        <f>73000000000</f>
        <v>73000000000</v>
      </c>
      <c r="N112" s="124" t="s">
        <v>111</v>
      </c>
    </row>
    <row r="113" spans="12:14" x14ac:dyDescent="0.25">
      <c r="L113" s="76" t="s">
        <v>115</v>
      </c>
      <c r="M113">
        <f>C39</f>
        <v>0.22500000000000001</v>
      </c>
      <c r="N113" s="124" t="s">
        <v>116</v>
      </c>
    </row>
    <row r="114" spans="12:14" x14ac:dyDescent="0.25">
      <c r="L114" s="76" t="s">
        <v>120</v>
      </c>
      <c r="M114">
        <f>PI()*(M113^3)*0.005</f>
        <v>1.7892351909898119E-4</v>
      </c>
      <c r="N114" s="124" t="s">
        <v>121</v>
      </c>
    </row>
    <row r="115" spans="12:14" x14ac:dyDescent="0.25">
      <c r="L115" s="76" t="s">
        <v>125</v>
      </c>
      <c r="M115">
        <f>H99/E39</f>
        <v>0</v>
      </c>
      <c r="N115" s="124" t="s">
        <v>126</v>
      </c>
    </row>
    <row r="116" spans="12:14" x14ac:dyDescent="0.25">
      <c r="L116" s="76" t="s">
        <v>130</v>
      </c>
      <c r="M116" t="e">
        <f>((M111^2)/(2*PI()))*SQRT((M112*M114)/M115)</f>
        <v>#DIV/0!</v>
      </c>
      <c r="N116" s="124" t="s">
        <v>131</v>
      </c>
    </row>
    <row r="117" spans="12:14" x14ac:dyDescent="0.25">
      <c r="L117" s="171" t="e">
        <f>IF(M116&gt;1, "We are fine!", "Our diameter is too small!")</f>
        <v>#DIV/0!</v>
      </c>
      <c r="M117" s="172"/>
      <c r="N117" s="173"/>
    </row>
  </sheetData>
  <mergeCells count="13">
    <mergeCell ref="L109:N109"/>
    <mergeCell ref="L110:N110"/>
    <mergeCell ref="L117:N117"/>
    <mergeCell ref="D75:E75"/>
    <mergeCell ref="G75:J75"/>
    <mergeCell ref="L75:N75"/>
    <mergeCell ref="L76:N76"/>
    <mergeCell ref="L102:N102"/>
    <mergeCell ref="L83:N83"/>
    <mergeCell ref="L85:N85"/>
    <mergeCell ref="L92:N92"/>
    <mergeCell ref="L94:N94"/>
    <mergeCell ref="L101:N101"/>
  </mergeCells>
  <conditionalFormatting sqref="L61 L70 N70:O70 N61:O61">
    <cfRule type="containsText" dxfId="135" priority="7" operator="containsText" text="fine">
      <formula>NOT(ISERROR(SEARCH("fine",L61)))</formula>
    </cfRule>
    <cfRule type="containsText" dxfId="134" priority="8" operator="containsText" text="small">
      <formula>NOT(ISERROR(SEARCH("small",L61)))</formula>
    </cfRule>
  </conditionalFormatting>
  <conditionalFormatting sqref="L83 L92 L101">
    <cfRule type="containsText" dxfId="133" priority="5" operator="containsText" text="fine">
      <formula>NOT(ISERROR(SEARCH("fine",L83)))</formula>
    </cfRule>
    <cfRule type="containsText" dxfId="132" priority="6" operator="containsText" text="small">
      <formula>NOT(ISERROR(SEARCH("small",L83)))</formula>
    </cfRule>
  </conditionalFormatting>
  <conditionalFormatting sqref="L109">
    <cfRule type="containsText" dxfId="131" priority="3" operator="containsText" text="fine">
      <formula>NOT(ISERROR(SEARCH("fine",L109)))</formula>
    </cfRule>
    <cfRule type="containsText" dxfId="130" priority="4" operator="containsText" text="small">
      <formula>NOT(ISERROR(SEARCH("small",L109)))</formula>
    </cfRule>
  </conditionalFormatting>
  <conditionalFormatting sqref="L117">
    <cfRule type="containsText" dxfId="129" priority="1" operator="containsText" text="fine">
      <formula>NOT(ISERROR(SEARCH("fine",L117)))</formula>
    </cfRule>
    <cfRule type="containsText" dxfId="128" priority="2" operator="containsText" text="small">
      <formula>NOT(ISERROR(SEARCH("small",L117)))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Y99"/>
  <sheetViews>
    <sheetView tabSelected="1" topLeftCell="Y1" zoomScaleNormal="100" workbookViewId="0">
      <selection activeCell="BB32" sqref="BB32"/>
    </sheetView>
  </sheetViews>
  <sheetFormatPr defaultRowHeight="15" x14ac:dyDescent="0.25"/>
  <cols>
    <col min="2" max="2" width="16.7109375" bestFit="1" customWidth="1"/>
    <col min="3" max="3" width="11.140625" bestFit="1" customWidth="1"/>
    <col min="4" max="4" width="12.5703125" customWidth="1"/>
    <col min="5" max="5" width="16.7109375" customWidth="1"/>
    <col min="6" max="6" width="16.5703125" customWidth="1"/>
    <col min="7" max="7" width="13" bestFit="1" customWidth="1"/>
    <col min="8" max="8" width="13" customWidth="1"/>
    <col min="9" max="9" width="15.42578125" customWidth="1"/>
    <col min="10" max="10" width="19.7109375" customWidth="1"/>
    <col min="11" max="11" width="12.42578125" customWidth="1"/>
    <col min="12" max="12" width="8.28515625" customWidth="1"/>
    <col min="13" max="13" width="21.140625" customWidth="1"/>
    <col min="14" max="14" width="18.28515625" customWidth="1"/>
    <col min="15" max="15" width="16.28515625" bestFit="1" customWidth="1"/>
    <col min="16" max="16" width="23" customWidth="1"/>
    <col min="17" max="17" width="16.7109375" bestFit="1" customWidth="1"/>
    <col min="18" max="18" width="14.85546875" bestFit="1" customWidth="1"/>
  </cols>
  <sheetData>
    <row r="1" spans="2:51" ht="15.75" thickBot="1" x14ac:dyDescent="0.3"/>
    <row r="2" spans="2:51" ht="15.75" thickBot="1" x14ac:dyDescent="0.3">
      <c r="B2" s="40" t="s">
        <v>151</v>
      </c>
      <c r="C2" s="41"/>
      <c r="E2" s="45"/>
      <c r="F2" s="46" t="s">
        <v>152</v>
      </c>
      <c r="G2" s="47" t="s">
        <v>153</v>
      </c>
      <c r="I2" s="45" t="s">
        <v>94</v>
      </c>
      <c r="J2" s="47"/>
      <c r="K2" s="68"/>
      <c r="L2" s="45" t="s">
        <v>154</v>
      </c>
      <c r="M2" s="42"/>
      <c r="O2" s="184" t="s">
        <v>155</v>
      </c>
      <c r="P2" s="186"/>
      <c r="R2" s="45"/>
      <c r="S2" s="46" t="s">
        <v>156</v>
      </c>
      <c r="T2" s="46" t="s">
        <v>157</v>
      </c>
      <c r="U2" s="47" t="s">
        <v>158</v>
      </c>
      <c r="W2" s="190" t="s">
        <v>233</v>
      </c>
      <c r="X2" s="190"/>
    </row>
    <row r="3" spans="2:51" ht="18.75" thickBot="1" x14ac:dyDescent="0.4">
      <c r="B3" s="1" t="s">
        <v>159</v>
      </c>
      <c r="C3" s="2">
        <v>0.39</v>
      </c>
      <c r="E3" s="6" t="s">
        <v>10</v>
      </c>
      <c r="F3" s="43">
        <f>SUM(Rocket_Data[Mass (kg)])</f>
        <v>5757.4345183277719</v>
      </c>
      <c r="G3" s="44">
        <f>SUM(E13:E57)</f>
        <v>1933.3712858954855</v>
      </c>
      <c r="I3" s="1" t="s">
        <v>98</v>
      </c>
      <c r="J3" s="2">
        <v>63</v>
      </c>
      <c r="K3" s="4"/>
      <c r="L3" s="1" t="s">
        <v>160</v>
      </c>
      <c r="M3" s="63">
        <f>0.5*rhomaxq*(vmaxq^2)</f>
        <v>25129.081346249768</v>
      </c>
      <c r="O3" s="1" t="s">
        <v>161</v>
      </c>
      <c r="P3" s="63">
        <f>J86</f>
        <v>1525.4692225462209</v>
      </c>
      <c r="R3" s="1" t="s">
        <v>162</v>
      </c>
      <c r="S3" s="79">
        <v>2</v>
      </c>
      <c r="T3" s="114">
        <f>1.25*areaskirt</f>
        <v>0.19792033717615698</v>
      </c>
      <c r="U3" s="63">
        <f>1.25*areaskirt2</f>
        <v>0</v>
      </c>
      <c r="W3" t="s">
        <v>234</v>
      </c>
      <c r="X3">
        <f>cmmaxq*reqtrim</f>
        <v>12014.893997592148</v>
      </c>
    </row>
    <row r="4" spans="2:51" ht="18.75" x14ac:dyDescent="0.35">
      <c r="B4" s="3" t="s">
        <v>163</v>
      </c>
      <c r="C4" s="5">
        <v>0.45</v>
      </c>
      <c r="I4" s="3" t="s">
        <v>164</v>
      </c>
      <c r="J4" s="69">
        <v>10224.309548659599</v>
      </c>
      <c r="K4" s="4"/>
      <c r="L4" s="3" t="s">
        <v>165</v>
      </c>
      <c r="M4" s="5">
        <v>30</v>
      </c>
      <c r="O4" s="3" t="s">
        <v>142</v>
      </c>
      <c r="P4" s="62">
        <f>J93</f>
        <v>28.706345626477777</v>
      </c>
      <c r="R4" s="3" t="s">
        <v>166</v>
      </c>
      <c r="S4" s="29">
        <f>PI()*($C$3^2)</f>
        <v>0.4778362426110076</v>
      </c>
      <c r="T4" s="29">
        <f>(PI())*(($C$4^2)-($C$3^2))</f>
        <v>0.15833626974092557</v>
      </c>
      <c r="U4" s="61">
        <f>(PI())*(($C$5^2)-($C$4^2))</f>
        <v>0</v>
      </c>
      <c r="W4" t="s">
        <v>237</v>
      </c>
      <c r="X4">
        <f>cmmaxq</f>
        <v>7.7931300116765794</v>
      </c>
    </row>
    <row r="5" spans="2:51" ht="18.75" thickBot="1" x14ac:dyDescent="0.4">
      <c r="B5" s="3" t="s">
        <v>167</v>
      </c>
      <c r="C5" s="5">
        <v>0.45</v>
      </c>
      <c r="I5" s="3" t="s">
        <v>107</v>
      </c>
      <c r="J5" s="67">
        <v>395.48937070204198</v>
      </c>
      <c r="K5" s="4"/>
      <c r="L5" s="3" t="s">
        <v>168</v>
      </c>
      <c r="M5" s="61">
        <f>DEGREES(ATAN(vwindmaxq/vmaxq))</f>
        <v>4.3378862388167212</v>
      </c>
      <c r="O5" s="38" t="s">
        <v>145</v>
      </c>
      <c r="P5" s="78">
        <f>J94</f>
        <v>7.7931300116765794</v>
      </c>
      <c r="R5" s="3" t="s">
        <v>169</v>
      </c>
      <c r="S5" s="70">
        <f>RADIANS(alpha)*qmaxq*S4*S3</f>
        <v>1818.1981881582201</v>
      </c>
      <c r="T5" s="70">
        <f>RADIANS(alpha)*qmaxq*T4*T3</f>
        <v>59.621509802922326</v>
      </c>
      <c r="U5" s="69">
        <f>RADIANS(alpha)*qmaxq*U4*U3</f>
        <v>0</v>
      </c>
      <c r="W5" t="s">
        <v>235</v>
      </c>
      <c r="X5" s="30">
        <f>N20-cmmaxq</f>
        <v>2.1181188170722063</v>
      </c>
    </row>
    <row r="6" spans="2:51" ht="18.75" x14ac:dyDescent="0.35">
      <c r="B6" s="7" t="s">
        <v>170</v>
      </c>
      <c r="C6" s="5">
        <v>1.2806999999999999</v>
      </c>
      <c r="I6" s="3" t="s">
        <v>112</v>
      </c>
      <c r="J6" s="61">
        <v>0.32131942147831799</v>
      </c>
      <c r="K6" s="4"/>
      <c r="L6" s="3" t="s">
        <v>171</v>
      </c>
      <c r="M6" s="67">
        <f>(S9+T9+U9)/(cmmaxq)</f>
        <v>1541.7289304284707</v>
      </c>
      <c r="R6" s="3" t="s">
        <v>172</v>
      </c>
      <c r="S6" s="32">
        <f>0.2*qmaxq*S4</f>
        <v>2401.5171621516697</v>
      </c>
      <c r="T6" s="32">
        <f>0.2*qmaxq*T4</f>
        <v>795.76900047629283</v>
      </c>
      <c r="U6" s="69">
        <f>0.2*qmaxq*U4</f>
        <v>0</v>
      </c>
      <c r="W6" t="s">
        <v>236</v>
      </c>
      <c r="X6">
        <f>X3/(X5+X4)</f>
        <v>1212.2482449175811</v>
      </c>
    </row>
    <row r="7" spans="2:51" ht="18" x14ac:dyDescent="0.35">
      <c r="B7" s="3" t="s">
        <v>173</v>
      </c>
      <c r="C7" s="5">
        <v>0.77</v>
      </c>
      <c r="I7" s="3" t="s">
        <v>117</v>
      </c>
      <c r="J7" s="67">
        <f>mass1-1808.4997744681</f>
        <v>3948.9347438596719</v>
      </c>
      <c r="K7" s="4"/>
      <c r="L7" s="3" t="s">
        <v>174</v>
      </c>
      <c r="M7" s="60">
        <f>DEGREES(ASIN(reqtrim/Thrustmaxq))</f>
        <v>1.0597866060402505</v>
      </c>
      <c r="R7" s="3" t="s">
        <v>175</v>
      </c>
      <c r="S7" s="32">
        <f>(S5*COS(RADIANS(alpha)))+(S6*SIN(RADIANS(alpha)))</f>
        <v>1994.6358305039012</v>
      </c>
      <c r="T7" s="32">
        <f>(T5*COS(RADIANS(alpha)))+(T6*SIN(RADIANS(alpha)))</f>
        <v>119.64116048504742</v>
      </c>
      <c r="U7" s="69">
        <f>(U5*COS(RADIANS(alpha)))+(U6*SIN(RADIANS(alpha)))</f>
        <v>0</v>
      </c>
      <c r="W7" t="s">
        <v>238</v>
      </c>
      <c r="X7">
        <f>X6/2</f>
        <v>606.12412245879057</v>
      </c>
    </row>
    <row r="8" spans="2:51" ht="19.5" thickBot="1" x14ac:dyDescent="0.4">
      <c r="B8" s="3" t="s">
        <v>176</v>
      </c>
      <c r="C8" s="5">
        <v>9.8059999999999992</v>
      </c>
      <c r="I8" s="3" t="s">
        <v>122</v>
      </c>
      <c r="J8" s="5">
        <v>83356.024272451003</v>
      </c>
      <c r="K8" s="4"/>
      <c r="L8" s="6" t="s">
        <v>177</v>
      </c>
      <c r="M8" s="66">
        <f>(shearcone+shearskirt+reqtrim+shearskirt2)/(massmaxq*g0)</f>
        <v>9.4413705835198938E-2</v>
      </c>
      <c r="R8" s="3" t="s">
        <v>178</v>
      </c>
      <c r="S8" s="32">
        <f>(S6*COS(RADIANS(alpha)))-(S5*SIN(RADIANS(alpha)))</f>
        <v>2257.1125880648615</v>
      </c>
      <c r="T8" s="32">
        <f>(T6*COS(RADIANS(alpha)))-(T5*SIN(RADIANS(alpha)))</f>
        <v>788.97973311613612</v>
      </c>
      <c r="U8" s="69">
        <f>(U6*COS(RADIANS(alpha)))-(U5*SIN(RADIANS(alpha)))</f>
        <v>0</v>
      </c>
    </row>
    <row r="9" spans="2:51" ht="18.75" thickBot="1" x14ac:dyDescent="0.4">
      <c r="B9" s="73" t="s">
        <v>179</v>
      </c>
      <c r="C9" s="74">
        <f>'HW9 - CM and J0'!G2</f>
        <v>13.582519669734094</v>
      </c>
      <c r="I9" s="38" t="s">
        <v>127</v>
      </c>
      <c r="J9" s="64">
        <f>((Thrustmaxq-(0.2*qmaxq*(PI()*(1/4)*($C$5^2))))/(massmaxq*g0))</f>
        <v>2.1319670738995065</v>
      </c>
      <c r="R9" s="6" t="s">
        <v>180</v>
      </c>
      <c r="S9" s="71">
        <f>S7*(htotal-cmmaxq)</f>
        <v>11547.724048710246</v>
      </c>
      <c r="T9" s="71">
        <f>T7*(F31-cmmaxq)</f>
        <v>467.16994888190095</v>
      </c>
      <c r="U9" s="72">
        <f>U7*(F52-cmmaxq)</f>
        <v>0</v>
      </c>
    </row>
    <row r="10" spans="2:51" ht="15.75" thickBot="1" x14ac:dyDescent="0.3">
      <c r="B10" s="4"/>
      <c r="C10" s="4"/>
      <c r="E10" s="39"/>
      <c r="F10" s="37"/>
      <c r="G10" s="37"/>
      <c r="H10" s="37"/>
    </row>
    <row r="11" spans="2:51" ht="15.75" thickBot="1" x14ac:dyDescent="0.3">
      <c r="B11" s="184" t="s">
        <v>181</v>
      </c>
      <c r="C11" s="185"/>
      <c r="D11" s="185"/>
      <c r="E11" s="185"/>
      <c r="F11" s="185"/>
      <c r="G11" s="185"/>
      <c r="H11" s="185"/>
      <c r="I11" s="185"/>
      <c r="J11" s="186"/>
      <c r="L11" s="187" t="s">
        <v>182</v>
      </c>
      <c r="M11" s="188"/>
      <c r="N11" s="188"/>
      <c r="O11" s="188"/>
      <c r="P11" s="188"/>
      <c r="Q11" s="189"/>
      <c r="S11" s="187" t="s">
        <v>183</v>
      </c>
      <c r="T11" s="188"/>
      <c r="U11" s="188"/>
      <c r="V11" s="188"/>
      <c r="W11" s="188"/>
      <c r="X11" s="188"/>
      <c r="Y11" s="188"/>
      <c r="Z11" s="188"/>
      <c r="AA11" s="188"/>
      <c r="AB11" s="188"/>
      <c r="AC11" s="189"/>
      <c r="AD11" s="187" t="s">
        <v>184</v>
      </c>
      <c r="AE11" s="188"/>
      <c r="AF11" s="188"/>
      <c r="AG11" s="188"/>
      <c r="AH11" s="188"/>
      <c r="AI11" s="188"/>
      <c r="AJ11" s="188"/>
      <c r="AK11" s="188"/>
      <c r="AL11" s="188"/>
      <c r="AM11" s="188"/>
      <c r="AN11" s="189"/>
      <c r="AO11" s="187" t="s">
        <v>185</v>
      </c>
      <c r="AP11" s="188"/>
      <c r="AQ11" s="188"/>
      <c r="AR11" s="188"/>
      <c r="AS11" s="188"/>
      <c r="AT11" s="188"/>
      <c r="AU11" s="188"/>
      <c r="AV11" s="188"/>
      <c r="AW11" s="188"/>
      <c r="AX11" s="188"/>
      <c r="AY11" s="189"/>
    </row>
    <row r="12" spans="2:51" ht="18.75" x14ac:dyDescent="0.35">
      <c r="B12" s="48" t="s">
        <v>8</v>
      </c>
      <c r="C12" s="14" t="s">
        <v>186</v>
      </c>
      <c r="D12" s="14" t="s">
        <v>187</v>
      </c>
      <c r="E12" s="14" t="s">
        <v>10</v>
      </c>
      <c r="F12" s="14" t="s">
        <v>188</v>
      </c>
      <c r="G12" s="14" t="s">
        <v>189</v>
      </c>
      <c r="H12" s="14" t="s">
        <v>190</v>
      </c>
      <c r="I12" s="14" t="s">
        <v>191</v>
      </c>
      <c r="J12" s="80" t="s">
        <v>192</v>
      </c>
      <c r="L12" s="14" t="s">
        <v>193</v>
      </c>
      <c r="M12" s="14" t="s">
        <v>194</v>
      </c>
      <c r="N12" s="14" t="s">
        <v>187</v>
      </c>
      <c r="O12" s="14" t="s">
        <v>195</v>
      </c>
      <c r="P12" s="15" t="s">
        <v>196</v>
      </c>
      <c r="Q12" s="15" t="s">
        <v>197</v>
      </c>
    </row>
    <row r="13" spans="2:51" x14ac:dyDescent="0.25">
      <c r="B13" s="16" t="s">
        <v>23</v>
      </c>
      <c r="C13" s="8" t="s">
        <v>110</v>
      </c>
      <c r="D13" s="9">
        <v>1.27</v>
      </c>
      <c r="E13" s="21">
        <v>46.138957861708597</v>
      </c>
      <c r="F13" s="33">
        <v>14.0552491337093</v>
      </c>
      <c r="G13" s="23">
        <f>0.41*2</f>
        <v>0.82</v>
      </c>
      <c r="H13" s="21">
        <f>IF(Rocket_Data[[#This Row],[Ext or Int]]="E",9.5*(Rocket_Data[[#This Row],[CG (m)]]^0.2),"-")</f>
        <v>16.11726382184645</v>
      </c>
      <c r="I13" s="21">
        <f>IF(Rocket_Data[[#This Row],[vss (m/s)]]="-","-",SQRT(((1.25*Rocket_Data[[#This Row],[vss (m/s)]])^2)+((2.56*Rocket_Data[[#This Row],[vss (m/s)]])^2)))</f>
        <v>45.916101749204081</v>
      </c>
      <c r="J13" s="81">
        <f>IF(Rocket_Data[[#This Row],[vr (m/s)]]="-","-",(1/2)*rho*(Rocket_Data[[#This Row],[vr (m/s)]]^2)*Rocket_Data[[#This Row],[Area (m2)]]*Cd)</f>
        <v>852.4168198765442</v>
      </c>
      <c r="L13" s="4">
        <v>1</v>
      </c>
      <c r="M13" s="4" t="s">
        <v>198</v>
      </c>
      <c r="N13" s="30">
        <f>D13+D37+D41+D45+D47+D52+D58+D62+D66+D68+D73+D16+D20+D24+D26+D31</f>
        <v>13.611915800376</v>
      </c>
      <c r="O13" s="32">
        <v>0</v>
      </c>
      <c r="P13" s="31">
        <f>External_Loads[[#This Row],[Shear Load (N)]]*External_Loads[[#This Row],[Height (m)]]</f>
        <v>0</v>
      </c>
      <c r="Q13" s="31">
        <v>0</v>
      </c>
    </row>
    <row r="14" spans="2:51" x14ac:dyDescent="0.25">
      <c r="B14" s="16" t="s">
        <v>24</v>
      </c>
      <c r="C14" s="8" t="s">
        <v>120</v>
      </c>
      <c r="D14" s="9">
        <v>1.27</v>
      </c>
      <c r="E14" s="22">
        <v>95</v>
      </c>
      <c r="F14" s="33">
        <v>14.0552491337093</v>
      </c>
      <c r="G14" s="21" t="s">
        <v>199</v>
      </c>
      <c r="H14" s="21" t="str">
        <f>IF(Rocket_Data[[#This Row],[Ext or Int]]="E",9.5*(Rocket_Data[[#This Row],[CG (m)]]^0.2),"-")</f>
        <v>-</v>
      </c>
      <c r="I14" s="25" t="str">
        <f>IF(Rocket_Data[[#This Row],[vss (m/s)]]="-","-",SQRT(((1.25*Rocket_Data[[#This Row],[vss (m/s)]])^2)+((2.56*Rocket_Data[[#This Row],[vss (m/s)]])^2)))</f>
        <v>-</v>
      </c>
      <c r="J14" s="82" t="str">
        <f>IF(Rocket_Data[[#This Row],[vr (m/s)]]="-","-",(1/2)*rho*(Rocket_Data[[#This Row],[vr (m/s)]]^2)*Rocket_Data[[#This Row],[Area (m2)]]*Cd)</f>
        <v>-</v>
      </c>
      <c r="L14" s="4">
        <f t="shared" ref="L14:L30" si="0">L13+1</f>
        <v>2</v>
      </c>
      <c r="M14" s="4" t="s">
        <v>200</v>
      </c>
      <c r="N14" s="30">
        <f>N13-D13</f>
        <v>12.341915800376</v>
      </c>
      <c r="O14" s="32">
        <f>J13</f>
        <v>852.4168198765442</v>
      </c>
      <c r="P14" s="31">
        <f>(J13*(F13-External_Loads[[#This Row],[Height (m)]]))+P13+((N13-External_Loads[[#This Row],[Height (m)]])*O13)</f>
        <v>1460.4741513884499</v>
      </c>
      <c r="Q14" s="31">
        <f>Q13+((E13+E14+E15)*g0)</f>
        <v>1670.8341207919134</v>
      </c>
    </row>
    <row r="15" spans="2:51" x14ac:dyDescent="0.25">
      <c r="B15" s="16" t="s">
        <v>25</v>
      </c>
      <c r="C15" s="8" t="s">
        <v>120</v>
      </c>
      <c r="D15" s="9" t="s">
        <v>26</v>
      </c>
      <c r="E15" s="21">
        <v>29.249999999999901</v>
      </c>
      <c r="F15" s="33">
        <v>13.631915800375999</v>
      </c>
      <c r="G15" s="21" t="s">
        <v>199</v>
      </c>
      <c r="H15" s="21" t="str">
        <f>IF(Rocket_Data[[#This Row],[Ext or Int]]="E",9.5*(Rocket_Data[[#This Row],[CG (m)]]^0.2),"-")</f>
        <v>-</v>
      </c>
      <c r="I15" s="25" t="str">
        <f>IF(Rocket_Data[[#This Row],[vss (m/s)]]="-","-",SQRT(((1.25*Rocket_Data[[#This Row],[vss (m/s)]])^2)+((2.56*Rocket_Data[[#This Row],[vss (m/s)]])^2)))</f>
        <v>-</v>
      </c>
      <c r="J15" s="82" t="str">
        <f>IF(Rocket_Data[[#This Row],[vr (m/s)]]="-","-",(1/2)*rho*(Rocket_Data[[#This Row],[vr (m/s)]]^2)*Rocket_Data[[#This Row],[Area (m2)]]*Cd)</f>
        <v>-</v>
      </c>
      <c r="L15" s="4">
        <f t="shared" si="0"/>
        <v>3</v>
      </c>
      <c r="M15" s="4" t="s">
        <v>201</v>
      </c>
      <c r="N15" s="30">
        <f>N14-D16</f>
        <v>11.886915800376002</v>
      </c>
      <c r="O15" s="32">
        <f>J16+O14</f>
        <v>1033.4165382491674</v>
      </c>
      <c r="P15" s="31">
        <f>(J16*(F16-External_Loads[[#This Row],[Height (m)]]))+P14+((N14-External_Loads[[#This Row],[Height (m)]])*O14)</f>
        <v>2122.9908770627312</v>
      </c>
      <c r="Q15" s="31">
        <f>Q14+((E16+E17+E19)*g0)</f>
        <v>1915.7024540536181</v>
      </c>
    </row>
    <row r="16" spans="2:51" x14ac:dyDescent="0.25">
      <c r="B16" s="103" t="s">
        <v>27</v>
      </c>
      <c r="C16" s="104" t="s">
        <v>110</v>
      </c>
      <c r="D16" s="105">
        <v>0.45499999999999902</v>
      </c>
      <c r="E16" s="106">
        <v>15.0518416422467</v>
      </c>
      <c r="F16" s="107">
        <v>13.404415800376</v>
      </c>
      <c r="G16" s="106">
        <f>Rocket_Data[[#This Row],[Height (m)]]*C3</f>
        <v>0.17744999999999964</v>
      </c>
      <c r="H16" s="106">
        <f>IF(Rocket_Data[[#This Row],[Ext or Int]]="E",9.5*(Rocket_Data[[#This Row],[CG (m)]]^0.2),"-")</f>
        <v>15.965156624479926</v>
      </c>
      <c r="I16" s="108">
        <f>IF(Rocket_Data[[#This Row],[vss (m/s)]]="-","-",SQRT(((1.25*Rocket_Data[[#This Row],[vss (m/s)]])^2)+((2.56*Rocket_Data[[#This Row],[vss (m/s)]])^2)))</f>
        <v>45.482767057393623</v>
      </c>
      <c r="J16" s="109">
        <f>IF(Rocket_Data[[#This Row],[vr (m/s)]]="-","-",(1/2)*rho*(Rocket_Data[[#This Row],[vr (m/s)]]^2)*Rocket_Data[[#This Row],[Area (m2)]]*Cd)</f>
        <v>180.99971837262322</v>
      </c>
      <c r="L16" s="4">
        <f t="shared" si="0"/>
        <v>4</v>
      </c>
      <c r="M16" s="4" t="s">
        <v>202</v>
      </c>
      <c r="N16" s="30">
        <f>N15-D20</f>
        <v>11.876597818264134</v>
      </c>
      <c r="O16" s="32">
        <f>J20+O15</f>
        <v>1037.4924014396763</v>
      </c>
      <c r="P16" s="31">
        <f>(J20*(F20-External_Loads[[#This Row],[Height (m)]]))+P15+((N15-External_Loads[[#This Row],[Height (m)]])*O15)</f>
        <v>2138.9325412759958</v>
      </c>
      <c r="Q16" s="31">
        <f>Q15+((E20+E35+E22+E21)*g0)</f>
        <v>2941.1412850532479</v>
      </c>
    </row>
    <row r="17" spans="2:28" x14ac:dyDescent="0.25">
      <c r="B17" s="103" t="s">
        <v>28</v>
      </c>
      <c r="C17" s="104" t="s">
        <v>120</v>
      </c>
      <c r="D17" s="105" t="s">
        <v>26</v>
      </c>
      <c r="E17" s="106">
        <v>9.1839488952909107</v>
      </c>
      <c r="F17" s="107">
        <v>13.404415800376</v>
      </c>
      <c r="G17" s="106" t="s">
        <v>199</v>
      </c>
      <c r="H17" s="106" t="str">
        <f>IF(Rocket_Data[[#This Row],[Ext or Int]]="E",9.5*(Rocket_Data[[#This Row],[CG (m)]]^0.2),"-")</f>
        <v>-</v>
      </c>
      <c r="I17" s="108" t="str">
        <f>IF(Rocket_Data[[#This Row],[vss (m/s)]]="-","-",SQRT(((1.25*Rocket_Data[[#This Row],[vss (m/s)]])^2)+((2.56*Rocket_Data[[#This Row],[vss (m/s)]])^2)))</f>
        <v>-</v>
      </c>
      <c r="J17" s="109" t="str">
        <f>IF(Rocket_Data[[#This Row],[vr (m/s)]]="-","-",(1/2)*rho*(Rocket_Data[[#This Row],[vr (m/s)]]^2)*Rocket_Data[[#This Row],[Area (m2)]]*Cd)</f>
        <v>-</v>
      </c>
      <c r="L17" s="4">
        <f t="shared" si="0"/>
        <v>5</v>
      </c>
      <c r="M17" s="4" t="s">
        <v>203</v>
      </c>
      <c r="N17" s="30">
        <f>N16-D24</f>
        <v>11.291597818264133</v>
      </c>
      <c r="O17" s="32">
        <f>O16+J24</f>
        <v>1266.4789303898224</v>
      </c>
      <c r="P17" s="31">
        <f>(J24*(F24-External_Loads[[#This Row],[Height (m)]]))+P16+((N16-External_Loads[[#This Row],[Height (m)]])*O16)</f>
        <v>3108.2367781818066</v>
      </c>
      <c r="Q17" s="31">
        <f>Q16+((E24+E25)*g0)</f>
        <v>3137.1784904664223</v>
      </c>
    </row>
    <row r="18" spans="2:28" x14ac:dyDescent="0.25">
      <c r="B18" s="103" t="s">
        <v>29</v>
      </c>
      <c r="C18" s="104" t="s">
        <v>120</v>
      </c>
      <c r="D18" s="105">
        <v>0.44288159121743698</v>
      </c>
      <c r="E18" s="106">
        <v>26.327425208632398</v>
      </c>
      <c r="F18" s="107">
        <v>0</v>
      </c>
      <c r="G18" s="106" t="s">
        <v>199</v>
      </c>
      <c r="H18" s="106" t="str">
        <f>IF(Rocket_Data[[#This Row],[Ext or Int]]="E",9.5*(Rocket_Data[[#This Row],[CG (m)]]^0.2),"-")</f>
        <v>-</v>
      </c>
      <c r="I18" s="108" t="str">
        <f>IF(Rocket_Data[[#This Row],[vss (m/s)]]="-","-",SQRT(((1.25*Rocket_Data[[#This Row],[vss (m/s)]])^2)+((2.56*Rocket_Data[[#This Row],[vss (m/s)]])^2)))</f>
        <v>-</v>
      </c>
      <c r="J18" s="109" t="str">
        <f>IF(Rocket_Data[[#This Row],[vr (m/s)]]="-","-",(1/2)*rho*(Rocket_Data[[#This Row],[vr (m/s)]]^2)*Rocket_Data[[#This Row],[Area (m2)]]*Cd)</f>
        <v>-</v>
      </c>
      <c r="L18" s="4">
        <f t="shared" si="0"/>
        <v>6</v>
      </c>
      <c r="M18" s="4" t="s">
        <v>204</v>
      </c>
      <c r="N18" s="30">
        <f>N17-D26</f>
        <v>11.025389435506252</v>
      </c>
      <c r="O18" s="32">
        <f>O17+J26</f>
        <v>1369.2890332434076</v>
      </c>
      <c r="P18" s="31">
        <f>(J26*(F26-External_Loads[[#This Row],[Height (m)]]))+P17+((N17-External_Loads[[#This Row],[Height (m)]])*O17)</f>
        <v>3591.6935743248505</v>
      </c>
      <c r="Q18" s="31">
        <f>Q17+((E26+E27+E28+E36)*g0)</f>
        <v>5559.3008628559946</v>
      </c>
    </row>
    <row r="19" spans="2:28" x14ac:dyDescent="0.25">
      <c r="B19" s="103" t="s">
        <v>30</v>
      </c>
      <c r="C19" s="104" t="s">
        <v>120</v>
      </c>
      <c r="D19" s="105">
        <v>0.19499999999999901</v>
      </c>
      <c r="E19" s="106">
        <v>0.735485544626862</v>
      </c>
      <c r="F19" s="107">
        <v>13.259676370783801</v>
      </c>
      <c r="G19" s="106" t="s">
        <v>199</v>
      </c>
      <c r="H19" s="106" t="str">
        <f>IF(Rocket_Data[[#This Row],[Ext or Int]]="E",9.5*(Rocket_Data[[#This Row],[CG (m)]]^0.2),"-")</f>
        <v>-</v>
      </c>
      <c r="I19" s="108" t="str">
        <f>IF(Rocket_Data[[#This Row],[vss (m/s)]]="-","-",SQRT(((1.25*Rocket_Data[[#This Row],[vss (m/s)]])^2)+((2.56*Rocket_Data[[#This Row],[vss (m/s)]])^2)))</f>
        <v>-</v>
      </c>
      <c r="J19" s="109" t="str">
        <f>IF(Rocket_Data[[#This Row],[vr (m/s)]]="-","-",(1/2)*rho*(Rocket_Data[[#This Row],[vr (m/s)]]^2)*Rocket_Data[[#This Row],[Area (m2)]]*Cd)</f>
        <v>-</v>
      </c>
      <c r="L19" s="4">
        <f t="shared" si="0"/>
        <v>7</v>
      </c>
      <c r="M19" s="4" t="s">
        <v>299</v>
      </c>
      <c r="N19" s="30">
        <f>N18-D31</f>
        <v>10.570389435506254</v>
      </c>
      <c r="O19" s="32">
        <f>O18+J31</f>
        <v>1540.693346973758</v>
      </c>
      <c r="P19" s="31">
        <f>(J31*(F31-External_Loads[[#This Row],[Height (m)]]))+P18+((N18-External_Loads[[#This Row],[Height (m)]])*O18)</f>
        <v>4407.9784481815595</v>
      </c>
      <c r="Q19" s="31">
        <f>Q18+((E31+E32+E18+E30)*g0)</f>
        <v>5988.9875170722971</v>
      </c>
    </row>
    <row r="20" spans="2:28" x14ac:dyDescent="0.25">
      <c r="B20" s="103" t="s">
        <v>31</v>
      </c>
      <c r="C20" s="104" t="s">
        <v>110</v>
      </c>
      <c r="D20" s="105">
        <v>1.0317982111868599E-2</v>
      </c>
      <c r="E20" s="106">
        <v>5.8374820715369001E-2</v>
      </c>
      <c r="F20" s="107">
        <v>13.17175680932</v>
      </c>
      <c r="G20" s="106">
        <f>Rocket_Data[[#This Row],[Height (m)]]*C3</f>
        <v>4.0240130236287542E-3</v>
      </c>
      <c r="H20" s="106">
        <f>IF(Rocket_Data[[#This Row],[Ext or Int]]="E",9.5*(Rocket_Data[[#This Row],[CG (m)]]^0.2),"-")</f>
        <v>15.909346694490504</v>
      </c>
      <c r="I20" s="108">
        <f>IF(Rocket_Data[[#This Row],[vss (m/s)]]="-","-",SQRT(((1.25*Rocket_Data[[#This Row],[vss (m/s)]])^2)+((2.56*Rocket_Data[[#This Row],[vss (m/s)]])^2)))</f>
        <v>45.323771433053416</v>
      </c>
      <c r="J20" s="109">
        <f>IF(Rocket_Data[[#This Row],[vr (m/s)]]="-","-",(1/2)*rho*(Rocket_Data[[#This Row],[vr (m/s)]]^2)*Rocket_Data[[#This Row],[Area (m2)]]*Cd)</f>
        <v>4.0758631905090352</v>
      </c>
      <c r="L20" s="4">
        <f>L19+1</f>
        <v>8</v>
      </c>
      <c r="M20" s="4" t="s">
        <v>259</v>
      </c>
      <c r="N20" s="29">
        <f>N19-D37</f>
        <v>9.9112488287487857</v>
      </c>
      <c r="O20" s="32">
        <f>O19+J37</f>
        <v>2065.0231486363027</v>
      </c>
      <c r="P20" s="31">
        <f>(J37*(F37-External_Loads[[#This Row],[Height (m)]]))+P19+((N19-External_Loads[[#This Row],[Height (m)]])*O19)</f>
        <v>6064.0979792288899</v>
      </c>
      <c r="Q20" s="31">
        <f>Q19+((E37+E38+E40+E33+E34)*g0)</f>
        <v>6970.4650591804475</v>
      </c>
    </row>
    <row r="21" spans="2:28" x14ac:dyDescent="0.25">
      <c r="B21" s="103" t="s">
        <v>32</v>
      </c>
      <c r="C21" s="104" t="s">
        <v>120</v>
      </c>
      <c r="D21" s="105">
        <v>0.19499999999999901</v>
      </c>
      <c r="E21" s="106">
        <v>0.735485544626862</v>
      </c>
      <c r="F21" s="107">
        <v>13.0838372478563</v>
      </c>
      <c r="G21" s="106" t="s">
        <v>199</v>
      </c>
      <c r="H21" s="106" t="str">
        <f>IF(Rocket_Data[[#This Row],[Ext or Int]]="E",9.5*(Rocket_Data[[#This Row],[CG (m)]]^0.2),"-")</f>
        <v>-</v>
      </c>
      <c r="I21" s="108" t="str">
        <f>IF(Rocket_Data[[#This Row],[vss (m/s)]]="-","-",SQRT(((1.25*Rocket_Data[[#This Row],[vss (m/s)]])^2)+((2.56*Rocket_Data[[#This Row],[vss (m/s)]])^2)))</f>
        <v>-</v>
      </c>
      <c r="J21" s="109" t="str">
        <f>IF(Rocket_Data[[#This Row],[vr (m/s)]]="-","-",(1/2)*rho*(Rocket_Data[[#This Row],[vr (m/s)]]^2)*Rocket_Data[[#This Row],[Area (m2)]]*Cd)</f>
        <v>-</v>
      </c>
      <c r="L21" s="4">
        <f t="shared" si="0"/>
        <v>9</v>
      </c>
      <c r="M21" s="4" t="s">
        <v>206</v>
      </c>
      <c r="N21" s="29">
        <f>N20-D41</f>
        <v>9.629437512325401</v>
      </c>
      <c r="O21" s="32">
        <f>O20+J41</f>
        <v>2301.1661245317373</v>
      </c>
      <c r="P21" s="31">
        <f>(J41*(F41-External_Loads[[#This Row],[Height (m)]]))+P20+((N20-External_Loads[[#This Row],[Height (m)]])*O20)</f>
        <v>6891.8474309473559</v>
      </c>
      <c r="Q21" s="31">
        <f>Q20+((E41+E43+E44)*g0)</f>
        <v>7049.3523712181177</v>
      </c>
    </row>
    <row r="22" spans="2:28" x14ac:dyDescent="0.25">
      <c r="B22" s="103" t="s">
        <v>33</v>
      </c>
      <c r="C22" s="104" t="s">
        <v>120</v>
      </c>
      <c r="D22" s="105">
        <v>0.40031798211186798</v>
      </c>
      <c r="E22" s="106">
        <v>0</v>
      </c>
      <c r="F22" s="107">
        <v>13.17175680932</v>
      </c>
      <c r="G22" s="106" t="s">
        <v>199</v>
      </c>
      <c r="H22" s="106" t="str">
        <f>IF(Rocket_Data[[#This Row],[Ext or Int]]="E",9.5*(Rocket_Data[[#This Row],[CG (m)]]^0.2),"-")</f>
        <v>-</v>
      </c>
      <c r="I22" s="108" t="str">
        <f>IF(Rocket_Data[[#This Row],[vss (m/s)]]="-","-",SQRT(((1.25*Rocket_Data[[#This Row],[vss (m/s)]])^2)+((2.56*Rocket_Data[[#This Row],[vss (m/s)]])^2)))</f>
        <v>-</v>
      </c>
      <c r="J22" s="109" t="str">
        <f>IF(Rocket_Data[[#This Row],[vr (m/s)]]="-","-",(1/2)*rho*(Rocket_Data[[#This Row],[vr (m/s)]]^2)*Rocket_Data[[#This Row],[Area (m2)]]*Cd)</f>
        <v>-</v>
      </c>
      <c r="L22" s="4">
        <f t="shared" si="0"/>
        <v>10</v>
      </c>
      <c r="M22" s="4" t="s">
        <v>207</v>
      </c>
      <c r="N22" s="29">
        <f>N21-D45</f>
        <v>8.9544375123254003</v>
      </c>
      <c r="O22" s="32">
        <f>O21+J45</f>
        <v>2856.4968747239354</v>
      </c>
      <c r="P22" s="31">
        <f>(J45*(F45-External_Loads[[#This Row],[Height (m)]]))+P21+((N21-External_Loads[[#This Row],[Height (m)]])*O21)</f>
        <v>9132.3563683691245</v>
      </c>
      <c r="Q22" s="31">
        <f>Q21+((E45+E56+E46+E42)*g0)</f>
        <v>10243.580406077983</v>
      </c>
    </row>
    <row r="23" spans="2:28" x14ac:dyDescent="0.25">
      <c r="B23" s="103" t="s">
        <v>34</v>
      </c>
      <c r="C23" s="104" t="s">
        <v>120</v>
      </c>
      <c r="D23" s="105" t="s">
        <v>26</v>
      </c>
      <c r="E23" s="106">
        <v>2.0666836621203899</v>
      </c>
      <c r="F23" s="107">
        <v>0</v>
      </c>
      <c r="G23" s="106" t="s">
        <v>199</v>
      </c>
      <c r="H23" s="106" t="str">
        <f>IF(Rocket_Data[[#This Row],[Ext or Int]]="E",9.5*(Rocket_Data[[#This Row],[CG (m)]]^0.2),"-")</f>
        <v>-</v>
      </c>
      <c r="I23" s="108" t="str">
        <f>IF(Rocket_Data[[#This Row],[vss (m/s)]]="-","-",SQRT(((1.25*Rocket_Data[[#This Row],[vss (m/s)]])^2)+((2.56*Rocket_Data[[#This Row],[vss (m/s)]])^2)))</f>
        <v>-</v>
      </c>
      <c r="J23" s="109" t="str">
        <f>IF(Rocket_Data[[#This Row],[vr (m/s)]]="-","-",(1/2)*rho*(Rocket_Data[[#This Row],[vr (m/s)]]^2)*Rocket_Data[[#This Row],[Area (m2)]]*Cd)</f>
        <v>-</v>
      </c>
      <c r="L23" s="4">
        <f t="shared" si="0"/>
        <v>11</v>
      </c>
      <c r="M23" s="4" t="s">
        <v>208</v>
      </c>
      <c r="N23" s="29">
        <f>N22-D47</f>
        <v>8.1870257465600886</v>
      </c>
      <c r="O23" s="32">
        <f>O22+J47</f>
        <v>3469.5909425152199</v>
      </c>
      <c r="P23" s="31">
        <f>(J47*(F47-External_Loads[[#This Row],[Height (m)]]))+P22+((N22-External_Loads[[#This Row],[Height (m)]])*O22)</f>
        <v>12111.498140488253</v>
      </c>
      <c r="Q23" s="31">
        <f>Q22+((E47+E49+E50+E48+E57)*g0)</f>
        <v>17318.643393342052</v>
      </c>
    </row>
    <row r="24" spans="2:28" x14ac:dyDescent="0.25">
      <c r="B24" s="103" t="s">
        <v>35</v>
      </c>
      <c r="C24" s="104" t="s">
        <v>110</v>
      </c>
      <c r="D24" s="105">
        <v>0.58499999999999996</v>
      </c>
      <c r="E24" s="106">
        <v>19.352367825745802</v>
      </c>
      <c r="F24" s="107">
        <v>12.874097818264101</v>
      </c>
      <c r="G24" s="106">
        <f>Rocket_Data[[#This Row],[Height (m)]]*C3</f>
        <v>0.22814999999999999</v>
      </c>
      <c r="H24" s="106">
        <f>IF(Rocket_Data[[#This Row],[Ext or Int]]="E",9.5*(Rocket_Data[[#This Row],[CG (m)]]^0.2),"-")</f>
        <v>15.836783009916664</v>
      </c>
      <c r="I24" s="108">
        <f>IF(Rocket_Data[[#This Row],[vss (m/s)]]="-","-",SQRT(((1.25*Rocket_Data[[#This Row],[vss (m/s)]])^2)+((2.56*Rocket_Data[[#This Row],[vss (m/s)]])^2)))</f>
        <v>45.117046423087807</v>
      </c>
      <c r="J24" s="109">
        <f>IF(Rocket_Data[[#This Row],[vr (m/s)]]="-","-",(1/2)*rho*(Rocket_Data[[#This Row],[vr (m/s)]]^2)*Rocket_Data[[#This Row],[Area (m2)]]*Cd)</f>
        <v>228.98652895014612</v>
      </c>
      <c r="L24" s="4">
        <f t="shared" si="0"/>
        <v>12</v>
      </c>
      <c r="M24" s="4" t="s">
        <v>300</v>
      </c>
      <c r="N24" s="29">
        <f>N23-D52</f>
        <v>7.2870257465600883</v>
      </c>
      <c r="O24" s="32">
        <f>O23+J52</f>
        <v>4147.9165623960453</v>
      </c>
      <c r="P24" s="31">
        <f>(J52*(F52-External_Loads[[#This Row],[Height (m)]]))+P23+((N23-External_Loads[[#This Row],[Height (m)]])*O23)</f>
        <v>15844.623046644703</v>
      </c>
      <c r="Q24" s="31">
        <f>Q23+((E52+E53+E39+E51)*g0)</f>
        <v>18162.193856864633</v>
      </c>
    </row>
    <row r="25" spans="2:28" x14ac:dyDescent="0.25">
      <c r="B25" s="103" t="s">
        <v>36</v>
      </c>
      <c r="C25" s="104" t="s">
        <v>120</v>
      </c>
      <c r="D25" s="105">
        <v>0.19499999999999901</v>
      </c>
      <c r="E25" s="106">
        <v>0.63918891636864505</v>
      </c>
      <c r="F25" s="107">
        <v>12.6643583886719</v>
      </c>
      <c r="G25" s="106" t="s">
        <v>199</v>
      </c>
      <c r="H25" s="106" t="str">
        <f>IF(Rocket_Data[[#This Row],[Ext or Int]]="E",9.5*(Rocket_Data[[#This Row],[CG (m)]]^0.2),"-")</f>
        <v>-</v>
      </c>
      <c r="I25" s="108" t="str">
        <f>IF(Rocket_Data[[#This Row],[vss (m/s)]]="-","-",SQRT(((1.25*Rocket_Data[[#This Row],[vss (m/s)]])^2)+((2.56*Rocket_Data[[#This Row],[vss (m/s)]])^2)))</f>
        <v>-</v>
      </c>
      <c r="J25" s="109" t="str">
        <f>IF(Rocket_Data[[#This Row],[vr (m/s)]]="-","-",(1/2)*rho*(Rocket_Data[[#This Row],[vr (m/s)]]^2)*Rocket_Data[[#This Row],[Area (m2)]]*Cd)</f>
        <v>-</v>
      </c>
      <c r="L25" s="4">
        <f t="shared" si="0"/>
        <v>13</v>
      </c>
      <c r="M25" s="4" t="s">
        <v>209</v>
      </c>
      <c r="N25" s="29">
        <f>N24-D58</f>
        <v>6.3206156878737989</v>
      </c>
      <c r="O25" s="32">
        <f>O24+J58</f>
        <v>4841.8749304444609</v>
      </c>
      <c r="P25" s="31">
        <f>(J58*(F58-External_Loads[[#This Row],[Height (m)]]))+P24+((N24-External_Loads[[#This Row],[Height (m)]])*O24)</f>
        <v>20500.816774353254</v>
      </c>
      <c r="Q25" s="31">
        <f>Q24+((E54+E55+E58+E59+E61)*g0)</f>
        <v>19451.074277149157</v>
      </c>
      <c r="R25" s="65"/>
    </row>
    <row r="26" spans="2:28" x14ac:dyDescent="0.25">
      <c r="B26" s="103" t="s">
        <v>37</v>
      </c>
      <c r="C26" s="104" t="s">
        <v>110</v>
      </c>
      <c r="D26" s="105">
        <v>0.266208382757882</v>
      </c>
      <c r="E26" s="106">
        <v>1.3089034438712299</v>
      </c>
      <c r="F26" s="107">
        <v>12.448493626885201</v>
      </c>
      <c r="G26" s="106">
        <f>Rocket_Data[[#This Row],[Height (m)]]*C3</f>
        <v>0.10382126927557399</v>
      </c>
      <c r="H26" s="106">
        <f>IF(Rocket_Data[[#This Row],[Ext or Int]]="E",9.5*(Rocket_Data[[#This Row],[CG (m)]]^0.2),"-")</f>
        <v>15.730660766519575</v>
      </c>
      <c r="I26" s="108">
        <f>IF(Rocket_Data[[#This Row],[vss (m/s)]]="-","-",SQRT(((1.25*Rocket_Data[[#This Row],[vss (m/s)]])^2)+((2.56*Rocket_Data[[#This Row],[vss (m/s)]])^2)))</f>
        <v>44.814717207686513</v>
      </c>
      <c r="J26" s="109">
        <f>IF(Rocket_Data[[#This Row],[vr (m/s)]]="-","-",(1/2)*rho*(Rocket_Data[[#This Row],[vr (m/s)]]^2)*Rocket_Data[[#This Row],[Area (m2)]]*Cd)</f>
        <v>102.81010285358529</v>
      </c>
      <c r="L26" s="4">
        <f t="shared" si="0"/>
        <v>14</v>
      </c>
      <c r="M26" s="4" t="s">
        <v>210</v>
      </c>
      <c r="N26" s="29">
        <f>N25-D62</f>
        <v>4.6740726821749687</v>
      </c>
      <c r="O26" s="32">
        <f>O25+J62</f>
        <v>5933.9375857127652</v>
      </c>
      <c r="P26" s="31">
        <f>(J62*(F62-External_Loads[[#This Row],[Height (m)]]))+P25+((N25-External_Loads[[#This Row],[Height (m)]])*O25)</f>
        <v>29863.664333824294</v>
      </c>
      <c r="Q26" s="31">
        <f>Q25+((E62+E64+E65+E77)*g0)</f>
        <v>29555.274071284352</v>
      </c>
    </row>
    <row r="27" spans="2:28" x14ac:dyDescent="0.25">
      <c r="B27" s="103" t="s">
        <v>38</v>
      </c>
      <c r="C27" s="104" t="s">
        <v>120</v>
      </c>
      <c r="D27" s="105">
        <v>0.19499999999999901</v>
      </c>
      <c r="E27" s="106">
        <v>0.63918891636864505</v>
      </c>
      <c r="F27" s="107">
        <v>12.2326288650984</v>
      </c>
      <c r="G27" s="106" t="s">
        <v>199</v>
      </c>
      <c r="H27" s="106" t="str">
        <f>IF(Rocket_Data[[#This Row],[Ext or Int]]="E",9.5*(Rocket_Data[[#This Row],[CG (m)]]^0.2),"-")</f>
        <v>-</v>
      </c>
      <c r="I27" s="108" t="str">
        <f>IF(Rocket_Data[[#This Row],[vss (m/s)]]="-","-",SQRT(((1.25*Rocket_Data[[#This Row],[vss (m/s)]])^2)+((2.56*Rocket_Data[[#This Row],[vss (m/s)]])^2)))</f>
        <v>-</v>
      </c>
      <c r="J27" s="109" t="str">
        <f>IF(Rocket_Data[[#This Row],[vr (m/s)]]="-","-",(1/2)*rho*(Rocket_Data[[#This Row],[vr (m/s)]]^2)*Rocket_Data[[#This Row],[Area (m2)]]*Cd)</f>
        <v>-</v>
      </c>
      <c r="L27" s="4">
        <f t="shared" si="0"/>
        <v>15</v>
      </c>
      <c r="M27" s="4" t="s">
        <v>211</v>
      </c>
      <c r="N27" s="29">
        <f>N26-D66</f>
        <v>3.9990726821749689</v>
      </c>
      <c r="O27" s="32">
        <f>O26+J66</f>
        <v>6344.3862856889373</v>
      </c>
      <c r="P27" s="31">
        <f>(J66*(F66-External_Loads[[#This Row],[Height (m)]]))+P26+((N26-External_Loads[[#This Row],[Height (m)]])*O26)</f>
        <v>34192.300555411646</v>
      </c>
      <c r="Q27" s="31">
        <f>Q26+((E63+E66+E67)*g0)</f>
        <v>29829.73850948691</v>
      </c>
      <c r="AB27" s="32">
        <v>0</v>
      </c>
    </row>
    <row r="28" spans="2:28" x14ac:dyDescent="0.25">
      <c r="B28" s="103" t="s">
        <v>39</v>
      </c>
      <c r="C28" s="104" t="s">
        <v>120</v>
      </c>
      <c r="D28" s="105">
        <v>0.65620838275788196</v>
      </c>
      <c r="E28" s="106">
        <v>2.2137941937060499</v>
      </c>
      <c r="F28" s="107">
        <v>12.448493626885201</v>
      </c>
      <c r="G28" s="106" t="s">
        <v>199</v>
      </c>
      <c r="H28" s="106" t="str">
        <f>IF(Rocket_Data[[#This Row],[Ext or Int]]="E",9.5*(Rocket_Data[[#This Row],[CG (m)]]^0.2),"-")</f>
        <v>-</v>
      </c>
      <c r="I28" s="108" t="str">
        <f>IF(Rocket_Data[[#This Row],[vss (m/s)]]="-","-",SQRT(((1.25*Rocket_Data[[#This Row],[vss (m/s)]])^2)+((2.56*Rocket_Data[[#This Row],[vss (m/s)]])^2)))</f>
        <v>-</v>
      </c>
      <c r="J28" s="109" t="str">
        <f>IF(Rocket_Data[[#This Row],[vr (m/s)]]="-","-",(1/2)*rho*(Rocket_Data[[#This Row],[vr (m/s)]]^2)*Rocket_Data[[#This Row],[Area (m2)]]*Cd)</f>
        <v>-</v>
      </c>
      <c r="L28" s="4">
        <f t="shared" si="0"/>
        <v>16</v>
      </c>
      <c r="M28" s="4" t="s">
        <v>212</v>
      </c>
      <c r="N28" s="29">
        <f>N27-D68</f>
        <v>0.89999999999999902</v>
      </c>
      <c r="O28" s="32">
        <f>O27+J68</f>
        <v>7886.4717119334346</v>
      </c>
      <c r="P28" s="31">
        <f>(J68*(F68-External_Loads[[#This Row],[Height (m)]]))+P27+((N27-External_Loads[[#This Row],[Height (m)]])*O27)</f>
        <v>56937.470629393007</v>
      </c>
      <c r="Q28" s="31">
        <f>Q27+((E68+E71+E78+E70)*g0)</f>
        <v>53526.579303482649</v>
      </c>
    </row>
    <row r="29" spans="2:28" x14ac:dyDescent="0.25">
      <c r="B29" s="103" t="s">
        <v>40</v>
      </c>
      <c r="C29" s="104" t="s">
        <v>120</v>
      </c>
      <c r="D29" s="105" t="s">
        <v>26</v>
      </c>
      <c r="E29" s="106">
        <v>4.8360397693617196</v>
      </c>
      <c r="F29" s="107">
        <v>0</v>
      </c>
      <c r="G29" s="106" t="s">
        <v>199</v>
      </c>
      <c r="H29" s="106" t="str">
        <f>IF(Rocket_Data[[#This Row],[Ext or Int]]="E",9.5*(Rocket_Data[[#This Row],[CG (m)]]^0.2),"-")</f>
        <v>-</v>
      </c>
      <c r="I29" s="108" t="str">
        <f>IF(Rocket_Data[[#This Row],[vss (m/s)]]="-","-",SQRT(((1.25*Rocket_Data[[#This Row],[vss (m/s)]])^2)+((2.56*Rocket_Data[[#This Row],[vss (m/s)]])^2)))</f>
        <v>-</v>
      </c>
      <c r="J29" s="109" t="str">
        <f>IF(Rocket_Data[[#This Row],[vr (m/s)]]="-","-",(1/2)*rho*(Rocket_Data[[#This Row],[vr (m/s)]]^2)*Rocket_Data[[#This Row],[Area (m2)]]*Cd)</f>
        <v>-</v>
      </c>
      <c r="L29" s="4">
        <f t="shared" si="0"/>
        <v>17</v>
      </c>
      <c r="M29" s="4" t="s">
        <v>213</v>
      </c>
      <c r="N29" s="29">
        <v>1E-3</v>
      </c>
      <c r="O29" s="32">
        <f>O28+J73</f>
        <v>8099.0274157018957</v>
      </c>
      <c r="P29" s="31">
        <f>(J73*(F73-External_Loads[[#This Row],[Height (m)]]))+P28+((N28-External_Loads[[#This Row],[Height (m)]])*O28)</f>
        <v>64122.84620941319</v>
      </c>
      <c r="Q29" s="31">
        <f>Q28+(E73+E74+E75+E76+E60+E69+E72)*g0</f>
        <v>56389.71478075302</v>
      </c>
    </row>
    <row r="30" spans="2:28" x14ac:dyDescent="0.25">
      <c r="B30" s="103" t="s">
        <v>41</v>
      </c>
      <c r="C30" s="104" t="s">
        <v>120</v>
      </c>
      <c r="D30" s="105">
        <v>0.38916464956663099</v>
      </c>
      <c r="E30" s="106">
        <v>1.39241404331457</v>
      </c>
      <c r="F30" s="107">
        <v>12.448493626885201</v>
      </c>
      <c r="G30" s="106"/>
      <c r="H30" s="106" t="str">
        <f>IF(Rocket_Data[[#This Row],[Ext or Int]]="E",9.5*(Rocket_Data[[#This Row],[CG (m)]]^0.2),"-")</f>
        <v>-</v>
      </c>
      <c r="I30" s="108" t="str">
        <f>IF(Rocket_Data[[#This Row],[vss (m/s)]]="-","-",SQRT(((1.25*Rocket_Data[[#This Row],[vss (m/s)]])^2)+((2.56*Rocket_Data[[#This Row],[vss (m/s)]])^2)))</f>
        <v>-</v>
      </c>
      <c r="J30" s="109" t="str">
        <f>IF(Rocket_Data[[#This Row],[vr (m/s)]]="-","-",(1/2)*rho*(Rocket_Data[[#This Row],[vr (m/s)]]^2)*Rocket_Data[[#This Row],[Area (m2)]]*Cd)</f>
        <v>-</v>
      </c>
      <c r="L30" s="4">
        <f t="shared" si="0"/>
        <v>18</v>
      </c>
      <c r="M30" s="4" t="s">
        <v>214</v>
      </c>
      <c r="N30" s="29">
        <v>0</v>
      </c>
      <c r="O30" s="29"/>
      <c r="P30" s="30">
        <f>External_Loads[[#This Row],[Shear Load (N)]]*External_Loads[[#This Row],[Height (m)]]</f>
        <v>0</v>
      </c>
      <c r="Q30" s="30"/>
    </row>
    <row r="31" spans="2:28" ht="15.75" thickBot="1" x14ac:dyDescent="0.3">
      <c r="B31" s="103" t="s">
        <v>42</v>
      </c>
      <c r="C31" s="104" t="s">
        <v>110</v>
      </c>
      <c r="D31" s="105">
        <v>0.45499999999999902</v>
      </c>
      <c r="E31" s="106">
        <v>15.0518416422467</v>
      </c>
      <c r="F31" s="107">
        <v>11.6978894355062</v>
      </c>
      <c r="G31" s="106">
        <f>Rocket_Data[[#This Row],[Height (m)]]*C3</f>
        <v>0.17744999999999964</v>
      </c>
      <c r="H31" s="106">
        <f>IF(Rocket_Data[[#This Row],[Ext or Int]]="E",9.5*(Rocket_Data[[#This Row],[CG (m)]]^0.2),"-")</f>
        <v>15.536210889243666</v>
      </c>
      <c r="I31" s="108">
        <f>IF(Rocket_Data[[#This Row],[vss (m/s)]]="-","-",SQRT(((1.25*Rocket_Data[[#This Row],[vss (m/s)]])^2)+((2.56*Rocket_Data[[#This Row],[vss (m/s)]])^2)))</f>
        <v>44.26075343016128</v>
      </c>
      <c r="J31" s="109">
        <f>IF(Rocket_Data[[#This Row],[vr (m/s)]]="-","-",(1/2)*rho*(Rocket_Data[[#This Row],[vr (m/s)]]^2)*Rocket_Data[[#This Row],[Area (m2)]]*Cd)</f>
        <v>171.40431373035042</v>
      </c>
      <c r="L31" s="4"/>
      <c r="N31" s="4"/>
    </row>
    <row r="32" spans="2:28" ht="15.75" thickBot="1" x14ac:dyDescent="0.3">
      <c r="B32" s="103" t="s">
        <v>43</v>
      </c>
      <c r="C32" s="104" t="s">
        <v>120</v>
      </c>
      <c r="D32" s="105">
        <v>0.22749999999999901</v>
      </c>
      <c r="E32" s="106">
        <v>1.04706826104824</v>
      </c>
      <c r="F32" s="107">
        <v>11.5841394355062</v>
      </c>
      <c r="G32" s="106" t="s">
        <v>199</v>
      </c>
      <c r="H32" s="106" t="str">
        <f>IF(Rocket_Data[[#This Row],[Ext or Int]]="E",9.5*(Rocket_Data[[#This Row],[CG (m)]]^0.2),"-")</f>
        <v>-</v>
      </c>
      <c r="I32" s="108" t="str">
        <f>IF(Rocket_Data[[#This Row],[vss (m/s)]]="-","-",SQRT(((1.25*Rocket_Data[[#This Row],[vss (m/s)]])^2)+((2.56*Rocket_Data[[#This Row],[vss (m/s)]])^2)))</f>
        <v>-</v>
      </c>
      <c r="J32" s="109" t="str">
        <f>IF(Rocket_Data[[#This Row],[vr (m/s)]]="-","-",(1/2)*rho*(Rocket_Data[[#This Row],[vr (m/s)]]^2)*Rocket_Data[[#This Row],[Area (m2)]]*Cd)</f>
        <v>-</v>
      </c>
      <c r="L32" s="187" t="s">
        <v>215</v>
      </c>
      <c r="M32" s="188"/>
      <c r="N32" s="188"/>
      <c r="O32" s="188"/>
      <c r="P32" s="188"/>
      <c r="Q32" s="189"/>
    </row>
    <row r="33" spans="2:51" x14ac:dyDescent="0.25">
      <c r="B33" s="103" t="s">
        <v>44</v>
      </c>
      <c r="C33" s="104" t="s">
        <v>120</v>
      </c>
      <c r="D33" s="105" t="s">
        <v>26</v>
      </c>
      <c r="E33" s="106">
        <v>0.16357182093175299</v>
      </c>
      <c r="F33" s="107">
        <v>11.792030042263701</v>
      </c>
      <c r="G33" s="106" t="s">
        <v>199</v>
      </c>
      <c r="H33" s="106" t="str">
        <f>IF(Rocket_Data[[#This Row],[Ext or Int]]="E",9.5*(Rocket_Data[[#This Row],[CG (m)]]^0.2),"-")</f>
        <v>-</v>
      </c>
      <c r="I33" s="108" t="str">
        <f>IF(Rocket_Data[[#This Row],[vss (m/s)]]="-","-",SQRT(((1.25*Rocket_Data[[#This Row],[vss (m/s)]])^2)+((2.56*Rocket_Data[[#This Row],[vss (m/s)]])^2)))</f>
        <v>-</v>
      </c>
      <c r="J33" s="109" t="str">
        <f>IF(Rocket_Data[[#This Row],[vr (m/s)]]="-","-",(1/2)*rho*(Rocket_Data[[#This Row],[vr (m/s)]]^2)*Rocket_Data[[#This Row],[Area (m2)]]*Cd)</f>
        <v>-</v>
      </c>
      <c r="L33" s="14" t="s">
        <v>193</v>
      </c>
      <c r="M33" s="14" t="s">
        <v>194</v>
      </c>
      <c r="N33" s="14" t="s">
        <v>216</v>
      </c>
      <c r="O33" s="14" t="s">
        <v>195</v>
      </c>
      <c r="P33" s="14" t="s">
        <v>196</v>
      </c>
      <c r="Q33" s="14" t="s">
        <v>217</v>
      </c>
    </row>
    <row r="34" spans="2:51" x14ac:dyDescent="0.25">
      <c r="B34" s="103" t="s">
        <v>45</v>
      </c>
      <c r="C34" s="104" t="s">
        <v>120</v>
      </c>
      <c r="D34" s="105">
        <v>0.32164060675746797</v>
      </c>
      <c r="E34" s="106">
        <v>62.855950048339501</v>
      </c>
      <c r="F34" s="107">
        <v>11.567889435506199</v>
      </c>
      <c r="G34" s="106" t="s">
        <v>199</v>
      </c>
      <c r="H34" s="106" t="str">
        <f>IF(Rocket_Data[[#This Row],[Ext or Int]]="E",9.5*(Rocket_Data[[#This Row],[CG (m)]]^0.2),"-")</f>
        <v>-</v>
      </c>
      <c r="I34" s="108" t="str">
        <f>IF(Rocket_Data[[#This Row],[vss (m/s)]]="-","-",SQRT(((1.25*Rocket_Data[[#This Row],[vss (m/s)]])^2)+((2.56*Rocket_Data[[#This Row],[vss (m/s)]])^2)))</f>
        <v>-</v>
      </c>
      <c r="J34" s="109" t="str">
        <f>IF(Rocket_Data[[#This Row],[vr (m/s)]]="-","-",(1/2)*rho*(Rocket_Data[[#This Row],[vr (m/s)]]^2)*Rocket_Data[[#This Row],[Area (m2)]]*Cd)</f>
        <v>-</v>
      </c>
      <c r="L34" s="4">
        <v>1</v>
      </c>
      <c r="M34" s="4" t="s">
        <v>198</v>
      </c>
      <c r="N34" s="32">
        <v>0</v>
      </c>
      <c r="O34" s="31">
        <v>0</v>
      </c>
      <c r="P34" s="32">
        <v>0</v>
      </c>
      <c r="Q34" s="110">
        <v>0</v>
      </c>
    </row>
    <row r="35" spans="2:51" x14ac:dyDescent="0.25">
      <c r="B35" s="103" t="s">
        <v>46</v>
      </c>
      <c r="C35" s="104" t="s">
        <v>120</v>
      </c>
      <c r="D35" s="105">
        <v>0.40031798211186798</v>
      </c>
      <c r="E35" s="106">
        <v>103.77873100724899</v>
      </c>
      <c r="F35" s="107">
        <v>13.17175680932</v>
      </c>
      <c r="G35" s="106" t="s">
        <v>199</v>
      </c>
      <c r="H35" s="106" t="str">
        <f>IF(Rocket_Data[[#This Row],[Ext or Int]]="E",9.5*(Rocket_Data[[#This Row],[CG (m)]]^0.2),"-")</f>
        <v>-</v>
      </c>
      <c r="I35" s="108" t="str">
        <f>IF(Rocket_Data[[#This Row],[vss (m/s)]]="-","-",SQRT(((1.25*Rocket_Data[[#This Row],[vss (m/s)]])^2)+((2.56*Rocket_Data[[#This Row],[vss (m/s)]])^2)))</f>
        <v>-</v>
      </c>
      <c r="J35" s="109" t="str">
        <f>IF(Rocket_Data[[#This Row],[vr (m/s)]]="-","-",(1/2)*rho*(Rocket_Data[[#This Row],[vr (m/s)]]^2)*Rocket_Data[[#This Row],[Area (m2)]]*Cd)</f>
        <v>-</v>
      </c>
      <c r="L35" s="4">
        <f t="shared" ref="L35:L51" si="1">L34+1</f>
        <v>2</v>
      </c>
      <c r="M35" s="4" t="s">
        <v>200</v>
      </c>
      <c r="N35" s="32">
        <f>-g0*nzmaxq*SUM(E13:E15)</f>
        <v>-157.74964117986096</v>
      </c>
      <c r="O35" s="31">
        <f>O34+Table3[[#This Row],[Inertia Relief (N)]]+shearcone</f>
        <v>1836.8861893240403</v>
      </c>
      <c r="P35" s="32">
        <f>(shearcone*((N13-(D13*(1/3)))-(N14)))+P34+(((N13)-(N14))*O34)</f>
        <v>1688.7916698266345</v>
      </c>
      <c r="Q35" s="110">
        <f>Q34+(nmax*g0*SUM(E13:E15))</f>
        <v>3562.1633314761898</v>
      </c>
    </row>
    <row r="36" spans="2:51" x14ac:dyDescent="0.25">
      <c r="B36" s="103" t="s">
        <v>47</v>
      </c>
      <c r="C36" s="104" t="s">
        <v>120</v>
      </c>
      <c r="D36" s="105">
        <v>0.65620838275788196</v>
      </c>
      <c r="E36" s="106">
        <v>242.84223055696299</v>
      </c>
      <c r="F36" s="107">
        <v>12.448493626885201</v>
      </c>
      <c r="G36" s="106" t="s">
        <v>199</v>
      </c>
      <c r="H36" s="106" t="str">
        <f>IF(Rocket_Data[[#This Row],[Ext or Int]]="E",9.5*(Rocket_Data[[#This Row],[CG (m)]]^0.2),"-")</f>
        <v>-</v>
      </c>
      <c r="I36" s="108" t="str">
        <f>IF(Rocket_Data[[#This Row],[vss (m/s)]]="-","-",SQRT(((1.25*Rocket_Data[[#This Row],[vss (m/s)]])^2)+((2.56*Rocket_Data[[#This Row],[vss (m/s)]])^2)))</f>
        <v>-</v>
      </c>
      <c r="J36" s="109" t="str">
        <f>IF(Rocket_Data[[#This Row],[vr (m/s)]]="-","-",(1/2)*rho*(Rocket_Data[[#This Row],[vr (m/s)]]^2)*Rocket_Data[[#This Row],[Area (m2)]]*Cd)</f>
        <v>-</v>
      </c>
      <c r="L36" s="4">
        <f t="shared" si="1"/>
        <v>3</v>
      </c>
      <c r="M36" s="4" t="s">
        <v>201</v>
      </c>
      <c r="N36" s="32">
        <f>-g0*nzmaxq*SUM(E16:E17,E19)</f>
        <v>-23.118926784926057</v>
      </c>
      <c r="O36" s="31">
        <f>O35+Table3[[#This Row],[Inertia Relief (N)]]</f>
        <v>1813.7672625391142</v>
      </c>
      <c r="P36" s="32">
        <f>P35+(((N14)-(N15))*O35)</f>
        <v>2524.5748859690698</v>
      </c>
      <c r="Q36" s="110">
        <f>Q35+(nmax*g0*SUM(E16:E17,E19))</f>
        <v>4084.2145554307958</v>
      </c>
    </row>
    <row r="37" spans="2:51" ht="15.75" thickBot="1" x14ac:dyDescent="0.3">
      <c r="B37" s="17" t="s">
        <v>48</v>
      </c>
      <c r="C37" s="10" t="s">
        <v>110</v>
      </c>
      <c r="D37" s="11">
        <v>0.659140606757468</v>
      </c>
      <c r="E37" s="20">
        <v>23.579406475256899</v>
      </c>
      <c r="F37" s="34">
        <v>11.1329722201423</v>
      </c>
      <c r="G37" s="20">
        <f>((($C$3*2)+($C$4*2))/2)*Rocket_Data[[#This Row],[Height (m)]]</f>
        <v>0.55367810967627318</v>
      </c>
      <c r="H37" s="20">
        <f>IF(Rocket_Data[[#This Row],[Ext or Int]]="E",9.5*(Rocket_Data[[#This Row],[CG (m)]]^0.2),"-")</f>
        <v>15.383169677383588</v>
      </c>
      <c r="I37" s="20">
        <f>IF(Rocket_Data[[#This Row],[vss (m/s)]]="-","-",SQRT(((1.25*Rocket_Data[[#This Row],[vss (m/s)]])^2)+((2.56*Rocket_Data[[#This Row],[vss (m/s)]])^2)))</f>
        <v>43.82475784596889</v>
      </c>
      <c r="J37" s="83">
        <f>IF(Rocket_Data[[#This Row],[vr (m/s)]]="-","-",(1/2)*rho*(Rocket_Data[[#This Row],[vr (m/s)]]^2)*Rocket_Data[[#This Row],[Area (m2)]]*Cd)</f>
        <v>524.32980166254447</v>
      </c>
      <c r="L37" s="4">
        <f t="shared" si="1"/>
        <v>4</v>
      </c>
      <c r="M37" s="4" t="s">
        <v>202</v>
      </c>
      <c r="N37" s="32">
        <f>-g0*nzmaxq*SUM(E20,E22:E23,E35)</f>
        <v>-98.047931047313497</v>
      </c>
      <c r="O37" s="31">
        <f>O36+Table3[[#This Row],[Inertia Relief (N)]]</f>
        <v>1715.7193314918006</v>
      </c>
      <c r="P37" s="32">
        <f t="shared" ref="P37:P40" si="2">P36+(((N15)-(N16))*O36)</f>
        <v>2543.2893041390403</v>
      </c>
      <c r="Q37" s="110">
        <f>Q36+(nmax*g0*SUM(E20,E22:E23,E35))</f>
        <v>6298.2464992856039</v>
      </c>
    </row>
    <row r="38" spans="2:51" ht="15.75" thickBot="1" x14ac:dyDescent="0.3">
      <c r="B38" s="17" t="s">
        <v>49</v>
      </c>
      <c r="C38" s="10" t="s">
        <v>120</v>
      </c>
      <c r="D38" s="11" t="s">
        <v>26</v>
      </c>
      <c r="E38" s="20">
        <v>12.360719596617701</v>
      </c>
      <c r="F38" s="34">
        <v>11.1329722201423</v>
      </c>
      <c r="G38" s="20" t="s">
        <v>199</v>
      </c>
      <c r="H38" s="20" t="str">
        <f>IF(Rocket_Data[[#This Row],[Ext or Int]]="E",9.5*(Rocket_Data[[#This Row],[CG (m)]]^0.2),"-")</f>
        <v>-</v>
      </c>
      <c r="I38" s="26" t="str">
        <f>IF(Rocket_Data[[#This Row],[vss (m/s)]]="-","-",SQRT(((1.25*Rocket_Data[[#This Row],[vss (m/s)]])^2)+((2.56*Rocket_Data[[#This Row],[vss (m/s)]])^2)))</f>
        <v>-</v>
      </c>
      <c r="J38" s="84" t="str">
        <f>IF(Rocket_Data[[#This Row],[vr (m/s)]]="-","-",(1/2)*rho*(Rocket_Data[[#This Row],[vr (m/s)]]^2)*Rocket_Data[[#This Row],[Area (m2)]]*Cd)</f>
        <v>-</v>
      </c>
      <c r="L38" s="4">
        <f t="shared" si="1"/>
        <v>5</v>
      </c>
      <c r="M38" s="4" t="s">
        <v>203</v>
      </c>
      <c r="N38" s="32">
        <f>-g0*nzmaxq*SUM(E24:E25,E21)</f>
        <v>-19.189526859522172</v>
      </c>
      <c r="O38" s="31">
        <f>O37+Table3[[#This Row],[Inertia Relief (N)]]</f>
        <v>1696.5298046322785</v>
      </c>
      <c r="P38" s="32">
        <f t="shared" si="2"/>
        <v>3546.9851130617453</v>
      </c>
      <c r="Q38" s="110">
        <f>Q37+(nmax*g0*SUM(E24:E25,E21))</f>
        <v>6731.5674781233929</v>
      </c>
      <c r="S38" s="187" t="s">
        <v>218</v>
      </c>
      <c r="T38" s="188"/>
      <c r="U38" s="188"/>
      <c r="V38" s="188"/>
      <c r="W38" s="188"/>
      <c r="X38" s="188"/>
      <c r="Y38" s="188"/>
      <c r="Z38" s="188"/>
      <c r="AA38" s="188"/>
      <c r="AB38" s="188"/>
      <c r="AC38" s="189"/>
      <c r="AD38" s="187" t="s">
        <v>219</v>
      </c>
      <c r="AE38" s="188"/>
      <c r="AF38" s="188"/>
      <c r="AG38" s="188"/>
      <c r="AH38" s="188"/>
      <c r="AI38" s="188"/>
      <c r="AJ38" s="188"/>
      <c r="AK38" s="188"/>
      <c r="AL38" s="188"/>
      <c r="AM38" s="188"/>
      <c r="AN38" s="189"/>
      <c r="AO38" s="187" t="s">
        <v>220</v>
      </c>
      <c r="AP38" s="188"/>
      <c r="AQ38" s="188"/>
      <c r="AR38" s="188"/>
      <c r="AS38" s="188"/>
      <c r="AT38" s="188"/>
      <c r="AU38" s="188"/>
      <c r="AV38" s="188"/>
      <c r="AW38" s="188"/>
      <c r="AX38" s="188"/>
      <c r="AY38" s="189"/>
    </row>
    <row r="39" spans="2:51" x14ac:dyDescent="0.25">
      <c r="B39" s="17" t="s">
        <v>50</v>
      </c>
      <c r="C39" s="10" t="s">
        <v>120</v>
      </c>
      <c r="D39" s="11">
        <v>0.65605577054717401</v>
      </c>
      <c r="E39" s="20">
        <v>43.829027186820298</v>
      </c>
      <c r="F39" s="34">
        <v>0</v>
      </c>
      <c r="G39" s="20" t="s">
        <v>199</v>
      </c>
      <c r="H39" s="20" t="str">
        <f>IF(Rocket_Data[[#This Row],[Ext or Int]]="E",9.5*(Rocket_Data[[#This Row],[CG (m)]]^0.2),"-")</f>
        <v>-</v>
      </c>
      <c r="I39" s="26" t="str">
        <f>IF(Rocket_Data[[#This Row],[vss (m/s)]]="-","-",SQRT(((1.25*Rocket_Data[[#This Row],[vss (m/s)]])^2)+((2.56*Rocket_Data[[#This Row],[vss (m/s)]])^2)))</f>
        <v>-</v>
      </c>
      <c r="J39" s="84" t="str">
        <f>IF(Rocket_Data[[#This Row],[vr (m/s)]]="-","-",(1/2)*rho*(Rocket_Data[[#This Row],[vr (m/s)]]^2)*Rocket_Data[[#This Row],[Area (m2)]]*Cd)</f>
        <v>-</v>
      </c>
      <c r="L39" s="4">
        <f t="shared" si="1"/>
        <v>6</v>
      </c>
      <c r="M39" s="4" t="s">
        <v>204</v>
      </c>
      <c r="N39" s="32">
        <f>-g0*nzmaxq*SUM(E26:E29,E36)</f>
        <v>-233.15885536894049</v>
      </c>
      <c r="O39" s="31">
        <f>O38+Table3[[#This Row],[Inertia Relief (N)]]</f>
        <v>1463.3709492633379</v>
      </c>
      <c r="P39" s="32">
        <f t="shared" si="2"/>
        <v>3998.6155686534485</v>
      </c>
      <c r="Q39" s="110">
        <f>Q38+(nmax*g0*SUM(E26:E29,E36))</f>
        <v>11996.555206730867</v>
      </c>
    </row>
    <row r="40" spans="2:51" x14ac:dyDescent="0.25">
      <c r="B40" s="17" t="s">
        <v>51</v>
      </c>
      <c r="C40" s="10" t="s">
        <v>120</v>
      </c>
      <c r="D40" s="11">
        <v>0.22500000000000001</v>
      </c>
      <c r="E40" s="20">
        <v>1.12984238193703</v>
      </c>
      <c r="F40" s="34">
        <v>10.906741794603899</v>
      </c>
      <c r="G40" s="20"/>
      <c r="H40" s="20" t="str">
        <f>IF(Rocket_Data[[#This Row],[Ext or Int]]="E",9.5*(Rocket_Data[[#This Row],[CG (m)]]^0.2),"-")</f>
        <v>-</v>
      </c>
      <c r="I40" s="26" t="str">
        <f>IF(Rocket_Data[[#This Row],[vss (m/s)]]="-","-",SQRT(((1.25*Rocket_Data[[#This Row],[vss (m/s)]])^2)+((2.56*Rocket_Data[[#This Row],[vss (m/s)]])^2)))</f>
        <v>-</v>
      </c>
      <c r="J40" s="84" t="str">
        <f>IF(Rocket_Data[[#This Row],[vr (m/s)]]="-","-",(1/2)*rho*(Rocket_Data[[#This Row],[vr (m/s)]]^2)*Rocket_Data[[#This Row],[Area (m2)]]*Cd)</f>
        <v>-</v>
      </c>
      <c r="L40" s="4">
        <f t="shared" si="1"/>
        <v>7</v>
      </c>
      <c r="M40" s="4" t="s">
        <v>299</v>
      </c>
      <c r="N40" s="32">
        <f>-g0*nzmaxq*SUM(E30:E34,E18)</f>
        <v>-98.913093488561216</v>
      </c>
      <c r="O40" s="31">
        <f>O39+Table3[[#This Row],[Inertia Relief (N)]]+shearskirt</f>
        <v>1484.0990162598243</v>
      </c>
      <c r="P40" s="32">
        <f t="shared" si="2"/>
        <v>4664.4493505682649</v>
      </c>
      <c r="Q40" s="110">
        <f>Q39+(nmax*g0*SUM(E30:E32,E18))</f>
        <v>12912.633005614065</v>
      </c>
    </row>
    <row r="41" spans="2:51" x14ac:dyDescent="0.25">
      <c r="B41" s="17" t="s">
        <v>52</v>
      </c>
      <c r="C41" s="10" t="s">
        <v>110</v>
      </c>
      <c r="D41" s="11">
        <v>0.28181131642338503</v>
      </c>
      <c r="E41" s="20">
        <v>2.1226824600307199</v>
      </c>
      <c r="F41" s="34">
        <v>10.6703431705371</v>
      </c>
      <c r="G41" s="36">
        <f>2*Rocket_Data[[#This Row],[Height (m)]]*$C$4</f>
        <v>0.25363018478104654</v>
      </c>
      <c r="H41" s="20">
        <f>IF(Rocket_Data[[#This Row],[Ext or Int]]="E",9.5*(Rocket_Data[[#This Row],[CG (m)]]^0.2),"-")</f>
        <v>15.253140922895708</v>
      </c>
      <c r="I41" s="26">
        <f>IF(Rocket_Data[[#This Row],[vss (m/s)]]="-","-",SQRT(((1.25*Rocket_Data[[#This Row],[vss (m/s)]])^2)+((2.56*Rocket_Data[[#This Row],[vss (m/s)]])^2)))</f>
        <v>43.454321921646851</v>
      </c>
      <c r="J41" s="85">
        <f>IF(Rocket_Data[[#This Row],[vr (m/s)]]="-","-",(1/2)*rho*(Rocket_Data[[#This Row],[vr (m/s)]]^2)*Rocket_Data[[#This Row],[Area (m2)]]*Cd)</f>
        <v>236.14297589543452</v>
      </c>
      <c r="L41" s="4">
        <f>L40+1</f>
        <v>8</v>
      </c>
      <c r="M41" s="4" t="s">
        <v>259</v>
      </c>
      <c r="N41" s="32">
        <f>-g0*nzmaxq*SUM(E37:E38,E40)</f>
        <v>-34.320147828380613</v>
      </c>
      <c r="O41" s="32">
        <f>O40+Table3[[#This Row],[Inertia Relief (N)]]</f>
        <v>1449.7788684314437</v>
      </c>
      <c r="P41" s="32">
        <f>(shearskirt*((N19)-(N20)))+P40+(((N19)-(N20))*O40)</f>
        <v>5721.5396237492087</v>
      </c>
      <c r="Q41" s="110">
        <f>Q40+(nmax*g0*SUM(E37:E38,E33:E34,E40))</f>
        <v>15005.110809160458</v>
      </c>
    </row>
    <row r="42" spans="2:51" x14ac:dyDescent="0.25">
      <c r="B42" s="17" t="s">
        <v>53</v>
      </c>
      <c r="C42" s="10" t="s">
        <v>120</v>
      </c>
      <c r="D42" s="11">
        <v>0.22500000000000001</v>
      </c>
      <c r="E42" s="20">
        <v>1.12984238193703</v>
      </c>
      <c r="F42" s="34">
        <v>10.433944546470199</v>
      </c>
      <c r="G42" s="20"/>
      <c r="H42" s="20" t="str">
        <f>IF(Rocket_Data[[#This Row],[Ext or Int]]="E",9.5*(Rocket_Data[[#This Row],[CG (m)]]^0.2),"-")</f>
        <v>-</v>
      </c>
      <c r="I42" s="26" t="str">
        <f>IF(Rocket_Data[[#This Row],[vss (m/s)]]="-","-",SQRT(((1.25*Rocket_Data[[#This Row],[vss (m/s)]])^2)+((2.56*Rocket_Data[[#This Row],[vss (m/s)]])^2)))</f>
        <v>-</v>
      </c>
      <c r="J42" s="84" t="str">
        <f>IF(Rocket_Data[[#This Row],[vr (m/s)]]="-","-",(1/2)*rho*(Rocket_Data[[#This Row],[vr (m/s)]]^2)*Rocket_Data[[#This Row],[Area (m2)]]*Cd)</f>
        <v>-</v>
      </c>
      <c r="L42" s="4">
        <f t="shared" si="1"/>
        <v>9</v>
      </c>
      <c r="M42" s="4" t="s">
        <v>206</v>
      </c>
      <c r="N42" s="32">
        <f>-g0*nzmaxq*SUM(E41,E43:E44,E56)</f>
        <v>-283.16258922274579</v>
      </c>
      <c r="O42" s="32">
        <f>O41+Table3[[#This Row],[Inertia Relief (N)]]</f>
        <v>1166.616279208698</v>
      </c>
      <c r="P42" s="32">
        <f>P41+(((N20)-(N21))*O41)</f>
        <v>6130.1037151846785</v>
      </c>
      <c r="Q42" s="110">
        <f>Q41+(nmax*g0*SUM(E41,E43:E44,E56))</f>
        <v>21399.238774402966</v>
      </c>
    </row>
    <row r="43" spans="2:51" x14ac:dyDescent="0.25">
      <c r="B43" s="17" t="s">
        <v>54</v>
      </c>
      <c r="C43" s="10" t="s">
        <v>120</v>
      </c>
      <c r="D43" s="11">
        <v>0.73181131642338504</v>
      </c>
      <c r="E43" s="20">
        <v>0</v>
      </c>
      <c r="F43" s="34">
        <v>10.6703431705371</v>
      </c>
      <c r="G43" s="20" t="s">
        <v>199</v>
      </c>
      <c r="H43" s="20" t="str">
        <f>IF(Rocket_Data[[#This Row],[Ext or Int]]="E",9.5*(Rocket_Data[[#This Row],[CG (m)]]^0.2),"-")</f>
        <v>-</v>
      </c>
      <c r="I43" s="26" t="str">
        <f>IF(Rocket_Data[[#This Row],[vss (m/s)]]="-","-",SQRT(((1.25*Rocket_Data[[#This Row],[vss (m/s)]])^2)+((2.56*Rocket_Data[[#This Row],[vss (m/s)]])^2)))</f>
        <v>-</v>
      </c>
      <c r="J43" s="84" t="str">
        <f>IF(Rocket_Data[[#This Row],[vr (m/s)]]="-","-",(1/2)*rho*(Rocket_Data[[#This Row],[vr (m/s)]]^2)*Rocket_Data[[#This Row],[Area (m2)]]*Cd)</f>
        <v>-</v>
      </c>
      <c r="L43" s="4">
        <f t="shared" si="1"/>
        <v>10</v>
      </c>
      <c r="M43" s="4" t="s">
        <v>207</v>
      </c>
      <c r="N43" s="32">
        <f>-g0*nzmaxq*SUM(E45:E46,E42)</f>
        <v>-25.864360303913173</v>
      </c>
      <c r="O43" s="32">
        <f>O42+Table3[[#This Row],[Inertia Relief (N)]]</f>
        <v>1140.7519189047848</v>
      </c>
      <c r="P43" s="32">
        <f>P42+(((N21)-(N22))*O42)</f>
        <v>6917.5697036505508</v>
      </c>
      <c r="Q43" s="110">
        <f>Q42+(nmax*g0*SUM(E45:E46,E42))</f>
        <v>21983.284957821164</v>
      </c>
    </row>
    <row r="44" spans="2:51" x14ac:dyDescent="0.25">
      <c r="B44" s="17" t="s">
        <v>55</v>
      </c>
      <c r="C44" s="10" t="s">
        <v>120</v>
      </c>
      <c r="D44" s="11" t="s">
        <v>26</v>
      </c>
      <c r="E44" s="20">
        <v>5.9221178701416104</v>
      </c>
      <c r="F44" s="34">
        <v>0</v>
      </c>
      <c r="G44" s="20" t="s">
        <v>199</v>
      </c>
      <c r="H44" s="20" t="str">
        <f>IF(Rocket_Data[[#This Row],[Ext or Int]]="E",9.5*(Rocket_Data[[#This Row],[CG (m)]]^0.2),"-")</f>
        <v>-</v>
      </c>
      <c r="I44" s="26" t="str">
        <f>IF(Rocket_Data[[#This Row],[vss (m/s)]]="-","-",SQRT(((1.25*Rocket_Data[[#This Row],[vss (m/s)]])^2)+((2.56*Rocket_Data[[#This Row],[vss (m/s)]])^2)))</f>
        <v>-</v>
      </c>
      <c r="J44" s="84" t="str">
        <f>IF(Rocket_Data[[#This Row],[vr (m/s)]]="-","-",(1/2)*rho*(Rocket_Data[[#This Row],[vr (m/s)]]^2)*Rocket_Data[[#This Row],[Area (m2)]]*Cd)</f>
        <v>-</v>
      </c>
      <c r="L44" s="4">
        <f t="shared" si="1"/>
        <v>11</v>
      </c>
      <c r="M44" s="4" t="s">
        <v>208</v>
      </c>
      <c r="N44" s="32">
        <f>-g0*nzmaxq*SUM(E49:E50,E47,E57)</f>
        <v>-667.01834754856827</v>
      </c>
      <c r="O44" s="32">
        <f>O43+Table3[[#This Row],[Inertia Relief (N)]]</f>
        <v>473.73357135621654</v>
      </c>
      <c r="P44" s="32">
        <f>P43+(((N22)-(N23))*O43)</f>
        <v>7792.9961480374395</v>
      </c>
      <c r="Q44" s="110">
        <f>Q43+(nmax*g0*SUM(E49:E50,E47,E57))</f>
        <v>37045.305266002288</v>
      </c>
    </row>
    <row r="45" spans="2:51" x14ac:dyDescent="0.25">
      <c r="B45" s="17" t="s">
        <v>56</v>
      </c>
      <c r="C45" s="10" t="s">
        <v>110</v>
      </c>
      <c r="D45" s="11">
        <v>0.67500000000000004</v>
      </c>
      <c r="E45" s="20">
        <v>25.7649867502532</v>
      </c>
      <c r="F45" s="34">
        <v>10.191937512325399</v>
      </c>
      <c r="G45" s="24">
        <f>2*Rocket_Data[[#This Row],[Height (m)]]*$C$4</f>
        <v>0.60750000000000004</v>
      </c>
      <c r="H45" s="20">
        <f>IF(Rocket_Data[[#This Row],[Ext or Int]]="E",9.5*(Rocket_Data[[#This Row],[CG (m)]]^0.2),"-")</f>
        <v>15.113844712910291</v>
      </c>
      <c r="I45" s="26">
        <f>IF(Rocket_Data[[#This Row],[vss (m/s)]]="-","-",SQRT(((1.25*Rocket_Data[[#This Row],[vss (m/s)]])^2)+((2.56*Rocket_Data[[#This Row],[vss (m/s)]])^2)))</f>
        <v>43.057484156771437</v>
      </c>
      <c r="J45" s="84">
        <f>IF(Rocket_Data[[#This Row],[vr (m/s)]]="-","-",(1/2)*rho*(Rocket_Data[[#This Row],[vr (m/s)]]^2)*Rocket_Data[[#This Row],[Area (m2)]]*Cd)</f>
        <v>555.33075019219814</v>
      </c>
      <c r="L45" s="4">
        <f t="shared" si="1"/>
        <v>12</v>
      </c>
      <c r="M45" s="4" t="s">
        <v>300</v>
      </c>
      <c r="N45" s="32">
        <f>-g0*nzmaxq*SUM(E51:E55,E39,E48)</f>
        <v>-149.41192985062395</v>
      </c>
      <c r="O45" s="32">
        <f>O44+Table3[[#This Row],[Inertia Relief (N)]]</f>
        <v>324.32164150559259</v>
      </c>
      <c r="P45" s="32">
        <f>P44-(((N23)-(N24))*O44)</f>
        <v>7366.635933816844</v>
      </c>
      <c r="Q45" s="110">
        <f>Q44+(nmax*g0*SUM(E51:E55,E39,E48))</f>
        <v>40419.193750427774</v>
      </c>
    </row>
    <row r="46" spans="2:51" x14ac:dyDescent="0.25">
      <c r="B46" s="17" t="s">
        <v>57</v>
      </c>
      <c r="C46" s="10" t="s">
        <v>120</v>
      </c>
      <c r="D46" s="11">
        <v>0.22500000000000001</v>
      </c>
      <c r="E46" s="20">
        <v>1.0418518325467301</v>
      </c>
      <c r="F46" s="34">
        <v>9.9499304781805495</v>
      </c>
      <c r="G46" s="20"/>
      <c r="H46" s="20" t="str">
        <f>IF(Rocket_Data[[#This Row],[Ext or Int]]="E",9.5*(Rocket_Data[[#This Row],[CG (m)]]^0.2),"-")</f>
        <v>-</v>
      </c>
      <c r="I46" s="26" t="str">
        <f>IF(Rocket_Data[[#This Row],[vss (m/s)]]="-","-",SQRT(((1.25*Rocket_Data[[#This Row],[vss (m/s)]])^2)+((2.56*Rocket_Data[[#This Row],[vss (m/s)]])^2)))</f>
        <v>-</v>
      </c>
      <c r="J46" s="84" t="str">
        <f>IF(Rocket_Data[[#This Row],[vr (m/s)]]="-","-",(1/2)*rho*(Rocket_Data[[#This Row],[vr (m/s)]]^2)*Rocket_Data[[#This Row],[Area (m2)]]*Cd)</f>
        <v>-</v>
      </c>
      <c r="L46" s="4">
        <f t="shared" si="1"/>
        <v>13</v>
      </c>
      <c r="M46" s="4" t="s">
        <v>209</v>
      </c>
      <c r="N46" s="32">
        <f>-g0*nzmaxq*SUM(E58:E59,E61)</f>
        <v>-52.883340423518753</v>
      </c>
      <c r="O46" s="32">
        <f>O45+Table3[[#This Row],[Inertia Relief (N)]]</f>
        <v>271.43830108207385</v>
      </c>
      <c r="P46" s="32">
        <f>P45-(((N24)-(N25))*O45)</f>
        <v>7053.2082372161904</v>
      </c>
      <c r="Q46" s="110">
        <f>Q45+(nmax*g0*SUM(E58:E59,E61))</f>
        <v>41613.358724076417</v>
      </c>
    </row>
    <row r="47" spans="2:51" x14ac:dyDescent="0.25">
      <c r="B47" s="17" t="s">
        <v>58</v>
      </c>
      <c r="C47" s="10" t="s">
        <v>110</v>
      </c>
      <c r="D47" s="11">
        <v>0.767411765765312</v>
      </c>
      <c r="E47" s="20">
        <v>5.3301956965367996</v>
      </c>
      <c r="F47" s="34">
        <v>9.4707316294427599</v>
      </c>
      <c r="G47" s="36">
        <f>2*Rocket_Data[[#This Row],[Height (m)]]*$C$4</f>
        <v>0.69067058918878077</v>
      </c>
      <c r="H47" s="20">
        <f>IF(Rocket_Data[[#This Row],[Ext or Int]]="E",9.5*(Rocket_Data[[#This Row],[CG (m)]]^0.2),"-")</f>
        <v>14.893621454143219</v>
      </c>
      <c r="I47" s="26">
        <f>IF(Rocket_Data[[#This Row],[vss (m/s)]]="-","-",SQRT(((1.25*Rocket_Data[[#This Row],[vss (m/s)]])^2)+((2.56*Rocket_Data[[#This Row],[vss (m/s)]])^2)))</f>
        <v>42.430095186232656</v>
      </c>
      <c r="J47" s="85">
        <f>IF(Rocket_Data[[#This Row],[vr (m/s)]]="-","-",(1/2)*rho*(Rocket_Data[[#This Row],[vr (m/s)]]^2)*Rocket_Data[[#This Row],[Area (m2)]]*Cd)</f>
        <v>613.09406779128449</v>
      </c>
      <c r="L47" s="4">
        <f t="shared" si="1"/>
        <v>14</v>
      </c>
      <c r="M47" s="4" t="s">
        <v>210</v>
      </c>
      <c r="N47" s="32">
        <f>-g0*nzmaxq*SUM(E62,E64:E65,J91)</f>
        <v>-452.67353779742632</v>
      </c>
      <c r="O47" s="32">
        <f>O46+Table3[[#This Row],[Inertia Relief (N)]]</f>
        <v>-181.23523671535247</v>
      </c>
      <c r="P47" s="32">
        <f>P46-(((N25)-(N26))*O46)</f>
        <v>6606.2734010907288</v>
      </c>
      <c r="Q47" s="110">
        <f>Q46+(nmax*g0*SUM(E62,E64:E65,J91))</f>
        <v>51835.233496096196</v>
      </c>
    </row>
    <row r="48" spans="2:51" x14ac:dyDescent="0.25">
      <c r="B48" s="17" t="s">
        <v>59</v>
      </c>
      <c r="C48" s="10" t="s">
        <v>120</v>
      </c>
      <c r="D48" s="11">
        <v>0.22500000000000001</v>
      </c>
      <c r="E48" s="20">
        <v>1.0418518325467301</v>
      </c>
      <c r="F48" s="34">
        <v>8.9915327807049596</v>
      </c>
      <c r="G48" s="20"/>
      <c r="H48" s="20" t="str">
        <f>IF(Rocket_Data[[#This Row],[Ext or Int]]="E",9.5*(Rocket_Data[[#This Row],[CG (m)]]^0.2),"-")</f>
        <v>-</v>
      </c>
      <c r="I48" s="26" t="str">
        <f>IF(Rocket_Data[[#This Row],[vss (m/s)]]="-","-",SQRT(((1.25*Rocket_Data[[#This Row],[vss (m/s)]])^2)+((2.56*Rocket_Data[[#This Row],[vss (m/s)]])^2)))</f>
        <v>-</v>
      </c>
      <c r="J48" s="84" t="str">
        <f>IF(Rocket_Data[[#This Row],[vr (m/s)]]="-","-",(1/2)*rho*(Rocket_Data[[#This Row],[vr (m/s)]]^2)*Rocket_Data[[#This Row],[Area (m2)]]*Cd)</f>
        <v>-</v>
      </c>
      <c r="L48" s="4">
        <f t="shared" si="1"/>
        <v>15</v>
      </c>
      <c r="M48" s="4" t="s">
        <v>211</v>
      </c>
      <c r="N48" s="32">
        <f>-g0*nzmaxq*SUM(E66:E67,E63)</f>
        <v>-25.913204730679425</v>
      </c>
      <c r="O48" s="32">
        <f>O47+Table3[[#This Row],[Inertia Relief (N)]]</f>
        <v>-207.14844144603188</v>
      </c>
      <c r="P48" s="32">
        <f>P47+(((N26)-(N27))*O47)</f>
        <v>6483.9396163078663</v>
      </c>
      <c r="Q48" s="110">
        <f>Q47+(nmax*g0*SUM(E66:E67,E63))</f>
        <v>52420.382641300377</v>
      </c>
    </row>
    <row r="49" spans="2:17" ht="15" customHeight="1" x14ac:dyDescent="0.25">
      <c r="B49" s="17" t="s">
        <v>60</v>
      </c>
      <c r="C49" s="10" t="s">
        <v>120</v>
      </c>
      <c r="D49" s="11">
        <v>1.2174117657653101</v>
      </c>
      <c r="E49" s="20">
        <v>4.4087429097396003</v>
      </c>
      <c r="F49" s="34">
        <v>9.4707316294427599</v>
      </c>
      <c r="G49" s="20"/>
      <c r="H49" s="20" t="str">
        <f>IF(Rocket_Data[[#This Row],[Ext or Int]]="E",9.5*(Rocket_Data[[#This Row],[CG (m)]]^0.2),"-")</f>
        <v>-</v>
      </c>
      <c r="I49" s="26" t="str">
        <f>IF(Rocket_Data[[#This Row],[vss (m/s)]]="-","-",SQRT(((1.25*Rocket_Data[[#This Row],[vss (m/s)]])^2)+((2.56*Rocket_Data[[#This Row],[vss (m/s)]])^2)))</f>
        <v>-</v>
      </c>
      <c r="J49" s="84" t="str">
        <f>IF(Rocket_Data[[#This Row],[vr (m/s)]]="-","-",(1/2)*rho*(Rocket_Data[[#This Row],[vr (m/s)]]^2)*Rocket_Data[[#This Row],[Area (m2)]]*Cd)</f>
        <v>-</v>
      </c>
      <c r="L49" s="4">
        <f t="shared" si="1"/>
        <v>16</v>
      </c>
      <c r="M49" s="4" t="s">
        <v>212</v>
      </c>
      <c r="N49" s="32">
        <f>-g0*nzmaxq*SUM(E70:E71,E68,J92)</f>
        <v>-1064.2612582651118</v>
      </c>
      <c r="O49" s="32">
        <f>O48+Table3[[#This Row],[Inertia Relief (N)]]</f>
        <v>-1271.4096997111437</v>
      </c>
      <c r="P49" s="32">
        <f>P48+(((N27)-(N28))*O48)</f>
        <v>5841.9715402673473</v>
      </c>
      <c r="Q49" s="110">
        <f>Q48+(nmax*g0*SUM(E70:E71,E68,J92))</f>
        <v>76452.592166140035</v>
      </c>
    </row>
    <row r="50" spans="2:17" x14ac:dyDescent="0.25">
      <c r="B50" s="17" t="s">
        <v>61</v>
      </c>
      <c r="C50" s="10" t="s">
        <v>120</v>
      </c>
      <c r="D50" s="11" t="s">
        <v>26</v>
      </c>
      <c r="E50" s="20">
        <v>13.8577558161313</v>
      </c>
      <c r="F50" s="34">
        <v>0</v>
      </c>
      <c r="G50" s="20" t="s">
        <v>199</v>
      </c>
      <c r="H50" s="20" t="str">
        <f>IF(Rocket_Data[[#This Row],[Ext or Int]]="E",9.5*(Rocket_Data[[#This Row],[CG (m)]]^0.2),"-")</f>
        <v>-</v>
      </c>
      <c r="I50" s="26" t="str">
        <f>IF(Rocket_Data[[#This Row],[vss (m/s)]]="-","-",SQRT(((1.25*Rocket_Data[[#This Row],[vss (m/s)]])^2)+((2.56*Rocket_Data[[#This Row],[vss (m/s)]])^2)))</f>
        <v>-</v>
      </c>
      <c r="J50" s="84" t="str">
        <f>IF(Rocket_Data[[#This Row],[vr (m/s)]]="-","-",(1/2)*rho*(Rocket_Data[[#This Row],[vr (m/s)]]^2)*Rocket_Data[[#This Row],[Area (m2)]]*Cd)</f>
        <v>-</v>
      </c>
      <c r="L50" s="4">
        <f t="shared" si="1"/>
        <v>17</v>
      </c>
      <c r="M50" s="4" t="s">
        <v>213</v>
      </c>
      <c r="N50" s="32">
        <f>-g0*nzmaxq*SUM(E72:E76,E69,E60)</f>
        <v>-270.31923071732643</v>
      </c>
      <c r="O50" s="32">
        <f>O49+Table3[[#This Row],[Inertia Relief (N)]]</f>
        <v>-1541.7289304284702</v>
      </c>
      <c r="P50" s="32">
        <f>P49+(((N28)-(N29))*O49)+Table3[[#This Row],[Shear Load (N)]]</f>
        <v>3157.2452897985595</v>
      </c>
      <c r="Q50" s="110">
        <f>Q49+(nmax*g0*SUM(E72:E76,E69,E60))</f>
        <v>82556.702731794008</v>
      </c>
    </row>
    <row r="51" spans="2:17" x14ac:dyDescent="0.25">
      <c r="B51" s="17" t="s">
        <v>62</v>
      </c>
      <c r="C51" s="10" t="s">
        <v>120</v>
      </c>
      <c r="D51" s="11">
        <v>0.44767967563037803</v>
      </c>
      <c r="E51" s="20">
        <v>3.8383401359831599</v>
      </c>
      <c r="F51" s="34">
        <v>9.4707316294427599</v>
      </c>
      <c r="G51" s="20"/>
      <c r="H51" s="20" t="str">
        <f>IF(Rocket_Data[[#This Row],[Ext or Int]]="E",9.5*(Rocket_Data[[#This Row],[CG (m)]]^0.2),"-")</f>
        <v>-</v>
      </c>
      <c r="I51" s="26" t="str">
        <f>IF(Rocket_Data[[#This Row],[vss (m/s)]]="-","-",SQRT(((1.25*Rocket_Data[[#This Row],[vss (m/s)]])^2)+((2.56*Rocket_Data[[#This Row],[vss (m/s)]])^2)))</f>
        <v>-</v>
      </c>
      <c r="J51" s="84" t="str">
        <f>IF(Rocket_Data[[#This Row],[vr (m/s)]]="-","-",(1/2)*rho*(Rocket_Data[[#This Row],[vr (m/s)]]^2)*Rocket_Data[[#This Row],[Area (m2)]]*Cd)</f>
        <v>-</v>
      </c>
      <c r="L51" s="4">
        <f t="shared" si="1"/>
        <v>18</v>
      </c>
      <c r="M51" s="4" t="s">
        <v>214</v>
      </c>
      <c r="N51" s="29"/>
      <c r="O51" s="30">
        <f>O50+reqtrim</f>
        <v>0</v>
      </c>
      <c r="P51" s="29"/>
      <c r="Q51" s="30"/>
    </row>
    <row r="52" spans="2:17" x14ac:dyDescent="0.25">
      <c r="B52" s="17" t="s">
        <v>63</v>
      </c>
      <c r="C52" s="10" t="s">
        <v>110</v>
      </c>
      <c r="D52" s="11">
        <v>0.9</v>
      </c>
      <c r="E52" s="20">
        <v>34.353315667004303</v>
      </c>
      <c r="F52" s="34">
        <v>8.1870257465600993</v>
      </c>
      <c r="G52" s="20">
        <f>2*Rocket_Data[[#This Row],[Height (m)]]*$C$4</f>
        <v>0.81</v>
      </c>
      <c r="H52" s="20">
        <f>IF(Rocket_Data[[#This Row],[Ext or Int]]="E",9.5*(Rocket_Data[[#This Row],[CG (m)]]^0.2),"-")</f>
        <v>14.466012516267732</v>
      </c>
      <c r="I52" s="26">
        <f>IF(Rocket_Data[[#This Row],[vss (m/s)]]="-","-",SQRT(((1.25*Rocket_Data[[#This Row],[vss (m/s)]])^2)+((2.56*Rocket_Data[[#This Row],[vss (m/s)]])^2)))</f>
        <v>41.211889930217275</v>
      </c>
      <c r="J52" s="84">
        <f>IF(Rocket_Data[[#This Row],[vr (m/s)]]="-","-",(1/2)*rho*(Rocket_Data[[#This Row],[vr (m/s)]]^2)*Rocket_Data[[#This Row],[Area (m2)]]*Cd)</f>
        <v>678.32561988082489</v>
      </c>
    </row>
    <row r="53" spans="2:17" x14ac:dyDescent="0.25">
      <c r="B53" s="17" t="s">
        <v>64</v>
      </c>
      <c r="C53" s="10" t="s">
        <v>120</v>
      </c>
      <c r="D53" s="11">
        <v>0.45</v>
      </c>
      <c r="E53" s="20">
        <v>4.0032272205307198</v>
      </c>
      <c r="F53" s="34">
        <v>7.9620257465600996</v>
      </c>
      <c r="G53" s="20" t="s">
        <v>199</v>
      </c>
      <c r="H53" s="20" t="str">
        <f>IF(Rocket_Data[[#This Row],[Ext or Int]]="E",9.5*(Rocket_Data[[#This Row],[CG (m)]]^0.2),"-")</f>
        <v>-</v>
      </c>
      <c r="I53" s="26" t="str">
        <f>IF(Rocket_Data[[#This Row],[vss (m/s)]]="-","-",SQRT(((1.25*Rocket_Data[[#This Row],[vss (m/s)]])^2)+((2.56*Rocket_Data[[#This Row],[vss (m/s)]])^2)))</f>
        <v>-</v>
      </c>
      <c r="J53" s="84" t="str">
        <f>IF(Rocket_Data[[#This Row],[vr (m/s)]]="-","-",(1/2)*rho*(Rocket_Data[[#This Row],[vr (m/s)]]^2)*Rocket_Data[[#This Row],[Area (m2)]]*Cd)</f>
        <v>-</v>
      </c>
    </row>
    <row r="54" spans="2:17" x14ac:dyDescent="0.25">
      <c r="B54" s="17" t="s">
        <v>65</v>
      </c>
      <c r="C54" s="10" t="s">
        <v>120</v>
      </c>
      <c r="D54" s="11" t="s">
        <v>26</v>
      </c>
      <c r="E54" s="20">
        <v>0.57509756829159697</v>
      </c>
      <c r="F54" s="34">
        <v>8.3659358052463908</v>
      </c>
      <c r="G54" s="20" t="s">
        <v>199</v>
      </c>
      <c r="H54" s="20" t="str">
        <f>IF(Rocket_Data[[#This Row],[Ext or Int]]="E",9.5*(Rocket_Data[[#This Row],[CG (m)]]^0.2),"-")</f>
        <v>-</v>
      </c>
      <c r="I54" s="26" t="str">
        <f>IF(Rocket_Data[[#This Row],[vss (m/s)]]="-","-",SQRT(((1.25*Rocket_Data[[#This Row],[vss (m/s)]])^2)+((2.56*Rocket_Data[[#This Row],[vss (m/s)]])^2)))</f>
        <v>-</v>
      </c>
      <c r="J54" s="84" t="str">
        <f>IF(Rocket_Data[[#This Row],[vr (m/s)]]="-","-",(1/2)*rho*(Rocket_Data[[#This Row],[vr (m/s)]]^2)*Rocket_Data[[#This Row],[Area (m2)]]*Cd)</f>
        <v>-</v>
      </c>
    </row>
    <row r="55" spans="2:17" x14ac:dyDescent="0.25">
      <c r="B55" s="17" t="s">
        <v>66</v>
      </c>
      <c r="C55" s="10" t="s">
        <v>120</v>
      </c>
      <c r="D55" s="20">
        <v>0.62891005868628902</v>
      </c>
      <c r="E55" s="20">
        <v>73.742347532400601</v>
      </c>
      <c r="F55" s="34">
        <v>7.8495257465600998</v>
      </c>
      <c r="G55" s="20" t="s">
        <v>199</v>
      </c>
      <c r="H55" s="20" t="str">
        <f>IF(Rocket_Data[[#This Row],[Ext or Int]]="E",9.5*(Rocket_Data[[#This Row],[CG (m)]]^0.2),"-")</f>
        <v>-</v>
      </c>
      <c r="I55" s="26" t="str">
        <f>IF(Rocket_Data[[#This Row],[vss (m/s)]]="-","-",SQRT(((1.25*Rocket_Data[[#This Row],[vss (m/s)]])^2)+((2.56*Rocket_Data[[#This Row],[vss (m/s)]])^2)))</f>
        <v>-</v>
      </c>
      <c r="J55" s="84" t="str">
        <f>IF(Rocket_Data[[#This Row],[vr (m/s)]]="-","-",(1/2)*rho*(Rocket_Data[[#This Row],[vr (m/s)]]^2)*Rocket_Data[[#This Row],[Area (m2)]]*Cd)</f>
        <v>-</v>
      </c>
    </row>
    <row r="56" spans="2:17" x14ac:dyDescent="0.25">
      <c r="B56" s="17" t="s">
        <v>67</v>
      </c>
      <c r="C56" s="10" t="s">
        <v>120</v>
      </c>
      <c r="D56" s="20">
        <v>0.73181131642338504</v>
      </c>
      <c r="E56" s="20">
        <v>297.80552124410099</v>
      </c>
      <c r="F56" s="34">
        <v>10.6703431705371</v>
      </c>
      <c r="G56" s="20"/>
      <c r="H56" s="20" t="str">
        <f>IF(Rocket_Data[[#This Row],[Ext or Int]]="E",9.5*(Rocket_Data[[#This Row],[CG (m)]]^0.2),"-")</f>
        <v>-</v>
      </c>
      <c r="I56" s="26" t="str">
        <f>IF(Rocket_Data[[#This Row],[vss (m/s)]]="-","-",SQRT(((1.25*Rocket_Data[[#This Row],[vss (m/s)]])^2)+((2.56*Rocket_Data[[#This Row],[vss (m/s)]])^2)))</f>
        <v>-</v>
      </c>
      <c r="J56" s="84" t="str">
        <f>IF(Rocket_Data[[#This Row],[vr (m/s)]]="-","-",(1/2)*rho*(Rocket_Data[[#This Row],[vr (m/s)]]^2)*Rocket_Data[[#This Row],[Area (m2)]]*Cd)</f>
        <v>-</v>
      </c>
    </row>
    <row r="57" spans="2:17" x14ac:dyDescent="0.25">
      <c r="B57" s="17" t="s">
        <v>68</v>
      </c>
      <c r="C57" s="10" t="s">
        <v>120</v>
      </c>
      <c r="D57" s="20">
        <v>1.2174117657653101</v>
      </c>
      <c r="E57" s="20">
        <v>696.86491971119597</v>
      </c>
      <c r="F57" s="34">
        <v>9.4707316294427599</v>
      </c>
      <c r="G57" s="20"/>
      <c r="H57" s="20" t="str">
        <f>IF(Rocket_Data[[#This Row],[Ext or Int]]="E",9.5*(Rocket_Data[[#This Row],[CG (m)]]^0.2),"-")</f>
        <v>-</v>
      </c>
      <c r="I57" s="26" t="str">
        <f>IF(Rocket_Data[[#This Row],[vss (m/s)]]="-","-",SQRT(((1.25*Rocket_Data[[#This Row],[vss (m/s)]])^2)+((2.56*Rocket_Data[[#This Row],[vss (m/s)]])^2)))</f>
        <v>-</v>
      </c>
      <c r="J57" s="84" t="str">
        <f>IF(Rocket_Data[[#This Row],[vr (m/s)]]="-","-",(1/2)*rho*(Rocket_Data[[#This Row],[vr (m/s)]]^2)*Rocket_Data[[#This Row],[Area (m2)]]*Cd)</f>
        <v>-</v>
      </c>
    </row>
    <row r="58" spans="2:17" x14ac:dyDescent="0.25">
      <c r="B58" s="18" t="s">
        <v>69</v>
      </c>
      <c r="C58" s="12" t="s">
        <v>110</v>
      </c>
      <c r="D58" s="19">
        <v>0.96641005868628904</v>
      </c>
      <c r="E58" s="19">
        <v>36.888210899798104</v>
      </c>
      <c r="F58" s="35">
        <v>7.2538207172169598</v>
      </c>
      <c r="G58" s="19">
        <f>((($C$4*2)+($C$5*2))/2)*Rocket_Data[[#This Row],[Height (m)]]</f>
        <v>0.86976905281766015</v>
      </c>
      <c r="H58" s="19">
        <f>IF(Rocket_Data[[#This Row],[Ext or Int]]="E",9.5*(Rocket_Data[[#This Row],[CG (m)]]^0.2),"-")</f>
        <v>14.120073871058562</v>
      </c>
      <c r="I58" s="27">
        <f>IF(Rocket_Data[[#This Row],[vss (m/s)]]="-","-",SQRT(((1.25*Rocket_Data[[#This Row],[vss (m/s)]])^2)+((2.56*Rocket_Data[[#This Row],[vss (m/s)]])^2)))</f>
        <v>40.226353290252639</v>
      </c>
      <c r="J58" s="86">
        <f>IF(Rocket_Data[[#This Row],[vr (m/s)]]="-","-",(1/2)*rho*(Rocket_Data[[#This Row],[vr (m/s)]]^2)*Rocket_Data[[#This Row],[Area (m2)]]*Cd)</f>
        <v>693.95836804841565</v>
      </c>
      <c r="O58" t="s">
        <v>221</v>
      </c>
    </row>
    <row r="59" spans="2:17" x14ac:dyDescent="0.25">
      <c r="B59" s="18" t="s">
        <v>70</v>
      </c>
      <c r="C59" s="12" t="s">
        <v>120</v>
      </c>
      <c r="D59" s="13" t="s">
        <v>26</v>
      </c>
      <c r="E59" s="19">
        <v>19.102439643732598</v>
      </c>
      <c r="F59" s="35">
        <v>7.2538207172169598</v>
      </c>
      <c r="G59" s="19" t="s">
        <v>199</v>
      </c>
      <c r="H59" s="19" t="str">
        <f>IF(Rocket_Data[[#This Row],[Ext or Int]]="E",9.5*(Rocket_Data[[#This Row],[CG (m)]]^0.2),"-")</f>
        <v>-</v>
      </c>
      <c r="I59" s="27" t="str">
        <f>IF(Rocket_Data[[#This Row],[vss (m/s)]]="-","-",SQRT(((1.25*Rocket_Data[[#This Row],[vss (m/s)]])^2)+((2.56*Rocket_Data[[#This Row],[vss (m/s)]])^2)))</f>
        <v>-</v>
      </c>
      <c r="J59" s="86" t="str">
        <f>IF(Rocket_Data[[#This Row],[vr (m/s)]]="-","-",(1/2)*rho*(Rocket_Data[[#This Row],[vr (m/s)]]^2)*Rocket_Data[[#This Row],[Area (m2)]]*Cd)</f>
        <v>-</v>
      </c>
    </row>
    <row r="60" spans="2:17" x14ac:dyDescent="0.25">
      <c r="B60" s="18" t="s">
        <v>71</v>
      </c>
      <c r="C60" s="12" t="s">
        <v>120</v>
      </c>
      <c r="D60" s="13">
        <v>1.5801539219684499</v>
      </c>
      <c r="E60" s="19">
        <v>99.778456813111603</v>
      </c>
      <c r="F60" s="35">
        <v>0</v>
      </c>
      <c r="G60" s="19" t="s">
        <v>199</v>
      </c>
      <c r="H60" s="19" t="str">
        <f>IF(Rocket_Data[[#This Row],[Ext or Int]]="E",9.5*(Rocket_Data[[#This Row],[CG (m)]]^0.2),"-")</f>
        <v>-</v>
      </c>
      <c r="I60" s="27" t="str">
        <f>IF(Rocket_Data[[#This Row],[vss (m/s)]]="-","-",SQRT(((1.25*Rocket_Data[[#This Row],[vss (m/s)]])^2)+((2.56*Rocket_Data[[#This Row],[vss (m/s)]])^2)))</f>
        <v>-</v>
      </c>
      <c r="J60" s="86" t="str">
        <f>IF(Rocket_Data[[#This Row],[vr (m/s)]]="-","-",(1/2)*rho*(Rocket_Data[[#This Row],[vr (m/s)]]^2)*Rocket_Data[[#This Row],[Area (m2)]]*Cd)</f>
        <v>-</v>
      </c>
    </row>
    <row r="61" spans="2:17" x14ac:dyDescent="0.25">
      <c r="B61" s="18" t="s">
        <v>72</v>
      </c>
      <c r="C61" s="12" t="s">
        <v>120</v>
      </c>
      <c r="D61" s="13">
        <v>0.22500000000000001</v>
      </c>
      <c r="E61" s="19">
        <v>1.12984238193703</v>
      </c>
      <c r="F61" s="35">
        <v>6.8661086537289497</v>
      </c>
      <c r="G61" s="19"/>
      <c r="H61" s="19" t="str">
        <f>IF(Rocket_Data[[#This Row],[Ext or Int]]="E",9.5*(Rocket_Data[[#This Row],[CG (m)]]^0.2),"-")</f>
        <v>-</v>
      </c>
      <c r="I61" s="27" t="str">
        <f>IF(Rocket_Data[[#This Row],[vss (m/s)]]="-","-",SQRT(((1.25*Rocket_Data[[#This Row],[vss (m/s)]])^2)+((2.56*Rocket_Data[[#This Row],[vss (m/s)]])^2)))</f>
        <v>-</v>
      </c>
      <c r="J61" s="86" t="str">
        <f>IF(Rocket_Data[[#This Row],[vr (m/s)]]="-","-",(1/2)*rho*(Rocket_Data[[#This Row],[vr (m/s)]]^2)*Rocket_Data[[#This Row],[Area (m2)]]*Cd)</f>
        <v>-</v>
      </c>
    </row>
    <row r="62" spans="2:17" x14ac:dyDescent="0.25">
      <c r="B62" s="18" t="s">
        <v>73</v>
      </c>
      <c r="C62" s="12" t="s">
        <v>110</v>
      </c>
      <c r="D62" s="19">
        <v>1.6465430056988299</v>
      </c>
      <c r="E62" s="19">
        <v>12.402227143470199</v>
      </c>
      <c r="F62" s="35">
        <v>5.9473441850243898</v>
      </c>
      <c r="G62" s="19">
        <f>$C$5*Rocket_Data[[#This Row],[Height (m)]]*2</f>
        <v>1.4818887051289469</v>
      </c>
      <c r="H62" s="19">
        <f>IF(Rocket_Data[[#This Row],[Ext or Int]]="E",9.5*(Rocket_Data[[#This Row],[CG (m)]]^0.2),"-")</f>
        <v>13.570261600236867</v>
      </c>
      <c r="I62" s="27">
        <f>IF(Rocket_Data[[#This Row],[vss (m/s)]]="-","-",SQRT(((1.25*Rocket_Data[[#This Row],[vss (m/s)]])^2)+((2.56*Rocket_Data[[#This Row],[vss (m/s)]])^2)))</f>
        <v>38.660005773139297</v>
      </c>
      <c r="J62" s="86">
        <f>IF(Rocket_Data[[#This Row],[vr (m/s)]]="-","-",(1/2)*rho*(Rocket_Data[[#This Row],[vr (m/s)]]^2)*Rocket_Data[[#This Row],[Area (m2)]]*Cd)</f>
        <v>1092.0626552683038</v>
      </c>
    </row>
    <row r="63" spans="2:17" x14ac:dyDescent="0.25">
      <c r="B63" s="18" t="s">
        <v>74</v>
      </c>
      <c r="C63" s="12" t="s">
        <v>120</v>
      </c>
      <c r="D63" s="19">
        <v>0.22500000000000001</v>
      </c>
      <c r="E63" s="19">
        <v>1.12984238193703</v>
      </c>
      <c r="F63" s="35">
        <v>5.0285797163198396</v>
      </c>
      <c r="G63" s="19"/>
      <c r="H63" s="19" t="str">
        <f>IF(Rocket_Data[[#This Row],[Ext or Int]]="E",9.5*(Rocket_Data[[#This Row],[CG (m)]]^0.2),"-")</f>
        <v>-</v>
      </c>
      <c r="I63" s="27" t="str">
        <f>IF(Rocket_Data[[#This Row],[vss (m/s)]]="-","-",SQRT(((1.25*Rocket_Data[[#This Row],[vss (m/s)]])^2)+((2.56*Rocket_Data[[#This Row],[vss (m/s)]])^2)))</f>
        <v>-</v>
      </c>
      <c r="J63" s="86" t="str">
        <f>IF(Rocket_Data[[#This Row],[vr (m/s)]]="-","-",(1/2)*rho*(Rocket_Data[[#This Row],[vr (m/s)]]^2)*Rocket_Data[[#This Row],[Area (m2)]]*Cd)</f>
        <v>-</v>
      </c>
    </row>
    <row r="64" spans="2:17" x14ac:dyDescent="0.25">
      <c r="B64" s="18" t="s">
        <v>75</v>
      </c>
      <c r="C64" s="12" t="s">
        <v>120</v>
      </c>
      <c r="D64" s="19">
        <v>2.0965430056988299</v>
      </c>
      <c r="E64" s="19">
        <v>0</v>
      </c>
      <c r="F64" s="35">
        <v>5.9473441850243898</v>
      </c>
      <c r="G64" s="19" t="s">
        <v>199</v>
      </c>
      <c r="H64" s="19" t="str">
        <f>IF(Rocket_Data[[#This Row],[Ext or Int]]="E",9.5*(Rocket_Data[[#This Row],[CG (m)]]^0.2),"-")</f>
        <v>-</v>
      </c>
      <c r="I64" s="27" t="str">
        <f>IF(Rocket_Data[[#This Row],[vss (m/s)]]="-","-",SQRT(((1.25*Rocket_Data[[#This Row],[vss (m/s)]])^2)+((2.56*Rocket_Data[[#This Row],[vss (m/s)]])^2)))</f>
        <v>-</v>
      </c>
      <c r="J64" s="86" t="str">
        <f>IF(Rocket_Data[[#This Row],[vr (m/s)]]="-","-",(1/2)*rho*(Rocket_Data[[#This Row],[vr (m/s)]]^2)*Rocket_Data[[#This Row],[Area (m2)]]*Cd)</f>
        <v>-</v>
      </c>
    </row>
    <row r="65" spans="2:10" x14ac:dyDescent="0.25">
      <c r="B65" s="18" t="s">
        <v>76</v>
      </c>
      <c r="C65" s="12" t="s">
        <v>120</v>
      </c>
      <c r="D65" s="13" t="s">
        <v>26</v>
      </c>
      <c r="E65" s="19">
        <v>19.8133944693842</v>
      </c>
      <c r="F65" s="35">
        <v>0</v>
      </c>
      <c r="G65" s="19" t="s">
        <v>199</v>
      </c>
      <c r="H65" s="19" t="str">
        <f>IF(Rocket_Data[[#This Row],[Ext or Int]]="E",9.5*(Rocket_Data[[#This Row],[CG (m)]]^0.2),"-")</f>
        <v>-</v>
      </c>
      <c r="I65" s="27" t="str">
        <f>IF(Rocket_Data[[#This Row],[vss (m/s)]]="-","-",SQRT(((1.25*Rocket_Data[[#This Row],[vss (m/s)]])^2)+((2.56*Rocket_Data[[#This Row],[vss (m/s)]])^2)))</f>
        <v>-</v>
      </c>
      <c r="J65" s="86" t="str">
        <f>IF(Rocket_Data[[#This Row],[vr (m/s)]]="-","-",(1/2)*rho*(Rocket_Data[[#This Row],[vr (m/s)]]^2)*Rocket_Data[[#This Row],[Area (m2)]]*Cd)</f>
        <v>-</v>
      </c>
    </row>
    <row r="66" spans="2:10" x14ac:dyDescent="0.25">
      <c r="B66" s="18" t="s">
        <v>77</v>
      </c>
      <c r="C66" s="12" t="s">
        <v>110</v>
      </c>
      <c r="D66" s="13">
        <v>0.67500000000000004</v>
      </c>
      <c r="E66" s="19">
        <v>25.7649867502532</v>
      </c>
      <c r="F66" s="35">
        <v>4.7865726821749703</v>
      </c>
      <c r="G66" s="19">
        <f>Rocket_Data[[#This Row],[Height (m)]]*$C$5*2</f>
        <v>0.60750000000000004</v>
      </c>
      <c r="H66" s="19">
        <f>IF(Rocket_Data[[#This Row],[Ext or Int]]="E",9.5*(Rocket_Data[[#This Row],[CG (m)]]^0.2),"-")</f>
        <v>12.993571389211924</v>
      </c>
      <c r="I66" s="27">
        <f>IF(Rocket_Data[[#This Row],[vss (m/s)]]="-","-",SQRT(((1.25*Rocket_Data[[#This Row],[vss (m/s)]])^2)+((2.56*Rocket_Data[[#This Row],[vss (m/s)]])^2)))</f>
        <v>37.017086311133646</v>
      </c>
      <c r="J66" s="86">
        <f>IF(Rocket_Data[[#This Row],[vr (m/s)]]="-","-",(1/2)*rho*(Rocket_Data[[#This Row],[vr (m/s)]]^2)*Rocket_Data[[#This Row],[Area (m2)]]*Cd)</f>
        <v>410.44869997617189</v>
      </c>
    </row>
    <row r="67" spans="2:10" x14ac:dyDescent="0.25">
      <c r="B67" s="18" t="s">
        <v>78</v>
      </c>
      <c r="C67" s="12" t="s">
        <v>120</v>
      </c>
      <c r="D67" s="13">
        <v>0.22500000000000001</v>
      </c>
      <c r="E67" s="19">
        <v>1.0946098034163101</v>
      </c>
      <c r="F67" s="35">
        <v>4.54456564803011</v>
      </c>
      <c r="G67" s="19"/>
      <c r="H67" s="19" t="str">
        <f>IF(Rocket_Data[[#This Row],[Ext or Int]]="E",9.5*(Rocket_Data[[#This Row],[CG (m)]]^0.2),"-")</f>
        <v>-</v>
      </c>
      <c r="I67" s="27" t="str">
        <f>IF(Rocket_Data[[#This Row],[vss (m/s)]]="-","-",SQRT(((1.25*Rocket_Data[[#This Row],[vss (m/s)]])^2)+((2.56*Rocket_Data[[#This Row],[vss (m/s)]])^2)))</f>
        <v>-</v>
      </c>
      <c r="J67" s="86" t="str">
        <f>IF(Rocket_Data[[#This Row],[vr (m/s)]]="-","-",(1/2)*rho*(Rocket_Data[[#This Row],[vr (m/s)]]^2)*Rocket_Data[[#This Row],[Area (m2)]]*Cd)</f>
        <v>-</v>
      </c>
    </row>
    <row r="68" spans="2:10" x14ac:dyDescent="0.25">
      <c r="B68" s="18" t="s">
        <v>79</v>
      </c>
      <c r="C68" s="12" t="s">
        <v>110</v>
      </c>
      <c r="D68" s="19">
        <v>3.0990726821749699</v>
      </c>
      <c r="E68" s="19">
        <v>22.615168929389402</v>
      </c>
      <c r="F68" s="35">
        <v>2.8995363410874799</v>
      </c>
      <c r="G68" s="19">
        <f>$C$5*Rocket_Data[[#This Row],[Height (m)]]*2</f>
        <v>2.7891654139574729</v>
      </c>
      <c r="H68" s="19">
        <f>IF(Rocket_Data[[#This Row],[Ext or Int]]="E",9.5*(Rocket_Data[[#This Row],[CG (m)]]^0.2),"-")</f>
        <v>11.754098249525864</v>
      </c>
      <c r="I68" s="27">
        <f>IF(Rocket_Data[[#This Row],[vss (m/s)]]="-","-",SQRT(((1.25*Rocket_Data[[#This Row],[vss (m/s)]])^2)+((2.56*Rocket_Data[[#This Row],[vss (m/s)]])^2)))</f>
        <v>33.485979826415786</v>
      </c>
      <c r="J68" s="86">
        <f>IF(Rocket_Data[[#This Row],[vr (m/s)]]="-","-",(1/2)*rho*(Rocket_Data[[#This Row],[vr (m/s)]]^2)*Rocket_Data[[#This Row],[Area (m2)]]*Cd)</f>
        <v>1542.0854262444971</v>
      </c>
    </row>
    <row r="69" spans="2:10" x14ac:dyDescent="0.25">
      <c r="B69" s="18" t="s">
        <v>80</v>
      </c>
      <c r="C69" s="12" t="s">
        <v>120</v>
      </c>
      <c r="D69" s="19">
        <v>0.22500000000000001</v>
      </c>
      <c r="E69" s="19">
        <v>1.0946098034163101</v>
      </c>
      <c r="F69" s="35">
        <v>1.2545070341448601</v>
      </c>
      <c r="G69" s="19"/>
      <c r="H69" s="19" t="str">
        <f>IF(Rocket_Data[[#This Row],[Ext or Int]]="E",9.5*(Rocket_Data[[#This Row],[CG (m)]]^0.2),"-")</f>
        <v>-</v>
      </c>
      <c r="I69" s="27" t="str">
        <f>IF(Rocket_Data[[#This Row],[vss (m/s)]]="-","-",SQRT(((1.25*Rocket_Data[[#This Row],[vss (m/s)]])^2)+((2.56*Rocket_Data[[#This Row],[vss (m/s)]])^2)))</f>
        <v>-</v>
      </c>
      <c r="J69" s="86" t="str">
        <f>IF(Rocket_Data[[#This Row],[vr (m/s)]]="-","-",(1/2)*rho*(Rocket_Data[[#This Row],[vr (m/s)]]^2)*Rocket_Data[[#This Row],[Area (m2)]]*Cd)</f>
        <v>-</v>
      </c>
    </row>
    <row r="70" spans="2:10" x14ac:dyDescent="0.25">
      <c r="B70" s="18" t="s">
        <v>81</v>
      </c>
      <c r="C70" s="12" t="s">
        <v>120</v>
      </c>
      <c r="D70" s="19">
        <v>3.5490726821749701</v>
      </c>
      <c r="E70" s="19">
        <v>11.812250593615101</v>
      </c>
      <c r="F70" s="35">
        <v>2.8995363410874799</v>
      </c>
      <c r="G70" s="19"/>
      <c r="H70" s="19" t="str">
        <f>IF(Rocket_Data[[#This Row],[Ext or Int]]="E",9.5*(Rocket_Data[[#This Row],[CG (m)]]^0.2),"-")</f>
        <v>-</v>
      </c>
      <c r="I70" s="27" t="str">
        <f>IF(Rocket_Data[[#This Row],[vss (m/s)]]="-","-",SQRT(((1.25*Rocket_Data[[#This Row],[vss (m/s)]])^2)+((2.56*Rocket_Data[[#This Row],[vss (m/s)]])^2)))</f>
        <v>-</v>
      </c>
      <c r="J70" s="86" t="str">
        <f>IF(Rocket_Data[[#This Row],[vr (m/s)]]="-","-",(1/2)*rho*(Rocket_Data[[#This Row],[vr (m/s)]]^2)*Rocket_Data[[#This Row],[Area (m2)]]*Cd)</f>
        <v>-</v>
      </c>
    </row>
    <row r="71" spans="2:10" x14ac:dyDescent="0.25">
      <c r="B71" s="18" t="s">
        <v>82</v>
      </c>
      <c r="C71" s="12" t="s">
        <v>120</v>
      </c>
      <c r="D71" s="13" t="s">
        <v>26</v>
      </c>
      <c r="E71" s="19">
        <v>46.363343058359</v>
      </c>
      <c r="F71" s="35">
        <v>0</v>
      </c>
      <c r="G71" s="19" t="s">
        <v>199</v>
      </c>
      <c r="H71" s="19" t="str">
        <f>IF(Rocket_Data[[#This Row],[Ext or Int]]="E",9.5*(Rocket_Data[[#This Row],[CG (m)]]^0.2),"-")</f>
        <v>-</v>
      </c>
      <c r="I71" s="27" t="str">
        <f>IF(Rocket_Data[[#This Row],[vss (m/s)]]="-","-",SQRT(((1.25*Rocket_Data[[#This Row],[vss (m/s)]])^2)+((2.56*Rocket_Data[[#This Row],[vss (m/s)]])^2)))</f>
        <v>-</v>
      </c>
      <c r="J71" s="86" t="str">
        <f>IF(Rocket_Data[[#This Row],[vr (m/s)]]="-","-",(1/2)*rho*(Rocket_Data[[#This Row],[vr (m/s)]]^2)*Rocket_Data[[#This Row],[Area (m2)]]*Cd)</f>
        <v>-</v>
      </c>
    </row>
    <row r="72" spans="2:10" x14ac:dyDescent="0.25">
      <c r="B72" s="18" t="s">
        <v>83</v>
      </c>
      <c r="C72" s="12" t="s">
        <v>120</v>
      </c>
      <c r="D72" s="13">
        <v>0.44987704176683702</v>
      </c>
      <c r="E72" s="19">
        <v>12.4411860759778</v>
      </c>
      <c r="F72" s="35">
        <v>2.8995363410874799</v>
      </c>
      <c r="G72" s="19"/>
      <c r="H72" s="19" t="str">
        <f>IF(Rocket_Data[[#This Row],[Ext or Int]]="E",9.5*(Rocket_Data[[#This Row],[CG (m)]]^0.2),"-")</f>
        <v>-</v>
      </c>
      <c r="I72" s="27" t="str">
        <f>IF(Rocket_Data[[#This Row],[vss (m/s)]]="-","-",SQRT(((1.25*Rocket_Data[[#This Row],[vss (m/s)]])^2)+((2.56*Rocket_Data[[#This Row],[vss (m/s)]])^2)))</f>
        <v>-</v>
      </c>
      <c r="J72" s="86" t="str">
        <f>IF(Rocket_Data[[#This Row],[vr (m/s)]]="-","-",(1/2)*rho*(Rocket_Data[[#This Row],[vr (m/s)]]^2)*Rocket_Data[[#This Row],[Area (m2)]]*Cd)</f>
        <v>-</v>
      </c>
    </row>
    <row r="73" spans="2:10" x14ac:dyDescent="0.25">
      <c r="B73" s="18" t="s">
        <v>84</v>
      </c>
      <c r="C73" s="12" t="s">
        <v>110</v>
      </c>
      <c r="D73" s="13">
        <v>0.9</v>
      </c>
      <c r="E73" s="19">
        <v>34.353315667004303</v>
      </c>
      <c r="F73" s="35">
        <v>0.45</v>
      </c>
      <c r="G73" s="19">
        <f>Rocket_Data[[#This Row],[Height (m)]]*$C$5*2</f>
        <v>0.81</v>
      </c>
      <c r="H73" s="19">
        <f>IF(Rocket_Data[[#This Row],[Ext or Int]]="E",9.5*(Rocket_Data[[#This Row],[CG (m)]]^0.2),"-")</f>
        <v>8.0977825048363457</v>
      </c>
      <c r="I73" s="27">
        <f>IF(Rocket_Data[[#This Row],[vss (m/s)]]="-","-",SQRT(((1.25*Rocket_Data[[#This Row],[vss (m/s)]])^2)+((2.56*Rocket_Data[[#This Row],[vss (m/s)]])^2)))</f>
        <v>23.069586100030314</v>
      </c>
      <c r="J73" s="86">
        <f>IF(Rocket_Data[[#This Row],[vr (m/s)]]="-","-",(1/2)*rho*(Rocket_Data[[#This Row],[vr (m/s)]]^2)*Rocket_Data[[#This Row],[Area (m2)]]*Cd)</f>
        <v>212.555703768461</v>
      </c>
    </row>
    <row r="74" spans="2:10" x14ac:dyDescent="0.25">
      <c r="B74" s="18" t="s">
        <v>85</v>
      </c>
      <c r="C74" s="12" t="s">
        <v>120</v>
      </c>
      <c r="D74" s="13">
        <v>0.45</v>
      </c>
      <c r="E74" s="19">
        <v>17.723076001915199</v>
      </c>
      <c r="F74" s="35">
        <v>0.22500000000000001</v>
      </c>
      <c r="G74" s="19" t="s">
        <v>199</v>
      </c>
      <c r="H74" s="19" t="str">
        <f>IF(Rocket_Data[[#This Row],[Ext or Int]]="E",9.5*(Rocket_Data[[#This Row],[CG (m)]]^0.2),"-")</f>
        <v>-</v>
      </c>
      <c r="I74" s="27" t="str">
        <f>IF(Rocket_Data[[#This Row],[vss (m/s)]]="-","-",SQRT(((1.25*Rocket_Data[[#This Row],[vss (m/s)]])^2)+((2.56*Rocket_Data[[#This Row],[vss (m/s)]])^2)))</f>
        <v>-</v>
      </c>
      <c r="J74" s="86" t="str">
        <f>IF(Rocket_Data[[#This Row],[vr (m/s)]]="-","-",(1/2)*rho*(Rocket_Data[[#This Row],[vr (m/s)]]^2)*Rocket_Data[[#This Row],[Area (m2)]]*Cd)</f>
        <v>-</v>
      </c>
    </row>
    <row r="75" spans="2:10" x14ac:dyDescent="0.25">
      <c r="B75" s="18" t="s">
        <v>86</v>
      </c>
      <c r="C75" s="12" t="s">
        <v>120</v>
      </c>
      <c r="D75" s="13" t="s">
        <v>26</v>
      </c>
      <c r="E75" s="19">
        <v>2.3199965356644499</v>
      </c>
      <c r="F75" s="35">
        <v>1.3232837221203699</v>
      </c>
      <c r="G75" s="19" t="s">
        <v>199</v>
      </c>
      <c r="H75" s="19" t="str">
        <f>IF(Rocket_Data[[#This Row],[Ext or Int]]="E",9.5*(Rocket_Data[[#This Row],[CG (m)]]^0.2),"-")</f>
        <v>-</v>
      </c>
      <c r="I75" s="27" t="str">
        <f>IF(Rocket_Data[[#This Row],[vss (m/s)]]="-","-",SQRT(((1.25*Rocket_Data[[#This Row],[vss (m/s)]])^2)+((2.56*Rocket_Data[[#This Row],[vss (m/s)]])^2)))</f>
        <v>-</v>
      </c>
      <c r="J75" s="86" t="str">
        <f>IF(Rocket_Data[[#This Row],[vr (m/s)]]="-","-",(1/2)*rho*(Rocket_Data[[#This Row],[vr (m/s)]]^2)*Rocket_Data[[#This Row],[Area (m2)]]*Cd)</f>
        <v>-</v>
      </c>
    </row>
    <row r="76" spans="2:10" x14ac:dyDescent="0.25">
      <c r="B76" s="18" t="s">
        <v>87</v>
      </c>
      <c r="C76" s="12" t="s">
        <v>110</v>
      </c>
      <c r="D76" s="19">
        <v>1.3232837221203699</v>
      </c>
      <c r="E76" s="19">
        <v>124.267278465583</v>
      </c>
      <c r="F76" s="35">
        <v>0.1125</v>
      </c>
      <c r="G76" s="27" t="s">
        <v>199</v>
      </c>
      <c r="H76" s="94" t="s">
        <v>199</v>
      </c>
      <c r="I76" s="27" t="str">
        <f>IF(Rocket_Data[[#This Row],[vss (m/s)]]="-","-",SQRT(((1.25*Rocket_Data[[#This Row],[vss (m/s)]])^2)+((2.56*Rocket_Data[[#This Row],[vss (m/s)]])^2)))</f>
        <v>-</v>
      </c>
      <c r="J76" s="86" t="str">
        <f>IF(Rocket_Data[[#This Row],[vr (m/s)]]="-","-",(1/2)*rho*(Rocket_Data[[#This Row],[vr (m/s)]]^2)*Rocket_Data[[#This Row],[Area (m2)]]*Cd)</f>
        <v>-</v>
      </c>
    </row>
    <row r="77" spans="2:10" x14ac:dyDescent="0.25">
      <c r="B77" s="12" t="s">
        <v>88</v>
      </c>
      <c r="C77" s="12" t="s">
        <v>120</v>
      </c>
      <c r="D77" s="19">
        <v>2.0965430056988299</v>
      </c>
      <c r="E77" s="19">
        <v>998.19431048333104</v>
      </c>
      <c r="F77" s="35">
        <v>5.9473441850243898</v>
      </c>
      <c r="G77" s="27"/>
      <c r="H77" s="19" t="str">
        <f>IF(Rocket_Data[[#This Row],[Ext or Int]]="E",9.5*(Rocket_Data[[#This Row],[CG (m)]]^0.2),"-")</f>
        <v>-</v>
      </c>
      <c r="I77" s="27" t="str">
        <f>IF(Rocket_Data[[#This Row],[vss (m/s)]]="-","-",SQRT(((1.25*Rocket_Data[[#This Row],[vss (m/s)]])^2)+((2.56*Rocket_Data[[#This Row],[vss (m/s)]])^2)))</f>
        <v>-</v>
      </c>
      <c r="J77" s="27" t="str">
        <f>IF(Rocket_Data[[#This Row],[vr (m/s)]]="-","-",(1/2)*rho*(Rocket_Data[[#This Row],[vr (m/s)]]^2)*Rocket_Data[[#This Row],[Area (m2)]]*Cd)</f>
        <v>-</v>
      </c>
    </row>
    <row r="78" spans="2:10" x14ac:dyDescent="0.25">
      <c r="B78" s="12" t="s">
        <v>89</v>
      </c>
      <c r="C78" s="12" t="s">
        <v>120</v>
      </c>
      <c r="D78" s="19">
        <v>3.5490726821749701</v>
      </c>
      <c r="E78" s="19">
        <v>2335.77468653099</v>
      </c>
      <c r="F78" s="35">
        <v>2.8995363410874799</v>
      </c>
      <c r="G78" s="27"/>
      <c r="H78" s="19" t="str">
        <f>IF(Rocket_Data[[#This Row],[Ext or Int]]="E",9.5*(Rocket_Data[[#This Row],[CG (m)]]^0.2),"-")</f>
        <v>-</v>
      </c>
      <c r="I78" s="27" t="str">
        <f>IF(Rocket_Data[[#This Row],[vss (m/s)]]="-","-",SQRT(((1.25*Rocket_Data[[#This Row],[vss (m/s)]])^2)+((2.56*Rocket_Data[[#This Row],[vss (m/s)]])^2)))</f>
        <v>-</v>
      </c>
      <c r="J78" s="27" t="str">
        <f>IF(Rocket_Data[[#This Row],[vr (m/s)]]="-","-",(1/2)*rho*(Rocket_Data[[#This Row],[vr (m/s)]]^2)*Rocket_Data[[#This Row],[Area (m2)]]*Cd)</f>
        <v>-</v>
      </c>
    </row>
    <row r="79" spans="2:10" x14ac:dyDescent="0.25">
      <c r="D79" s="112"/>
      <c r="E79" s="112"/>
      <c r="G79" s="113"/>
      <c r="H79" s="113"/>
      <c r="I79" s="113"/>
      <c r="J79" s="113"/>
    </row>
    <row r="80" spans="2:10" ht="15.75" thickBot="1" x14ac:dyDescent="0.3">
      <c r="D80" s="112"/>
      <c r="E80" s="112"/>
      <c r="G80" s="113"/>
      <c r="H80" s="113"/>
      <c r="I80" s="113"/>
      <c r="J80" s="113"/>
    </row>
    <row r="81" spans="2:13" ht="15.75" thickBot="1" x14ac:dyDescent="0.3">
      <c r="B81" s="92"/>
      <c r="C81" s="92"/>
      <c r="D81" s="4"/>
      <c r="I81" s="177" t="s">
        <v>95</v>
      </c>
      <c r="J81" s="180"/>
    </row>
    <row r="82" spans="2:13" ht="18" x14ac:dyDescent="0.35">
      <c r="B82" s="92"/>
      <c r="C82" s="92"/>
      <c r="D82" s="4"/>
      <c r="I82" s="75" t="s">
        <v>99</v>
      </c>
      <c r="J82" s="88">
        <f>mass1</f>
        <v>5757.4345183277719</v>
      </c>
    </row>
    <row r="83" spans="2:13" ht="18" x14ac:dyDescent="0.35">
      <c r="B83" s="92"/>
      <c r="C83" s="92"/>
      <c r="D83" s="4"/>
      <c r="I83" s="76" t="s">
        <v>104</v>
      </c>
      <c r="J83" s="89">
        <f>massmaxq</f>
        <v>3948.9347438596719</v>
      </c>
    </row>
    <row r="84" spans="2:13" ht="18" x14ac:dyDescent="0.35">
      <c r="B84" s="92"/>
      <c r="C84" s="92"/>
      <c r="D84" s="4"/>
      <c r="I84" s="76" t="s">
        <v>108</v>
      </c>
      <c r="J84" s="89">
        <f>J82-J83</f>
        <v>1808.4997744681</v>
      </c>
    </row>
    <row r="85" spans="2:13" ht="18" x14ac:dyDescent="0.35">
      <c r="I85" s="76" t="s">
        <v>113</v>
      </c>
      <c r="J85" s="89">
        <f>SUM(E77:E78)</f>
        <v>3333.9689970143208</v>
      </c>
    </row>
    <row r="86" spans="2:13" ht="18" x14ac:dyDescent="0.35">
      <c r="I86" s="76" t="s">
        <v>118</v>
      </c>
      <c r="J86" s="89">
        <f>J85-J84</f>
        <v>1525.4692225462209</v>
      </c>
      <c r="L86" t="s">
        <v>222</v>
      </c>
      <c r="M86">
        <v>2.34</v>
      </c>
    </row>
    <row r="87" spans="2:13" x14ac:dyDescent="0.25">
      <c r="I87" s="76" t="s">
        <v>123</v>
      </c>
      <c r="J87" s="28">
        <f>1-J88</f>
        <v>0.29940119760479045</v>
      </c>
    </row>
    <row r="88" spans="2:13" x14ac:dyDescent="0.25">
      <c r="I88" s="76" t="s">
        <v>128</v>
      </c>
      <c r="J88" s="28">
        <f>M86/(M86+1)</f>
        <v>0.70059880239520955</v>
      </c>
    </row>
    <row r="89" spans="2:13" ht="18" x14ac:dyDescent="0.35">
      <c r="I89" s="77" t="s">
        <v>132</v>
      </c>
      <c r="J89" s="89">
        <f>J87*J84</f>
        <v>541.4669983437426</v>
      </c>
    </row>
    <row r="90" spans="2:13" ht="18" x14ac:dyDescent="0.35">
      <c r="I90" s="77" t="s">
        <v>134</v>
      </c>
      <c r="J90" s="89">
        <f>J88*J84</f>
        <v>1267.0327761243575</v>
      </c>
    </row>
    <row r="91" spans="2:13" ht="18" x14ac:dyDescent="0.35">
      <c r="I91" s="77" t="s">
        <v>136</v>
      </c>
      <c r="J91" s="89">
        <f>(J86*J87)</f>
        <v>456.72731213958713</v>
      </c>
    </row>
    <row r="92" spans="2:13" ht="18" x14ac:dyDescent="0.35">
      <c r="I92" s="77" t="s">
        <v>139</v>
      </c>
      <c r="J92" s="89">
        <f>(J86*J88)</f>
        <v>1068.7419104066337</v>
      </c>
    </row>
    <row r="93" spans="2:13" ht="18.75" x14ac:dyDescent="0.35">
      <c r="I93" s="76" t="s">
        <v>142</v>
      </c>
      <c r="J93" s="87">
        <f>J84/timemaxq</f>
        <v>28.706345626477777</v>
      </c>
    </row>
    <row r="94" spans="2:13" ht="18.75" thickBot="1" x14ac:dyDescent="0.4">
      <c r="F94" s="93"/>
      <c r="G94" s="93"/>
      <c r="I94" s="90" t="s">
        <v>145</v>
      </c>
      <c r="J94" s="91">
        <f>'HW9 - CM and J0'!G73</f>
        <v>7.7931300116765794</v>
      </c>
    </row>
    <row r="95" spans="2:13" x14ac:dyDescent="0.25">
      <c r="F95" s="93"/>
      <c r="G95" s="93"/>
    </row>
    <row r="96" spans="2:13" x14ac:dyDescent="0.25">
      <c r="F96" s="93"/>
      <c r="G96" s="93"/>
    </row>
    <row r="97" spans="6:7" x14ac:dyDescent="0.25">
      <c r="F97" s="93"/>
      <c r="G97" s="93"/>
    </row>
    <row r="98" spans="6:7" x14ac:dyDescent="0.25">
      <c r="F98" s="93"/>
      <c r="G98" s="93"/>
    </row>
    <row r="99" spans="6:7" x14ac:dyDescent="0.25">
      <c r="F99" s="93"/>
      <c r="G99" s="93"/>
    </row>
  </sheetData>
  <mergeCells count="12">
    <mergeCell ref="AO11:AY11"/>
    <mergeCell ref="S38:AC38"/>
    <mergeCell ref="AD38:AN38"/>
    <mergeCell ref="AO38:AY38"/>
    <mergeCell ref="L32:Q32"/>
    <mergeCell ref="AD11:AN11"/>
    <mergeCell ref="B11:J11"/>
    <mergeCell ref="I81:J81"/>
    <mergeCell ref="O2:P2"/>
    <mergeCell ref="S11:AC11"/>
    <mergeCell ref="L11:Q11"/>
    <mergeCell ref="W2:X2"/>
  </mergeCells>
  <phoneticPr fontId="2" type="noConversion"/>
  <pageMargins left="0.7" right="0.7" top="0.75" bottom="0.75" header="0.3" footer="0.3"/>
  <pageSetup orientation="portrait" r:id="rId1"/>
  <ignoredErrors>
    <ignoredError sqref="Q34 P25:P29" calculatedColumn="1"/>
  </ignoredErrors>
  <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9D1A9-3E2B-44DD-A922-F44B8817F973}">
  <dimension ref="A1:M91"/>
  <sheetViews>
    <sheetView topLeftCell="A42" zoomScaleNormal="100" workbookViewId="0">
      <selection activeCell="Q49" sqref="Q49"/>
    </sheetView>
  </sheetViews>
  <sheetFormatPr defaultRowHeight="15" x14ac:dyDescent="0.25"/>
  <cols>
    <col min="1" max="1" width="11.28515625" bestFit="1" customWidth="1"/>
    <col min="2" max="2" width="23.5703125" bestFit="1" customWidth="1"/>
    <col min="3" max="3" width="9.140625" bestFit="1" customWidth="1"/>
    <col min="4" max="4" width="12" bestFit="1" customWidth="1"/>
    <col min="5" max="5" width="14.7109375" bestFit="1" customWidth="1"/>
    <col min="6" max="6" width="16.5703125" bestFit="1" customWidth="1"/>
    <col min="7" max="7" width="15.5703125" bestFit="1" customWidth="1"/>
    <col min="8" max="8" width="18.42578125" bestFit="1" customWidth="1"/>
    <col min="9" max="9" width="16.5703125" customWidth="1"/>
    <col min="10" max="10" width="12" bestFit="1" customWidth="1"/>
    <col min="11" max="11" width="10.5703125" bestFit="1" customWidth="1"/>
    <col min="12" max="12" width="12.85546875" bestFit="1" customWidth="1"/>
    <col min="13" max="13" width="7" bestFit="1" customWidth="1"/>
  </cols>
  <sheetData>
    <row r="1" spans="1:12" x14ac:dyDescent="0.25">
      <c r="A1" t="s">
        <v>0</v>
      </c>
      <c r="C1">
        <v>0.35</v>
      </c>
      <c r="D1" t="s">
        <v>1</v>
      </c>
      <c r="E1">
        <f>C6+C9+C13+C17+C19+C24</f>
        <v>3.0115880996051043</v>
      </c>
    </row>
    <row r="2" spans="1:12" x14ac:dyDescent="0.25">
      <c r="A2" t="s">
        <v>2</v>
      </c>
      <c r="C2">
        <v>0.55000000000000004</v>
      </c>
      <c r="D2" t="s">
        <v>3</v>
      </c>
      <c r="E2">
        <f>C30+C38+C45+C34+C40</f>
        <v>3.2834915118971799</v>
      </c>
      <c r="F2" t="s">
        <v>4</v>
      </c>
      <c r="G2">
        <f>SUM(E1:E3)</f>
        <v>13.582519669734094</v>
      </c>
    </row>
    <row r="3" spans="1:12" x14ac:dyDescent="0.25">
      <c r="A3" t="s">
        <v>5</v>
      </c>
      <c r="C3">
        <v>0.82</v>
      </c>
      <c r="D3" t="s">
        <v>6</v>
      </c>
      <c r="E3">
        <f>C66+C61+C59+C55+C51</f>
        <v>7.2874400582318097</v>
      </c>
    </row>
    <row r="5" spans="1:12" x14ac:dyDescent="0.25">
      <c r="A5" t="s">
        <v>7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J5" t="s">
        <v>16</v>
      </c>
      <c r="K5" t="s">
        <v>17</v>
      </c>
      <c r="L5" t="s">
        <v>18</v>
      </c>
    </row>
    <row r="6" spans="1:12" x14ac:dyDescent="0.25">
      <c r="A6">
        <v>0</v>
      </c>
      <c r="B6" s="50" t="s">
        <v>23</v>
      </c>
      <c r="C6" s="51">
        <v>1.24</v>
      </c>
      <c r="D6" s="50">
        <v>29.202514270500799</v>
      </c>
      <c r="E6" s="50">
        <v>14.1273826812842</v>
      </c>
      <c r="F6" s="50">
        <v>412.55509435503001</v>
      </c>
      <c r="G6" s="52">
        <v>5.0000000000000001E-3</v>
      </c>
      <c r="H6" s="50">
        <v>6.8835233087458301</v>
      </c>
      <c r="I6" s="50">
        <v>3.60496926859813</v>
      </c>
      <c r="J6" s="50">
        <v>1383.69961315825</v>
      </c>
      <c r="K6" s="50">
        <v>1390.58313646699</v>
      </c>
      <c r="L6" s="50">
        <v>4.4417024205431801</v>
      </c>
    </row>
    <row r="7" spans="1:12" x14ac:dyDescent="0.25">
      <c r="A7">
        <f t="shared" ref="A7:A38" si="0">A6+1</f>
        <v>1</v>
      </c>
      <c r="B7" s="50" t="s">
        <v>24</v>
      </c>
      <c r="C7" s="51">
        <v>1.24</v>
      </c>
      <c r="D7" s="50">
        <v>95</v>
      </c>
      <c r="E7" s="50">
        <v>13.8625196697341</v>
      </c>
      <c r="F7" s="50">
        <v>1316.9393686247299</v>
      </c>
      <c r="G7" s="52">
        <v>0</v>
      </c>
      <c r="H7" s="50">
        <v>6.6186602971956701</v>
      </c>
      <c r="I7" s="50">
        <v>12.172666666666601</v>
      </c>
      <c r="J7" s="50">
        <v>4161.6330923190599</v>
      </c>
      <c r="K7" s="50">
        <v>4168.2517526162501</v>
      </c>
      <c r="L7" s="50">
        <v>14.4495</v>
      </c>
    </row>
    <row r="8" spans="1:12" x14ac:dyDescent="0.25">
      <c r="A8">
        <f t="shared" si="0"/>
        <v>2</v>
      </c>
      <c r="B8" s="50" t="s">
        <v>25</v>
      </c>
      <c r="C8" s="51" t="s">
        <v>26</v>
      </c>
      <c r="D8" s="50">
        <v>29.249999999999901</v>
      </c>
      <c r="E8" s="50">
        <v>13.6325196697341</v>
      </c>
      <c r="F8" s="50">
        <v>398.751200339722</v>
      </c>
      <c r="G8" s="52">
        <v>0</v>
      </c>
      <c r="H8" s="50">
        <v>6.3886602971956696</v>
      </c>
      <c r="I8" s="50">
        <v>2.2244624999999898</v>
      </c>
      <c r="J8" s="50">
        <v>1193.8381764942001</v>
      </c>
      <c r="K8" s="50">
        <v>1200.2268367914</v>
      </c>
      <c r="L8" s="50">
        <v>4.4489249999999902</v>
      </c>
    </row>
    <row r="9" spans="1:12" x14ac:dyDescent="0.25">
      <c r="A9">
        <f t="shared" si="0"/>
        <v>3</v>
      </c>
      <c r="B9" s="99" t="s">
        <v>27</v>
      </c>
      <c r="C9" s="100">
        <v>0.45500000000000002</v>
      </c>
      <c r="D9" s="99">
        <v>15.665064820264099</v>
      </c>
      <c r="E9" s="99">
        <v>13.4050196697341</v>
      </c>
      <c r="F9" s="99">
        <v>209.99050204330101</v>
      </c>
      <c r="G9" s="101">
        <v>5.0000000000000001E-3</v>
      </c>
      <c r="H9" s="102">
        <v>6.1611602971956696</v>
      </c>
      <c r="I9" s="102">
        <v>1.46158318328235</v>
      </c>
      <c r="J9" s="102">
        <v>594.64423466475205</v>
      </c>
      <c r="K9" s="102">
        <v>600.80539496194797</v>
      </c>
      <c r="L9" s="99">
        <v>2.3826563591621799</v>
      </c>
    </row>
    <row r="10" spans="1:12" x14ac:dyDescent="0.25">
      <c r="A10">
        <f t="shared" si="0"/>
        <v>4</v>
      </c>
      <c r="B10" s="99" t="s">
        <v>28</v>
      </c>
      <c r="C10" s="100" t="s">
        <v>26</v>
      </c>
      <c r="D10" s="99">
        <v>9.1839488952909107</v>
      </c>
      <c r="E10" s="99">
        <v>13.4050196697341</v>
      </c>
      <c r="F10" s="99">
        <v>123.11101558720701</v>
      </c>
      <c r="G10" s="101">
        <v>0</v>
      </c>
      <c r="H10" s="102">
        <v>6.1611602971956696</v>
      </c>
      <c r="I10" s="102">
        <v>0.69843931348687405</v>
      </c>
      <c r="J10" s="102">
        <v>348.62174684243399</v>
      </c>
      <c r="K10" s="102">
        <v>354.782907139629</v>
      </c>
      <c r="L10" s="99">
        <v>1.3968786269737401</v>
      </c>
    </row>
    <row r="11" spans="1:12" x14ac:dyDescent="0.25">
      <c r="A11">
        <f t="shared" si="0"/>
        <v>5</v>
      </c>
      <c r="B11" s="99" t="s">
        <v>29</v>
      </c>
      <c r="C11" s="100">
        <v>0.44289702490127603</v>
      </c>
      <c r="D11" s="99">
        <v>26.327654572335401</v>
      </c>
      <c r="E11" s="99">
        <v>0</v>
      </c>
      <c r="F11" s="99">
        <v>0</v>
      </c>
      <c r="G11" s="101">
        <v>0</v>
      </c>
      <c r="H11" s="102">
        <v>0</v>
      </c>
      <c r="I11" s="102">
        <v>2.0022181302261099</v>
      </c>
      <c r="J11" s="102">
        <v>0</v>
      </c>
      <c r="K11" s="102">
        <v>0</v>
      </c>
      <c r="L11" s="99">
        <v>4.0044362604522199</v>
      </c>
    </row>
    <row r="12" spans="1:12" x14ac:dyDescent="0.25">
      <c r="A12">
        <f t="shared" si="0"/>
        <v>6</v>
      </c>
      <c r="B12" s="99" t="s">
        <v>30</v>
      </c>
      <c r="C12" s="100">
        <v>0.19500000000000001</v>
      </c>
      <c r="D12" s="99">
        <v>9.2659283482309398</v>
      </c>
      <c r="E12" s="99">
        <v>13.2602802401418</v>
      </c>
      <c r="F12" s="99">
        <v>122.868806582617</v>
      </c>
      <c r="G12" s="101">
        <v>5.0000000000000001E-3</v>
      </c>
      <c r="H12" s="102">
        <v>6.0164208676034603</v>
      </c>
      <c r="I12" s="102">
        <v>1.4093477017659199</v>
      </c>
      <c r="J12" s="102">
        <v>335.40177403812402</v>
      </c>
      <c r="K12" s="102">
        <v>341.41819490572698</v>
      </c>
      <c r="L12" s="99">
        <v>1.4093477017659199</v>
      </c>
    </row>
    <row r="13" spans="1:12" x14ac:dyDescent="0.25">
      <c r="A13">
        <f t="shared" si="0"/>
        <v>7</v>
      </c>
      <c r="B13" s="99" t="s">
        <v>31</v>
      </c>
      <c r="C13" s="100">
        <v>1.03179821118685E-2</v>
      </c>
      <c r="D13" s="99">
        <v>0.35523485405878602</v>
      </c>
      <c r="E13" s="99">
        <v>13.1723606786781</v>
      </c>
      <c r="F13" s="99">
        <v>4.6792816232999304</v>
      </c>
      <c r="G13" s="101">
        <v>5.0000000000000001E-3</v>
      </c>
      <c r="H13" s="102">
        <v>5.92850130613974</v>
      </c>
      <c r="I13" s="102">
        <v>2.7018762198730301E-2</v>
      </c>
      <c r="J13" s="102">
        <v>12.485484792203399</v>
      </c>
      <c r="K13" s="102">
        <v>18.413986098343099</v>
      </c>
      <c r="L13" s="99">
        <v>5.4031221302341302E-2</v>
      </c>
    </row>
    <row r="14" spans="1:12" x14ac:dyDescent="0.25">
      <c r="A14">
        <f t="shared" si="0"/>
        <v>8</v>
      </c>
      <c r="B14" s="99" t="s">
        <v>32</v>
      </c>
      <c r="C14" s="100">
        <v>0.19500000000000001</v>
      </c>
      <c r="D14" s="99">
        <v>9.2659283482309398</v>
      </c>
      <c r="E14" s="99">
        <v>13.0844411172144</v>
      </c>
      <c r="F14" s="99">
        <v>121.23949386875501</v>
      </c>
      <c r="G14" s="101">
        <v>5.0000000000000001E-3</v>
      </c>
      <c r="H14" s="102">
        <v>5.8405817446760198</v>
      </c>
      <c r="I14" s="102">
        <v>1.4093477017659199</v>
      </c>
      <c r="J14" s="102">
        <v>316.08300893364901</v>
      </c>
      <c r="K14" s="102">
        <v>321.92359067832501</v>
      </c>
      <c r="L14" s="99">
        <v>1.4093477017659199</v>
      </c>
    </row>
    <row r="15" spans="1:12" x14ac:dyDescent="0.25">
      <c r="A15">
        <f t="shared" si="0"/>
        <v>9</v>
      </c>
      <c r="B15" s="99" t="s">
        <v>33</v>
      </c>
      <c r="C15" s="100">
        <v>0.40031798211186798</v>
      </c>
      <c r="D15" s="99">
        <v>0</v>
      </c>
      <c r="E15" s="99">
        <v>13.1723606786781</v>
      </c>
      <c r="F15" s="99">
        <v>0</v>
      </c>
      <c r="G15" s="101">
        <v>0</v>
      </c>
      <c r="H15" s="102">
        <v>5.92850130613974</v>
      </c>
      <c r="I15" s="102">
        <v>0</v>
      </c>
      <c r="J15" s="102">
        <v>0</v>
      </c>
      <c r="K15" s="102">
        <v>5.92850130613974</v>
      </c>
      <c r="L15" s="99">
        <v>0</v>
      </c>
    </row>
    <row r="16" spans="1:12" x14ac:dyDescent="0.25">
      <c r="A16">
        <f t="shared" si="0"/>
        <v>10</v>
      </c>
      <c r="B16" s="99" t="s">
        <v>34</v>
      </c>
      <c r="C16" s="100" t="s">
        <v>26</v>
      </c>
      <c r="D16" s="99">
        <v>2.0666836621203899</v>
      </c>
      <c r="E16" s="99">
        <v>13.069701687622199</v>
      </c>
      <c r="F16" s="99">
        <v>27.010938946596202</v>
      </c>
      <c r="G16" s="101">
        <v>0</v>
      </c>
      <c r="H16" s="102">
        <v>5.8258423150837997</v>
      </c>
      <c r="I16" s="102">
        <v>0</v>
      </c>
      <c r="J16" s="102">
        <v>70.144150105611999</v>
      </c>
      <c r="K16" s="102">
        <v>75.969992420695803</v>
      </c>
      <c r="L16" s="99">
        <v>0</v>
      </c>
    </row>
    <row r="17" spans="1:12" x14ac:dyDescent="0.25">
      <c r="A17">
        <f t="shared" si="0"/>
        <v>11</v>
      </c>
      <c r="B17" s="99" t="s">
        <v>35</v>
      </c>
      <c r="C17" s="100">
        <v>0.58499999999999996</v>
      </c>
      <c r="D17" s="99">
        <v>20.140797626053899</v>
      </c>
      <c r="E17" s="99">
        <v>12.874701687622199</v>
      </c>
      <c r="F17" s="99">
        <v>259.30676118621398</v>
      </c>
      <c r="G17" s="101">
        <v>5.0000000000000001E-3</v>
      </c>
      <c r="H17" s="102">
        <v>5.6308423150838003</v>
      </c>
      <c r="I17" s="102">
        <v>2.10609803175943</v>
      </c>
      <c r="J17" s="102">
        <v>638.59188731048903</v>
      </c>
      <c r="K17" s="102">
        <v>644.22272962557201</v>
      </c>
      <c r="L17" s="99">
        <v>3.0634153189228002</v>
      </c>
    </row>
    <row r="18" spans="1:12" x14ac:dyDescent="0.25">
      <c r="A18">
        <f t="shared" si="0"/>
        <v>12</v>
      </c>
      <c r="B18" s="99" t="s">
        <v>36</v>
      </c>
      <c r="C18" s="100">
        <v>0.19500000000000001</v>
      </c>
      <c r="D18" s="99">
        <v>9.23295351425147</v>
      </c>
      <c r="E18" s="99">
        <v>12.66496225803</v>
      </c>
      <c r="F18" s="99">
        <v>116.93500778814</v>
      </c>
      <c r="G18" s="101">
        <v>5.0000000000000001E-3</v>
      </c>
      <c r="H18" s="102">
        <v>5.4211028854915897</v>
      </c>
      <c r="I18" s="102">
        <v>1.4043322295176399</v>
      </c>
      <c r="J18" s="102">
        <v>271.34132937937198</v>
      </c>
      <c r="K18" s="102">
        <v>276.762432264864</v>
      </c>
      <c r="L18" s="99">
        <v>1.4043322295176399</v>
      </c>
    </row>
    <row r="19" spans="1:12" x14ac:dyDescent="0.25">
      <c r="A19">
        <f t="shared" si="0"/>
        <v>13</v>
      </c>
      <c r="B19" s="99" t="s">
        <v>37</v>
      </c>
      <c r="C19" s="100">
        <v>0.26627011749323598</v>
      </c>
      <c r="D19" s="99">
        <v>9.1347137152606805</v>
      </c>
      <c r="E19" s="99">
        <v>12.449066628875601</v>
      </c>
      <c r="F19" s="99">
        <v>113.718659676984</v>
      </c>
      <c r="G19" s="101">
        <v>5.0000000000000001E-3</v>
      </c>
      <c r="H19" s="102">
        <v>5.2052072563371796</v>
      </c>
      <c r="I19" s="102">
        <v>0.748665740661695</v>
      </c>
      <c r="J19" s="102">
        <v>247.497601230322</v>
      </c>
      <c r="K19" s="102">
        <v>252.70280848665999</v>
      </c>
      <c r="L19" s="99">
        <v>1.38938995609114</v>
      </c>
    </row>
    <row r="20" spans="1:12" x14ac:dyDescent="0.25">
      <c r="A20">
        <f t="shared" si="0"/>
        <v>14</v>
      </c>
      <c r="B20" s="99" t="s">
        <v>38</v>
      </c>
      <c r="C20" s="100">
        <v>0.19500000000000001</v>
      </c>
      <c r="D20" s="99">
        <v>9.23295351425147</v>
      </c>
      <c r="E20" s="99">
        <v>12.233170999721199</v>
      </c>
      <c r="F20" s="99">
        <v>112.948299172315</v>
      </c>
      <c r="G20" s="101">
        <v>5.0000000000000001E-3</v>
      </c>
      <c r="H20" s="102">
        <v>4.9893116271827802</v>
      </c>
      <c r="I20" s="102">
        <v>1.4043322295176399</v>
      </c>
      <c r="J20" s="102">
        <v>229.83804014738001</v>
      </c>
      <c r="K20" s="102">
        <v>234.827351774563</v>
      </c>
      <c r="L20" s="99">
        <v>1.4043322295176399</v>
      </c>
    </row>
    <row r="21" spans="1:12" x14ac:dyDescent="0.25">
      <c r="A21">
        <f t="shared" si="0"/>
        <v>15</v>
      </c>
      <c r="B21" s="99" t="s">
        <v>39</v>
      </c>
      <c r="C21" s="100">
        <v>0.65627011749323605</v>
      </c>
      <c r="D21" s="99">
        <v>2.2139640782318901</v>
      </c>
      <c r="E21" s="99">
        <v>12.449066628875601</v>
      </c>
      <c r="F21" s="99">
        <v>27.561786323846</v>
      </c>
      <c r="G21" s="101">
        <v>0</v>
      </c>
      <c r="H21" s="102">
        <v>5.2052072563371796</v>
      </c>
      <c r="I21" s="102">
        <v>0.24783307006858599</v>
      </c>
      <c r="J21" s="102">
        <v>59.985546964332002</v>
      </c>
      <c r="K21" s="102">
        <v>65.190754220669206</v>
      </c>
      <c r="L21" s="99">
        <v>0.33674393629907101</v>
      </c>
    </row>
    <row r="22" spans="1:12" x14ac:dyDescent="0.25">
      <c r="A22">
        <f t="shared" si="0"/>
        <v>16</v>
      </c>
      <c r="B22" s="99" t="s">
        <v>40</v>
      </c>
      <c r="C22" s="100" t="s">
        <v>26</v>
      </c>
      <c r="D22" s="99">
        <v>4.8360397693617196</v>
      </c>
      <c r="E22" s="99">
        <v>12.218431570128899</v>
      </c>
      <c r="F22" s="99">
        <v>59.088820992368703</v>
      </c>
      <c r="G22" s="101">
        <v>0</v>
      </c>
      <c r="H22" s="102">
        <v>4.9745721975905699</v>
      </c>
      <c r="I22" s="102">
        <v>0</v>
      </c>
      <c r="J22" s="102">
        <v>119.674422450444</v>
      </c>
      <c r="K22" s="102">
        <v>124.648994648035</v>
      </c>
      <c r="L22" s="99">
        <v>0</v>
      </c>
    </row>
    <row r="23" spans="1:12" x14ac:dyDescent="0.25">
      <c r="A23" s="111">
        <f>A22+1</f>
        <v>17</v>
      </c>
      <c r="B23" s="99" t="s">
        <v>41</v>
      </c>
      <c r="C23" s="100">
        <v>0.389174703369013</v>
      </c>
      <c r="D23" s="99">
        <v>6.6852153710722897</v>
      </c>
      <c r="E23" s="99">
        <v>12.449066628875601</v>
      </c>
      <c r="F23" s="99">
        <v>83.224691582862306</v>
      </c>
      <c r="G23" s="101">
        <v>5.0000000000000001E-3</v>
      </c>
      <c r="H23" s="102">
        <v>5.2052072563371796</v>
      </c>
      <c r="I23" s="102">
        <v>1.0168212579400899</v>
      </c>
      <c r="J23" s="102">
        <v>181.13044585998301</v>
      </c>
      <c r="K23" s="102">
        <v>186.33565311632</v>
      </c>
      <c r="L23" s="99">
        <v>1.0168212579400899</v>
      </c>
    </row>
    <row r="24" spans="1:12" x14ac:dyDescent="0.25">
      <c r="A24">
        <f>A23+1</f>
        <v>18</v>
      </c>
      <c r="B24" s="99" t="s">
        <v>42</v>
      </c>
      <c r="C24" s="100">
        <v>0.45500000000000002</v>
      </c>
      <c r="D24" s="99">
        <v>15.665064820264099</v>
      </c>
      <c r="E24" s="99">
        <v>11.698431570128999</v>
      </c>
      <c r="F24" s="99">
        <v>183.25668884149499</v>
      </c>
      <c r="G24" s="101">
        <v>5.0000000000000001E-3</v>
      </c>
      <c r="H24" s="102">
        <v>4.4545721975905703</v>
      </c>
      <c r="I24" s="102">
        <v>2.65291136286345</v>
      </c>
      <c r="J24" s="102">
        <v>310.84522514880098</v>
      </c>
      <c r="K24" s="102">
        <v>315.29979734639102</v>
      </c>
      <c r="L24" s="99">
        <v>2.3826563591621799</v>
      </c>
    </row>
    <row r="25" spans="1:12" x14ac:dyDescent="0.25">
      <c r="A25">
        <f t="shared" si="0"/>
        <v>19</v>
      </c>
      <c r="B25" s="99" t="s">
        <v>43</v>
      </c>
      <c r="C25" s="100">
        <v>0.22750000000000001</v>
      </c>
      <c r="D25" s="99">
        <v>1.04706826104824</v>
      </c>
      <c r="E25" s="99">
        <v>11.584681570129</v>
      </c>
      <c r="F25" s="99">
        <v>12.129952386432601</v>
      </c>
      <c r="G25" s="101">
        <v>0</v>
      </c>
      <c r="H25" s="102">
        <v>4.3408221975905699</v>
      </c>
      <c r="I25" s="102">
        <v>0</v>
      </c>
      <c r="J25" s="102">
        <v>19.729632231599801</v>
      </c>
      <c r="K25" s="102">
        <v>24.070454429190399</v>
      </c>
      <c r="L25" s="99">
        <v>0.15925908250543699</v>
      </c>
    </row>
    <row r="26" spans="1:12" x14ac:dyDescent="0.25">
      <c r="A26">
        <f t="shared" si="0"/>
        <v>20</v>
      </c>
      <c r="B26" s="99" t="s">
        <v>44</v>
      </c>
      <c r="C26" s="100" t="s">
        <v>26</v>
      </c>
      <c r="D26" s="99">
        <v>0.16357182093175299</v>
      </c>
      <c r="E26" s="99">
        <v>11.7925721768864</v>
      </c>
      <c r="F26" s="99">
        <v>1.9289325044424399</v>
      </c>
      <c r="G26" s="101">
        <v>0</v>
      </c>
      <c r="H26" s="102">
        <v>4.5487128043480398</v>
      </c>
      <c r="I26" s="102">
        <v>0</v>
      </c>
      <c r="J26" s="102">
        <v>3.38442989853344</v>
      </c>
      <c r="K26" s="102">
        <v>7.9331427028814803</v>
      </c>
      <c r="L26" s="99">
        <v>0</v>
      </c>
    </row>
    <row r="27" spans="1:12" x14ac:dyDescent="0.25">
      <c r="A27">
        <f t="shared" si="0"/>
        <v>21</v>
      </c>
      <c r="B27" s="99" t="s">
        <v>45</v>
      </c>
      <c r="C27" s="100">
        <v>0.32164060675746797</v>
      </c>
      <c r="D27" s="99">
        <v>62.855950048339501</v>
      </c>
      <c r="E27" s="99">
        <v>11.568431570129</v>
      </c>
      <c r="F27" s="99">
        <v>727.14475690966196</v>
      </c>
      <c r="G27" s="101">
        <v>0</v>
      </c>
      <c r="H27" s="102">
        <v>4.3245721975905704</v>
      </c>
      <c r="I27" s="102">
        <v>0</v>
      </c>
      <c r="J27" s="102">
        <v>1175.5272442590499</v>
      </c>
      <c r="K27" s="102">
        <v>1179.8518164566401</v>
      </c>
      <c r="L27" s="99">
        <v>0</v>
      </c>
    </row>
    <row r="28" spans="1:12" x14ac:dyDescent="0.25">
      <c r="A28">
        <f t="shared" si="0"/>
        <v>22</v>
      </c>
      <c r="B28" s="99" t="s">
        <v>46</v>
      </c>
      <c r="C28" s="100">
        <v>0.40031798211186798</v>
      </c>
      <c r="D28" s="99">
        <v>103.77873100724899</v>
      </c>
      <c r="E28" s="99">
        <v>13.1723606786781</v>
      </c>
      <c r="F28" s="99">
        <v>1367.0108756030099</v>
      </c>
      <c r="G28" s="101">
        <v>0</v>
      </c>
      <c r="H28" s="102">
        <v>5.92850130613974</v>
      </c>
      <c r="I28" s="102">
        <v>0</v>
      </c>
      <c r="J28" s="102">
        <v>3647.5243150852398</v>
      </c>
      <c r="K28" s="102">
        <v>3653.4528163913801</v>
      </c>
      <c r="L28" s="99">
        <v>0</v>
      </c>
    </row>
    <row r="29" spans="1:12" x14ac:dyDescent="0.25">
      <c r="A29">
        <f t="shared" si="0"/>
        <v>23</v>
      </c>
      <c r="B29" s="99" t="s">
        <v>47</v>
      </c>
      <c r="C29" s="100">
        <v>0.65627011749323605</v>
      </c>
      <c r="D29" s="99">
        <v>242.84223055696299</v>
      </c>
      <c r="E29" s="99">
        <v>13.1723606786781</v>
      </c>
      <c r="F29" s="99">
        <v>3198.80544891104</v>
      </c>
      <c r="G29" s="101">
        <v>0</v>
      </c>
      <c r="H29" s="102">
        <v>5.92850130613974</v>
      </c>
      <c r="I29" s="102">
        <v>0</v>
      </c>
      <c r="J29" s="102">
        <v>8535.2068972994603</v>
      </c>
      <c r="K29" s="102">
        <v>8541.1353986056001</v>
      </c>
      <c r="L29" s="99">
        <v>0</v>
      </c>
    </row>
    <row r="30" spans="1:12" x14ac:dyDescent="0.25">
      <c r="A30">
        <f t="shared" si="0"/>
        <v>24</v>
      </c>
      <c r="B30" s="53" t="s">
        <v>48</v>
      </c>
      <c r="C30" s="54">
        <v>0.659140606757468</v>
      </c>
      <c r="D30" s="53">
        <v>24.540048961285901</v>
      </c>
      <c r="E30" s="53">
        <v>11.133514354765</v>
      </c>
      <c r="F30" s="53">
        <v>273.21698737711398</v>
      </c>
      <c r="G30" s="55">
        <v>5.0000000000000001E-3</v>
      </c>
      <c r="H30" s="53">
        <v>3.88965498222663</v>
      </c>
      <c r="I30" s="53">
        <v>3.0624497476622801</v>
      </c>
      <c r="J30" s="53">
        <v>371.27660646951801</v>
      </c>
      <c r="K30" s="53">
        <v>375.16626145174502</v>
      </c>
      <c r="L30" s="53">
        <v>4.9693599146603997</v>
      </c>
    </row>
    <row r="31" spans="1:12" x14ac:dyDescent="0.25">
      <c r="A31">
        <f t="shared" si="0"/>
        <v>25</v>
      </c>
      <c r="B31" s="53" t="s">
        <v>49</v>
      </c>
      <c r="C31" s="54" t="s">
        <v>26</v>
      </c>
      <c r="D31" s="53">
        <v>12.360719596617701</v>
      </c>
      <c r="E31" s="53">
        <v>11.133514354765</v>
      </c>
      <c r="F31" s="53">
        <v>137.618249064168</v>
      </c>
      <c r="G31" s="55">
        <v>0</v>
      </c>
      <c r="H31" s="53">
        <v>3.88965498222663</v>
      </c>
      <c r="I31" s="53">
        <v>1.25152285915754</v>
      </c>
      <c r="J31" s="53">
        <v>187.01046736269399</v>
      </c>
      <c r="K31" s="53">
        <v>190.90012234492099</v>
      </c>
      <c r="L31" s="53">
        <v>2.50304571831508</v>
      </c>
    </row>
    <row r="32" spans="1:12" x14ac:dyDescent="0.25">
      <c r="A32">
        <f t="shared" si="0"/>
        <v>26</v>
      </c>
      <c r="B32" s="53" t="s">
        <v>50</v>
      </c>
      <c r="C32" s="54">
        <v>0.65608772628492795</v>
      </c>
      <c r="D32" s="53">
        <v>43.829560892710703</v>
      </c>
      <c r="E32" s="53">
        <v>0</v>
      </c>
      <c r="F32" s="53">
        <v>0</v>
      </c>
      <c r="G32" s="55">
        <v>0</v>
      </c>
      <c r="H32" s="53">
        <v>0</v>
      </c>
      <c r="I32" s="53">
        <v>4.4377430403869598</v>
      </c>
      <c r="J32" s="53">
        <v>0</v>
      </c>
      <c r="K32" s="53">
        <v>0</v>
      </c>
      <c r="L32" s="53">
        <v>8.8754860807739195</v>
      </c>
    </row>
    <row r="33" spans="1:13" x14ac:dyDescent="0.25">
      <c r="A33">
        <f t="shared" si="0"/>
        <v>27</v>
      </c>
      <c r="B33" s="53" t="s">
        <v>51</v>
      </c>
      <c r="C33" s="95">
        <v>0.22500000000000001</v>
      </c>
      <c r="D33" s="53">
        <v>12.336295138177199</v>
      </c>
      <c r="E33" s="53">
        <v>10.907283929226599</v>
      </c>
      <c r="F33" s="53">
        <v>134.555473706838</v>
      </c>
      <c r="G33" s="54">
        <v>5.0000000000000001E-3</v>
      </c>
      <c r="H33" s="96">
        <v>3.66342455668824</v>
      </c>
      <c r="I33" s="96">
        <v>2.4980997654808998</v>
      </c>
      <c r="J33" s="96">
        <v>165.56146305157301</v>
      </c>
      <c r="K33" s="96">
        <v>169.22488760826101</v>
      </c>
      <c r="L33" s="53">
        <v>2.4980997654808998</v>
      </c>
    </row>
    <row r="34" spans="1:13" x14ac:dyDescent="0.25">
      <c r="A34">
        <f t="shared" si="0"/>
        <v>28</v>
      </c>
      <c r="B34" s="53" t="s">
        <v>52</v>
      </c>
      <c r="C34" s="54">
        <v>0.28181131642338503</v>
      </c>
      <c r="D34" s="53">
        <v>11.195078289576401</v>
      </c>
      <c r="E34" s="53">
        <v>10.6708853051598</v>
      </c>
      <c r="F34" s="53">
        <v>119.46139641035499</v>
      </c>
      <c r="G34" s="55">
        <v>5.0000000000000001E-3</v>
      </c>
      <c r="H34" s="53">
        <v>3.4270259326214099</v>
      </c>
      <c r="I34" s="53">
        <v>1.20759221446972</v>
      </c>
      <c r="J34" s="53">
        <v>131.48067245877201</v>
      </c>
      <c r="K34" s="53">
        <v>134.90769839139301</v>
      </c>
      <c r="L34" s="53">
        <v>2.2670033536392298</v>
      </c>
    </row>
    <row r="35" spans="1:13" x14ac:dyDescent="0.25">
      <c r="A35">
        <f t="shared" si="0"/>
        <v>29</v>
      </c>
      <c r="B35" s="53" t="s">
        <v>53</v>
      </c>
      <c r="C35" s="95">
        <v>0.22500000000000001</v>
      </c>
      <c r="D35" s="53">
        <v>12.336295138177199</v>
      </c>
      <c r="E35" s="53">
        <v>10.434486681093</v>
      </c>
      <c r="F35" s="53">
        <v>128.722907313343</v>
      </c>
      <c r="G35" s="54">
        <v>5.0000000000000001E-3</v>
      </c>
      <c r="H35" s="96">
        <v>3.1906273085545802</v>
      </c>
      <c r="I35" s="96">
        <v>2.4980997654808998</v>
      </c>
      <c r="J35" s="96">
        <v>125.58475048308701</v>
      </c>
      <c r="K35" s="96">
        <v>128.77537779164101</v>
      </c>
      <c r="L35" s="53">
        <v>2.4980997654808998</v>
      </c>
    </row>
    <row r="36" spans="1:13" x14ac:dyDescent="0.25">
      <c r="A36">
        <f t="shared" si="0"/>
        <v>30</v>
      </c>
      <c r="B36" s="53" t="s">
        <v>54</v>
      </c>
      <c r="C36" s="54">
        <v>0.73181131642338504</v>
      </c>
      <c r="D36" s="53">
        <v>0</v>
      </c>
      <c r="E36" s="53">
        <v>10.6708853051598</v>
      </c>
      <c r="F36" s="53">
        <v>0</v>
      </c>
      <c r="G36" s="55">
        <v>0</v>
      </c>
      <c r="H36" s="53">
        <v>3.4270259326214099</v>
      </c>
      <c r="I36" s="53">
        <v>0</v>
      </c>
      <c r="J36" s="53">
        <v>0</v>
      </c>
      <c r="K36" s="53">
        <v>3.4270259326214099</v>
      </c>
      <c r="L36" s="53">
        <v>0</v>
      </c>
      <c r="M36" s="49"/>
    </row>
    <row r="37" spans="1:13" x14ac:dyDescent="0.25">
      <c r="A37">
        <f t="shared" si="0"/>
        <v>31</v>
      </c>
      <c r="B37" s="53" t="s">
        <v>55</v>
      </c>
      <c r="C37" s="54" t="s">
        <v>26</v>
      </c>
      <c r="D37" s="53">
        <v>5.9221178701416104</v>
      </c>
      <c r="E37" s="53">
        <v>10.417479646948101</v>
      </c>
      <c r="F37" s="53">
        <v>61.693542379028102</v>
      </c>
      <c r="G37" s="55">
        <v>0</v>
      </c>
      <c r="H37" s="53">
        <v>3.1736202744097102</v>
      </c>
      <c r="I37" s="53">
        <v>0</v>
      </c>
      <c r="J37" s="53">
        <v>59.646775528697098</v>
      </c>
      <c r="K37" s="53">
        <v>62.820395803106798</v>
      </c>
      <c r="L37" s="53">
        <v>0</v>
      </c>
      <c r="M37" s="49"/>
    </row>
    <row r="38" spans="1:13" x14ac:dyDescent="0.25">
      <c r="A38">
        <f t="shared" si="0"/>
        <v>32</v>
      </c>
      <c r="B38" s="53" t="s">
        <v>56</v>
      </c>
      <c r="C38" s="54">
        <v>0.67500000000000004</v>
      </c>
      <c r="D38" s="53">
        <v>26.814671395633901</v>
      </c>
      <c r="E38" s="53">
        <v>10.192479646948099</v>
      </c>
      <c r="F38" s="53">
        <v>273.307992439602</v>
      </c>
      <c r="G38" s="55">
        <v>5.0000000000000001E-3</v>
      </c>
      <c r="H38" s="53">
        <v>2.9486202744097101</v>
      </c>
      <c r="I38" s="53">
        <v>3.7331050333609102</v>
      </c>
      <c r="J38" s="53">
        <v>233.13644722497301</v>
      </c>
      <c r="K38" s="53">
        <v>236.08506749938201</v>
      </c>
      <c r="L38" s="53">
        <v>5.4299709576158799</v>
      </c>
      <c r="M38" s="49"/>
    </row>
    <row r="39" spans="1:13" x14ac:dyDescent="0.25">
      <c r="A39">
        <f t="shared" ref="A39:A71" si="1">A38+1</f>
        <v>33</v>
      </c>
      <c r="B39" s="53" t="s">
        <v>57</v>
      </c>
      <c r="C39" s="95">
        <v>0.22500000000000001</v>
      </c>
      <c r="D39" s="53">
        <v>12.2923937319916</v>
      </c>
      <c r="E39" s="53">
        <v>9.9504726128032797</v>
      </c>
      <c r="F39" s="53">
        <v>122.315127175977</v>
      </c>
      <c r="G39" s="54">
        <v>5.0000000000000001E-3</v>
      </c>
      <c r="H39" s="96">
        <v>2.7066132402648502</v>
      </c>
      <c r="I39" s="96">
        <v>2.4892097307282999</v>
      </c>
      <c r="J39" s="96">
        <v>90.051067700576098</v>
      </c>
      <c r="K39" s="96">
        <v>92.757680940840999</v>
      </c>
      <c r="L39" s="53">
        <v>2.4892097307282999</v>
      </c>
      <c r="M39" s="49"/>
    </row>
    <row r="40" spans="1:13" x14ac:dyDescent="0.25">
      <c r="A40">
        <f t="shared" si="1"/>
        <v>34</v>
      </c>
      <c r="B40" s="53" t="s">
        <v>58</v>
      </c>
      <c r="C40" s="54">
        <v>0.76753958871632699</v>
      </c>
      <c r="D40" s="53">
        <v>30.382338838956802</v>
      </c>
      <c r="E40" s="53">
        <v>9.4712098525899808</v>
      </c>
      <c r="F40" s="53">
        <v>287.75750695625499</v>
      </c>
      <c r="G40" s="55">
        <v>5.0000000000000001E-3</v>
      </c>
      <c r="H40" s="53">
        <v>2.22735048005155</v>
      </c>
      <c r="I40" s="53">
        <v>4.5677745511890198</v>
      </c>
      <c r="J40" s="53">
        <v>150.72952228168799</v>
      </c>
      <c r="K40" s="53">
        <v>152.95687276173999</v>
      </c>
      <c r="L40" s="53">
        <v>6.1524236148887601</v>
      </c>
      <c r="M40" s="49"/>
    </row>
    <row r="41" spans="1:13" x14ac:dyDescent="0.25">
      <c r="A41">
        <f t="shared" si="1"/>
        <v>35</v>
      </c>
      <c r="B41" s="53" t="s">
        <v>59</v>
      </c>
      <c r="C41" s="95">
        <v>0.22500000000000001</v>
      </c>
      <c r="D41" s="53">
        <v>12.2923937319916</v>
      </c>
      <c r="E41" s="53">
        <v>8.9919470923766802</v>
      </c>
      <c r="F41" s="53">
        <v>110.532554076731</v>
      </c>
      <c r="G41" s="54">
        <v>5.0000000000000001E-3</v>
      </c>
      <c r="H41" s="96">
        <v>1.7480877198382501</v>
      </c>
      <c r="I41" s="96">
        <v>2.4892097307282999</v>
      </c>
      <c r="J41" s="96">
        <v>37.563228002880003</v>
      </c>
      <c r="K41" s="96">
        <v>39.311315722718298</v>
      </c>
      <c r="L41" s="53">
        <v>2.4892097307282999</v>
      </c>
      <c r="M41" s="49"/>
    </row>
    <row r="42" spans="1:13" x14ac:dyDescent="0.25">
      <c r="A42">
        <f t="shared" si="1"/>
        <v>36</v>
      </c>
      <c r="B42" s="53" t="s">
        <v>60</v>
      </c>
      <c r="C42" s="95">
        <v>1.2175395887163201</v>
      </c>
      <c r="D42" s="53">
        <v>4.4091487741572601</v>
      </c>
      <c r="E42" s="53">
        <v>9.4712098525899808</v>
      </c>
      <c r="F42" s="53">
        <v>41.759973311333297</v>
      </c>
      <c r="G42" s="54">
        <v>0</v>
      </c>
      <c r="H42" s="96">
        <v>2.22735048005155</v>
      </c>
      <c r="I42" s="96">
        <v>0.99110413233829897</v>
      </c>
      <c r="J42" s="96">
        <v>21.8741846017946</v>
      </c>
      <c r="K42" s="96">
        <v>24.101535081846102</v>
      </c>
      <c r="L42" s="53">
        <v>0.89285262676684596</v>
      </c>
      <c r="M42" s="49"/>
    </row>
    <row r="43" spans="1:13" x14ac:dyDescent="0.25">
      <c r="A43">
        <f t="shared" si="1"/>
        <v>37</v>
      </c>
      <c r="B43" s="53" t="s">
        <v>61</v>
      </c>
      <c r="C43" s="54" t="s">
        <v>26</v>
      </c>
      <c r="D43" s="53">
        <v>13.8577558161313</v>
      </c>
      <c r="E43" s="53">
        <v>8.9749400582318195</v>
      </c>
      <c r="F43" s="53">
        <v>124.372527791392</v>
      </c>
      <c r="G43" s="55">
        <v>0</v>
      </c>
      <c r="H43" s="53">
        <v>1.73108068569339</v>
      </c>
      <c r="I43" s="53">
        <v>0</v>
      </c>
      <c r="J43" s="53">
        <v>41.526710105764501</v>
      </c>
      <c r="K43" s="53">
        <v>43.2577907914579</v>
      </c>
      <c r="L43" s="53">
        <v>0</v>
      </c>
    </row>
    <row r="44" spans="1:13" x14ac:dyDescent="0.25">
      <c r="A44" s="111">
        <f>A43+1</f>
        <v>38</v>
      </c>
      <c r="B44" s="53" t="s">
        <v>62</v>
      </c>
      <c r="C44" s="95">
        <v>0.44769124112841102</v>
      </c>
      <c r="D44" s="53">
        <v>8.8467426176847201</v>
      </c>
      <c r="E44" s="53">
        <v>9.4712098525899808</v>
      </c>
      <c r="F44" s="53">
        <v>83.789355843943198</v>
      </c>
      <c r="G44" s="54">
        <v>5.0000000000000001E-3</v>
      </c>
      <c r="H44" s="96">
        <v>2.22735048005155</v>
      </c>
      <c r="I44" s="96">
        <v>1.79146538008115</v>
      </c>
      <c r="J44" s="96">
        <v>43.889487757370297</v>
      </c>
      <c r="K44" s="96">
        <v>46.116838237421803</v>
      </c>
      <c r="L44" s="53">
        <v>1.79146538008115</v>
      </c>
    </row>
    <row r="45" spans="1:13" x14ac:dyDescent="0.25">
      <c r="A45">
        <f>A44+1</f>
        <v>39</v>
      </c>
      <c r="B45" s="53" t="s">
        <v>63</v>
      </c>
      <c r="C45" s="54">
        <v>0.9</v>
      </c>
      <c r="D45" s="53">
        <v>35.752895194178599</v>
      </c>
      <c r="E45" s="53">
        <v>8.1874400582318199</v>
      </c>
      <c r="F45" s="53">
        <v>292.724686310582</v>
      </c>
      <c r="G45" s="55">
        <v>5.0000000000000001E-3</v>
      </c>
      <c r="H45" s="53">
        <v>0.94358068569339304</v>
      </c>
      <c r="I45" s="53">
        <v>9.6532817024282291</v>
      </c>
      <c r="J45" s="53">
        <v>31.832393967530201</v>
      </c>
      <c r="K45" s="53">
        <v>32.775974653223599</v>
      </c>
      <c r="L45" s="53">
        <v>7.2399612768211696</v>
      </c>
    </row>
    <row r="46" spans="1:13" x14ac:dyDescent="0.25">
      <c r="A46">
        <f t="shared" si="1"/>
        <v>40</v>
      </c>
      <c r="B46" s="53" t="s">
        <v>64</v>
      </c>
      <c r="C46" s="54">
        <v>0.45</v>
      </c>
      <c r="D46" s="53">
        <v>4.0032272205307198</v>
      </c>
      <c r="E46" s="53">
        <v>7.9624400582318202</v>
      </c>
      <c r="F46" s="53">
        <v>31.875456782957801</v>
      </c>
      <c r="G46" s="55">
        <v>0</v>
      </c>
      <c r="H46" s="53">
        <v>0.71858068569339295</v>
      </c>
      <c r="I46" s="53">
        <v>0</v>
      </c>
      <c r="J46" s="53">
        <v>2.0670992091965701</v>
      </c>
      <c r="K46" s="53">
        <v>2.7856798948899599</v>
      </c>
      <c r="L46" s="53">
        <v>0.81065351215747194</v>
      </c>
    </row>
    <row r="47" spans="1:13" x14ac:dyDescent="0.25">
      <c r="A47">
        <f t="shared" si="1"/>
        <v>41</v>
      </c>
      <c r="B47" s="53" t="s">
        <v>65</v>
      </c>
      <c r="C47" s="54" t="s">
        <v>26</v>
      </c>
      <c r="D47" s="53">
        <v>0.57509756829159697</v>
      </c>
      <c r="E47" s="53">
        <v>8.3663501169181096</v>
      </c>
      <c r="F47" s="53">
        <v>4.8114676077157199</v>
      </c>
      <c r="G47" s="55">
        <v>0</v>
      </c>
      <c r="H47" s="53">
        <v>1.1224907443796801</v>
      </c>
      <c r="I47" s="53">
        <v>0</v>
      </c>
      <c r="J47" s="53">
        <v>0.72461458058024597</v>
      </c>
      <c r="K47" s="53">
        <v>1.8471053249599201</v>
      </c>
      <c r="L47" s="53">
        <v>0</v>
      </c>
    </row>
    <row r="48" spans="1:13" x14ac:dyDescent="0.25">
      <c r="A48">
        <f t="shared" si="1"/>
        <v>42</v>
      </c>
      <c r="B48" s="53" t="s">
        <v>66</v>
      </c>
      <c r="C48" s="54">
        <v>0.62891005868628902</v>
      </c>
      <c r="D48" s="53">
        <v>73.742347532400601</v>
      </c>
      <c r="E48" s="53">
        <v>7.8499400582318204</v>
      </c>
      <c r="F48" s="53">
        <v>578.87300788264395</v>
      </c>
      <c r="G48" s="55">
        <v>0</v>
      </c>
      <c r="H48" s="53">
        <v>0.60608068569339302</v>
      </c>
      <c r="I48" s="53">
        <v>0</v>
      </c>
      <c r="J48" s="53">
        <v>27.0880565608457</v>
      </c>
      <c r="K48" s="53">
        <v>27.6941372465391</v>
      </c>
      <c r="L48" s="53">
        <v>0</v>
      </c>
    </row>
    <row r="49" spans="1:12" x14ac:dyDescent="0.25">
      <c r="A49">
        <f t="shared" si="1"/>
        <v>43</v>
      </c>
      <c r="B49" s="53" t="s">
        <v>67</v>
      </c>
      <c r="C49" s="95">
        <v>0.73181131642338504</v>
      </c>
      <c r="D49" s="53">
        <v>297.80552124410099</v>
      </c>
      <c r="E49" s="53">
        <v>10.6708853051598</v>
      </c>
      <c r="F49" s="53">
        <v>3177.8485604391399</v>
      </c>
      <c r="G49" s="54">
        <v>0</v>
      </c>
      <c r="H49" s="96">
        <v>3.4270259326214099</v>
      </c>
      <c r="I49" s="96">
        <v>0</v>
      </c>
      <c r="J49" s="96">
        <v>3497.5789523121798</v>
      </c>
      <c r="K49" s="96">
        <v>3501.0059782448002</v>
      </c>
      <c r="L49" s="53">
        <v>0</v>
      </c>
    </row>
    <row r="50" spans="1:12" x14ac:dyDescent="0.25">
      <c r="A50">
        <f t="shared" si="1"/>
        <v>44</v>
      </c>
      <c r="B50" s="53" t="s">
        <v>68</v>
      </c>
      <c r="C50" s="95">
        <v>1.2175395887163201</v>
      </c>
      <c r="D50" s="53">
        <v>696.86491971119597</v>
      </c>
      <c r="E50" s="53">
        <v>10.6708853051598</v>
      </c>
      <c r="F50" s="53">
        <v>7436.1656314275997</v>
      </c>
      <c r="G50" s="54">
        <v>0</v>
      </c>
      <c r="H50" s="96">
        <v>3.4270259326214099</v>
      </c>
      <c r="I50" s="96">
        <v>0</v>
      </c>
      <c r="J50" s="96">
        <v>8184.3347484104997</v>
      </c>
      <c r="K50" s="96">
        <v>8187.7617743431201</v>
      </c>
      <c r="L50" s="53">
        <v>0</v>
      </c>
    </row>
    <row r="51" spans="1:12" x14ac:dyDescent="0.25">
      <c r="A51">
        <f t="shared" si="1"/>
        <v>45</v>
      </c>
      <c r="B51" s="56" t="s">
        <v>69</v>
      </c>
      <c r="C51" s="57">
        <v>0.96641005868628904</v>
      </c>
      <c r="D51" s="56">
        <v>38.391063936456597</v>
      </c>
      <c r="E51" s="56">
        <v>7.2542350288886697</v>
      </c>
      <c r="F51" s="56">
        <v>278.49780080414803</v>
      </c>
      <c r="G51" s="58">
        <v>5.0000000000000001E-3</v>
      </c>
      <c r="H51" s="56">
        <v>1.03756563502486E-2</v>
      </c>
      <c r="I51" s="56">
        <v>6.8750346232738204</v>
      </c>
      <c r="J51" s="56">
        <v>4.1329609912493098E-3</v>
      </c>
      <c r="K51" s="56">
        <v>1.4508617341497901E-2</v>
      </c>
      <c r="L51" s="56">
        <v>7.7741904471324599</v>
      </c>
    </row>
    <row r="52" spans="1:12" x14ac:dyDescent="0.25">
      <c r="A52">
        <f t="shared" si="1"/>
        <v>46</v>
      </c>
      <c r="B52" s="56" t="s">
        <v>70</v>
      </c>
      <c r="C52" s="57" t="s">
        <v>26</v>
      </c>
      <c r="D52" s="56">
        <v>19.102439643732598</v>
      </c>
      <c r="E52" s="56">
        <v>7.2542350288886697</v>
      </c>
      <c r="F52" s="56">
        <v>138.57358680079699</v>
      </c>
      <c r="G52" s="58">
        <v>0</v>
      </c>
      <c r="H52" s="56">
        <v>1.03756563502486E-2</v>
      </c>
      <c r="I52" s="56">
        <v>1.93412201392793</v>
      </c>
      <c r="J52" s="56">
        <v>2.0564587117438502E-3</v>
      </c>
      <c r="K52" s="56">
        <v>1.24321150619924E-2</v>
      </c>
      <c r="L52" s="56">
        <v>3.8682440278558601</v>
      </c>
    </row>
    <row r="53" spans="1:12" x14ac:dyDescent="0.25">
      <c r="A53">
        <f t="shared" si="1"/>
        <v>47</v>
      </c>
      <c r="B53" s="56" t="s">
        <v>71</v>
      </c>
      <c r="C53" s="57">
        <v>1.5802574998863801</v>
      </c>
      <c r="D53" s="56">
        <v>99.780091873885794</v>
      </c>
      <c r="E53" s="56">
        <v>0</v>
      </c>
      <c r="F53" s="56">
        <v>0</v>
      </c>
      <c r="G53" s="58">
        <v>0</v>
      </c>
      <c r="H53" s="56">
        <v>0</v>
      </c>
      <c r="I53" s="56">
        <v>10.1027343022309</v>
      </c>
      <c r="J53" s="56">
        <v>0</v>
      </c>
      <c r="K53" s="56">
        <v>0</v>
      </c>
      <c r="L53" s="56">
        <v>20.205468604461799</v>
      </c>
    </row>
    <row r="54" spans="1:12" x14ac:dyDescent="0.25">
      <c r="A54">
        <f t="shared" si="1"/>
        <v>48</v>
      </c>
      <c r="B54" s="56" t="s">
        <v>72</v>
      </c>
      <c r="C54" s="97">
        <v>0.22500000000000001</v>
      </c>
      <c r="D54" s="56">
        <v>12.336295138177199</v>
      </c>
      <c r="E54" s="56">
        <v>6.8665229654006597</v>
      </c>
      <c r="F54" s="56">
        <v>84.707453874254995</v>
      </c>
      <c r="G54" s="57">
        <v>5.0000000000000001E-3</v>
      </c>
      <c r="H54" s="98">
        <v>-0.37733640713775801</v>
      </c>
      <c r="I54" s="98">
        <v>2.4980997654808998</v>
      </c>
      <c r="J54" s="98">
        <v>1.75647580116402</v>
      </c>
      <c r="K54" s="98">
        <v>1.37913939402626</v>
      </c>
      <c r="L54" s="56">
        <v>2.4980997654808998</v>
      </c>
    </row>
    <row r="55" spans="1:12" x14ac:dyDescent="0.25">
      <c r="A55">
        <f t="shared" si="1"/>
        <v>49</v>
      </c>
      <c r="B55" s="56" t="s">
        <v>73</v>
      </c>
      <c r="C55" s="57">
        <v>1.6465430056988299</v>
      </c>
      <c r="D55" s="56">
        <v>65.4096439060649</v>
      </c>
      <c r="E55" s="56">
        <v>5.9477584966961103</v>
      </c>
      <c r="F55" s="56">
        <v>389.040765308164</v>
      </c>
      <c r="G55" s="58">
        <v>5.0000000000000001E-3</v>
      </c>
      <c r="H55" s="56">
        <v>-1.29610087584231</v>
      </c>
      <c r="I55" s="56">
        <v>21.400421337482499</v>
      </c>
      <c r="J55" s="56">
        <v>109.88018779611301</v>
      </c>
      <c r="K55" s="56">
        <v>108.58408692027101</v>
      </c>
      <c r="L55" s="56">
        <v>13.2454528909781</v>
      </c>
    </row>
    <row r="56" spans="1:12" x14ac:dyDescent="0.25">
      <c r="A56">
        <f t="shared" si="1"/>
        <v>50</v>
      </c>
      <c r="B56" s="56" t="s">
        <v>74</v>
      </c>
      <c r="C56" s="97">
        <v>0.22500000000000001</v>
      </c>
      <c r="D56" s="56">
        <v>12.336295138177199</v>
      </c>
      <c r="E56" s="56">
        <v>5.0289940279915504</v>
      </c>
      <c r="F56" s="56">
        <v>62.0391545774349</v>
      </c>
      <c r="G56" s="57">
        <v>5.0000000000000001E-3</v>
      </c>
      <c r="H56" s="98">
        <v>-2.2148653445468698</v>
      </c>
      <c r="I56" s="98">
        <v>2.4980997654808998</v>
      </c>
      <c r="J56" s="98">
        <v>60.517280946092498</v>
      </c>
      <c r="K56" s="98">
        <v>58.302415601545597</v>
      </c>
      <c r="L56" s="56">
        <v>2.4980997654808998</v>
      </c>
    </row>
    <row r="57" spans="1:12" x14ac:dyDescent="0.25">
      <c r="A57">
        <f t="shared" si="1"/>
        <v>51</v>
      </c>
      <c r="B57" s="56" t="s">
        <v>75</v>
      </c>
      <c r="C57" s="57">
        <v>2.0965430056988299</v>
      </c>
      <c r="D57" s="56">
        <v>0</v>
      </c>
      <c r="E57" s="56">
        <v>5.9477584966961103</v>
      </c>
      <c r="F57" s="56">
        <v>0</v>
      </c>
      <c r="G57" s="58">
        <v>0</v>
      </c>
      <c r="H57" s="56">
        <v>-1.29610087584231</v>
      </c>
      <c r="I57" s="56">
        <v>0</v>
      </c>
      <c r="J57" s="56">
        <v>0</v>
      </c>
      <c r="K57" s="56">
        <v>-1.29610087584231</v>
      </c>
      <c r="L57" s="56">
        <v>0</v>
      </c>
    </row>
    <row r="58" spans="1:12" x14ac:dyDescent="0.25">
      <c r="A58">
        <f t="shared" si="1"/>
        <v>52</v>
      </c>
      <c r="B58" s="56" t="s">
        <v>76</v>
      </c>
      <c r="C58" s="57" t="s">
        <v>26</v>
      </c>
      <c r="D58" s="56">
        <v>19.8133944693842</v>
      </c>
      <c r="E58" s="56">
        <v>5.0119869938466897</v>
      </c>
      <c r="F58" s="56">
        <v>99.304475384507697</v>
      </c>
      <c r="G58" s="58">
        <v>0</v>
      </c>
      <c r="H58" s="56">
        <v>-2.2318723786917301</v>
      </c>
      <c r="I58" s="56">
        <v>0</v>
      </c>
      <c r="J58" s="56">
        <v>98.695556690802505</v>
      </c>
      <c r="K58" s="56">
        <v>96.4636843121108</v>
      </c>
      <c r="L58" s="56">
        <v>0</v>
      </c>
    </row>
    <row r="59" spans="1:12" x14ac:dyDescent="0.25">
      <c r="A59">
        <f t="shared" si="1"/>
        <v>53</v>
      </c>
      <c r="B59" s="56" t="s">
        <v>77</v>
      </c>
      <c r="C59" s="57">
        <v>0.67500000000000004</v>
      </c>
      <c r="D59" s="56">
        <v>26.814671395633901</v>
      </c>
      <c r="E59" s="56">
        <v>4.78698699384669</v>
      </c>
      <c r="F59" s="56">
        <v>128.361483215172</v>
      </c>
      <c r="G59" s="58">
        <v>5.0000000000000001E-3</v>
      </c>
      <c r="H59" s="56">
        <v>-2.4568723786917301</v>
      </c>
      <c r="I59" s="56">
        <v>3.7331050333609102</v>
      </c>
      <c r="J59" s="56">
        <v>161.859306322192</v>
      </c>
      <c r="K59" s="56">
        <v>159.4024339435</v>
      </c>
      <c r="L59" s="56">
        <v>5.4299709576158799</v>
      </c>
    </row>
    <row r="60" spans="1:12" x14ac:dyDescent="0.25">
      <c r="A60">
        <f t="shared" si="1"/>
        <v>54</v>
      </c>
      <c r="B60" s="56" t="s">
        <v>78</v>
      </c>
      <c r="C60" s="97">
        <v>0.22500000000000001</v>
      </c>
      <c r="D60" s="56">
        <v>12.2923937319916</v>
      </c>
      <c r="E60" s="56">
        <v>4.5449799597018297</v>
      </c>
      <c r="F60" s="56">
        <v>55.868683168666202</v>
      </c>
      <c r="G60" s="57">
        <v>5.0000000000000001E-3</v>
      </c>
      <c r="H60" s="98">
        <v>-2.6988794128365901</v>
      </c>
      <c r="I60" s="98">
        <v>2.4892097307282999</v>
      </c>
      <c r="J60" s="98">
        <v>89.537182369401904</v>
      </c>
      <c r="K60" s="98">
        <v>86.8383029565653</v>
      </c>
      <c r="L60" s="56">
        <v>2.4892097307282999</v>
      </c>
    </row>
    <row r="61" spans="1:12" x14ac:dyDescent="0.25">
      <c r="A61">
        <f t="shared" si="1"/>
        <v>55</v>
      </c>
      <c r="B61" s="56" t="s">
        <v>79</v>
      </c>
      <c r="C61" s="57">
        <v>3.09948699384669</v>
      </c>
      <c r="D61" s="56">
        <v>122.69030217904999</v>
      </c>
      <c r="E61" s="56">
        <v>2.8997434969233402</v>
      </c>
      <c r="F61" s="56">
        <v>355.77040587926098</v>
      </c>
      <c r="G61" s="58">
        <v>5.0000000000000001E-3</v>
      </c>
      <c r="H61" s="56">
        <v>-4.3441158756150804</v>
      </c>
      <c r="I61" s="56">
        <v>110.644359993455</v>
      </c>
      <c r="J61" s="56">
        <v>2315.3307433896098</v>
      </c>
      <c r="K61" s="56">
        <v>2310.9866275139998</v>
      </c>
      <c r="L61" s="56">
        <v>24.844786191257601</v>
      </c>
    </row>
    <row r="62" spans="1:12" x14ac:dyDescent="0.25">
      <c r="A62">
        <f t="shared" si="1"/>
        <v>56</v>
      </c>
      <c r="B62" s="56" t="s">
        <v>80</v>
      </c>
      <c r="C62" s="97">
        <v>0.22500000000000001</v>
      </c>
      <c r="D62" s="56">
        <v>12.2923937319916</v>
      </c>
      <c r="E62" s="56">
        <v>1.2545070341448601</v>
      </c>
      <c r="F62" s="56">
        <v>15.420894403261601</v>
      </c>
      <c r="G62" s="57">
        <v>5.0000000000000001E-3</v>
      </c>
      <c r="H62" s="98">
        <v>-5.9893523383935596</v>
      </c>
      <c r="I62" s="98">
        <v>2.4892097307282999</v>
      </c>
      <c r="J62" s="98">
        <v>440.95694498803999</v>
      </c>
      <c r="K62" s="98">
        <v>434.96759264964697</v>
      </c>
      <c r="L62" s="56">
        <v>2.4892097307282999</v>
      </c>
    </row>
    <row r="63" spans="1:12" x14ac:dyDescent="0.25">
      <c r="A63">
        <f t="shared" si="1"/>
        <v>57</v>
      </c>
      <c r="B63" s="56" t="s">
        <v>81</v>
      </c>
      <c r="C63" s="97">
        <v>3.5494869938466902</v>
      </c>
      <c r="D63" s="56">
        <v>11.813566119223299</v>
      </c>
      <c r="E63" s="56">
        <v>2.8997434969233402</v>
      </c>
      <c r="F63" s="56">
        <v>34.2563115296918</v>
      </c>
      <c r="G63" s="57">
        <v>0</v>
      </c>
      <c r="H63" s="98">
        <v>-4.3441158756150804</v>
      </c>
      <c r="I63" s="98">
        <v>13.5992436577845</v>
      </c>
      <c r="J63" s="98">
        <v>222.93785522662299</v>
      </c>
      <c r="K63" s="98">
        <v>218.593739351008</v>
      </c>
      <c r="L63" s="56">
        <v>2.3922471391427198</v>
      </c>
    </row>
    <row r="64" spans="1:12" x14ac:dyDescent="0.25">
      <c r="A64">
        <f t="shared" si="1"/>
        <v>58</v>
      </c>
      <c r="B64" s="56" t="s">
        <v>82</v>
      </c>
      <c r="C64" s="57" t="s">
        <v>26</v>
      </c>
      <c r="D64" s="56">
        <v>46.363343058359</v>
      </c>
      <c r="E64" s="56">
        <v>1.2375</v>
      </c>
      <c r="F64" s="56">
        <v>57.374637034719299</v>
      </c>
      <c r="G64" s="58">
        <v>0</v>
      </c>
      <c r="H64" s="56">
        <v>-6.0063593725384203</v>
      </c>
      <c r="I64" s="56">
        <v>0</v>
      </c>
      <c r="J64" s="56">
        <v>1672.6203263571999</v>
      </c>
      <c r="K64" s="56">
        <v>1666.61396698466</v>
      </c>
      <c r="L64" s="56">
        <v>0</v>
      </c>
    </row>
    <row r="65" spans="1:12" x14ac:dyDescent="0.25">
      <c r="A65" s="111">
        <f>A64+1</f>
        <v>59</v>
      </c>
      <c r="B65" s="56" t="s">
        <v>83</v>
      </c>
      <c r="C65" s="97">
        <v>0.44988866403231997</v>
      </c>
      <c r="D65" s="56">
        <v>8.9338014754788198</v>
      </c>
      <c r="E65" s="56">
        <v>2.8997434969233402</v>
      </c>
      <c r="F65" s="56">
        <v>25.905732731323901</v>
      </c>
      <c r="G65" s="57">
        <v>5.0000000000000001E-3</v>
      </c>
      <c r="H65" s="98">
        <v>-4.3441158756150804</v>
      </c>
      <c r="I65" s="98">
        <v>1.8090947987844599</v>
      </c>
      <c r="J65" s="98">
        <v>168.59282962176599</v>
      </c>
      <c r="K65" s="98">
        <v>164.248713746151</v>
      </c>
      <c r="L65" s="56">
        <v>1.8090947987844599</v>
      </c>
    </row>
    <row r="66" spans="1:12" x14ac:dyDescent="0.25">
      <c r="A66">
        <f>A65+1</f>
        <v>60</v>
      </c>
      <c r="B66" s="56" t="s">
        <v>84</v>
      </c>
      <c r="C66" s="57">
        <v>0.9</v>
      </c>
      <c r="D66" s="56">
        <v>35.752895194178599</v>
      </c>
      <c r="E66" s="56">
        <v>0.45</v>
      </c>
      <c r="F66" s="56">
        <v>16.0888028373803</v>
      </c>
      <c r="G66" s="58">
        <v>5.0000000000000001E-3</v>
      </c>
      <c r="H66" s="56">
        <v>-6.79385937253842</v>
      </c>
      <c r="I66" s="56">
        <v>9.6532817024282291</v>
      </c>
      <c r="J66" s="56">
        <v>1650.2294070673399</v>
      </c>
      <c r="K66" s="56">
        <v>1643.4355476948101</v>
      </c>
      <c r="L66" s="56">
        <v>7.2399612768211696</v>
      </c>
    </row>
    <row r="67" spans="1:12" x14ac:dyDescent="0.25">
      <c r="A67">
        <f t="shared" si="1"/>
        <v>61</v>
      </c>
      <c r="B67" s="56" t="s">
        <v>85</v>
      </c>
      <c r="C67" s="57">
        <v>0.45</v>
      </c>
      <c r="D67" s="56">
        <v>17.723076001915199</v>
      </c>
      <c r="E67" s="56">
        <v>0.22500000000000001</v>
      </c>
      <c r="F67" s="56">
        <v>3.98769210043092</v>
      </c>
      <c r="G67" s="58">
        <v>0</v>
      </c>
      <c r="H67" s="56">
        <v>-7.0188593725384196</v>
      </c>
      <c r="I67" s="56">
        <v>0</v>
      </c>
      <c r="J67" s="56">
        <v>873.11647306528801</v>
      </c>
      <c r="K67" s="56">
        <v>866.09761369274997</v>
      </c>
      <c r="L67" s="56">
        <v>3.5889228903878299</v>
      </c>
    </row>
    <row r="68" spans="1:12" x14ac:dyDescent="0.25">
      <c r="A68">
        <f t="shared" si="1"/>
        <v>62</v>
      </c>
      <c r="B68" s="56" t="s">
        <v>86</v>
      </c>
      <c r="C68" s="57" t="s">
        <v>26</v>
      </c>
      <c r="D68" s="59">
        <v>2.3199965356644499</v>
      </c>
      <c r="E68" s="56">
        <v>1.3232837221203699</v>
      </c>
      <c r="F68" s="56">
        <v>3.0700136510204401</v>
      </c>
      <c r="G68" s="58">
        <v>0</v>
      </c>
      <c r="H68" s="56">
        <v>-5.9205756504180398</v>
      </c>
      <c r="I68" s="56">
        <v>0</v>
      </c>
      <c r="J68" s="56">
        <v>81.3233397588873</v>
      </c>
      <c r="K68" s="56">
        <v>75.402764108469299</v>
      </c>
      <c r="L68" s="56">
        <v>0</v>
      </c>
    </row>
    <row r="69" spans="1:12" x14ac:dyDescent="0.25">
      <c r="A69">
        <f t="shared" si="1"/>
        <v>63</v>
      </c>
      <c r="B69" s="56" t="s">
        <v>87</v>
      </c>
      <c r="C69" s="57">
        <v>1.3232837221203699</v>
      </c>
      <c r="D69" s="56">
        <v>124.267278465583</v>
      </c>
      <c r="E69" s="56">
        <v>0.1125</v>
      </c>
      <c r="F69" s="56">
        <v>13.9800688273781</v>
      </c>
      <c r="G69" s="58">
        <v>0</v>
      </c>
      <c r="H69" s="56">
        <v>-7.1313593725384203</v>
      </c>
      <c r="I69" s="56">
        <v>0</v>
      </c>
      <c r="J69" s="56">
        <v>6319.7723162572602</v>
      </c>
      <c r="K69" s="56">
        <v>6312.6409568847203</v>
      </c>
      <c r="L69" s="56">
        <v>0</v>
      </c>
    </row>
    <row r="70" spans="1:12" x14ac:dyDescent="0.25">
      <c r="A70">
        <f t="shared" si="1"/>
        <v>64</v>
      </c>
      <c r="B70" s="56" t="s">
        <v>88</v>
      </c>
      <c r="C70" s="97">
        <v>2.0965430056988299</v>
      </c>
      <c r="D70" s="56">
        <v>456.72731213958713</v>
      </c>
      <c r="E70" s="56">
        <v>5.9477584966961103</v>
      </c>
      <c r="F70" s="56">
        <f>Table1[[#This Row],[Mass (kg)]]*Table1[[#This Row],[Distance (m)]]</f>
        <v>2716.5037514514061</v>
      </c>
      <c r="G70" s="57">
        <v>0</v>
      </c>
      <c r="H70" s="98">
        <v>-1.29610087584231</v>
      </c>
      <c r="I70" s="98">
        <v>0</v>
      </c>
      <c r="J70" s="98">
        <v>1676.84414320364</v>
      </c>
      <c r="K70" s="98">
        <v>1675.54804232779</v>
      </c>
      <c r="L70" s="56">
        <v>0</v>
      </c>
    </row>
    <row r="71" spans="1:12" x14ac:dyDescent="0.25">
      <c r="A71">
        <f t="shared" si="1"/>
        <v>65</v>
      </c>
      <c r="B71" s="56" t="s">
        <v>89</v>
      </c>
      <c r="C71" s="97">
        <v>3.5494869938466902</v>
      </c>
      <c r="D71" s="56">
        <v>1068.7419104066337</v>
      </c>
      <c r="E71" s="56">
        <v>5.9477584966961103</v>
      </c>
      <c r="F71" s="56">
        <f>Table1[[#This Row],[Distance (m)]]*Table1[[#This Row],[Mass (kg)]]</f>
        <v>6356.6187783962887</v>
      </c>
      <c r="G71" s="57">
        <v>0</v>
      </c>
      <c r="H71" s="98">
        <v>-1.29610087584231</v>
      </c>
      <c r="I71" s="98">
        <v>0</v>
      </c>
      <c r="J71" s="98">
        <v>3923.81529509652</v>
      </c>
      <c r="K71" s="98">
        <v>3922.5191942206702</v>
      </c>
      <c r="L71" s="56">
        <v>0</v>
      </c>
    </row>
    <row r="72" spans="1:12" x14ac:dyDescent="0.25">
      <c r="A72" s="15" t="s">
        <v>90</v>
      </c>
      <c r="B72" s="15"/>
      <c r="C72" s="15"/>
      <c r="D72" s="15">
        <f>SUBTOTAL(109,Table1[Mass (kg)])</f>
        <v>4267.4739456794123</v>
      </c>
      <c r="E72" s="15"/>
      <c r="F72" s="15">
        <f>SUBTOTAL(109,Table1[Moment (kgm)])</f>
        <v>33256.979280122097</v>
      </c>
      <c r="G72" s="15"/>
      <c r="H72" s="15"/>
      <c r="I72" s="15">
        <f>SUBTOTAL(109,Table1[J0])</f>
        <v>264.98772125895835</v>
      </c>
      <c r="J72" s="15"/>
      <c r="K72" s="15">
        <f>SUBTOTAL(109,Table1[Jpitch/yaw])</f>
        <v>57239.173625680123</v>
      </c>
      <c r="L72" s="15">
        <f>SUBTOTAL(109,Table1[Jroll])</f>
        <v>196.43357530691608</v>
      </c>
    </row>
    <row r="73" spans="1:12" x14ac:dyDescent="0.25">
      <c r="A73" s="50"/>
      <c r="B73" s="50"/>
      <c r="C73" s="50"/>
      <c r="D73" s="50"/>
      <c r="E73" s="50"/>
      <c r="F73" s="50" t="s">
        <v>91</v>
      </c>
      <c r="G73" s="50">
        <f>Table1[[#Totals],[Moment (kgm)]]/Table1[[#Totals],[Mass (kg)]]</f>
        <v>7.7931300116765794</v>
      </c>
      <c r="H73" s="50"/>
      <c r="I73" s="50"/>
      <c r="J73" s="50" t="s">
        <v>92</v>
      </c>
      <c r="K73" s="50">
        <f>Table1[[#Totals],[J0]]/Table1[[#Totals],[Jpitch/yaw]]</f>
        <v>4.6294819522005237E-3</v>
      </c>
      <c r="L73" s="50" t="s">
        <v>93</v>
      </c>
    </row>
    <row r="78" spans="1:12" x14ac:dyDescent="0.25">
      <c r="J78" t="s">
        <v>223</v>
      </c>
      <c r="K78">
        <v>7257.4</v>
      </c>
      <c r="L78" t="s">
        <v>224</v>
      </c>
    </row>
    <row r="79" spans="1:12" x14ac:dyDescent="0.25">
      <c r="J79" t="s">
        <v>225</v>
      </c>
      <c r="K79">
        <v>5535.1635723704221</v>
      </c>
      <c r="L79" t="s">
        <v>224</v>
      </c>
    </row>
    <row r="80" spans="1:12" x14ac:dyDescent="0.25">
      <c r="J80" t="s">
        <v>226</v>
      </c>
      <c r="K80">
        <f>K78-K79</f>
        <v>1722.2364276295775</v>
      </c>
      <c r="L80" t="s">
        <v>224</v>
      </c>
    </row>
    <row r="81" spans="9:12" x14ac:dyDescent="0.25">
      <c r="J81" t="s">
        <v>227</v>
      </c>
      <c r="K81">
        <f>SUM(M36:M39)</f>
        <v>0</v>
      </c>
      <c r="L81" t="s">
        <v>224</v>
      </c>
    </row>
    <row r="82" spans="9:12" x14ac:dyDescent="0.25">
      <c r="J82" t="s">
        <v>228</v>
      </c>
      <c r="K82">
        <f>K81-K80</f>
        <v>-1722.2364276295775</v>
      </c>
      <c r="L82" t="s">
        <v>224</v>
      </c>
    </row>
    <row r="84" spans="9:12" x14ac:dyDescent="0.25">
      <c r="J84" t="s">
        <v>229</v>
      </c>
      <c r="K84">
        <v>0.21978021978021978</v>
      </c>
    </row>
    <row r="85" spans="9:12" x14ac:dyDescent="0.25">
      <c r="J85" s="4" t="s">
        <v>230</v>
      </c>
      <c r="K85" s="4">
        <v>0.78021978021978022</v>
      </c>
    </row>
    <row r="86" spans="9:12" x14ac:dyDescent="0.25">
      <c r="J86" s="4"/>
      <c r="K86" s="4"/>
    </row>
    <row r="87" spans="9:12" x14ac:dyDescent="0.25">
      <c r="I87" t="s">
        <v>26</v>
      </c>
      <c r="J87" s="37" t="s">
        <v>231</v>
      </c>
      <c r="K87">
        <f>K84*K80</f>
        <v>378.51350057792911</v>
      </c>
      <c r="L87" t="s">
        <v>224</v>
      </c>
    </row>
    <row r="88" spans="9:12" x14ac:dyDescent="0.25">
      <c r="J88" s="37" t="s">
        <v>232</v>
      </c>
      <c r="K88">
        <f>K85*K80</f>
        <v>1343.7229270516484</v>
      </c>
      <c r="L88" t="s">
        <v>224</v>
      </c>
    </row>
    <row r="91" spans="9:12" x14ac:dyDescent="0.25">
      <c r="J91" t="s">
        <v>91</v>
      </c>
      <c r="K91">
        <v>4.1040000000000001</v>
      </c>
      <c r="L91" t="s">
        <v>116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8C940-40C7-4767-9943-083C118F832F}">
  <dimension ref="B1:T80"/>
  <sheetViews>
    <sheetView topLeftCell="C24" zoomScaleNormal="100" workbookViewId="0">
      <selection activeCell="G74" sqref="G74"/>
    </sheetView>
  </sheetViews>
  <sheetFormatPr defaultRowHeight="15" x14ac:dyDescent="0.25"/>
  <cols>
    <col min="2" max="2" width="13.7109375" bestFit="1" customWidth="1"/>
    <col min="3" max="3" width="21.7109375" bestFit="1" customWidth="1"/>
    <col min="4" max="4" width="15" bestFit="1" customWidth="1"/>
    <col min="5" max="5" width="15.5703125" bestFit="1" customWidth="1"/>
    <col min="6" max="6" width="17.140625" bestFit="1" customWidth="1"/>
    <col min="7" max="7" width="14.28515625" bestFit="1" customWidth="1"/>
    <col min="8" max="8" width="24" bestFit="1" customWidth="1"/>
    <col min="9" max="9" width="18.140625" bestFit="1" customWidth="1"/>
    <col min="10" max="10" width="9.85546875" bestFit="1" customWidth="1"/>
    <col min="11" max="11" width="13" customWidth="1"/>
    <col min="12" max="12" width="11.28515625" customWidth="1"/>
    <col min="13" max="13" width="13.85546875" customWidth="1"/>
    <col min="14" max="14" width="17.28515625" customWidth="1"/>
    <col min="15" max="15" width="18.7109375" customWidth="1"/>
    <col min="16" max="16" width="9.42578125" customWidth="1"/>
    <col min="17" max="17" width="10.140625" customWidth="1"/>
    <col min="18" max="18" width="10.85546875" customWidth="1"/>
    <col min="19" max="19" width="11.5703125" customWidth="1"/>
  </cols>
  <sheetData>
    <row r="1" spans="2:20" ht="15.75" thickBot="1" x14ac:dyDescent="0.3"/>
    <row r="2" spans="2:20" ht="15.75" thickBot="1" x14ac:dyDescent="0.3">
      <c r="B2" s="187" t="s">
        <v>239</v>
      </c>
      <c r="C2" s="189"/>
      <c r="E2" s="187" t="s">
        <v>240</v>
      </c>
      <c r="F2" s="189"/>
    </row>
    <row r="3" spans="2:20" ht="15.75" thickBot="1" x14ac:dyDescent="0.3">
      <c r="B3" s="169" t="s">
        <v>298</v>
      </c>
      <c r="C3" s="170">
        <v>0.39</v>
      </c>
      <c r="E3" s="167"/>
      <c r="F3" s="168"/>
    </row>
    <row r="4" spans="2:20" ht="18" x14ac:dyDescent="0.35">
      <c r="B4" s="1" t="s">
        <v>163</v>
      </c>
      <c r="C4" s="2">
        <v>0.45</v>
      </c>
      <c r="E4" s="1" t="s">
        <v>241</v>
      </c>
      <c r="F4" s="2">
        <v>1140</v>
      </c>
    </row>
    <row r="5" spans="2:20" ht="18.75" thickBot="1" x14ac:dyDescent="0.4">
      <c r="B5" s="6" t="s">
        <v>167</v>
      </c>
      <c r="C5" s="133">
        <f>'[2]HW10 and HW11'!C4</f>
        <v>0.45</v>
      </c>
      <c r="E5" s="6" t="s">
        <v>242</v>
      </c>
      <c r="F5" s="133">
        <v>820</v>
      </c>
    </row>
    <row r="6" spans="2:20" ht="15.75" thickBot="1" x14ac:dyDescent="0.3"/>
    <row r="7" spans="2:20" ht="15.75" thickBot="1" x14ac:dyDescent="0.3">
      <c r="B7" s="187" t="s">
        <v>243</v>
      </c>
      <c r="C7" s="188"/>
      <c r="D7" s="188"/>
      <c r="E7" s="188"/>
      <c r="F7" s="188"/>
      <c r="G7" s="188"/>
      <c r="H7" s="188"/>
      <c r="I7" s="188"/>
      <c r="J7" s="188"/>
      <c r="K7" s="188"/>
      <c r="L7" s="188"/>
      <c r="M7" s="188"/>
      <c r="N7" s="188"/>
      <c r="O7" s="188"/>
      <c r="P7" s="188"/>
      <c r="Q7" s="188"/>
      <c r="R7" s="188"/>
      <c r="S7" s="189"/>
    </row>
    <row r="8" spans="2:20" ht="18.75" x14ac:dyDescent="0.35">
      <c r="B8" s="15" t="s">
        <v>193</v>
      </c>
      <c r="C8" s="15" t="s">
        <v>194</v>
      </c>
      <c r="D8" s="15" t="s">
        <v>244</v>
      </c>
      <c r="E8" s="15" t="s">
        <v>13</v>
      </c>
      <c r="F8" s="15" t="s">
        <v>245</v>
      </c>
      <c r="G8" s="15" t="s">
        <v>246</v>
      </c>
      <c r="H8" s="15" t="s">
        <v>196</v>
      </c>
      <c r="I8" s="15" t="s">
        <v>197</v>
      </c>
      <c r="J8" s="134" t="s">
        <v>247</v>
      </c>
      <c r="K8" s="134" t="s">
        <v>248</v>
      </c>
      <c r="L8" s="134" t="s">
        <v>249</v>
      </c>
      <c r="M8" s="15" t="s">
        <v>250</v>
      </c>
      <c r="N8" s="15" t="s">
        <v>251</v>
      </c>
      <c r="O8" s="15" t="s">
        <v>252</v>
      </c>
      <c r="P8" s="15" t="s">
        <v>253</v>
      </c>
      <c r="Q8" s="15" t="s">
        <v>254</v>
      </c>
      <c r="R8" s="15" t="s">
        <v>255</v>
      </c>
      <c r="S8" s="15" t="s">
        <v>256</v>
      </c>
    </row>
    <row r="9" spans="2:20" x14ac:dyDescent="0.25">
      <c r="B9" s="49">
        <v>1</v>
      </c>
      <c r="C9" s="4" t="s">
        <v>198</v>
      </c>
      <c r="D9" t="s">
        <v>258</v>
      </c>
      <c r="E9" s="135">
        <v>5.0000000000000001E-4</v>
      </c>
      <c r="F9" s="159"/>
      <c r="G9" s="160">
        <f>VLOOKUP(Table37[[#This Row],[Location]],External_Loads[[Location]:[Axial Load (N)]],3,FALSE)</f>
        <v>0</v>
      </c>
      <c r="H9" s="160">
        <f>VLOOKUP(Table37[[#This Row],[Location]],External_Loads[[Location]:[Axial Load (N)]],4,FALSE)</f>
        <v>0</v>
      </c>
      <c r="I9" s="160">
        <f>VLOOKUP(Table37[[#This Row],[Location]],External_Loads[[Location]:[Axial Load (N)]],5,FALSE)</f>
        <v>0</v>
      </c>
      <c r="J9" s="161">
        <f>(Table37[[#This Row],[Shear (N)]]/(2*PI()*$C$3*Table37[[#This Row],[Thickness (m)]]))/(10^6)</f>
        <v>0</v>
      </c>
      <c r="K9" s="162">
        <f>Table37[[#This Row],[Axial Load (N)]]/(PI()*((($C$3+Table37[[#This Row],[Thickness (m)]])^2)-(($C$3)^2)))/10^6</f>
        <v>0</v>
      </c>
      <c r="L9" s="162">
        <f>((-Table37[[#This Row],[Axial Load (N)]]/(2*PI()*$C$4*Table37[[#This Row],[Thickness (m)]]))/(10^6))</f>
        <v>0</v>
      </c>
      <c r="M9" s="157">
        <f>(Table37[[#This Row],[Bending Moment (Nm)]]/(PI()*($C$4^2)*Table37[[#This Row],[Thickness (m)]]))/(10^6)</f>
        <v>0</v>
      </c>
      <c r="N9" s="157">
        <f>-ABS(Table37[[#This Row],[σa (MPA)]])-ABS(Table37[[#This Row],[σb (Mpa)]])+Table37[[#This Row],[σaxial (MPA)]]</f>
        <v>0</v>
      </c>
      <c r="O9" s="157">
        <f>Table37[[#This Row],[σaxial (MPA)]]*2</f>
        <v>0</v>
      </c>
      <c r="P9" s="158" t="e">
        <f>ABS(VLOOKUP(Table37[[#This Row],[Material]],Table7[[Material]:[Source]],5,FALSE)/Table37[[#This Row],[σmax-vertical (Mpa)]])</f>
        <v>#DIV/0!</v>
      </c>
      <c r="Q9" s="163" t="e">
        <f>(Table37[[#This Row],[FSvertical]]-1)</f>
        <v>#DIV/0!</v>
      </c>
      <c r="R9" s="164" t="e">
        <f>ABS(VLOOKUP(Table37[[#This Row],[Material]],Table7[[Material]:[Source]],5,FALSE)/Table37[[#This Row],[σmax-horizontal (Mpa)]])</f>
        <v>#DIV/0!</v>
      </c>
      <c r="S9" s="163" t="e">
        <f>(Table37[[#This Row],[FShorizontal]]-1)</f>
        <v>#DIV/0!</v>
      </c>
      <c r="T9" s="139"/>
    </row>
    <row r="10" spans="2:20" x14ac:dyDescent="0.25">
      <c r="B10" s="49">
        <v>2</v>
      </c>
      <c r="C10" s="4" t="s">
        <v>200</v>
      </c>
      <c r="D10" t="s">
        <v>258</v>
      </c>
      <c r="E10" s="135">
        <v>5.0000000000000001E-4</v>
      </c>
      <c r="F10" s="159"/>
      <c r="G10" s="160">
        <f>VLOOKUP(Table37[[#This Row],[Location]],External_Loads[[Location]:[Axial Load (N)]],3,FALSE)</f>
        <v>852.4168198765442</v>
      </c>
      <c r="H10" s="160">
        <f>VLOOKUP(Table37[[#This Row],[Location]],External_Loads[[Location]:[Axial Load (N)]],4,FALSE)</f>
        <v>1460.4741513884499</v>
      </c>
      <c r="I10" s="160">
        <f>VLOOKUP(Table37[[#This Row],[Location]],External_Loads[[Location]:[Axial Load (N)]],5,FALSE)</f>
        <v>1670.8341207919134</v>
      </c>
      <c r="J10" s="161">
        <f>(Table37[[#This Row],[Shear (N)]]/(2*PI()*$C$3*Table37[[#This Row],[Thickness (m)]]))/(10^6)</f>
        <v>0.69572487414372197</v>
      </c>
      <c r="K10" s="162">
        <f>Table37[[#This Row],[Axial Load (N)]]/(PI()*((($C$3+Table37[[#This Row],[Thickness (m)]])^2)-(($C$3)^2)))/10^6</f>
        <v>1.3628264415663194</v>
      </c>
      <c r="L10" s="162">
        <f>((-Table37[[#This Row],[Axial Load (N)]]/(2*PI()*$C$4*Table37[[#This Row],[Thickness (m)]]))/(10^6))</f>
        <v>-1.1818733751583732</v>
      </c>
      <c r="M10" s="157">
        <f>(Table37[[#This Row],[Bending Moment (Nm)]]/(PI()*($C$4^2)*Table37[[#This Row],[Thickness (m)]]))/(10^6)</f>
        <v>4.5914406015093894</v>
      </c>
      <c r="N10" s="157">
        <f>-ABS(Table37[[#This Row],[σa (MPA)]])-ABS(Table37[[#This Row],[σb (Mpa)]])+Table37[[#This Row],[σaxial (MPA)]]</f>
        <v>-4.410487535101443</v>
      </c>
      <c r="O10" s="157">
        <f>Table37[[#This Row],[σaxial (MPA)]]*2</f>
        <v>2.7256528831326388</v>
      </c>
      <c r="P10" s="158">
        <f>ABS(VLOOKUP(Table37[[#This Row],[Material]],Table7[[Material]:[Source]],5,FALSE)/Table37[[#This Row],[σmax-vertical (Mpa)]])</f>
        <v>114.0463488439336</v>
      </c>
      <c r="Q10" s="163">
        <f>(Table37[[#This Row],[FSvertical]]-1)</f>
        <v>113.0463488439336</v>
      </c>
      <c r="R10" s="164">
        <f>ABS(VLOOKUP(Table37[[#This Row],[Material]],Table7[[Material]:[Source]],5,FALSE)/Table37[[#This Row],[σmax-horizontal (Mpa)]])</f>
        <v>184.54294129408498</v>
      </c>
      <c r="S10" s="163">
        <f>(Table37[[#This Row],[FShorizontal]]-1)</f>
        <v>183.54294129408498</v>
      </c>
    </row>
    <row r="11" spans="2:20" x14ac:dyDescent="0.25">
      <c r="B11" s="49">
        <v>3</v>
      </c>
      <c r="C11" s="4" t="s">
        <v>201</v>
      </c>
      <c r="D11" t="s">
        <v>258</v>
      </c>
      <c r="E11" s="135">
        <v>5.0000000000000001E-4</v>
      </c>
      <c r="F11" s="112"/>
      <c r="G11" s="160">
        <f>VLOOKUP(Table37[[#This Row],[Location]],External_Loads[[Location]:[Axial Load (N)]],3,FALSE)</f>
        <v>1033.4165382491674</v>
      </c>
      <c r="H11" s="160">
        <f>VLOOKUP(Table37[[#This Row],[Location]],External_Loads[[Location]:[Axial Load (N)]],4,FALSE)</f>
        <v>2122.9908770627312</v>
      </c>
      <c r="I11" s="160">
        <f>VLOOKUP(Table37[[#This Row],[Location]],External_Loads[[Location]:[Axial Load (N)]],5,FALSE)</f>
        <v>1915.7024540536181</v>
      </c>
      <c r="J11" s="161">
        <f>(Table37[[#This Row],[Shear (N)]]/(2*PI()*$C$3*Table37[[#This Row],[Thickness (m)]]))/(10^6)</f>
        <v>0.8434530786424087</v>
      </c>
      <c r="K11" s="162">
        <f>Table37[[#This Row],[Axial Load (N)]]/(PI()*((($C$3+Table37[[#This Row],[Thickness (m)]])^2)-(($C$3)^2)))/10^6</f>
        <v>1.5625548497419659</v>
      </c>
      <c r="L11" s="162">
        <f>((-Table37[[#This Row],[Axial Load (N)]]/(2*PI()*$C$4*Table37[[#This Row],[Thickness (m)]]))/(10^6))</f>
        <v>-1.3550822891373684</v>
      </c>
      <c r="M11" s="157">
        <f>(Table37[[#This Row],[Bending Moment (Nm)]]/(PI()*($C$4^2)*Table37[[#This Row],[Thickness (m)]]))/(10^6)</f>
        <v>6.6742615747858158</v>
      </c>
      <c r="N11" s="157">
        <f>-ABS(Table37[[#This Row],[σa (MPA)]])-ABS(Table37[[#This Row],[σb (Mpa)]])+Table37[[#This Row],[σaxial (MPA)]]</f>
        <v>-6.4667890141812183</v>
      </c>
      <c r="O11" s="157">
        <f>Table37[[#This Row],[σaxial (MPA)]]*2</f>
        <v>3.1251096994839318</v>
      </c>
      <c r="P11" s="158">
        <f>ABS(VLOOKUP(Table37[[#This Row],[Material]],Table7[[Material]:[Source]],5,FALSE)/Table37[[#This Row],[σmax-vertical (Mpa)]])</f>
        <v>77.782033540441162</v>
      </c>
      <c r="Q11" s="163">
        <f>(Table37[[#This Row],[FSvertical]]-1)</f>
        <v>76.782033540441162</v>
      </c>
      <c r="R11" s="164">
        <f>ABS(VLOOKUP(Table37[[#This Row],[Material]],Table7[[Material]:[Source]],5,FALSE)/Table37[[#This Row],[σmax-horizontal (Mpa)]])</f>
        <v>160.95434988508194</v>
      </c>
      <c r="S11" s="163">
        <f>(Table37[[#This Row],[FShorizontal]]-1)</f>
        <v>159.95434988508194</v>
      </c>
    </row>
    <row r="12" spans="2:20" x14ac:dyDescent="0.25">
      <c r="B12" s="49">
        <v>4</v>
      </c>
      <c r="C12" s="4" t="s">
        <v>202</v>
      </c>
      <c r="D12" t="s">
        <v>258</v>
      </c>
      <c r="E12" s="135">
        <v>5.0000000000000001E-4</v>
      </c>
      <c r="F12" s="112">
        <v>300000</v>
      </c>
      <c r="G12" s="160">
        <f>VLOOKUP(Table37[[#This Row],[Location]],External_Loads[[Location]:[Axial Load (N)]],3,FALSE)</f>
        <v>1037.4924014396763</v>
      </c>
      <c r="H12" s="160">
        <f>VLOOKUP(Table37[[#This Row],[Location]],External_Loads[[Location]:[Axial Load (N)]],4,FALSE)</f>
        <v>2138.9325412759958</v>
      </c>
      <c r="I12" s="160">
        <f>VLOOKUP(Table37[[#This Row],[Location]],External_Loads[[Location]:[Axial Load (N)]],5,FALSE)</f>
        <v>2941.1412850532479</v>
      </c>
      <c r="J12" s="161">
        <f>(Table37[[#This Row],[Shear (N)]]/(2*PI()*$C$3*Table37[[#This Row],[Thickness (m)]]))/(10^6)</f>
        <v>0.84677971338156666</v>
      </c>
      <c r="K12" s="162">
        <f>Table37[[#This Row],[Axial Load (N)]]/(PI()*((($C$3+Table37[[#This Row],[Thickness (m)]])^2)-(($C$3)^2)))/10^6</f>
        <v>2.3989605322119836</v>
      </c>
      <c r="L12" s="162">
        <f>((-Table37[[#This Row],[Axial Load (N)]]/(2*PI()*$C$4*Table37[[#This Row],[Thickness (m)]]))/(10^6))</f>
        <v>-2.0804318837683273</v>
      </c>
      <c r="M12" s="157">
        <f>(Table37[[#This Row],[Bending Moment (Nm)]]/(PI()*($C$4^2)*Table37[[#This Row],[Thickness (m)]]))/(10^6)</f>
        <v>6.7243790001814148</v>
      </c>
      <c r="N12" s="157">
        <f>-ABS(Table37[[#This Row],[σa (MPA)]])-ABS(Table37[[#This Row],[σb (Mpa)]])+Table37[[#This Row],[σaxial (MPA)]]</f>
        <v>-6.4058503517377581</v>
      </c>
      <c r="O12" s="157">
        <f>Table37[[#This Row],[σaxial (MPA)]]*2</f>
        <v>4.7979210644239672</v>
      </c>
      <c r="P12" s="158">
        <f>ABS(VLOOKUP(Table37[[#This Row],[Material]],Table7[[Material]:[Source]],5,FALSE)/Table37[[#This Row],[σmax-vertical (Mpa)]])</f>
        <v>78.521971694756786</v>
      </c>
      <c r="Q12" s="163">
        <f>(Table37[[#This Row],[FSvertical]]-1)</f>
        <v>77.521971694756786</v>
      </c>
      <c r="R12" s="164">
        <f>ABS(VLOOKUP(Table37[[#This Row],[Material]],Table7[[Material]:[Source]],5,FALSE)/Table37[[#This Row],[σmax-horizontal (Mpa)]])</f>
        <v>104.83707281674289</v>
      </c>
      <c r="S12" s="163">
        <f>(Table37[[#This Row],[FShorizontal]]-1)</f>
        <v>103.83707281674289</v>
      </c>
    </row>
    <row r="13" spans="2:20" x14ac:dyDescent="0.25">
      <c r="B13" s="49">
        <v>5</v>
      </c>
      <c r="C13" s="4" t="s">
        <v>203</v>
      </c>
      <c r="D13" t="s">
        <v>258</v>
      </c>
      <c r="E13" s="135">
        <v>5.0000000000000001E-4</v>
      </c>
      <c r="F13" s="159"/>
      <c r="G13" s="160">
        <f>VLOOKUP(Table37[[#This Row],[Location]],External_Loads[[Location]:[Axial Load (N)]],3,FALSE)</f>
        <v>1266.4789303898224</v>
      </c>
      <c r="H13" s="160">
        <f>VLOOKUP(Table37[[#This Row],[Location]],External_Loads[[Location]:[Axial Load (N)]],4,FALSE)</f>
        <v>3108.2367781818066</v>
      </c>
      <c r="I13" s="160">
        <f>VLOOKUP(Table37[[#This Row],[Location]],External_Loads[[Location]:[Axial Load (N)]],5,FALSE)</f>
        <v>3137.1784904664223</v>
      </c>
      <c r="J13" s="161">
        <f>(Table37[[#This Row],[Shear (N)]]/(2*PI()*$C$3*Table37[[#This Row],[Thickness (m)]]))/(10^6)</f>
        <v>1.0336737543244956</v>
      </c>
      <c r="K13" s="162">
        <f>Table37[[#This Row],[Axial Load (N)]]/(PI()*((($C$3+Table37[[#This Row],[Thickness (m)]])^2)-(($C$3)^2)))/10^6</f>
        <v>2.5588595214313417</v>
      </c>
      <c r="L13" s="162">
        <f>((-Table37[[#This Row],[Axial Load (N)]]/(2*PI()*$C$4*Table37[[#This Row],[Thickness (m)]]))/(10^6))</f>
        <v>-2.2190998405302294</v>
      </c>
      <c r="M13" s="157">
        <f>(Table37[[#This Row],[Bending Moment (Nm)]]/(PI()*($C$4^2)*Table37[[#This Row],[Thickness (m)]]))/(10^6)</f>
        <v>9.7716789639044244</v>
      </c>
      <c r="N13" s="157">
        <f>-ABS(Table37[[#This Row],[σa (MPA)]])-ABS(Table37[[#This Row],[σb (Mpa)]])+Table37[[#This Row],[σaxial (MPA)]]</f>
        <v>-9.4319192830033138</v>
      </c>
      <c r="O13" s="157">
        <f>Table37[[#This Row],[σaxial (MPA)]]*2</f>
        <v>5.1177190428626833</v>
      </c>
      <c r="P13" s="158">
        <f>ABS(VLOOKUP(Table37[[#This Row],[Material]],Table7[[Material]:[Source]],5,FALSE)/Table37[[#This Row],[σmax-vertical (Mpa)]])</f>
        <v>53.329548833865189</v>
      </c>
      <c r="Q13" s="163">
        <f>(Table37[[#This Row],[FSvertical]]-1)</f>
        <v>52.329548833865189</v>
      </c>
      <c r="R13" s="164">
        <f>ABS(VLOOKUP(Table37[[#This Row],[Material]],Table7[[Material]:[Source]],5,FALSE)/Table37[[#This Row],[σmax-horizontal (Mpa)]])</f>
        <v>98.285973846395123</v>
      </c>
      <c r="S13" s="163">
        <f>(Table37[[#This Row],[FShorizontal]]-1)</f>
        <v>97.285973846395123</v>
      </c>
    </row>
    <row r="14" spans="2:20" x14ac:dyDescent="0.25">
      <c r="B14" s="49">
        <v>6</v>
      </c>
      <c r="C14" s="4" t="s">
        <v>204</v>
      </c>
      <c r="D14" t="s">
        <v>258</v>
      </c>
      <c r="E14" s="135">
        <v>5.0000000000000001E-4</v>
      </c>
      <c r="F14" s="112">
        <v>300000</v>
      </c>
      <c r="G14" s="160">
        <f>VLOOKUP(Table37[[#This Row],[Location]],External_Loads[[Location]:[Axial Load (N)]],3,FALSE)</f>
        <v>1369.2890332434076</v>
      </c>
      <c r="H14" s="160">
        <f>VLOOKUP(Table37[[#This Row],[Location]],External_Loads[[Location]:[Axial Load (N)]],4,FALSE)</f>
        <v>3591.6935743248505</v>
      </c>
      <c r="I14" s="160">
        <f>VLOOKUP(Table37[[#This Row],[Location]],External_Loads[[Location]:[Axial Load (N)]],5,FALSE)</f>
        <v>5559.3008628559946</v>
      </c>
      <c r="J14" s="161">
        <f>(Table37[[#This Row],[Shear (N)]]/(2*PI()*$C$3*Table37[[#This Row],[Thickness (m)]]))/(10^6)</f>
        <v>1.1175852213446715</v>
      </c>
      <c r="K14" s="162">
        <f>Table37[[#This Row],[Axial Load (N)]]/(PI()*((($C$3+Table37[[#This Row],[Thickness (m)]])^2)-(($C$3)^2)))/10^6</f>
        <v>4.5344789876158913</v>
      </c>
      <c r="L14" s="162">
        <f>((-Table37[[#This Row],[Axial Load (N)]]/(2*PI()*$C$4*Table37[[#This Row],[Thickness (m)]]))/(10^6))</f>
        <v>-3.9324009442603138</v>
      </c>
      <c r="M14" s="157">
        <f>(Table37[[#This Row],[Bending Moment (Nm)]]/(PI()*($C$4^2)*Table37[[#This Row],[Thickness (m)]]))/(10^6)</f>
        <v>11.291571089880447</v>
      </c>
      <c r="N14" s="157">
        <f>-ABS(Table37[[#This Row],[σa (MPA)]])-ABS(Table37[[#This Row],[σb (Mpa)]])+Table37[[#This Row],[σaxial (MPA)]]</f>
        <v>-10.68949304652487</v>
      </c>
      <c r="O14" s="157">
        <f>Table37[[#This Row],[σaxial (MPA)]]*2</f>
        <v>9.0689579752317826</v>
      </c>
      <c r="P14" s="158">
        <f>ABS(VLOOKUP(Table37[[#This Row],[Material]],Table7[[Material]:[Source]],5,FALSE)/Table37[[#This Row],[σmax-vertical (Mpa)]])</f>
        <v>47.055552383143571</v>
      </c>
      <c r="Q14" s="163">
        <f>(Table37[[#This Row],[FSvertical]]-1)</f>
        <v>46.055552383143571</v>
      </c>
      <c r="R14" s="164">
        <f>ABS(VLOOKUP(Table37[[#This Row],[Material]],Table7[[Material]:[Source]],5,FALSE)/Table37[[#This Row],[σmax-horizontal (Mpa)]])</f>
        <v>55.463924452372865</v>
      </c>
      <c r="S14" s="163">
        <f>(Table37[[#This Row],[FShorizontal]]-1)</f>
        <v>54.463924452372865</v>
      </c>
    </row>
    <row r="15" spans="2:20" x14ac:dyDescent="0.25">
      <c r="B15" s="49">
        <v>7</v>
      </c>
      <c r="C15" t="s">
        <v>299</v>
      </c>
      <c r="D15" t="s">
        <v>258</v>
      </c>
      <c r="E15" s="135">
        <v>5.0000000000000001E-4</v>
      </c>
      <c r="F15" s="112"/>
      <c r="G15" s="31">
        <f>VLOOKUP(Table37[[#This Row],[Location]],External_Loads[[Location]:[Axial Load (N)]],3,FALSE)</f>
        <v>1540.693346973758</v>
      </c>
      <c r="H15" s="31">
        <f>VLOOKUP(Table37[[#This Row],[Location]],External_Loads[[Location]:[Axial Load (N)]],4,FALSE)</f>
        <v>4407.9784481815595</v>
      </c>
      <c r="I15" s="31">
        <f>VLOOKUP(Table37[[#This Row],[Location]],External_Loads[[Location]:[Axial Load (N)]],5,FALSE)</f>
        <v>5988.9875170722971</v>
      </c>
      <c r="J15" s="125">
        <f>(Table37[[#This Row],[Shear (N)]]/(2*PI()*$C$3*Table37[[#This Row],[Thickness (m)]]))/(10^6)</f>
        <v>1.2574818562034369</v>
      </c>
      <c r="K15" s="162">
        <f>Table37[[#This Row],[Axial Load (N)]]/(PI()*((($C$3+Table37[[#This Row],[Thickness (m)]])^2)-(($C$3)^2)))/10^6</f>
        <v>4.8849556307889399</v>
      </c>
      <c r="L15" s="136">
        <f>((-Table37[[#This Row],[Axial Load (N)]]/(2*PI()*$C$4*Table37[[#This Row],[Thickness (m)]]))/(10^6))</f>
        <v>-4.2363420775898364</v>
      </c>
      <c r="M15" s="137">
        <f>(Table37[[#This Row],[Bending Moment (Nm)]]/(PI()*($C$4^2)*Table37[[#This Row],[Thickness (m)]]))/(10^6)</f>
        <v>13.857808574234808</v>
      </c>
      <c r="N15" s="137">
        <f>-ABS(Table37[[#This Row],[σa (MPA)]])-ABS(Table37[[#This Row],[σb (Mpa)]])+Table37[[#This Row],[σaxial (MPA)]]</f>
        <v>-13.209195021035704</v>
      </c>
      <c r="O15" s="157">
        <f>Table37[[#This Row],[σaxial (MPA)]]*2</f>
        <v>9.7699112615778798</v>
      </c>
      <c r="P15" s="30">
        <f>ABS(VLOOKUP(Table37[[#This Row],[Material]],Table7[[Material]:[Source]],5,FALSE)/Table37[[#This Row],[σmax-vertical (Mpa)]])</f>
        <v>38.079534687690668</v>
      </c>
      <c r="Q15" s="138">
        <f>(Table37[[#This Row],[FSvertical]]-1)</f>
        <v>37.079534687690668</v>
      </c>
      <c r="R15" s="164">
        <f>ABS(VLOOKUP(Table37[[#This Row],[Material]],Table7[[Material]:[Source]],5,FALSE)/Table37[[#This Row],[σmax-horizontal (Mpa)]])</f>
        <v>51.484602729008152</v>
      </c>
      <c r="S15" s="163">
        <f>(Table37[[#This Row],[FShorizontal]]-1)</f>
        <v>50.484602729008152</v>
      </c>
    </row>
    <row r="16" spans="2:20" x14ac:dyDescent="0.25">
      <c r="B16" s="49">
        <v>8</v>
      </c>
      <c r="C16" t="s">
        <v>259</v>
      </c>
      <c r="D16" s="30" t="s">
        <v>258</v>
      </c>
      <c r="E16" s="135">
        <v>5.0000000000000001E-4</v>
      </c>
      <c r="F16" s="112"/>
      <c r="G16" s="31">
        <f>VLOOKUP(Table37[[#This Row],[Location]],External_Loads[[Location]:[Axial Load (N)]],3,FALSE)</f>
        <v>2065.0231486363027</v>
      </c>
      <c r="H16" s="31">
        <f>VLOOKUP(Table37[[#This Row],[Location]],External_Loads[[Location]:[Axial Load (N)]],4,FALSE)</f>
        <v>6064.0979792288899</v>
      </c>
      <c r="I16" s="31">
        <f>VLOOKUP(Table37[[#This Row],[Location]],External_Loads[[Location]:[Axial Load (N)]],5,FALSE)</f>
        <v>6970.4650591804475</v>
      </c>
      <c r="J16" s="125">
        <f>(Table37[[#This Row],[Shear (N)]]/(2*PI()*$C$4*Table37[[#This Row],[Thickness (m)]]))/(10^6)</f>
        <v>1.4607050742429213</v>
      </c>
      <c r="K16" s="162">
        <f>Table37[[#This Row],[Axial Load (N)]]/(PI()*((($C$4+Table37[[#This Row],[Thickness (m)]])^2)-(($C$4)^2)))/10^6</f>
        <v>4.9278577226782678</v>
      </c>
      <c r="L16" s="136">
        <f>((-Table37[[#This Row],[Axial Load (N)]]/(2*PI()*$C$4*Table37[[#This Row],[Thickness (m)]]))/(10^6))</f>
        <v>-4.9305954214129288</v>
      </c>
      <c r="M16" s="137">
        <f>(Table37[[#This Row],[Bending Moment (Nm)]]/(PI()*($C$4^2)*Table37[[#This Row],[Thickness (m)]]))/(10^6)</f>
        <v>19.064319383463733</v>
      </c>
      <c r="N16" s="137">
        <f>-ABS(Table37[[#This Row],[σa (MPA)]])-ABS(Table37[[#This Row],[σb (Mpa)]])+Table37[[#This Row],[σaxial (MPA)]]</f>
        <v>-19.067057082198392</v>
      </c>
      <c r="O16" s="157">
        <f>Table37[[#This Row],[σaxial (MPA)]]*2</f>
        <v>9.8557154453565357</v>
      </c>
      <c r="P16" s="30">
        <f>ABS(VLOOKUP(Table37[[#This Row],[Material]],Table7[[Material]:[Source]],5,FALSE)/Table37[[#This Row],[σmax-vertical (Mpa)]])</f>
        <v>26.380578703444314</v>
      </c>
      <c r="Q16" s="138">
        <f>(Table37[[#This Row],[FSvertical]]-1)</f>
        <v>25.380578703444314</v>
      </c>
      <c r="R16" s="164">
        <f>ABS(VLOOKUP(Table37[[#This Row],[Material]],Table7[[Material]:[Source]],5,FALSE)/Table37[[#This Row],[σmax-horizontal (Mpa)]])</f>
        <v>51.036376079322132</v>
      </c>
      <c r="S16" s="163">
        <f>(Table37[[#This Row],[FShorizontal]]-1)</f>
        <v>50.036376079322132</v>
      </c>
    </row>
    <row r="17" spans="2:19" x14ac:dyDescent="0.25">
      <c r="B17" s="49">
        <v>9</v>
      </c>
      <c r="C17" t="s">
        <v>206</v>
      </c>
      <c r="D17" s="30" t="s">
        <v>258</v>
      </c>
      <c r="E17" s="135">
        <v>5.0000000000000001E-4</v>
      </c>
      <c r="F17" s="112">
        <v>300000</v>
      </c>
      <c r="G17" s="31">
        <f>VLOOKUP(Table37[[#This Row],[Location]],External_Loads[[Location]:[Axial Load (N)]],3,FALSE)</f>
        <v>2301.1661245317373</v>
      </c>
      <c r="H17" s="31">
        <f>VLOOKUP(Table37[[#This Row],[Location]],External_Loads[[Location]:[Axial Load (N)]],4,FALSE)</f>
        <v>6891.8474309473559</v>
      </c>
      <c r="I17" s="31">
        <f>VLOOKUP(Table37[[#This Row],[Location]],External_Loads[[Location]:[Axial Load (N)]],5,FALSE)</f>
        <v>7049.3523712181177</v>
      </c>
      <c r="J17" s="125">
        <f>(Table37[[#This Row],[Shear (N)]]/(2*PI()*$C$4*Table37[[#This Row],[Thickness (m)]]))/(10^6)</f>
        <v>1.6277420604215378</v>
      </c>
      <c r="K17" s="162">
        <f>Table37[[#This Row],[Axial Load (N)]]/(PI()*((($C$4+Table37[[#This Row],[Thickness (m)]])^2)-(($C$4)^2)))/10^6</f>
        <v>4.9836280976167622</v>
      </c>
      <c r="L17" s="136">
        <f>((-Table37[[#This Row],[Axial Load (N)]]/(2*PI()*$C$4*Table37[[#This Row],[Thickness (m)]]))/(10^6))</f>
        <v>-4.9863967798930533</v>
      </c>
      <c r="M17" s="137">
        <f>(Table37[[#This Row],[Bending Moment (Nm)]]/(PI()*($C$4^2)*Table37[[#This Row],[Thickness (m)]]))/(10^6)</f>
        <v>21.666599223120027</v>
      </c>
      <c r="N17" s="137">
        <f>-ABS(Table37[[#This Row],[σa (MPA)]])-ABS(Table37[[#This Row],[σb (Mpa)]])+Table37[[#This Row],[σaxial (MPA)]]</f>
        <v>-21.669367905396317</v>
      </c>
      <c r="O17" s="157">
        <f>Table37[[#This Row],[σaxial (MPA)]]*2</f>
        <v>9.9672561952335244</v>
      </c>
      <c r="P17" s="30">
        <f>ABS(VLOOKUP(Table37[[#This Row],[Material]],Table7[[Material]:[Source]],5,FALSE)/Table37[[#This Row],[σmax-vertical (Mpa)]])</f>
        <v>23.21249065482607</v>
      </c>
      <c r="Q17" s="138">
        <f>(Table37[[#This Row],[FSvertical]]-1)</f>
        <v>22.21249065482607</v>
      </c>
      <c r="R17" s="30">
        <f>ABS(VLOOKUP(Table37[[#This Row],[Material]],Table7[[Material]:[Source]],5,FALSE)/Table37[[#This Row],[σmax-horizontal (Mpa)]])</f>
        <v>50.465242404478509</v>
      </c>
      <c r="S17" s="163">
        <f>(Table37[[#This Row],[FShorizontal]]-1)</f>
        <v>49.465242404478509</v>
      </c>
    </row>
    <row r="18" spans="2:19" x14ac:dyDescent="0.25">
      <c r="B18" s="49">
        <v>10</v>
      </c>
      <c r="C18" t="s">
        <v>207</v>
      </c>
      <c r="D18" t="s">
        <v>260</v>
      </c>
      <c r="E18" s="135">
        <v>5.9119762763545935E-4</v>
      </c>
      <c r="F18" s="112"/>
      <c r="G18" s="31">
        <f>VLOOKUP(Table37[[#This Row],[Location]],External_Loads[[Location]:[Axial Load (N)]],3,FALSE)</f>
        <v>2856.4968747239354</v>
      </c>
      <c r="H18" s="31">
        <f>VLOOKUP(Table37[[#This Row],[Location]],External_Loads[[Location]:[Axial Load (N)]],4,FALSE)</f>
        <v>9132.3563683691245</v>
      </c>
      <c r="I18" s="31">
        <f>VLOOKUP(Table37[[#This Row],[Location]],External_Loads[[Location]:[Axial Load (N)]],5,FALSE)</f>
        <v>10243.580406077983</v>
      </c>
      <c r="J18" s="125">
        <f>(Table37[[#This Row],[Shear (N)]]/(2*PI()*$C$4*Table37[[#This Row],[Thickness (m)]]))/(10^6)</f>
        <v>1.7088686733784966</v>
      </c>
      <c r="K18" s="162">
        <f>Table37[[#This Row],[Axial Load (N)]]/(PI()*((($C$4+Table37[[#This Row],[Thickness (m)]])^2)-(($C$4)^2)))/10^6</f>
        <v>6.1240894790071065</v>
      </c>
      <c r="L18" s="31">
        <f>((-Table37[[#This Row],[Axial Load (N)]]/(2*PI()*$C$4*Table37[[#This Row],[Thickness (m)]]))/(10^6))</f>
        <v>-6.128112309197677</v>
      </c>
      <c r="M18" s="137">
        <f>(Table37[[#This Row],[Bending Moment (Nm)]]/(PI()*($C$4^2)*Table37[[#This Row],[Thickness (m)]]))/(10^6)</f>
        <v>24.281486335590053</v>
      </c>
      <c r="N18" s="137">
        <f>-ABS(Table37[[#This Row],[σa (MPA)]])-ABS(Table37[[#This Row],[σb (Mpa)]])+Table37[[#This Row],[σaxial (MPA)]]</f>
        <v>-24.285509165780621</v>
      </c>
      <c r="O18" s="157">
        <f>Table37[[#This Row],[σaxial (MPA)]]*2</f>
        <v>12.248178958014213</v>
      </c>
      <c r="P18" s="30">
        <f>ABS(VLOOKUP(Table37[[#This Row],[Material]],Table7[[Material]:[Source]],5,FALSE)/Table37[[#This Row],[σmax-vertical (Mpa)]])</f>
        <v>20.201347093487239</v>
      </c>
      <c r="Q18" s="138">
        <f>(Table37[[#This Row],[FSvertical]]-1)</f>
        <v>19.201347093487239</v>
      </c>
      <c r="R18" s="30">
        <f>ABS(VLOOKUP(Table37[[#This Row],[Material]],Table7[[Material]:[Source]],5,FALSE)/Table37[[#This Row],[σmax-horizontal (Mpa)]])</f>
        <v>40.054934017680338</v>
      </c>
      <c r="S18" s="163">
        <f>(Table37[[#This Row],[FShorizontal]]-1)</f>
        <v>39.054934017680338</v>
      </c>
    </row>
    <row r="19" spans="2:19" x14ac:dyDescent="0.25">
      <c r="B19" s="49">
        <v>11</v>
      </c>
      <c r="C19" t="s">
        <v>208</v>
      </c>
      <c r="D19" t="s">
        <v>258</v>
      </c>
      <c r="E19" s="135">
        <v>5.8644606828182943E-4</v>
      </c>
      <c r="F19" s="112">
        <v>300000</v>
      </c>
      <c r="G19" s="31">
        <f>VLOOKUP(Table37[[#This Row],[Location]],External_Loads[[Location]:[Axial Load (N)]],3,FALSE)</f>
        <v>3469.5909425152199</v>
      </c>
      <c r="H19" s="31">
        <f>VLOOKUP(Table37[[#This Row],[Location]],External_Loads[[Location]:[Axial Load (N)]],4,FALSE)</f>
        <v>12111.498140488253</v>
      </c>
      <c r="I19" s="31">
        <f>VLOOKUP(Table37[[#This Row],[Location]],External_Loads[[Location]:[Axial Load (N)]],5,FALSE)</f>
        <v>17318.643393342052</v>
      </c>
      <c r="J19" s="125">
        <f>(Table37[[#This Row],[Shear (N)]]/(2*PI()*$C$4*Table37[[#This Row],[Thickness (m)]]))/(10^6)</f>
        <v>2.0924631299326628</v>
      </c>
      <c r="K19" s="162">
        <f>Table37[[#This Row],[Axial Load (N)]]/(PI()*((($C$4+Table37[[#This Row],[Thickness (m)]])^2)-(($C$4)^2)))/10^6</f>
        <v>10.437837026523122</v>
      </c>
      <c r="L19" s="31">
        <f>((-Table37[[#This Row],[Axial Load (N)]]/(2*PI()*$C$4*Table37[[#This Row],[Thickness (m)]]))/(10^6))</f>
        <v>-10.444638391507207</v>
      </c>
      <c r="M19" s="137">
        <f>(Table37[[#This Row],[Bending Moment (Nm)]]/(PI()*($C$4^2)*Table37[[#This Row],[Thickness (m)]]))/(10^6)</f>
        <v>32.463466125616144</v>
      </c>
      <c r="N19" s="137">
        <f>-ABS(Table37[[#This Row],[σa (MPA)]])-ABS(Table37[[#This Row],[σb (Mpa)]])+Table37[[#This Row],[σaxial (MPA)]]</f>
        <v>-32.470267490600229</v>
      </c>
      <c r="O19" s="157">
        <f>Table37[[#This Row],[σaxial (MPA)]]*2</f>
        <v>20.875674053046243</v>
      </c>
      <c r="P19" s="30">
        <f>ABS(VLOOKUP(Table37[[#This Row],[Material]],Table7[[Material]:[Source]],5,FALSE)/Table37[[#This Row],[σmax-vertical (Mpa)]])</f>
        <v>15.491095050128944</v>
      </c>
      <c r="Q19" s="138">
        <f>(Table37[[#This Row],[FSvertical]]-1)</f>
        <v>14.491095050128944</v>
      </c>
      <c r="R19" s="30">
        <f>ABS(VLOOKUP(Table37[[#This Row],[Material]],Table7[[Material]:[Source]],5,FALSE)/Table37[[#This Row],[σmax-horizontal (Mpa)]])</f>
        <v>24.095030355515668</v>
      </c>
      <c r="S19" s="163">
        <f>(Table37[[#This Row],[FShorizontal]]-1)</f>
        <v>23.095030355515668</v>
      </c>
    </row>
    <row r="20" spans="2:19" x14ac:dyDescent="0.25">
      <c r="B20" s="49">
        <v>12</v>
      </c>
      <c r="C20" t="s">
        <v>300</v>
      </c>
      <c r="D20" t="s">
        <v>258</v>
      </c>
      <c r="E20" s="135">
        <v>5.0000000000000001E-4</v>
      </c>
      <c r="F20" s="112"/>
      <c r="G20" s="31">
        <f>VLOOKUP(Table37[[#This Row],[Location]],External_Loads[[Location]:[Axial Load (N)]],3,FALSE)</f>
        <v>4147.9165623960453</v>
      </c>
      <c r="H20" s="31">
        <f>VLOOKUP(Table37[[#This Row],[Location]],External_Loads[[Location]:[Axial Load (N)]],4,FALSE)</f>
        <v>15844.623046644703</v>
      </c>
      <c r="I20" s="31">
        <f>VLOOKUP(Table37[[#This Row],[Location]],External_Loads[[Location]:[Axial Load (N)]],5,FALSE)</f>
        <v>18162.193856864633</v>
      </c>
      <c r="J20" s="125">
        <f>(Table37[[#This Row],[Shear (N)]]/(2*PI()*(($C$5+$C$4)/2)*Table37[[#This Row],[Thickness (m)]]))/(10^6)</f>
        <v>2.9340507752803235</v>
      </c>
      <c r="K20" s="162">
        <f>Table37[[#This Row],[Axial Load (N)]]/(PI()*((($C$4+Table37[[#This Row],[Thickness (m)]])^2)-(($C$4)^2)))/10^6</f>
        <v>12.839990803835006</v>
      </c>
      <c r="L20" s="31">
        <f>((-Table37[[#This Row],[Axial Load (N)]]/(2*PI()*$C$4*Table37[[#This Row],[Thickness (m)]]))/(10^6))</f>
        <v>-12.847124132058942</v>
      </c>
      <c r="M20" s="137">
        <f>(Table37[[#This Row],[Bending Moment (Nm)]]/(PI()*((($C$5+$C$4)/2)^2)*Table37[[#This Row],[Thickness (m)]]))/(10^6)</f>
        <v>49.812347245457204</v>
      </c>
      <c r="N20" s="137">
        <f>-ABS(Table37[[#This Row],[σa (MPA)]])-ABS(Table37[[#This Row],[σb (Mpa)]])+Table37[[#This Row],[σaxial (MPA)]]</f>
        <v>-49.81948057368114</v>
      </c>
      <c r="O20" s="157">
        <f>Table37[[#This Row],[σaxial (MPA)]]*2</f>
        <v>25.679981607670012</v>
      </c>
      <c r="P20" s="30">
        <f>ABS(VLOOKUP(Table37[[#This Row],[Material]],Table7[[Material]:[Source]],5,FALSE)/Table37[[#This Row],[σmax-vertical (Mpa)]])</f>
        <v>10.096452114872653</v>
      </c>
      <c r="Q20" s="138">
        <f>(Table37[[#This Row],[FSvertical]]-1)</f>
        <v>9.0964521148726529</v>
      </c>
      <c r="R20" s="30">
        <f>ABS(VLOOKUP(Table37[[#This Row],[Material]],Table7[[Material]:[Source]],5,FALSE)/Table37[[#This Row],[σmax-horizontal (Mpa)]])</f>
        <v>19.587241442952031</v>
      </c>
      <c r="S20" s="163">
        <f>(Table37[[#This Row],[FShorizontal]]-1)</f>
        <v>18.587241442952031</v>
      </c>
    </row>
    <row r="21" spans="2:19" x14ac:dyDescent="0.25">
      <c r="B21" s="49">
        <v>13</v>
      </c>
      <c r="C21" t="s">
        <v>209</v>
      </c>
      <c r="D21" t="s">
        <v>258</v>
      </c>
      <c r="E21" s="135">
        <v>5.0000000000000001E-4</v>
      </c>
      <c r="F21" s="112"/>
      <c r="G21" s="31">
        <f>VLOOKUP(Table37[[#This Row],[Location]],External_Loads[[Location]:[Axial Load (N)]],3,FALSE)</f>
        <v>4841.8749304444609</v>
      </c>
      <c r="H21" s="31">
        <f>VLOOKUP(Table37[[#This Row],[Location]],External_Loads[[Location]:[Axial Load (N)]],4,FALSE)</f>
        <v>20500.816774353254</v>
      </c>
      <c r="I21" s="31">
        <f>VLOOKUP(Table37[[#This Row],[Location]],External_Loads[[Location]:[Axial Load (N)]],5,FALSE)</f>
        <v>19451.074277149157</v>
      </c>
      <c r="J21" s="125">
        <f>(Table37[[#This Row],[Shear (N)]]/(2*PI()*$C$5*Table37[[#This Row],[Thickness (m)]]))/(10^6)</f>
        <v>3.4249259067242797</v>
      </c>
      <c r="K21" s="162">
        <f>Table37[[#This Row],[Axial Load (N)]]/(PI()*((($C$5+Table37[[#This Row],[Thickness (m)]])^2)-(($C$5)^2)))/10^6</f>
        <v>13.751180986811789</v>
      </c>
      <c r="L21" s="31">
        <f>((-Table37[[#This Row],[Axial Load (N)]]/(2*PI()*$C$4*Table37[[#This Row],[Thickness (m)]]))/(10^6))</f>
        <v>-13.758820531804016</v>
      </c>
      <c r="M21" s="137">
        <f>(Table37[[#This Row],[Bending Moment (Nm)]]/(PI()*($C$4^2)*Table37[[#This Row],[Thickness (m)]]))/(10^6)</f>
        <v>64.45049534932474</v>
      </c>
      <c r="N21" s="137">
        <f>-ABS(Table37[[#This Row],[σa (MPA)]])-ABS(Table37[[#This Row],[σb (Mpa)]])+Table37[[#This Row],[σaxial (MPA)]]</f>
        <v>-64.45813489431697</v>
      </c>
      <c r="O21" s="157">
        <f>Table37[[#This Row],[σaxial (MPA)]]*2</f>
        <v>27.502361973623579</v>
      </c>
      <c r="P21" s="30">
        <f>ABS(VLOOKUP(Table37[[#This Row],[Material]],Table7[[Material]:[Source]],5,FALSE)/Table37[[#This Row],[σmax-vertical (Mpa)]])</f>
        <v>7.8035146506286459</v>
      </c>
      <c r="Q21" s="138">
        <f>(Table37[[#This Row],[FSvertical]]-1)</f>
        <v>6.8035146506286459</v>
      </c>
      <c r="R21" s="30">
        <f>ABS(VLOOKUP(Table37[[#This Row],[Material]],Table7[[Material]:[Source]],5,FALSE)/Table37[[#This Row],[σmax-horizontal (Mpa)]])</f>
        <v>18.289338220564737</v>
      </c>
      <c r="S21" s="163">
        <f>(Table37[[#This Row],[FShorizontal]]-1)</f>
        <v>17.289338220564737</v>
      </c>
    </row>
    <row r="22" spans="2:19" x14ac:dyDescent="0.25">
      <c r="B22" s="49">
        <v>14</v>
      </c>
      <c r="C22" t="s">
        <v>210</v>
      </c>
      <c r="D22" t="s">
        <v>258</v>
      </c>
      <c r="E22" s="135">
        <v>8.6699268126284065E-4</v>
      </c>
      <c r="F22" s="112">
        <v>300000</v>
      </c>
      <c r="G22" s="31">
        <f>VLOOKUP(Table37[[#This Row],[Location]],External_Loads[[Location]:[Axial Load (N)]],3,FALSE)</f>
        <v>5933.9375857127652</v>
      </c>
      <c r="H22" s="31">
        <f>VLOOKUP(Table37[[#This Row],[Location]],External_Loads[[Location]:[Axial Load (N)]],4,FALSE)</f>
        <v>29863.664333824294</v>
      </c>
      <c r="I22" s="31">
        <f>VLOOKUP(Table37[[#This Row],[Location]],External_Loads[[Location]:[Axial Load (N)]],5,FALSE)</f>
        <v>29555.274071284352</v>
      </c>
      <c r="J22" s="125">
        <f>(Table37[[#This Row],[Shear (N)]]/(2*PI()*$C$5*Table37[[#This Row],[Thickness (m)]]))/(10^6)</f>
        <v>2.4206676177585389</v>
      </c>
      <c r="K22" s="162">
        <f>Table37[[#This Row],[Axial Load (N)]]/(PI()*((($C$5+Table37[[#This Row],[Thickness (m)]])^2)-(($C$5)^2)))/10^6</f>
        <v>12.045061229992999</v>
      </c>
      <c r="L22" s="31">
        <f>((-Table37[[#This Row],[Axial Load (N)]]/(2*PI()*$C$4*Table37[[#This Row],[Thickness (m)]]))/(10^6))</f>
        <v>-12.056664541028036</v>
      </c>
      <c r="M22" s="137">
        <f>(Table37[[#This Row],[Bending Moment (Nm)]]/(PI()*($C$4^2)*Table37[[#This Row],[Thickness (m)]]))/(10^6)</f>
        <v>54.144302558185061</v>
      </c>
      <c r="N22" s="137">
        <f>-ABS(Table37[[#This Row],[σa (MPA)]])-ABS(Table37[[#This Row],[σb (Mpa)]])+Table37[[#This Row],[σaxial (MPA)]]</f>
        <v>-54.155905869220106</v>
      </c>
      <c r="O22" s="157">
        <f>Table37[[#This Row],[σaxial (MPA)]]*2</f>
        <v>24.090122459985999</v>
      </c>
      <c r="P22" s="30">
        <f>ABS(VLOOKUP(Table37[[#This Row],[Material]],Table7[[Material]:[Source]],5,FALSE)/Table37[[#This Row],[σmax-vertical (Mpa)]])</f>
        <v>9.2879990081725072</v>
      </c>
      <c r="Q22" s="138">
        <f>(Table37[[#This Row],[FSvertical]]-1)</f>
        <v>8.2879990081725072</v>
      </c>
      <c r="R22" s="30">
        <f>ABS(VLOOKUP(Table37[[#This Row],[Material]],Table7[[Material]:[Source]],5,FALSE)/Table37[[#This Row],[σmax-horizontal (Mpa)]])</f>
        <v>20.879927067016343</v>
      </c>
      <c r="S22" s="163">
        <f>(Table37[[#This Row],[FShorizontal]]-1)</f>
        <v>19.879927067016343</v>
      </c>
    </row>
    <row r="23" spans="2:19" x14ac:dyDescent="0.25">
      <c r="B23" s="49">
        <v>15</v>
      </c>
      <c r="C23" t="s">
        <v>211</v>
      </c>
      <c r="D23" t="s">
        <v>260</v>
      </c>
      <c r="E23" s="135">
        <v>5.0000000000000001E-4</v>
      </c>
      <c r="F23" s="112"/>
      <c r="G23" s="31">
        <f>VLOOKUP(Table37[[#This Row],[Location]],External_Loads[[Location]:[Axial Load (N)]],3,FALSE)</f>
        <v>6344.3862856889373</v>
      </c>
      <c r="H23" s="31">
        <f>VLOOKUP(Table37[[#This Row],[Location]],External_Loads[[Location]:[Axial Load (N)]],4,FALSE)</f>
        <v>34192.300555411646</v>
      </c>
      <c r="I23" s="31">
        <f>VLOOKUP(Table37[[#This Row],[Location]],External_Loads[[Location]:[Axial Load (N)]],5,FALSE)</f>
        <v>29829.73850948691</v>
      </c>
      <c r="J23" s="125">
        <f>(Table37[[#This Row],[Shear (N)]]/(2*PI()*$C$5*Table37[[#This Row],[Thickness (m)]]))/(10^6)</f>
        <v>4.4877352811192184</v>
      </c>
      <c r="K23" s="162">
        <f>Table37[[#This Row],[Axial Load (N)]]/(PI()*((($C$5+Table37[[#This Row],[Thickness (m)]])^2)-(($C$5)^2)))/10^6</f>
        <v>21.088507873064575</v>
      </c>
      <c r="L23" s="31">
        <f>((-Table37[[#This Row],[Axial Load (N)]]/(2*PI()*$C$4*Table37[[#This Row],[Thickness (m)]]))/(10^6))</f>
        <v>-21.100223710771147</v>
      </c>
      <c r="M23" s="137">
        <f>(Table37[[#This Row],[Bending Moment (Nm)]]/(PI()*($C$4^2)*Table37[[#This Row],[Thickness (m)]]))/(10^6)</f>
        <v>107.49380047560535</v>
      </c>
      <c r="N23" s="137">
        <f>-ABS(Table37[[#This Row],[σa (MPA)]])-ABS(Table37[[#This Row],[σb (Mpa)]])+Table37[[#This Row],[σaxial (MPA)]]</f>
        <v>-107.50551631331192</v>
      </c>
      <c r="O23" s="157">
        <f>Table37[[#This Row],[σaxial (MPA)]]*2</f>
        <v>42.17701574612915</v>
      </c>
      <c r="P23" s="30">
        <f>ABS(VLOOKUP(Table37[[#This Row],[Material]],Table7[[Material]:[Source]],5,FALSE)/Table37[[#This Row],[σmax-vertical (Mpa)]])</f>
        <v>4.5634867569977082</v>
      </c>
      <c r="Q23" s="138">
        <f>(Table37[[#This Row],[FSvertical]]-1)</f>
        <v>3.5634867569977082</v>
      </c>
      <c r="R23" s="30">
        <f>ABS(VLOOKUP(Table37[[#This Row],[Material]],Table7[[Material]:[Source]],5,FALSE)/Table37[[#This Row],[σmax-horizontal (Mpa)]])</f>
        <v>11.631927753092048</v>
      </c>
      <c r="S23" s="163">
        <f>(Table37[[#This Row],[FShorizontal]]-1)</f>
        <v>10.631927753092048</v>
      </c>
    </row>
    <row r="24" spans="2:19" x14ac:dyDescent="0.25">
      <c r="B24" s="49">
        <v>16</v>
      </c>
      <c r="C24" t="s">
        <v>212</v>
      </c>
      <c r="D24" t="s">
        <v>260</v>
      </c>
      <c r="E24" s="135">
        <v>8.8170229318064583E-4</v>
      </c>
      <c r="F24" s="112">
        <v>300000</v>
      </c>
      <c r="G24" s="31">
        <f>VLOOKUP(Table37[[#This Row],[Location]],External_Loads[[Location]:[Axial Load (N)]],3,FALSE)</f>
        <v>7886.4717119334346</v>
      </c>
      <c r="H24" s="31">
        <f>VLOOKUP(Table37[[#This Row],[Location]],External_Loads[[Location]:[Axial Load (N)]],4,FALSE)</f>
        <v>56937.470629393007</v>
      </c>
      <c r="I24" s="31">
        <f>VLOOKUP(Table37[[#This Row],[Location]],External_Loads[[Location]:[Axial Load (N)]],5,FALSE)</f>
        <v>53526.579303482649</v>
      </c>
      <c r="J24" s="125">
        <f>(Table37[[#This Row],[Shear (N)]]/(2*PI()*$C$5*Table37[[#This Row],[Thickness (m)]]))/(10^6)</f>
        <v>3.1635040691335456</v>
      </c>
      <c r="K24" s="162">
        <f>Table37[[#This Row],[Axial Load (N)]]/(PI()*((($C$5+Table37[[#This Row],[Thickness (m)]])^2)-(($C$5)^2)))/10^6</f>
        <v>21.450127644100512</v>
      </c>
      <c r="L24" s="31">
        <f>((-Table37[[#This Row],[Axial Load (N)]]/(2*PI()*$C$4*Table37[[#This Row],[Thickness (m)]]))/(10^6))</f>
        <v>-21.471141673803555</v>
      </c>
      <c r="M24" s="137">
        <f>(Table37[[#This Row],[Bending Moment (Nm)]]/(PI()*($C$4^2)*Table37[[#This Row],[Thickness (m)]]))/(10^6)</f>
        <v>101.50824044093667</v>
      </c>
      <c r="N24" s="137">
        <f>-ABS(Table37[[#This Row],[σa (MPA)]])-ABS(Table37[[#This Row],[σb (Mpa)]])+Table37[[#This Row],[σaxial (MPA)]]</f>
        <v>-101.52925447063973</v>
      </c>
      <c r="O24" s="157">
        <f>Table37[[#This Row],[σaxial (MPA)]]*2</f>
        <v>42.900255288201024</v>
      </c>
      <c r="P24" s="30">
        <f>ABS(VLOOKUP(Table37[[#This Row],[Material]],Table7[[Material]:[Source]],5,FALSE)/Table37[[#This Row],[σmax-vertical (Mpa)]])</f>
        <v>4.8321048209988771</v>
      </c>
      <c r="Q24" s="138">
        <f>(Table37[[#This Row],[FSvertical]]-1)</f>
        <v>3.8321048209988771</v>
      </c>
      <c r="R24" s="30">
        <f>ABS(VLOOKUP(Table37[[#This Row],[Material]],Table7[[Material]:[Source]],5,FALSE)/Table37[[#This Row],[σmax-horizontal (Mpa)]])</f>
        <v>11.435829383862224</v>
      </c>
      <c r="S24" s="163">
        <f>(Table37[[#This Row],[FShorizontal]]-1)</f>
        <v>10.435829383862224</v>
      </c>
    </row>
    <row r="25" spans="2:19" x14ac:dyDescent="0.25">
      <c r="B25" s="49">
        <v>17</v>
      </c>
      <c r="C25" t="s">
        <v>213</v>
      </c>
      <c r="D25" t="s">
        <v>258</v>
      </c>
      <c r="E25" s="135">
        <v>5.0000000000000001E-4</v>
      </c>
      <c r="F25" s="112"/>
      <c r="G25" s="31">
        <f>VLOOKUP(Table37[[#This Row],[Location]],External_Loads[[Location]:[Axial Load (N)]],3,FALSE)</f>
        <v>8099.0274157018957</v>
      </c>
      <c r="H25" s="31">
        <f>VLOOKUP(Table37[[#This Row],[Location]],External_Loads[[Location]:[Axial Load (N)]],4,FALSE)</f>
        <v>64122.84620941319</v>
      </c>
      <c r="I25" s="31">
        <f>VLOOKUP(Table37[[#This Row],[Location]],External_Loads[[Location]:[Axial Load (N)]],5,FALSE)</f>
        <v>56389.71478075302</v>
      </c>
      <c r="J25" s="125">
        <f>(Table37[[#This Row],[Shear (N)]]/(2*PI()*$C$5*Table37[[#This Row],[Thickness (m)]]))/(10^6)</f>
        <v>5.7288899886477136</v>
      </c>
      <c r="K25" s="162">
        <f>Table37[[#This Row],[Axial Load (N)]]/(PI()*((($C$5+Table37[[#This Row],[Thickness (m)]])^2)-(($C$5)^2)))/10^6</f>
        <v>39.865416310490829</v>
      </c>
      <c r="L25" s="31">
        <f>((-Table37[[#This Row],[Axial Load (N)]]/(2*PI()*$C$4*Table37[[#This Row],[Thickness (m)]]))/(10^6))</f>
        <v>-39.887563763995367</v>
      </c>
      <c r="M25" s="137">
        <f>(Table37[[#This Row],[Bending Moment (Nm)]]/(PI()*($C$4^2)*Table37[[#This Row],[Thickness (m)]]))/(10^6)</f>
        <v>201.58949015999036</v>
      </c>
      <c r="N25" s="137">
        <f>-ABS(Table37[[#This Row],[σa (MPA)]])-ABS(Table37[[#This Row],[σb (Mpa)]])+Table37[[#This Row],[σaxial (MPA)]]</f>
        <v>-201.61163761349491</v>
      </c>
      <c r="O25" s="157">
        <f>Table37[[#This Row],[σaxial (MPA)]]*2</f>
        <v>79.730832620981658</v>
      </c>
      <c r="P25" s="30">
        <f>ABS(VLOOKUP(Table37[[#This Row],[Material]],Table7[[Material]:[Source]],5,FALSE)/Table37[[#This Row],[σmax-vertical (Mpa)]])</f>
        <v>2.4948956615504998</v>
      </c>
      <c r="Q25" s="138">
        <f>(Table37[[#This Row],[FSvertical]]-1)</f>
        <v>1.4948956615504998</v>
      </c>
      <c r="R25" s="30">
        <f>ABS(VLOOKUP(Table37[[#This Row],[Material]],Table7[[Material]:[Source]],5,FALSE)/Table37[[#This Row],[σmax-horizontal (Mpa)]])</f>
        <v>6.3087262915103741</v>
      </c>
      <c r="S25" s="163">
        <f>(Table37[[#This Row],[FShorizontal]]-1)</f>
        <v>5.3087262915103741</v>
      </c>
    </row>
    <row r="26" spans="2:19" ht="15.75" thickBot="1" x14ac:dyDescent="0.3">
      <c r="D26" s="31"/>
      <c r="E26" s="31"/>
      <c r="F26" s="31"/>
      <c r="G26" s="31"/>
    </row>
    <row r="27" spans="2:19" ht="15.75" thickBot="1" x14ac:dyDescent="0.3">
      <c r="B27" s="187" t="s">
        <v>261</v>
      </c>
      <c r="C27" s="188"/>
      <c r="D27" s="188"/>
      <c r="E27" s="188"/>
      <c r="F27" s="188"/>
      <c r="G27" s="188"/>
      <c r="H27" s="188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9"/>
    </row>
    <row r="28" spans="2:19" ht="18.75" x14ac:dyDescent="0.35">
      <c r="B28" s="15" t="s">
        <v>193</v>
      </c>
      <c r="C28" s="15" t="s">
        <v>194</v>
      </c>
      <c r="D28" s="15" t="s">
        <v>244</v>
      </c>
      <c r="E28" s="15" t="s">
        <v>13</v>
      </c>
      <c r="F28" s="15" t="s">
        <v>245</v>
      </c>
      <c r="G28" s="15" t="s">
        <v>246</v>
      </c>
      <c r="H28" s="15" t="s">
        <v>196</v>
      </c>
      <c r="I28" s="15" t="s">
        <v>197</v>
      </c>
      <c r="J28" s="134" t="s">
        <v>247</v>
      </c>
      <c r="K28" s="134" t="s">
        <v>248</v>
      </c>
      <c r="L28" s="134" t="s">
        <v>249</v>
      </c>
      <c r="M28" s="15" t="s">
        <v>250</v>
      </c>
      <c r="N28" s="15" t="s">
        <v>251</v>
      </c>
      <c r="O28" s="15" t="s">
        <v>252</v>
      </c>
      <c r="P28" s="15" t="s">
        <v>253</v>
      </c>
      <c r="Q28" s="15" t="s">
        <v>254</v>
      </c>
      <c r="R28" s="15" t="s">
        <v>255</v>
      </c>
      <c r="S28" s="15" t="s">
        <v>256</v>
      </c>
    </row>
    <row r="29" spans="2:19" x14ac:dyDescent="0.25">
      <c r="B29" s="49"/>
      <c r="C29" s="4" t="s">
        <v>198</v>
      </c>
      <c r="D29" t="s">
        <v>258</v>
      </c>
      <c r="E29" s="135">
        <v>5.0000000000000001E-4</v>
      </c>
      <c r="F29" s="164"/>
      <c r="G29" s="160">
        <f>VLOOKUP(Table379[[#This Row],[Location]],Table3[[Location]:[Axial Load (kN)]],3,FALSE)</f>
        <v>0</v>
      </c>
      <c r="H29" s="160">
        <f>VLOOKUP(Table379[[#This Row],[Location]],Table3[[Location]:[Axial Load (kN)]],4,FALSE)</f>
        <v>0</v>
      </c>
      <c r="I29" s="160">
        <f>VLOOKUP(Table379[[#This Row],[Location]],Table3[[Location]:[Axial Load (kN)]],5,FALSE)</f>
        <v>0</v>
      </c>
      <c r="J29" s="31">
        <f>(Table379[[#This Row],[Shear (N)]]/(2*PI()*$C$3*Table379[[#This Row],[Thickness (m)]]))/(10^6)</f>
        <v>0</v>
      </c>
      <c r="K29" s="162">
        <f>Table379[[#This Row],[Axial Load (N)]]/(PI()*((($C$3+Table379[[#This Row],[Thickness (m)]])^2)-(($C$3)^2)))/10^6</f>
        <v>0</v>
      </c>
      <c r="L29" s="162">
        <f>(-Table379[[#This Row],[Axial Load (N)]]/(2*PI()*$C$4*Table379[[#This Row],[Thickness (m)]]))/(10^6)</f>
        <v>0</v>
      </c>
      <c r="M29" s="157">
        <f>(Table379[[#This Row],[Bending Moment (Nm)]]/(PI()*($C$4^2)*Table379[[#This Row],[Thickness (m)]]))/(10^6)</f>
        <v>0</v>
      </c>
      <c r="N29" s="157">
        <f>-ABS(Table379[[#This Row],[σa (MPA)]])-ABS(Table379[[#This Row],[σb (Mpa)]])</f>
        <v>0</v>
      </c>
      <c r="O29" s="157">
        <f>Table379[[#This Row],[σaxial (MPA)]]*2</f>
        <v>0</v>
      </c>
      <c r="P29" s="158" t="e">
        <f>ABS(VLOOKUP(Table379[[#This Row],[Material]],Table7[[Material]:[Source]],5,FALSE)/Table379[[#This Row],[σmax-vertical (Mpa)]])</f>
        <v>#DIV/0!</v>
      </c>
      <c r="Q29" s="165" t="e">
        <f>(Table379[[#This Row],[FSvertical]]-1)</f>
        <v>#DIV/0!</v>
      </c>
      <c r="R29" s="157"/>
      <c r="S29" s="166">
        <f>(Table379[[#This Row],[FShorizontal]]-1)</f>
        <v>-1</v>
      </c>
    </row>
    <row r="30" spans="2:19" x14ac:dyDescent="0.25">
      <c r="B30" s="49"/>
      <c r="C30" s="4" t="s">
        <v>200</v>
      </c>
      <c r="D30" t="s">
        <v>258</v>
      </c>
      <c r="E30" s="135">
        <v>5.0000000000000001E-4</v>
      </c>
      <c r="F30" s="164"/>
      <c r="G30" s="160">
        <f>VLOOKUP(Table379[[#This Row],[Location]],Table3[[Location]:[Axial Load (kN)]],3,FALSE)</f>
        <v>1836.8861893240403</v>
      </c>
      <c r="H30" s="160">
        <f>VLOOKUP(Table379[[#This Row],[Location]],Table3[[Location]:[Axial Load (kN)]],4,FALSE)</f>
        <v>1688.7916698266345</v>
      </c>
      <c r="I30" s="160">
        <f>VLOOKUP(Table379[[#This Row],[Location]],Table3[[Location]:[Axial Load (kN)]],5,FALSE)</f>
        <v>3562.1633314761898</v>
      </c>
      <c r="J30" s="31">
        <f>(Table379[[#This Row],[Shear (N)]]/(2*PI()*$C$3*Table379[[#This Row],[Thickness (m)]]))/(10^6)</f>
        <v>1.4992282919392621</v>
      </c>
      <c r="K30" s="162">
        <f>Table379[[#This Row],[Axial Load (N)]]/(PI()*((($C$3+Table379[[#This Row],[Thickness (m)]])^2)-(($C$3)^2)))/10^6</f>
        <v>2.9055011008590226</v>
      </c>
      <c r="L30" s="162">
        <f>(-Table379[[#This Row],[Axial Load (N)]]/(2*PI()*$C$4*Table379[[#This Row],[Thickness (m)]]))/(10^6)</f>
        <v>-2.5197151213561306</v>
      </c>
      <c r="M30" s="157">
        <f>(Table379[[#This Row],[Bending Moment (Nm)]]/(PI()*($C$4^2)*Table379[[#This Row],[Thickness (m)]]))/(10^6)</f>
        <v>5.3092255230681458</v>
      </c>
      <c r="N30" s="157">
        <f>-ABS(Table379[[#This Row],[σa (MPA)]])-ABS(Table379[[#This Row],[σb (Mpa)]])</f>
        <v>-7.8289406444242768</v>
      </c>
      <c r="O30" s="157">
        <f>Table379[[#This Row],[σaxial (MPA)]]*2</f>
        <v>5.8110022017180452</v>
      </c>
      <c r="P30" s="158">
        <f>ABS(VLOOKUP(Table379[[#This Row],[Material]],Table7[[Material]:[Source]],5,FALSE)/Table379[[#This Row],[σmax-vertical (Mpa)]])</f>
        <v>64.248794676740019</v>
      </c>
      <c r="Q30" s="165">
        <f>(Table379[[#This Row],[FSvertical]]-1)</f>
        <v>63.248794676740019</v>
      </c>
      <c r="R30" s="157"/>
      <c r="S30" s="166">
        <f>(Table379[[#This Row],[FShorizontal]]-1)</f>
        <v>-1</v>
      </c>
    </row>
    <row r="31" spans="2:19" x14ac:dyDescent="0.25">
      <c r="B31" s="49"/>
      <c r="C31" s="4" t="s">
        <v>201</v>
      </c>
      <c r="D31" t="s">
        <v>258</v>
      </c>
      <c r="E31" s="135">
        <v>5.0000000000000001E-4</v>
      </c>
      <c r="F31" s="164"/>
      <c r="G31" s="160">
        <f>VLOOKUP(Table379[[#This Row],[Location]],Table3[[Location]:[Axial Load (kN)]],3,FALSE)</f>
        <v>1813.7672625391142</v>
      </c>
      <c r="H31" s="160">
        <f>VLOOKUP(Table379[[#This Row],[Location]],Table3[[Location]:[Axial Load (kN)]],4,FALSE)</f>
        <v>2524.5748859690698</v>
      </c>
      <c r="I31" s="160">
        <f>VLOOKUP(Table379[[#This Row],[Location]],Table3[[Location]:[Axial Load (kN)]],5,FALSE)</f>
        <v>4084.2145554307958</v>
      </c>
      <c r="J31" s="31">
        <f>(Table379[[#This Row],[Shear (N)]]/(2*PI()*$C$3*Table379[[#This Row],[Thickness (m)]]))/(10^6)</f>
        <v>1.4803591048787461</v>
      </c>
      <c r="K31" s="162">
        <f>Table379[[#This Row],[Axial Load (N)]]/(PI()*((($C$3+Table379[[#This Row],[Thickness (m)]])^2)-(($C$3)^2)))/10^6</f>
        <v>3.3313154908118618</v>
      </c>
      <c r="L31" s="162">
        <f>(-Table379[[#This Row],[Axial Load (N)]]/(2*PI()*$C$4*Table379[[#This Row],[Thickness (m)]]))/(10^6)</f>
        <v>-2.8889908228652397</v>
      </c>
      <c r="M31" s="157">
        <f>(Table379[[#This Row],[Bending Moment (Nm)]]/(PI()*($C$4^2)*Table379[[#This Row],[Thickness (m)]]))/(10^6)</f>
        <v>7.9367619221261316</v>
      </c>
      <c r="N31" s="157">
        <f>-ABS(Table379[[#This Row],[σa (MPA)]])-ABS(Table379[[#This Row],[σb (Mpa)]])</f>
        <v>-10.825752744991371</v>
      </c>
      <c r="O31" s="157">
        <f>Table379[[#This Row],[σaxial (MPA)]]*2</f>
        <v>6.6626309816237237</v>
      </c>
      <c r="P31" s="158">
        <f>ABS(VLOOKUP(Table379[[#This Row],[Material]],Table7[[Material]:[Source]],5,FALSE)/Table379[[#This Row],[σmax-vertical (Mpa)]])</f>
        <v>46.463281754953933</v>
      </c>
      <c r="Q31" s="165">
        <f>(Table379[[#This Row],[FSvertical]]-1)</f>
        <v>45.463281754953933</v>
      </c>
      <c r="R31" s="157"/>
      <c r="S31" s="166">
        <f>(Table379[[#This Row],[FShorizontal]]-1)</f>
        <v>-1</v>
      </c>
    </row>
    <row r="32" spans="2:19" x14ac:dyDescent="0.25">
      <c r="B32" s="49"/>
      <c r="C32" s="4" t="s">
        <v>202</v>
      </c>
      <c r="D32" t="s">
        <v>258</v>
      </c>
      <c r="E32" s="135">
        <v>5.0000000000000001E-4</v>
      </c>
      <c r="F32" s="164"/>
      <c r="G32" s="160">
        <f>VLOOKUP(Table379[[#This Row],[Location]],Table3[[Location]:[Axial Load (kN)]],3,FALSE)</f>
        <v>1715.7193314918006</v>
      </c>
      <c r="H32" s="160">
        <f>VLOOKUP(Table379[[#This Row],[Location]],Table3[[Location]:[Axial Load (kN)]],4,FALSE)</f>
        <v>2543.2893041390403</v>
      </c>
      <c r="I32" s="160">
        <f>VLOOKUP(Table379[[#This Row],[Location]],Table3[[Location]:[Axial Load (kN)]],5,FALSE)</f>
        <v>6298.2464992856039</v>
      </c>
      <c r="J32" s="31">
        <f>(Table379[[#This Row],[Shear (N)]]/(2*PI()*$C$3*Table379[[#This Row],[Thickness (m)]]))/(10^6)</f>
        <v>1.4003344234114985</v>
      </c>
      <c r="K32" s="162">
        <f>Table379[[#This Row],[Axial Load (N)]]/(PI()*((($C$3+Table379[[#This Row],[Thickness (m)]])^2)-(($C$3)^2)))/10^6</f>
        <v>5.1372046799359756</v>
      </c>
      <c r="L32" s="162">
        <f>(-Table379[[#This Row],[Axial Load (N)]]/(2*PI()*$C$4*Table379[[#This Row],[Thickness (m)]]))/(10^6)</f>
        <v>-4.455098058544575</v>
      </c>
      <c r="M32" s="157">
        <f>(Table379[[#This Row],[Bending Moment (Nm)]]/(PI()*($C$4^2)*Table379[[#This Row],[Thickness (m)]]))/(10^6)</f>
        <v>7.995596335140247</v>
      </c>
      <c r="N32" s="157">
        <f>-ABS(Table379[[#This Row],[σa (MPA)]])-ABS(Table379[[#This Row],[σb (Mpa)]])</f>
        <v>-12.450694393684822</v>
      </c>
      <c r="O32" s="157">
        <f>Table379[[#This Row],[σaxial (MPA)]]*2</f>
        <v>10.274409359871951</v>
      </c>
      <c r="P32" s="158">
        <f>ABS(VLOOKUP(Table379[[#This Row],[Material]],Table7[[Material]:[Source]],5,FALSE)/Table379[[#This Row],[σmax-vertical (Mpa)]])</f>
        <v>40.399353168215988</v>
      </c>
      <c r="Q32" s="165">
        <f>(Table379[[#This Row],[FSvertical]]-1)</f>
        <v>39.399353168215988</v>
      </c>
      <c r="R32" s="157"/>
      <c r="S32" s="166">
        <f>(Table379[[#This Row],[FShorizontal]]-1)</f>
        <v>-1</v>
      </c>
    </row>
    <row r="33" spans="2:19" x14ac:dyDescent="0.25">
      <c r="B33" s="49"/>
      <c r="C33" s="4" t="s">
        <v>203</v>
      </c>
      <c r="D33" t="s">
        <v>258</v>
      </c>
      <c r="E33" s="135">
        <v>5.0000000000000001E-4</v>
      </c>
      <c r="F33" s="164"/>
      <c r="G33" s="160">
        <f>VLOOKUP(Table379[[#This Row],[Location]],Table3[[Location]:[Axial Load (kN)]],3,FALSE)</f>
        <v>1696.5298046322785</v>
      </c>
      <c r="H33" s="160">
        <f>VLOOKUP(Table379[[#This Row],[Location]],Table3[[Location]:[Axial Load (kN)]],4,FALSE)</f>
        <v>3546.9851130617453</v>
      </c>
      <c r="I33" s="160">
        <f>VLOOKUP(Table379[[#This Row],[Location]],Table3[[Location]:[Axial Load (kN)]],5,FALSE)</f>
        <v>6731.5674781233929</v>
      </c>
      <c r="J33" s="31">
        <f>(Table379[[#This Row],[Shear (N)]]/(2*PI()*$C$3*Table379[[#This Row],[Thickness (m)]]))/(10^6)</f>
        <v>1.38467233082028</v>
      </c>
      <c r="K33" s="162">
        <f>Table379[[#This Row],[Axial Load (N)]]/(PI()*((($C$3+Table379[[#This Row],[Thickness (m)]])^2)-(($C$3)^2)))/10^6</f>
        <v>5.4906456830234891</v>
      </c>
      <c r="L33" s="162">
        <f>(-Table379[[#This Row],[Axial Load (N)]]/(2*PI()*$C$4*Table379[[#This Row],[Thickness (m)]]))/(10^6)</f>
        <v>-4.7616099506665872</v>
      </c>
      <c r="M33" s="157">
        <f>(Table379[[#This Row],[Bending Moment (Nm)]]/(PI()*($C$4^2)*Table379[[#This Row],[Thickness (m)]]))/(10^6)</f>
        <v>11.151016569227496</v>
      </c>
      <c r="N33" s="157">
        <f>-ABS(Table379[[#This Row],[σa (MPA)]])-ABS(Table379[[#This Row],[σb (Mpa)]])</f>
        <v>-15.912626519894083</v>
      </c>
      <c r="O33" s="157">
        <f>Table379[[#This Row],[σaxial (MPA)]]*2</f>
        <v>10.981291366046978</v>
      </c>
      <c r="P33" s="158">
        <f>ABS(VLOOKUP(Table379[[#This Row],[Material]],Table7[[Material]:[Source]],5,FALSE)/Table379[[#This Row],[σmax-vertical (Mpa)]])</f>
        <v>31.610117875332882</v>
      </c>
      <c r="Q33" s="165">
        <f>(Table379[[#This Row],[FSvertical]]-1)</f>
        <v>30.610117875332882</v>
      </c>
      <c r="R33" s="157"/>
      <c r="S33" s="166">
        <f>(Table379[[#This Row],[FShorizontal]]-1)</f>
        <v>-1</v>
      </c>
    </row>
    <row r="34" spans="2:19" x14ac:dyDescent="0.25">
      <c r="B34" s="49"/>
      <c r="C34" s="4" t="s">
        <v>204</v>
      </c>
      <c r="D34" t="s">
        <v>258</v>
      </c>
      <c r="E34" s="135">
        <v>5.0000000000000001E-4</v>
      </c>
      <c r="F34" s="164"/>
      <c r="G34" s="160">
        <f>VLOOKUP(Table379[[#This Row],[Location]],Table3[[Location]:[Axial Load (kN)]],3,FALSE)</f>
        <v>1463.3709492633379</v>
      </c>
      <c r="H34" s="160">
        <f>VLOOKUP(Table379[[#This Row],[Location]],Table3[[Location]:[Axial Load (kN)]],4,FALSE)</f>
        <v>3998.6155686534485</v>
      </c>
      <c r="I34" s="160">
        <f>VLOOKUP(Table379[[#This Row],[Location]],Table3[[Location]:[Axial Load (kN)]],5,FALSE)</f>
        <v>11996.555206730867</v>
      </c>
      <c r="J34" s="31">
        <f>(Table379[[#This Row],[Shear (N)]]/(2*PI()*$C$3*Table379[[#This Row],[Thickness (m)]]))/(10^6)</f>
        <v>1.1943729238581509</v>
      </c>
      <c r="K34" s="162">
        <f>Table379[[#This Row],[Axial Load (N)]]/(PI()*((($C$3+Table379[[#This Row],[Thickness (m)]])^2)-(($C$3)^2)))/10^6</f>
        <v>9.7850662971223059</v>
      </c>
      <c r="L34" s="162">
        <f>(-Table379[[#This Row],[Axial Load (N)]]/(2*PI()*$C$4*Table379[[#This Row],[Thickness (m)]]))/(10^6)</f>
        <v>-8.4858269387823633</v>
      </c>
      <c r="M34" s="157">
        <f>(Table379[[#This Row],[Bending Moment (Nm)]]/(PI()*($C$4^2)*Table379[[#This Row],[Thickness (m)]]))/(10^6)</f>
        <v>12.570853002970988</v>
      </c>
      <c r="N34" s="157">
        <f>-ABS(Table379[[#This Row],[σa (MPA)]])-ABS(Table379[[#This Row],[σb (Mpa)]])</f>
        <v>-21.056679941753352</v>
      </c>
      <c r="O34" s="157">
        <f>Table379[[#This Row],[σaxial (MPA)]]*2</f>
        <v>19.570132594244612</v>
      </c>
      <c r="P34" s="158">
        <f>ABS(VLOOKUP(Table379[[#This Row],[Material]],Table7[[Material]:[Source]],5,FALSE)/Table379[[#This Row],[σmax-vertical (Mpa)]])</f>
        <v>23.887906421686157</v>
      </c>
      <c r="Q34" s="165">
        <f>(Table379[[#This Row],[FSvertical]]-1)</f>
        <v>22.887906421686157</v>
      </c>
      <c r="R34" s="157"/>
      <c r="S34" s="166">
        <f>(Table379[[#This Row],[FShorizontal]]-1)</f>
        <v>-1</v>
      </c>
    </row>
    <row r="35" spans="2:19" x14ac:dyDescent="0.25">
      <c r="B35">
        <v>1</v>
      </c>
      <c r="C35" t="s">
        <v>299</v>
      </c>
      <c r="D35" t="s">
        <v>258</v>
      </c>
      <c r="E35" s="135">
        <v>5.0000000000000001E-4</v>
      </c>
      <c r="G35" s="31">
        <f>VLOOKUP(Table379[[#This Row],[Location]],Table3[[Location]:[Axial Load (kN)]],3,FALSE)</f>
        <v>1484.0990162598243</v>
      </c>
      <c r="H35" s="31">
        <f>VLOOKUP(Table379[[#This Row],[Location]],Table3[[Location]:[Axial Load (kN)]],4,FALSE)</f>
        <v>4664.4493505682649</v>
      </c>
      <c r="I35" s="31">
        <f>VLOOKUP(Table379[[#This Row],[Location]],Table3[[Location]:[Axial Load (kN)]],5,FALSE)</f>
        <v>12912.633005614065</v>
      </c>
      <c r="J35" s="31">
        <f>(Table379[[#This Row],[Shear (N)]]/(2*PI()*$C$3*Table379[[#This Row],[Thickness (m)]]))/(10^6)</f>
        <v>1.2112907409003597</v>
      </c>
      <c r="K35" s="162">
        <f>Table379[[#This Row],[Axial Load (N)]]/(PI()*((($C$3+Table379[[#This Row],[Thickness (m)]])^2)-(($C$3)^2)))/10^6</f>
        <v>10.532270960538069</v>
      </c>
      <c r="L35" s="31">
        <f>(-Table379[[#This Row],[Axial Load (N)]]/(2*PI()*$C$4*Table379[[#This Row],[Thickness (m)]]))/(10^6)</f>
        <v>-9.133819427444605</v>
      </c>
      <c r="M35" s="137">
        <f>(Table379[[#This Row],[Bending Moment (Nm)]]/(PI()*($C$4^2)*Table379[[#This Row],[Thickness (m)]]))/(10^6)</f>
        <v>14.664102142117933</v>
      </c>
      <c r="N35" s="137">
        <f>-ABS(Table379[[#This Row],[σa (MPA)]])-ABS(Table379[[#This Row],[σb (Mpa)]])</f>
        <v>-23.79792156956254</v>
      </c>
      <c r="O35" s="137"/>
      <c r="P35" s="30">
        <f>ABS(VLOOKUP(Table379[[#This Row],[Material]],Table7[[Material]:[Source]],5,FALSE)/Table379[[#This Row],[σmax-vertical (Mpa)]])</f>
        <v>21.136299593630699</v>
      </c>
      <c r="Q35" s="138">
        <f>(Table379[[#This Row],[FSvertical]]-1)</f>
        <v>20.136299593630699</v>
      </c>
      <c r="R35" s="137"/>
      <c r="S35" s="137"/>
    </row>
    <row r="36" spans="2:19" x14ac:dyDescent="0.25">
      <c r="B36">
        <v>2</v>
      </c>
      <c r="C36" t="s">
        <v>259</v>
      </c>
      <c r="D36" t="s">
        <v>260</v>
      </c>
      <c r="E36" s="135">
        <v>5.0000000000000001E-4</v>
      </c>
      <c r="G36" s="31">
        <f>VLOOKUP(Table379[[#This Row],[Location]],Table3[[Location]:[Axial Load (kN)]],3,FALSE)</f>
        <v>1449.7788684314437</v>
      </c>
      <c r="H36" s="31">
        <f>VLOOKUP(Table379[[#This Row],[Location]],Table3[[Location]:[Axial Load (kN)]],4,FALSE)</f>
        <v>5721.5396237492087</v>
      </c>
      <c r="I36" s="31">
        <f>VLOOKUP(Table379[[#This Row],[Location]],Table3[[Location]:[Axial Load (kN)]],5,FALSE)</f>
        <v>15005.110809160458</v>
      </c>
      <c r="J36" s="31">
        <f>(Table379[[#This Row],[Shear (N)]]/(2*PI()*$C$4*Table379[[#This Row],[Thickness (m)]]))/(10^6)</f>
        <v>1.0255087702268393</v>
      </c>
      <c r="K36" s="162">
        <f>Table379[[#This Row],[Axial Load (N)]]/(PI()*((($C$4+Table379[[#This Row],[Thickness (m)]])^2)-(($C$4)^2)))/10^6</f>
        <v>10.608051335567325</v>
      </c>
      <c r="L36" s="31">
        <f>(-Table379[[#This Row],[Axial Load (N)]]/(2*PI()*$C$4*Table379[[#This Row],[Thickness (m)]]))/(10^6)</f>
        <v>-10.613944697420074</v>
      </c>
      <c r="M36" s="137">
        <f>(Table379[[#This Row],[Bending Moment (Nm)]]/(PI()*($C$4^2)*Table379[[#This Row],[Thickness (m)]]))/(10^6)</f>
        <v>17.987383964757125</v>
      </c>
      <c r="N36" s="137">
        <f>-ABS(Table379[[#This Row],[σa (MPA)]])-ABS(Table379[[#This Row],[σb (Mpa)]])</f>
        <v>-28.601328662177199</v>
      </c>
      <c r="O36" s="137"/>
      <c r="P36" s="30">
        <f>ABS(VLOOKUP(Table379[[#This Row],[Material]],Table7[[Material]:[Source]],5,FALSE)/Table379[[#This Row],[σmax-vertical (Mpa)]])</f>
        <v>17.153049279447512</v>
      </c>
      <c r="Q36" s="138">
        <f>(Table379[[#This Row],[FSvertical]]-1)</f>
        <v>16.153049279447512</v>
      </c>
      <c r="R36" s="140"/>
      <c r="S36" s="138"/>
    </row>
    <row r="37" spans="2:19" x14ac:dyDescent="0.25">
      <c r="B37">
        <v>3</v>
      </c>
      <c r="C37" t="s">
        <v>206</v>
      </c>
      <c r="D37" s="30" t="s">
        <v>258</v>
      </c>
      <c r="E37" s="135">
        <v>5.0000000000000001E-4</v>
      </c>
      <c r="F37">
        <v>0</v>
      </c>
      <c r="G37" s="31">
        <f>VLOOKUP(Table379[[#This Row],[Location]],Table3[[Location]:[Axial Load (kN)]],3,FALSE)</f>
        <v>1166.616279208698</v>
      </c>
      <c r="H37" s="31">
        <f>VLOOKUP(Table379[[#This Row],[Location]],Table3[[Location]:[Axial Load (kN)]],4,FALSE)</f>
        <v>6130.1037151846785</v>
      </c>
      <c r="I37" s="31">
        <f>VLOOKUP(Table379[[#This Row],[Location]],Table3[[Location]:[Axial Load (kN)]],5,FALSE)</f>
        <v>21399.238774402966</v>
      </c>
      <c r="J37" s="31">
        <f>(Table379[[#This Row],[Shear (N)]]/(2*PI()*$C$4*Table379[[#This Row],[Thickness (m)]]))/(10^6)</f>
        <v>0.82521221123350674</v>
      </c>
      <c r="K37" s="162">
        <f>Table379[[#This Row],[Axial Load (N)]]/(PI()*((($C$4+Table379[[#This Row],[Thickness (m)]])^2)-(($C$4)^2)))/10^6</f>
        <v>15.128460319156446</v>
      </c>
      <c r="L37" s="31">
        <f>(-Table379[[#This Row],[Axial Load (N)]]/(2*PI()*$C$4*Table379[[#This Row],[Thickness (m)]]))/(10^6)</f>
        <v>-15.136865019333264</v>
      </c>
      <c r="M37" s="137">
        <f>(Table379[[#This Row],[Bending Moment (Nm)]]/(PI()*($C$4^2)*Table379[[#This Row],[Thickness (m)]]))/(10^6)</f>
        <v>19.271828304940907</v>
      </c>
      <c r="N37" s="137">
        <f>-ABS(Table379[[#This Row],[σa (MPA)]])-ABS(Table379[[#This Row],[σb (Mpa)]])</f>
        <v>-34.408693324274168</v>
      </c>
      <c r="O37" s="137">
        <f>Table379[[#This Row],[σaxial (MPA)]]*2</f>
        <v>30.256920638312891</v>
      </c>
      <c r="P37" s="30">
        <f>ABS(VLOOKUP(Table379[[#This Row],[Material]],Table7[[Material]:[Source]],5,FALSE)/Table379[[#This Row],[σmax-vertical (Mpa)]])</f>
        <v>14.618398765092033</v>
      </c>
      <c r="Q37" s="138">
        <f>(Table379[[#This Row],[FSvertical]]-1)</f>
        <v>13.618398765092033</v>
      </c>
      <c r="R37" s="140">
        <f>ABS(VLOOKUP(Table379[[#This Row],[Material]],Table7[[Material]:[Source]],5,FALSE)/Table379[[#This Row],[σmax-horizontal (Mpa)]])</f>
        <v>16.624295843347493</v>
      </c>
      <c r="S37" s="138">
        <f>(Table379[[#This Row],[FShorizontal]]-1)</f>
        <v>15.624295843347493</v>
      </c>
    </row>
    <row r="38" spans="2:19" x14ac:dyDescent="0.25">
      <c r="B38">
        <v>4</v>
      </c>
      <c r="C38" t="s">
        <v>207</v>
      </c>
      <c r="D38" s="30" t="s">
        <v>258</v>
      </c>
      <c r="E38" s="135">
        <v>5.0000000000000001E-4</v>
      </c>
      <c r="G38" s="31">
        <f>VLOOKUP(Table379[[#This Row],[Location]],Table3[[Location]:[Axial Load (kN)]],3,FALSE)</f>
        <v>1140.7519189047848</v>
      </c>
      <c r="H38" s="31">
        <f>VLOOKUP(Table379[[#This Row],[Location]],Table3[[Location]:[Axial Load (kN)]],4,FALSE)</f>
        <v>6917.5697036505508</v>
      </c>
      <c r="I38" s="31">
        <f>VLOOKUP(Table379[[#This Row],[Location]],Table3[[Location]:[Axial Load (kN)]],5,FALSE)</f>
        <v>21983.284957821164</v>
      </c>
      <c r="J38" s="31">
        <f>(Table379[[#This Row],[Shear (N)]]/(2*PI()*$C$4*Table379[[#This Row],[Thickness (m)]]))/(10^6)</f>
        <v>0.80691691882338423</v>
      </c>
      <c r="K38" s="162">
        <f>Table379[[#This Row],[Axial Load (N)]]/(PI()*((($C$4+Table379[[#This Row],[Thickness (m)]])^2)-(($C$4)^2)))/10^6</f>
        <v>15.541359095769284</v>
      </c>
      <c r="L38" s="31">
        <f>(-Table379[[#This Row],[Axial Load (N)]]/(2*PI()*$C$4*Table379[[#This Row],[Thickness (m)]]))/(10^6)</f>
        <v>-15.549993184155317</v>
      </c>
      <c r="M38" s="137">
        <f>(Table379[[#This Row],[Bending Moment (Nm)]]/(PI()*($C$4^2)*Table379[[#This Row],[Thickness (m)]]))/(10^6)</f>
        <v>21.747464938641432</v>
      </c>
      <c r="N38" s="137">
        <f>-ABS(Table379[[#This Row],[σa (MPA)]])-ABS(Table379[[#This Row],[σb (Mpa)]])</f>
        <v>-37.297458122796748</v>
      </c>
      <c r="O38" s="137"/>
      <c r="P38" s="30">
        <f>ABS(VLOOKUP(Table379[[#This Row],[Material]],Table7[[Material]:[Source]],5,FALSE)/Table379[[#This Row],[σmax-vertical (Mpa)]])</f>
        <v>13.486173731838285</v>
      </c>
      <c r="Q38" s="138">
        <f>(Table379[[#This Row],[FSvertical]]-1)</f>
        <v>12.486173731838285</v>
      </c>
      <c r="R38" s="137"/>
      <c r="S38" s="140"/>
    </row>
    <row r="39" spans="2:19" x14ac:dyDescent="0.25">
      <c r="B39">
        <v>5</v>
      </c>
      <c r="C39" t="s">
        <v>208</v>
      </c>
      <c r="D39" t="s">
        <v>258</v>
      </c>
      <c r="E39" s="135">
        <v>5.0000000000000001E-4</v>
      </c>
      <c r="F39">
        <v>0</v>
      </c>
      <c r="G39" s="31">
        <f>VLOOKUP(Table379[[#This Row],[Location]],Table3[[Location]:[Axial Load (kN)]],3,FALSE)</f>
        <v>473.73357135621654</v>
      </c>
      <c r="H39" s="31">
        <f>VLOOKUP(Table379[[#This Row],[Location]],Table3[[Location]:[Axial Load (kN)]],4,FALSE)</f>
        <v>7792.9961480374395</v>
      </c>
      <c r="I39" s="31">
        <f>VLOOKUP(Table379[[#This Row],[Location]],Table3[[Location]:[Axial Load (kN)]],5,FALSE)</f>
        <v>37045.305266002288</v>
      </c>
      <c r="J39" s="31">
        <f>(Table379[[#This Row],[Shear (N)]]/(2*PI()*$C$4*Table379[[#This Row],[Thickness (m)]]))/(10^6)</f>
        <v>0.33509795373297324</v>
      </c>
      <c r="K39" s="162">
        <f>Table379[[#This Row],[Axial Load (N)]]/(PI()*((($C$4+Table379[[#This Row],[Thickness (m)]])^2)-(($C$4)^2)))/10^6</f>
        <v>26.189643315636541</v>
      </c>
      <c r="L39" s="31">
        <f>(-Table379[[#This Row],[Axial Load (N)]]/(2*PI()*$C$4*Table379[[#This Row],[Thickness (m)]]))/(10^6)</f>
        <v>-26.204193117477711</v>
      </c>
      <c r="M39" s="137">
        <f>(Table379[[#This Row],[Bending Moment (Nm)]]/(PI()*($C$4^2)*Table379[[#This Row],[Thickness (m)]]))/(10^6)</f>
        <v>24.499631771975469</v>
      </c>
      <c r="N39" s="137">
        <f>-ABS(Table379[[#This Row],[σa (MPA)]])-ABS(Table379[[#This Row],[σb (Mpa)]])</f>
        <v>-50.70382488945318</v>
      </c>
      <c r="O39" s="137">
        <f>Table379[[#This Row],[σaxial (MPA)]]*2</f>
        <v>52.379286631273082</v>
      </c>
      <c r="P39" s="30">
        <f>ABS(VLOOKUP(Table379[[#This Row],[Material]],Table7[[Material]:[Source]],5,FALSE)/Table379[[#This Row],[σmax-vertical (Mpa)]])</f>
        <v>9.920356128885027</v>
      </c>
      <c r="Q39" s="138">
        <f>(Table379[[#This Row],[FSvertical]]-1)</f>
        <v>8.920356128885027</v>
      </c>
      <c r="R39" s="140">
        <f>ABS(VLOOKUP(Table379[[#This Row],[Material]],Table7[[Material]:[Source]],5,FALSE)/Table379[[#This Row],[σmax-horizontal (Mpa)]])</f>
        <v>9.6030326556544505</v>
      </c>
      <c r="S39" s="138">
        <f>(Table379[[#This Row],[FShorizontal]]-1)</f>
        <v>8.6030326556544505</v>
      </c>
    </row>
    <row r="40" spans="2:19" x14ac:dyDescent="0.25">
      <c r="B40">
        <v>6</v>
      </c>
      <c r="C40" t="s">
        <v>300</v>
      </c>
      <c r="D40" t="s">
        <v>258</v>
      </c>
      <c r="E40" s="135">
        <v>5.0000000000000001E-4</v>
      </c>
      <c r="G40" s="31">
        <f>VLOOKUP(Table379[[#This Row],[Location]],Table3[[Location]:[Axial Load (kN)]],3,FALSE)</f>
        <v>324.32164150559259</v>
      </c>
      <c r="H40" s="31">
        <f>VLOOKUP(Table379[[#This Row],[Location]],Table3[[Location]:[Axial Load (kN)]],4,FALSE)</f>
        <v>7366.635933816844</v>
      </c>
      <c r="I40" s="31">
        <f>VLOOKUP(Table379[[#This Row],[Location]],Table3[[Location]:[Axial Load (kN)]],5,FALSE)</f>
        <v>40419.193750427774</v>
      </c>
      <c r="J40" s="31">
        <f>(Table379[[#This Row],[Shear (N)]]/(2*PI()*(($C$5+$C$4)/2)*Table379[[#This Row],[Thickness (m)]]))/(10^6)</f>
        <v>0.22941063287685634</v>
      </c>
      <c r="K40" s="162">
        <f>Table379[[#This Row],[Axial Load (N)]]/(PI()*((($C$4+Table379[[#This Row],[Thickness (m)]])^2)-(($C$4)^2)))/10^6</f>
        <v>28.574856107361835</v>
      </c>
      <c r="L40" s="31">
        <f>(-Table379[[#This Row],[Axial Load (N)]]/(2*PI()*(($C$5+$C$4)/2)*Table379[[#This Row],[Thickness (m)]]))/(10^6)</f>
        <v>-28.590731027420553</v>
      </c>
      <c r="M40" s="137">
        <f>(Table379[[#This Row],[Bending Moment (Nm)]]/(PI()*((($C$5+$C$4)/2)^2)*Table379[[#This Row],[Thickness (m)]]))/(10^6)</f>
        <v>23.159239957043575</v>
      </c>
      <c r="N40" s="137">
        <f>-ABS(Table379[[#This Row],[σa (MPA)]])-ABS(Table379[[#This Row],[σb (Mpa)]])</f>
        <v>-51.749970984464127</v>
      </c>
      <c r="O40" s="137"/>
      <c r="P40" s="30">
        <f>ABS(VLOOKUP(Table379[[#This Row],[Material]],Table7[[Material]:[Source]],5,FALSE)/Table379[[#This Row],[σmax-vertical (Mpa)]])</f>
        <v>9.7198122130542988</v>
      </c>
      <c r="Q40" s="138">
        <f>(Table379[[#This Row],[FSvertical]]-1)</f>
        <v>8.7198122130542988</v>
      </c>
      <c r="R40" s="140"/>
      <c r="S40" s="138"/>
    </row>
    <row r="41" spans="2:19" x14ac:dyDescent="0.25">
      <c r="B41">
        <v>7</v>
      </c>
      <c r="C41" t="s">
        <v>209</v>
      </c>
      <c r="D41" t="s">
        <v>258</v>
      </c>
      <c r="E41" s="135">
        <v>5.0000000000000001E-4</v>
      </c>
      <c r="G41" s="31">
        <f>VLOOKUP(Table379[[#This Row],[Location]],Table3[[Location]:[Axial Load (kN)]],3,FALSE)</f>
        <v>271.43830108207385</v>
      </c>
      <c r="H41" s="31">
        <f>VLOOKUP(Table379[[#This Row],[Location]],Table3[[Location]:[Axial Load (kN)]],4,FALSE)</f>
        <v>7053.2082372161904</v>
      </c>
      <c r="I41" s="31">
        <f>VLOOKUP(Table379[[#This Row],[Location]],Table3[[Location]:[Axial Load (kN)]],5,FALSE)</f>
        <v>41613.358724076417</v>
      </c>
      <c r="J41" s="31">
        <f>(Table379[[#This Row],[Shear (N)]]/(2*PI()*$C$5*Table379[[#This Row],[Thickness (m)]]))/(10^6)</f>
        <v>0.19200332160745875</v>
      </c>
      <c r="K41" s="162">
        <f>Table379[[#This Row],[Axial Load (N)]]/(PI()*((($C$5+Table379[[#This Row],[Thickness (m)]])^2)-(($C$5)^2)))/10^6</f>
        <v>29.41908601707151</v>
      </c>
      <c r="L41" s="31">
        <f>(-Table379[[#This Row],[Axial Load (N)]]/(2*PI()*$C$4*Table379[[#This Row],[Thickness (m)]]))/(10^6)</f>
        <v>-29.435429953746706</v>
      </c>
      <c r="M41" s="137">
        <f>(Table379[[#This Row],[Bending Moment (Nm)]]/(PI()*($C$4^2)*Table379[[#This Row],[Thickness (m)]]))/(10^6)</f>
        <v>22.173885542902326</v>
      </c>
      <c r="N41" s="137">
        <f>-ABS(Table379[[#This Row],[σa (MPA)]])-ABS(Table379[[#This Row],[σb (Mpa)]])</f>
        <v>-51.609315496649032</v>
      </c>
      <c r="O41" s="137"/>
      <c r="P41" s="30">
        <f>ABS(VLOOKUP(Table379[[#This Row],[Material]],Table7[[Material]:[Source]],5,FALSE)/Table379[[#This Row],[σmax-vertical (Mpa)]])</f>
        <v>9.746302487438717</v>
      </c>
      <c r="Q41" s="138">
        <f>(Table379[[#This Row],[FSvertical]]-1)</f>
        <v>8.746302487438717</v>
      </c>
      <c r="R41" s="140"/>
      <c r="S41" s="138"/>
    </row>
    <row r="42" spans="2:19" x14ac:dyDescent="0.25">
      <c r="B42">
        <v>8</v>
      </c>
      <c r="C42" t="s">
        <v>210</v>
      </c>
      <c r="D42" t="s">
        <v>258</v>
      </c>
      <c r="E42" s="135">
        <v>5.0000000000000001E-4</v>
      </c>
      <c r="F42">
        <v>0</v>
      </c>
      <c r="G42" s="31">
        <f>VLOOKUP(Table379[[#This Row],[Location]],Table3[[Location]:[Axial Load (kN)]],3,FALSE)</f>
        <v>-181.23523671535247</v>
      </c>
      <c r="H42" s="31">
        <f>VLOOKUP(Table379[[#This Row],[Location]],Table3[[Location]:[Axial Load (kN)]],4,FALSE)</f>
        <v>6606.2734010907288</v>
      </c>
      <c r="I42" s="31">
        <f>VLOOKUP(Table379[[#This Row],[Location]],Table3[[Location]:[Axial Load (kN)]],5,FALSE)</f>
        <v>51835.233496096196</v>
      </c>
      <c r="J42" s="31">
        <f>(Table379[[#This Row],[Shear (N)]]/(2*PI()*$C$5*Table379[[#This Row],[Thickness (m)]]))/(10^6)</f>
        <v>-0.12819770571412492</v>
      </c>
      <c r="K42" s="162">
        <f>Table379[[#This Row],[Axial Load (N)]]/(PI()*((($C$5+Table379[[#This Row],[Thickness (m)]])^2)-(($C$5)^2)))/10^6</f>
        <v>36.645568627325112</v>
      </c>
      <c r="L42" s="31">
        <f>(-Table379[[#This Row],[Axial Load (N)]]/(2*PI()*$C$4*Table379[[#This Row],[Thickness (m)]]))/(10^6)</f>
        <v>-36.66592727656132</v>
      </c>
      <c r="M42" s="137">
        <f>(Table379[[#This Row],[Bending Moment (Nm)]]/(PI()*($C$4^2)*Table379[[#This Row],[Thickness (m)]]))/(10^6)</f>
        <v>20.768811203952527</v>
      </c>
      <c r="N42" s="137">
        <f>-ABS(Table379[[#This Row],[σa (MPA)]])-ABS(Table379[[#This Row],[σb (Mpa)]])</f>
        <v>-57.434738480513843</v>
      </c>
      <c r="O42" s="137">
        <f>Table379[[#This Row],[σaxial (MPA)]]*2</f>
        <v>73.291137254650224</v>
      </c>
      <c r="P42" s="30">
        <f>ABS(VLOOKUP(Table379[[#This Row],[Material]],Table7[[Material]:[Source]],5,FALSE)/Table379[[#This Row],[σmax-vertical (Mpa)]])</f>
        <v>8.7577660020277666</v>
      </c>
      <c r="Q42" s="138">
        <f>(Table379[[#This Row],[FSvertical]]-1)</f>
        <v>7.7577660020277666</v>
      </c>
      <c r="R42" s="140">
        <f>ABS(VLOOKUP(Table379[[#This Row],[Material]],Table7[[Material]:[Source]],5,FALSE)/Table379[[#This Row],[σmax-horizontal (Mpa)]])</f>
        <v>6.863039909618613</v>
      </c>
      <c r="S42" s="138">
        <f>(Table379[[#This Row],[FShorizontal]]-1)</f>
        <v>5.863039909618613</v>
      </c>
    </row>
    <row r="43" spans="2:19" x14ac:dyDescent="0.25">
      <c r="B43">
        <v>5</v>
      </c>
      <c r="C43" t="s">
        <v>211</v>
      </c>
      <c r="D43" t="s">
        <v>260</v>
      </c>
      <c r="E43" s="135">
        <v>5.0000000000000001E-4</v>
      </c>
      <c r="G43" s="31">
        <f>VLOOKUP(Table379[[#This Row],[Location]],Table3[[Location]:[Axial Load (kN)]],3,FALSE)</f>
        <v>-207.14844144603188</v>
      </c>
      <c r="H43" s="31">
        <f>VLOOKUP(Table379[[#This Row],[Location]],Table3[[Location]:[Axial Load (kN)]],4,FALSE)</f>
        <v>6483.9396163078663</v>
      </c>
      <c r="I43" s="31">
        <f>VLOOKUP(Table379[[#This Row],[Location]],Table3[[Location]:[Axial Load (kN)]],5,FALSE)</f>
        <v>52420.382641300377</v>
      </c>
      <c r="J43" s="31">
        <f>(Table379[[#This Row],[Shear (N)]]/(2*PI()*$C$5*Table379[[#This Row],[Thickness (m)]]))/(10^6)</f>
        <v>-0.14652754848852453</v>
      </c>
      <c r="K43" s="162">
        <f>Table379[[#This Row],[Axial Load (N)]]/(PI()*((($C$5+Table379[[#This Row],[Thickness (m)]])^2)-(($C$5)^2)))/10^6</f>
        <v>37.059247156609928</v>
      </c>
      <c r="L43" s="31">
        <f>(-Table379[[#This Row],[Axial Load (N)]]/(2*PI()*$C$4*Table379[[#This Row],[Thickness (m)]]))/(10^6)</f>
        <v>-37.079835627251292</v>
      </c>
      <c r="M43" s="137">
        <f>(Table379[[#This Row],[Bending Moment (Nm)]]/(PI()*($C$4^2)*Table379[[#This Row],[Thickness (m)]]))/(10^6)</f>
        <v>20.384218086810154</v>
      </c>
      <c r="N43" s="137">
        <f>-ABS(Table379[[#This Row],[σa (MPA)]])-ABS(Table379[[#This Row],[σb (Mpa)]])</f>
        <v>-57.46405371406145</v>
      </c>
      <c r="O43" s="137"/>
      <c r="P43" s="30">
        <f>ABS(VLOOKUP(Table379[[#This Row],[Material]],Table7[[Material]:[Source]],5,FALSE)/Table379[[#This Row],[σmax-vertical (Mpa)]])</f>
        <v>8.5375111620423372</v>
      </c>
      <c r="Q43" s="138">
        <f>(Table379[[#This Row],[FSvertical]]-1)</f>
        <v>7.5375111620423372</v>
      </c>
      <c r="R43" s="140"/>
      <c r="S43" s="138"/>
    </row>
    <row r="44" spans="2:19" x14ac:dyDescent="0.25">
      <c r="B44">
        <v>6</v>
      </c>
      <c r="C44" t="s">
        <v>212</v>
      </c>
      <c r="D44" t="s">
        <v>260</v>
      </c>
      <c r="E44" s="135">
        <v>5.0000000000000001E-4</v>
      </c>
      <c r="F44">
        <v>0</v>
      </c>
      <c r="G44" s="31">
        <f>VLOOKUP(Table379[[#This Row],[Location]],Table3[[Location]:[Axial Load (kN)]],3,FALSE)</f>
        <v>-1271.4096997111437</v>
      </c>
      <c r="H44" s="31">
        <f>VLOOKUP(Table379[[#This Row],[Location]],Table3[[Location]:[Axial Load (kN)]],4,FALSE)</f>
        <v>5841.9715402673473</v>
      </c>
      <c r="I44" s="31">
        <f>VLOOKUP(Table379[[#This Row],[Location]],Table3[[Location]:[Axial Load (kN)]],5,FALSE)</f>
        <v>76452.592166140035</v>
      </c>
      <c r="J44" s="31">
        <f>(Table379[[#This Row],[Shear (N)]]/(2*PI()*$C$5*Table379[[#This Row],[Thickness (m)]]))/(10^6)</f>
        <v>-0.8993383929067148</v>
      </c>
      <c r="K44" s="162">
        <f>Table379[[#This Row],[Axial Load (N)]]/(PI()*((($C$5+Table379[[#This Row],[Thickness (m)]])^2)-(($C$5)^2)))/10^6</f>
        <v>54.049119180145681</v>
      </c>
      <c r="L44" s="31">
        <f>(-Table379[[#This Row],[Axial Load (N)]]/(2*PI()*$C$4*Table379[[#This Row],[Thickness (m)]]))/(10^6)</f>
        <v>-54.079146468577342</v>
      </c>
      <c r="M44" s="137">
        <f>(Table379[[#This Row],[Bending Moment (Nm)]]/(PI()*($C$4^2)*Table379[[#This Row],[Thickness (m)]]))/(10^6)</f>
        <v>18.365997985890797</v>
      </c>
      <c r="N44" s="137">
        <f>-ABS(Table379[[#This Row],[σa (MPA)]])-ABS(Table379[[#This Row],[σb (Mpa)]])</f>
        <v>-72.445144454468135</v>
      </c>
      <c r="O44" s="137">
        <f>Table379[[#This Row],[σaxial (MPA)]]*2</f>
        <v>108.09823836029136</v>
      </c>
      <c r="P44" s="30">
        <f>ABS(VLOOKUP(Table379[[#This Row],[Material]],Table7[[Material]:[Source]],5,FALSE)/Table379[[#This Row],[σmax-vertical (Mpa)]])</f>
        <v>6.7720204534665918</v>
      </c>
      <c r="Q44" s="138">
        <f>(Table379[[#This Row],[FSvertical]]-1)</f>
        <v>5.7720204534665918</v>
      </c>
      <c r="R44" s="140">
        <f>ABS(VLOOKUP(Table379[[#This Row],[Material]],Table7[[Material]:[Source]],5,FALSE)/Table379[[#This Row],[σmax-horizontal (Mpa)]])</f>
        <v>4.538464339861215</v>
      </c>
      <c r="S44" s="138">
        <f>(Table379[[#This Row],[FShorizontal]]-1)</f>
        <v>3.538464339861215</v>
      </c>
    </row>
    <row r="45" spans="2:19" x14ac:dyDescent="0.25">
      <c r="B45">
        <v>9</v>
      </c>
      <c r="C45" t="s">
        <v>213</v>
      </c>
      <c r="D45" t="s">
        <v>258</v>
      </c>
      <c r="E45" s="135">
        <v>5.0000000000000001E-4</v>
      </c>
      <c r="G45" s="31">
        <f>VLOOKUP(Table379[[#This Row],[Location]],Table3[[Location]:[Axial Load (kN)]],3,FALSE)</f>
        <v>-1541.7289304284702</v>
      </c>
      <c r="H45" s="31">
        <f>VLOOKUP(Table379[[#This Row],[Location]],Table3[[Location]:[Axial Load (kN)]],4,FALSE)</f>
        <v>3157.2452897985595</v>
      </c>
      <c r="I45" s="31">
        <f>VLOOKUP(Table379[[#This Row],[Location]],Table3[[Location]:[Axial Load (kN)]],5,FALSE)</f>
        <v>82556.702731794008</v>
      </c>
      <c r="J45" s="31">
        <f>(Table379[[#This Row],[Shear (N)]]/(2*PI()*$C$5*Table379[[#This Row],[Thickness (m)]]))/(10^6)</f>
        <v>-1.0905501341576527</v>
      </c>
      <c r="K45" s="162">
        <f>Table379[[#This Row],[Axial Load (N)]]/(PI()*((($C$5+Table379[[#This Row],[Thickness (m)]])^2)-(($C$5)^2)))/10^6</f>
        <v>58.36449672463575</v>
      </c>
      <c r="L45" s="31">
        <f>(-Table379[[#This Row],[Axial Load (N)]]/(2*PI()*$C$4*Table379[[#This Row],[Thickness (m)]]))/(10^6)</f>
        <v>-58.396921445036426</v>
      </c>
      <c r="M45" s="137">
        <f>(Table379[[#This Row],[Bending Moment (Nm)]]/(PI()*($C$4^2)*Table379[[#This Row],[Thickness (m)]]))/(10^6)</f>
        <v>9.9257519886428511</v>
      </c>
      <c r="N45" s="137">
        <f>-ABS(Table379[[#This Row],[σa (MPA)]])-ABS(Table379[[#This Row],[σb (Mpa)]])</f>
        <v>-68.322673433679284</v>
      </c>
      <c r="O45" s="137"/>
      <c r="P45" s="30">
        <f>ABS(VLOOKUP(Table379[[#This Row],[Material]],Table7[[Material]:[Source]],5,FALSE)/Table379[[#This Row],[σmax-vertical (Mpa)]])</f>
        <v>7.3621240903030722</v>
      </c>
      <c r="Q45" s="138">
        <f>(Table379[[#This Row],[FSvertical]]-1)</f>
        <v>6.3621240903030722</v>
      </c>
      <c r="R45" s="137"/>
      <c r="S45" s="137"/>
    </row>
    <row r="46" spans="2:19" ht="15.75" thickBot="1" x14ac:dyDescent="0.3">
      <c r="D46" s="31"/>
      <c r="E46" s="31"/>
      <c r="F46" s="31"/>
      <c r="G46" s="31"/>
    </row>
    <row r="47" spans="2:19" ht="15.75" thickBot="1" x14ac:dyDescent="0.3">
      <c r="B47" s="187" t="s">
        <v>262</v>
      </c>
      <c r="C47" s="188"/>
      <c r="D47" s="188"/>
      <c r="E47" s="188"/>
      <c r="F47" s="188"/>
      <c r="G47" s="188"/>
      <c r="H47" s="188"/>
      <c r="I47" s="189"/>
    </row>
    <row r="48" spans="2:19" x14ac:dyDescent="0.25">
      <c r="B48" s="15" t="s">
        <v>193</v>
      </c>
      <c r="C48" s="15" t="s">
        <v>194</v>
      </c>
      <c r="D48" s="15" t="s">
        <v>244</v>
      </c>
      <c r="E48" s="15" t="s">
        <v>13</v>
      </c>
      <c r="F48" s="15" t="s">
        <v>263</v>
      </c>
      <c r="G48" s="15" t="s">
        <v>264</v>
      </c>
      <c r="H48" s="15" t="s">
        <v>265</v>
      </c>
      <c r="I48" s="15" t="s">
        <v>266</v>
      </c>
    </row>
    <row r="49" spans="2:9" x14ac:dyDescent="0.25">
      <c r="B49">
        <v>1</v>
      </c>
      <c r="C49" t="str">
        <f>C18</f>
        <v>Top of Ox Tank 2</v>
      </c>
      <c r="D49" t="s">
        <v>260</v>
      </c>
      <c r="E49" s="135">
        <f>E18</f>
        <v>5.9119762763545935E-4</v>
      </c>
      <c r="F49" s="141" t="s">
        <v>154</v>
      </c>
      <c r="G49" s="31">
        <f>O17</f>
        <v>9.9672561952335244</v>
      </c>
      <c r="H49" s="31">
        <f>VLOOKUP(Table37910[[#This Row],[Material]],Table7[[Material]:[Website]],5,FALSE)</f>
        <v>490.6</v>
      </c>
      <c r="I49" s="142">
        <f>(Table37910[[#This Row],[Yield Stress (Mpa)]]/Table37910[[#This Row],[Stress (Mpa)]])-1</f>
        <v>48.221168834268703</v>
      </c>
    </row>
    <row r="50" spans="2:9" x14ac:dyDescent="0.25">
      <c r="B50">
        <v>2</v>
      </c>
      <c r="C50" t="str">
        <f>C19</f>
        <v>Bottom of Ox Tank 2</v>
      </c>
      <c r="D50" t="s">
        <v>258</v>
      </c>
      <c r="E50" s="135">
        <f>E19</f>
        <v>5.8644606828182943E-4</v>
      </c>
      <c r="F50" s="141" t="s">
        <v>154</v>
      </c>
      <c r="G50" s="31">
        <f>O19</f>
        <v>20.875674053046243</v>
      </c>
      <c r="H50" s="31">
        <f>VLOOKUP(Table37910[[#This Row],[Material]],Table7[[Material]:[Website]],5,FALSE)</f>
        <v>503</v>
      </c>
      <c r="I50" s="142">
        <f>(Table37910[[#This Row],[Yield Stress (Mpa)]]/Table37910[[#This Row],[Stress (Mpa)]])-1</f>
        <v>23.095030355515668</v>
      </c>
    </row>
    <row r="51" spans="2:9" x14ac:dyDescent="0.25">
      <c r="B51">
        <v>3</v>
      </c>
      <c r="C51" t="str">
        <f>C41</f>
        <v>Top of Fuel Tank 1</v>
      </c>
      <c r="D51" t="s">
        <v>258</v>
      </c>
      <c r="E51" s="135">
        <f>E41</f>
        <v>5.0000000000000001E-4</v>
      </c>
      <c r="F51" s="141" t="s">
        <v>267</v>
      </c>
      <c r="G51" s="31">
        <v>55</v>
      </c>
      <c r="H51" s="31">
        <f>VLOOKUP(Table37910[[#This Row],[Material]],Table7[[Material]:[Website]],5,FALSE)</f>
        <v>503</v>
      </c>
      <c r="I51" s="142">
        <f>(Table37910[[#This Row],[Yield Stress (Mpa)]]/Table37910[[#This Row],[Stress (Mpa)]])-1</f>
        <v>8.1454545454545446</v>
      </c>
    </row>
    <row r="52" spans="2:9" x14ac:dyDescent="0.25">
      <c r="B52">
        <v>4</v>
      </c>
      <c r="C52" t="str">
        <f>C42</f>
        <v>Bottom of Fuel Tank 1</v>
      </c>
      <c r="D52" t="s">
        <v>258</v>
      </c>
      <c r="E52" s="135">
        <v>5.0000000000000001E-4</v>
      </c>
      <c r="F52" s="141" t="s">
        <v>154</v>
      </c>
      <c r="G52" s="31">
        <f>O22</f>
        <v>24.090122459985999</v>
      </c>
      <c r="H52" s="31">
        <f>VLOOKUP(Table37910[[#This Row],[Material]],Table7[[Material]:[Website]],5,FALSE)</f>
        <v>503</v>
      </c>
      <c r="I52" s="142">
        <f>(Table37910[[#This Row],[Yield Stress (Mpa)]]/Table37910[[#This Row],[Stress (Mpa)]])-1</f>
        <v>19.879927067016343</v>
      </c>
    </row>
    <row r="53" spans="2:9" x14ac:dyDescent="0.25">
      <c r="B53">
        <v>5</v>
      </c>
      <c r="C53" t="str">
        <f>C22</f>
        <v>Bottom of Fuel Tank 1</v>
      </c>
      <c r="D53" t="s">
        <v>258</v>
      </c>
      <c r="E53" s="135">
        <v>5.0000000000000001E-4</v>
      </c>
      <c r="F53" s="141" t="s">
        <v>267</v>
      </c>
      <c r="G53" s="31">
        <v>66</v>
      </c>
      <c r="H53" s="31">
        <f>VLOOKUP(Table37910[[#This Row],[Material]],Table7[[Material]:[Website]],5,FALSE)</f>
        <v>503</v>
      </c>
      <c r="I53" s="142">
        <f>(Table37910[[#This Row],[Yield Stress (Mpa)]]/Table37910[[#This Row],[Stress (Mpa)]])-1</f>
        <v>6.6212121212121211</v>
      </c>
    </row>
    <row r="54" spans="2:9" x14ac:dyDescent="0.25">
      <c r="B54">
        <v>6</v>
      </c>
      <c r="C54" t="s">
        <v>213</v>
      </c>
      <c r="D54" t="s">
        <v>258</v>
      </c>
      <c r="E54" s="135">
        <v>5.0000000000000001E-4</v>
      </c>
      <c r="F54" s="141" t="s">
        <v>267</v>
      </c>
      <c r="G54" s="31">
        <v>73</v>
      </c>
      <c r="H54" s="31">
        <f>VLOOKUP(Table37910[[#This Row],[Material]],Table7[[Material]:[Website]],5,FALSE)</f>
        <v>503</v>
      </c>
      <c r="I54" s="142">
        <f>(Table37910[[#This Row],[Yield Stress (Mpa)]]/Table37910[[#This Row],[Stress (Mpa)]])-1</f>
        <v>5.8904109589041092</v>
      </c>
    </row>
    <row r="55" spans="2:9" ht="15.75" thickBot="1" x14ac:dyDescent="0.3">
      <c r="E55" s="135"/>
      <c r="F55" s="141"/>
      <c r="G55" s="31"/>
      <c r="H55" s="31"/>
      <c r="I55" s="143"/>
    </row>
    <row r="56" spans="2:9" ht="15.75" thickBot="1" x14ac:dyDescent="0.3">
      <c r="B56" s="187" t="s">
        <v>244</v>
      </c>
      <c r="C56" s="191"/>
      <c r="D56" s="191"/>
      <c r="E56" s="191"/>
      <c r="F56" s="191"/>
      <c r="G56" s="191"/>
      <c r="H56" s="191"/>
      <c r="I56" s="192"/>
    </row>
    <row r="57" spans="2:9" x14ac:dyDescent="0.25">
      <c r="B57" s="15" t="s">
        <v>268</v>
      </c>
      <c r="C57" s="15" t="s">
        <v>244</v>
      </c>
      <c r="D57" s="15" t="s">
        <v>269</v>
      </c>
      <c r="E57" s="15" t="s">
        <v>240</v>
      </c>
      <c r="F57" s="15" t="s">
        <v>270</v>
      </c>
      <c r="G57" s="15" t="s">
        <v>271</v>
      </c>
      <c r="H57" s="15" t="s">
        <v>272</v>
      </c>
      <c r="I57" s="15" t="s">
        <v>273</v>
      </c>
    </row>
    <row r="58" spans="2:9" x14ac:dyDescent="0.25">
      <c r="B58" t="s">
        <v>274</v>
      </c>
      <c r="C58" t="s">
        <v>275</v>
      </c>
      <c r="D58">
        <v>-161.5</v>
      </c>
      <c r="E58">
        <v>2840</v>
      </c>
      <c r="F58">
        <f>7.31*10^4</f>
        <v>73100</v>
      </c>
      <c r="G58">
        <v>393</v>
      </c>
      <c r="H58" s="144" t="s">
        <v>276</v>
      </c>
      <c r="I58" s="144" t="s">
        <v>277</v>
      </c>
    </row>
    <row r="59" spans="2:9" x14ac:dyDescent="0.25">
      <c r="B59" t="s">
        <v>278</v>
      </c>
      <c r="C59" t="s">
        <v>279</v>
      </c>
      <c r="D59">
        <v>20</v>
      </c>
      <c r="E59">
        <v>2840</v>
      </c>
      <c r="F59">
        <f>7.31*10^4</f>
        <v>73100</v>
      </c>
      <c r="G59">
        <v>393</v>
      </c>
      <c r="H59" s="144" t="s">
        <v>276</v>
      </c>
      <c r="I59" s="144" t="s">
        <v>277</v>
      </c>
    </row>
    <row r="60" spans="2:9" x14ac:dyDescent="0.25">
      <c r="B60" t="s">
        <v>274</v>
      </c>
      <c r="C60" t="s">
        <v>280</v>
      </c>
      <c r="D60">
        <v>-183</v>
      </c>
      <c r="E60">
        <v>2840</v>
      </c>
      <c r="F60">
        <f>7.31*10^4</f>
        <v>73100</v>
      </c>
      <c r="G60">
        <v>393</v>
      </c>
      <c r="H60" s="144" t="s">
        <v>276</v>
      </c>
      <c r="I60" s="144" t="s">
        <v>277</v>
      </c>
    </row>
    <row r="61" spans="2:9" x14ac:dyDescent="0.25">
      <c r="B61" t="s">
        <v>281</v>
      </c>
      <c r="C61" t="s">
        <v>282</v>
      </c>
      <c r="D61">
        <v>20</v>
      </c>
      <c r="E61">
        <v>2700</v>
      </c>
      <c r="F61">
        <f>7.24*10^4</f>
        <v>72400</v>
      </c>
      <c r="G61">
        <v>276</v>
      </c>
      <c r="H61" s="144" t="s">
        <v>283</v>
      </c>
      <c r="I61" s="144" t="s">
        <v>277</v>
      </c>
    </row>
    <row r="62" spans="2:9" x14ac:dyDescent="0.25">
      <c r="B62" t="s">
        <v>274</v>
      </c>
      <c r="C62" t="s">
        <v>260</v>
      </c>
      <c r="D62">
        <v>-183</v>
      </c>
      <c r="E62">
        <v>2800</v>
      </c>
      <c r="F62">
        <v>73100</v>
      </c>
      <c r="G62">
        <v>490.6</v>
      </c>
      <c r="H62" s="144" t="s">
        <v>284</v>
      </c>
      <c r="I62" s="144" t="s">
        <v>277</v>
      </c>
    </row>
    <row r="63" spans="2:9" x14ac:dyDescent="0.25">
      <c r="B63" t="s">
        <v>281</v>
      </c>
      <c r="C63" t="s">
        <v>258</v>
      </c>
      <c r="D63">
        <v>20</v>
      </c>
      <c r="E63">
        <v>2810</v>
      </c>
      <c r="F63">
        <v>71700</v>
      </c>
      <c r="G63">
        <v>503</v>
      </c>
      <c r="H63" s="144" t="s">
        <v>285</v>
      </c>
      <c r="I63" s="144" t="s">
        <v>277</v>
      </c>
    </row>
    <row r="64" spans="2:9" x14ac:dyDescent="0.25">
      <c r="B64" t="s">
        <v>286</v>
      </c>
      <c r="C64" t="s">
        <v>287</v>
      </c>
      <c r="D64">
        <v>-173</v>
      </c>
      <c r="E64">
        <v>2800</v>
      </c>
      <c r="F64">
        <f>7.24*10^4</f>
        <v>72400</v>
      </c>
      <c r="G64">
        <v>486.5</v>
      </c>
      <c r="H64" s="144" t="s">
        <v>284</v>
      </c>
      <c r="I64" s="144" t="s">
        <v>277</v>
      </c>
    </row>
    <row r="65" spans="2:9" x14ac:dyDescent="0.25">
      <c r="B65" t="s">
        <v>288</v>
      </c>
      <c r="C65" t="s">
        <v>289</v>
      </c>
      <c r="D65">
        <v>20</v>
      </c>
      <c r="E65">
        <v>3100</v>
      </c>
      <c r="F65">
        <f>7.24*10^4</f>
        <v>72400</v>
      </c>
      <c r="G65">
        <v>290</v>
      </c>
      <c r="H65" s="144" t="s">
        <v>290</v>
      </c>
      <c r="I65" s="144" t="s">
        <v>277</v>
      </c>
    </row>
    <row r="66" spans="2:9" ht="15.75" thickBot="1" x14ac:dyDescent="0.3"/>
    <row r="67" spans="2:9" ht="15.75" thickBot="1" x14ac:dyDescent="0.3">
      <c r="B67" s="187" t="s">
        <v>291</v>
      </c>
      <c r="C67" s="191"/>
      <c r="D67" s="191"/>
      <c r="E67" s="191"/>
      <c r="F67" s="191"/>
      <c r="G67" s="191"/>
      <c r="H67" s="191"/>
      <c r="I67" s="192"/>
    </row>
    <row r="68" spans="2:9" ht="18.75" x14ac:dyDescent="0.35">
      <c r="B68" s="15" t="s">
        <v>193</v>
      </c>
      <c r="C68" s="15" t="s">
        <v>194</v>
      </c>
      <c r="D68" s="15" t="s">
        <v>9</v>
      </c>
      <c r="E68" s="15" t="s">
        <v>292</v>
      </c>
      <c r="F68" s="15" t="s">
        <v>293</v>
      </c>
      <c r="G68" s="15" t="s">
        <v>294</v>
      </c>
      <c r="H68" s="15" t="s">
        <v>295</v>
      </c>
      <c r="I68" s="134" t="s">
        <v>296</v>
      </c>
    </row>
    <row r="69" spans="2:9" x14ac:dyDescent="0.25">
      <c r="B69" s="53">
        <v>1</v>
      </c>
      <c r="C69" s="53" t="s">
        <v>257</v>
      </c>
      <c r="D69" s="145">
        <f>VLOOKUP(Table10[[#This Row],[Location]],[2]!External_Loads[[Location]:[Height (m)]],2,FALSE)</f>
        <v>9.9589320543507078</v>
      </c>
      <c r="E69" s="146">
        <f>PI()*($C$4*2)*Table10[[#This Row],[Height]]*0.0005</f>
        <v>1.4079108500796642E-2</v>
      </c>
      <c r="F69" s="147" t="e">
        <f>Table10[[#This Row],[Vwall (m3)]]*VLOOKUP(VLOOKUP(Table10[[#This Row],[Location]],Table37[[Location]:[Material]],2,FALSE),Table7[[Material]:[Source]],3,FALSE)</f>
        <v>#N/A</v>
      </c>
      <c r="G69" s="148">
        <f>SUM('[2]HW10 and HW11'!E16:E17)</f>
        <v>32.525390896124996</v>
      </c>
      <c r="H69" s="148" t="e">
        <f>Table10[[#This Row],[Mwall (kg)]]+'[2]HW10 and HW11'!E17</f>
        <v>#N/A</v>
      </c>
      <c r="I69" s="149" t="e">
        <f>Table10[[#This Row],[Mrevised (kg)]]-Table10[[#This Row],[Mprevious (kg)]]</f>
        <v>#N/A</v>
      </c>
    </row>
    <row r="70" spans="2:9" x14ac:dyDescent="0.25">
      <c r="B70" s="53">
        <v>2</v>
      </c>
      <c r="C70" s="53" t="s">
        <v>259</v>
      </c>
      <c r="D70" s="145">
        <f>VLOOKUP(Table10[[#This Row],[Location]],[2]!External_Loads[[Location]:[Height (m)]],2,FALSE)</f>
        <v>9.4339320543507075</v>
      </c>
      <c r="E70" s="146">
        <f>PI()*($C$4*2)*Table10[[#This Row],[Height]]*0.0005</f>
        <v>1.3336907236386052E-2</v>
      </c>
      <c r="F70" s="147">
        <f>Table10[[#This Row],[Vwall (m3)]]*VLOOKUP(VLOOKUP(Table10[[#This Row],[Location]],Table37[[Location]:[Material]],2,FALSE),Table7[[Material]:[Source]],3,FALSE)</f>
        <v>37.476709334244802</v>
      </c>
      <c r="G70" s="148">
        <f>SUM('[2]HW10 and HW11'!D19)</f>
        <v>0.22500000000000001</v>
      </c>
      <c r="H70" s="148">
        <f>Table10[[#This Row],[Mwall (kg)]]</f>
        <v>37.476709334244802</v>
      </c>
      <c r="I70" s="149">
        <f>Table10[[#This Row],[Mrevised (kg)]]-Table10[[#This Row],[Mprevious (kg)]]</f>
        <v>37.251709334244801</v>
      </c>
    </row>
    <row r="71" spans="2:9" x14ac:dyDescent="0.25">
      <c r="B71" s="53">
        <v>3</v>
      </c>
      <c r="C71" s="53" t="s">
        <v>206</v>
      </c>
      <c r="D71" s="145">
        <f>VLOOKUP(Table10[[#This Row],[Location]],[2]!External_Loads[[Location]:[Height (m)]],2,FALSE)</f>
        <v>9.1530740867790179</v>
      </c>
      <c r="E71" s="146">
        <f>PI()*($C$4*2)*Table10[[#This Row],[Height]]*0.0005</f>
        <v>1.2939853638954632E-2</v>
      </c>
      <c r="F71" s="147">
        <f>Table10[[#This Row],[Vwall (m3)]]*VLOOKUP(VLOOKUP(Table10[[#This Row],[Location]],Table37[[Location]:[Material]],2,FALSE),Table7[[Material]:[Source]],3,FALSE)</f>
        <v>36.360988725462512</v>
      </c>
      <c r="G71" s="148">
        <f>SUM('[1]HW10 and HW11'!E22:E24,'[1]HW10 and HW11'!D61)</f>
        <v>354.67267299411566</v>
      </c>
      <c r="H71" s="148">
        <f>Table10[[#This Row],[Mwall (kg)]]+'[1]HW10 and HW11'!E23+'[1]HW10 and HW11'!E24+'[1]HW10 and HW11'!D61</f>
        <v>387.39524760184804</v>
      </c>
      <c r="I71" s="149">
        <f>Table10[[#This Row],[Mrevised (kg)]]-Table10[[#This Row],[Mprevious (kg)]]</f>
        <v>32.722574607732383</v>
      </c>
    </row>
    <row r="72" spans="2:9" x14ac:dyDescent="0.25">
      <c r="B72" s="53">
        <v>4</v>
      </c>
      <c r="C72" s="53" t="s">
        <v>207</v>
      </c>
      <c r="D72" s="145">
        <f>VLOOKUP(Table10[[#This Row],[Location]],[2]!External_Loads[[Location]:[Height (m)]],2,FALSE)</f>
        <v>8.4780740867790172</v>
      </c>
      <c r="E72" s="146">
        <f>PI()*($C$4^2)*Table10[[#This Row],[Height]]*VLOOKUP(Table10[[#This Row],[Location]],Table37910[[Location]:[MS]],3,FALSE)</f>
        <v>3.1886348639382067E-3</v>
      </c>
      <c r="F72" s="147">
        <f>Table10[[#This Row],[Vwall (m3)]]*VLOOKUP(VLOOKUP(Table10[[#This Row],[Location]],Table37[[Location]:[Material]],2,FALSE),Table7[[Material]:[Source]],3,FALSE)</f>
        <v>8.9281776190269788</v>
      </c>
      <c r="G72" s="148">
        <f>SUM('[1]HW10 and HW11'!E23:E25,'[1]HW10 and HW11'!D62)</f>
        <v>1234.0211358099173</v>
      </c>
      <c r="H72" s="148">
        <f>Table10[[#This Row],[Mwall (kg)]]+'[1]HW10 and HW11'!E24+'[1]HW10 and HW11'!E25+'[1]HW10 and HW11'!D62</f>
        <v>1240.0034098354977</v>
      </c>
      <c r="I72" s="149">
        <f>Table10[[#This Row],[Mrevised (kg)]]-Table10[[#This Row],[Mprevious (kg)]]</f>
        <v>5.9822740255804092</v>
      </c>
    </row>
    <row r="73" spans="2:9" x14ac:dyDescent="0.25">
      <c r="B73" s="53">
        <v>5</v>
      </c>
      <c r="C73" s="53" t="s">
        <v>208</v>
      </c>
      <c r="D73" s="145">
        <f>VLOOKUP(Table10[[#This Row],[Location]],[2]!External_Loads[[Location]:[Height (m)]],2,FALSE)</f>
        <v>7.7112411337473521</v>
      </c>
      <c r="E73" s="146">
        <f>(PI()*($C$4*2)*Table10[[#This Row],[Height]]*E19)+((4/3)*PI()*($C$4^3)*E19)</f>
        <v>1.3010144255835099E-2</v>
      </c>
      <c r="F73" s="147">
        <f>Table10[[#This Row],[Vwall (m3)]]*VLOOKUP(VLOOKUP(Table10[[#This Row],[Location]],Table37[[Location]:[Material]],2,FALSE),Table7[[Material]:[Source]],3,FALSE)</f>
        <v>36.558505358896632</v>
      </c>
      <c r="G73" s="148">
        <f>SUM('[1]HW10 and HW11'!E25:E27,'[1]HW10 and HW11'!D60)</f>
        <v>167.85952177691374</v>
      </c>
      <c r="H73" s="148">
        <f>Table10[[#This Row],[Mwall (kg)]]+'[1]HW10 and HW11'!E27+'[1]HW10 and HW11'!D60</f>
        <v>185.31421274476799</v>
      </c>
      <c r="I73" s="149">
        <f>Table10[[#This Row],[Mrevised (kg)]]-Table10[[#This Row],[Mprevious (kg)]]</f>
        <v>17.454690967854248</v>
      </c>
    </row>
    <row r="74" spans="2:9" x14ac:dyDescent="0.25">
      <c r="B74" s="56">
        <v>6</v>
      </c>
      <c r="C74" s="56" t="s">
        <v>205</v>
      </c>
      <c r="D74" s="150">
        <f>VLOOKUP(Table10[[#This Row],[Location]],[2]!External_Loads[[Location]:[Height (m)]],2,FALSE)</f>
        <v>7.1862411337473517</v>
      </c>
      <c r="E74" s="151">
        <f>PI()*($C$5*2)*Table10[[#This Row],[Height]]*0.0005</f>
        <v>1.015930905871746E-2</v>
      </c>
      <c r="F74" s="152" t="e">
        <f>Table10[[#This Row],[Vwall (m3)]]*VLOOKUP(VLOOKUP(Table10[[#This Row],[Location]],Table37[[Location]:[Material]],2,FALSE),Table7[[Material]:[Source]],3,FALSE)</f>
        <v>#N/A</v>
      </c>
      <c r="G74" s="153">
        <f>SUM('[1]HW10 and HW11'!E28:E30,'[1]HW10 and HW11'!E21)</f>
        <v>54.708686031026886</v>
      </c>
      <c r="H74" s="153" t="e">
        <f>Table10[[#This Row],[Mwall (kg)]]+'[1]HW10 and HW11'!E29+'[1]HW10 and HW11'!E30</f>
        <v>#N/A</v>
      </c>
      <c r="I74" s="154" t="e">
        <f>Table10[[#This Row],[Mrevised (kg)]]-Table10[[#This Row],[Mprevious (kg)]]</f>
        <v>#N/A</v>
      </c>
    </row>
    <row r="75" spans="2:9" x14ac:dyDescent="0.25">
      <c r="B75" s="56">
        <v>7</v>
      </c>
      <c r="C75" s="56" t="s">
        <v>211</v>
      </c>
      <c r="D75" s="150">
        <f>VLOOKUP(Table10[[#This Row],[Location]],[2]!External_Loads[[Location]:[Height (m)]],2,FALSE)</f>
        <v>3.9968530192279692</v>
      </c>
      <c r="E75" s="151">
        <f>PI()*($C$5*2)*Table10[[#This Row],[Height]]*0.0005</f>
        <v>5.650417837208147E-3</v>
      </c>
      <c r="F75" s="152">
        <f>Table10[[#This Row],[Vwall (m3)]]*VLOOKUP(VLOOKUP(Table10[[#This Row],[Location]],Table37[[Location]:[Material]],2,FALSE),Table7[[Material]:[Source]],3,FALSE)</f>
        <v>15.821169944182811</v>
      </c>
      <c r="G75" s="153">
        <f>SUM('[1]HW10 and HW11'!E31:E33)</f>
        <v>346.63950605517482</v>
      </c>
      <c r="H75" s="153">
        <f>Table10[[#This Row],[Mwall (kg)]]+'[1]HW10 and HW11'!E31+'[1]HW10 and HW11'!E33</f>
        <v>314.91515351234841</v>
      </c>
      <c r="I75" s="154">
        <f>Table10[[#This Row],[Mrevised (kg)]]-Table10[[#This Row],[Mprevious (kg)]]</f>
        <v>-31.724352542826409</v>
      </c>
    </row>
    <row r="76" spans="2:9" x14ac:dyDescent="0.25">
      <c r="B76" s="56">
        <v>8</v>
      </c>
      <c r="C76" s="56" t="s">
        <v>212</v>
      </c>
      <c r="D76" s="152">
        <f>VLOOKUP(Table10[[#This Row],[Location]],[2]!External_Loads[[Location]:[Height (m)]],2,FALSE)</f>
        <v>0.89999999999999902</v>
      </c>
      <c r="E76" s="151">
        <f>PI()*($C$5*2)*Table10[[#This Row],[Height]]*0.0005</f>
        <v>1.2723450247038649E-3</v>
      </c>
      <c r="F76" s="152">
        <f>Table10[[#This Row],[Vwall (m3)]]*VLOOKUP(VLOOKUP(Table10[[#This Row],[Location]],Table37[[Location]:[Material]],2,FALSE),Table7[[Material]:[Source]],3,FALSE)</f>
        <v>3.5625660691708214</v>
      </c>
      <c r="G76" s="153">
        <f>SUM('[1]HW10 and HW11'!E35:E37,'[1]HW10 and HW11'!D63)</f>
        <v>4425.5754608428488</v>
      </c>
      <c r="H76" s="153">
        <f>Table10[[#This Row],[Mwall (kg)]]+'[1]HW10 and HW11'!E36+'[1]HW10 and HW11'!E37+'[1]HW10 and HW11'!D63</f>
        <v>4383.5059571583843</v>
      </c>
      <c r="I76" s="154">
        <f>Table10[[#This Row],[Mrevised (kg)]]-Table10[[#This Row],[Mprevious (kg)]]</f>
        <v>-42.069503684464507</v>
      </c>
    </row>
    <row r="77" spans="2:9" x14ac:dyDescent="0.25">
      <c r="B77" s="56">
        <v>9</v>
      </c>
      <c r="C77" s="56" t="s">
        <v>209</v>
      </c>
      <c r="D77" s="150">
        <f>VLOOKUP(Table10[[#This Row],[Location]],[2]!External_Loads[[Location]:[Height (m)]],2,FALSE)</f>
        <v>6.3171248931245394</v>
      </c>
      <c r="E77" s="151">
        <f>PI()*($C$5*2)*Table10[[#This Row],[Height]]*0.0005</f>
        <v>8.9306249202221674E-3</v>
      </c>
      <c r="F77" s="152">
        <f>Table10[[#This Row],[Vwall (m3)]]*VLOOKUP(VLOOKUP(Table10[[#This Row],[Location]],Table37[[Location]:[Material]],2,FALSE),Table7[[Material]:[Source]],3,FALSE)</f>
        <v>25.095056025824292</v>
      </c>
      <c r="G77" s="153">
        <f>SUM('[1]HW10 and HW11'!E38)</f>
        <v>42.305472071403557</v>
      </c>
      <c r="H77" s="153">
        <f>Table10[[#This Row],[Mwall (kg)]]</f>
        <v>25.095056025824292</v>
      </c>
      <c r="I77" s="154">
        <f>Table10[[#This Row],[Mrevised (kg)]]-Table10[[#This Row],[Mprevious (kg)]]</f>
        <v>-17.210416045579265</v>
      </c>
    </row>
    <row r="78" spans="2:9" x14ac:dyDescent="0.25">
      <c r="B78" s="56">
        <v>10</v>
      </c>
      <c r="C78" s="56" t="s">
        <v>210</v>
      </c>
      <c r="D78" s="152">
        <f>VLOOKUP(Table10[[#This Row],[Location]],[2]!External_Loads[[Location]:[Height (m)]],2,FALSE)</f>
        <v>4.671853019227969</v>
      </c>
      <c r="E78" s="151">
        <f>PI()*($C$5*2)*Table10[[#This Row],[Height]]*0.0005</f>
        <v>6.6046766057360467E-3</v>
      </c>
      <c r="F78" s="152">
        <f>Table10[[#This Row],[Vwall (m3)]]*VLOOKUP(VLOOKUP(Table10[[#This Row],[Location]],Table37[[Location]:[Material]],2,FALSE),Table7[[Material]:[Source]],3,FALSE)</f>
        <v>18.559141262118292</v>
      </c>
      <c r="G78" s="153">
        <f>SUM('[1]HW10 and HW11'!F39:F40,'[1]HW10 and HW11'!D62)</f>
        <v>1209.0431455989853</v>
      </c>
      <c r="H78" s="153">
        <f>Table10[[#This Row],[Mwall (kg)]]+'[1]HW10 and HW11'!E40+'[1]HW10 and HW11'!D62</f>
        <v>1249.3110257721289</v>
      </c>
      <c r="I78" s="154">
        <f>Table10[[#This Row],[Mrevised (kg)]]-Table10[[#This Row],[Mprevious (kg)]]</f>
        <v>40.267880173143567</v>
      </c>
    </row>
    <row r="79" spans="2:9" x14ac:dyDescent="0.25">
      <c r="B79" s="56">
        <v>11</v>
      </c>
      <c r="C79" s="56" t="s">
        <v>213</v>
      </c>
      <c r="D79" s="150">
        <f>VLOOKUP(Table10[[#This Row],[Location]],[2]!External_Loads[[Location]:[Height (m)]],2,FALSE)</f>
        <v>1E-3</v>
      </c>
      <c r="E79" s="151">
        <f>PI()*($C$5*2)*Table10[[#This Row],[Height]]*0.0005</f>
        <v>1.4137166941154069E-6</v>
      </c>
      <c r="F79" s="152">
        <f>Table10[[#This Row],[Vwall (m3)]]*VLOOKUP(VLOOKUP(Table10[[#This Row],[Location]],Table37[[Location]:[Material]],2,FALSE),Table7[[Material]:[Source]],3,FALSE)</f>
        <v>3.9725439104642936E-3</v>
      </c>
      <c r="G79" s="153">
        <f>SUM('[1]HW10 and HW11'!E41:E44,'[1]HW10 and HW11'!E39)</f>
        <v>257.59244442734587</v>
      </c>
      <c r="H79" s="153">
        <f>Table10[[#This Row],[Mwall (kg)]]+'[1]HW10 and HW11'!E42+'[1]HW10 and HW11'!E43+'[1]HW10 and HW11'!E44</f>
        <v>216.53866476770034</v>
      </c>
      <c r="I79" s="154">
        <f>Table10[[#This Row],[Mrevised (kg)]]-Table10[[#This Row],[Mprevious (kg)]]</f>
        <v>-41.053779659645528</v>
      </c>
    </row>
    <row r="80" spans="2:9" x14ac:dyDescent="0.25">
      <c r="H80" s="155" t="s">
        <v>297</v>
      </c>
      <c r="I80" s="156" t="e">
        <f>SUBTOTAL(109,Table10[ΔM (kg)])</f>
        <v>#N/A</v>
      </c>
    </row>
  </sheetData>
  <mergeCells count="7">
    <mergeCell ref="B67:I67"/>
    <mergeCell ref="B2:C2"/>
    <mergeCell ref="E2:F2"/>
    <mergeCell ref="B7:S7"/>
    <mergeCell ref="B27:S27"/>
    <mergeCell ref="B47:I47"/>
    <mergeCell ref="B56:I56"/>
  </mergeCells>
  <hyperlinks>
    <hyperlink ref="H58" r:id="rId1" xr:uid="{B1A4B0B4-A97B-4C27-A26C-6D7DE8BBEE44}"/>
    <hyperlink ref="H59" r:id="rId2" xr:uid="{DDC4D1A0-7EA2-4E32-B4DC-F878F2E6AA88}"/>
    <hyperlink ref="H60" r:id="rId3" xr:uid="{CE2ED3FC-47D1-4947-BB01-612B179C2404}"/>
    <hyperlink ref="I58" r:id="rId4" xr:uid="{C703ED1C-CDE2-42C8-9CA5-E7E551B27DD1}"/>
    <hyperlink ref="I59" r:id="rId5" xr:uid="{765F22B7-A379-4476-A1D6-3EA88601B671}"/>
    <hyperlink ref="I60" r:id="rId6" xr:uid="{AB1AA130-C753-46B1-95F0-37EC754AF381}"/>
    <hyperlink ref="I62" r:id="rId7" xr:uid="{68A8AA41-BC42-4C3A-B19B-59BFC4EE5AEC}"/>
    <hyperlink ref="H62" r:id="rId8" xr:uid="{3F5BDDE9-9A4F-432B-B814-DFE7662AA55C}"/>
    <hyperlink ref="I61" r:id="rId9" xr:uid="{AAFD0B63-59C0-4300-94D1-A39CA001A249}"/>
    <hyperlink ref="H61" r:id="rId10" xr:uid="{5CF404CB-5474-42B3-9DF1-56007FA7789C}"/>
    <hyperlink ref="H63" r:id="rId11" xr:uid="{BF21F003-61F8-4641-A759-BEB4020AF387}"/>
    <hyperlink ref="I63" r:id="rId12" xr:uid="{C5A52762-63D0-4C35-9AF1-8AD401182C56}"/>
    <hyperlink ref="H65" r:id="rId13" xr:uid="{043A185C-C516-4000-A020-BFDFCA44993D}"/>
    <hyperlink ref="I65" r:id="rId14" xr:uid="{802335C7-4B1A-4C6E-9576-3577BE055D42}"/>
    <hyperlink ref="I64" r:id="rId15" xr:uid="{2F08DD1B-35DC-4756-9041-BFBCFEE13115}"/>
    <hyperlink ref="H64" r:id="rId16" xr:uid="{FB394C31-9D65-4881-B316-35FA67B211F6}"/>
  </hyperlinks>
  <pageMargins left="0.7" right="0.7" top="0.75" bottom="0.75" header="0.3" footer="0.3"/>
  <tableParts count="5">
    <tablePart r:id="rId17"/>
    <tablePart r:id="rId18"/>
    <tablePart r:id="rId19"/>
    <tablePart r:id="rId20"/>
    <tablePart r:id="rId2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53</vt:i4>
      </vt:variant>
    </vt:vector>
  </HeadingPairs>
  <TitlesOfParts>
    <vt:vector size="57" baseType="lpstr">
      <vt:lpstr>CM and J0 for ACS</vt:lpstr>
      <vt:lpstr>HW10 and HW11</vt:lpstr>
      <vt:lpstr>HW9 - CM and J0</vt:lpstr>
      <vt:lpstr>Stresses</vt:lpstr>
      <vt:lpstr>airloadcone</vt:lpstr>
      <vt:lpstr>airloadskirt</vt:lpstr>
      <vt:lpstr>airloadskirt2</vt:lpstr>
      <vt:lpstr>alpha</vt:lpstr>
      <vt:lpstr>areacone</vt:lpstr>
      <vt:lpstr>areaskirt</vt:lpstr>
      <vt:lpstr>areaskirt2</vt:lpstr>
      <vt:lpstr>axialcone</vt:lpstr>
      <vt:lpstr>axialskirt</vt:lpstr>
      <vt:lpstr>Cd</vt:lpstr>
      <vt:lpstr>cmmaxq</vt:lpstr>
      <vt:lpstr>cnalphacone</vt:lpstr>
      <vt:lpstr>cnalphaskirt</vt:lpstr>
      <vt:lpstr>deltatvc</vt:lpstr>
      <vt:lpstr>dragcone</vt:lpstr>
      <vt:lpstr>dragskirt</vt:lpstr>
      <vt:lpstr>g0</vt:lpstr>
      <vt:lpstr>hmaxq</vt:lpstr>
      <vt:lpstr>htotal</vt:lpstr>
      <vt:lpstr>I_sp1</vt:lpstr>
      <vt:lpstr>I_sp2</vt:lpstr>
      <vt:lpstr>mass1</vt:lpstr>
      <vt:lpstr>mass2</vt:lpstr>
      <vt:lpstr>massmaxq</vt:lpstr>
      <vt:lpstr>mdotmaxq</vt:lpstr>
      <vt:lpstr>mprop_left</vt:lpstr>
      <vt:lpstr>nmax</vt:lpstr>
      <vt:lpstr>normalcone</vt:lpstr>
      <vt:lpstr>normalskirt</vt:lpstr>
      <vt:lpstr>nzmaxq</vt:lpstr>
      <vt:lpstr>nzmaxqtest</vt:lpstr>
      <vt:lpstr>qmaxq</vt:lpstr>
      <vt:lpstr>radius1</vt:lpstr>
      <vt:lpstr>radius2</vt:lpstr>
      <vt:lpstr>reqtrim</vt:lpstr>
      <vt:lpstr>rho</vt:lpstr>
      <vt:lpstr>rhomaxq</vt:lpstr>
      <vt:lpstr>shearcone</vt:lpstr>
      <vt:lpstr>shearskirt</vt:lpstr>
      <vt:lpstr>shearskirt2</vt:lpstr>
      <vt:lpstr>Struct1</vt:lpstr>
      <vt:lpstr>Struct2</vt:lpstr>
      <vt:lpstr>Thrust</vt:lpstr>
      <vt:lpstr>Thrustmaxq</vt:lpstr>
      <vt:lpstr>ThrustW1</vt:lpstr>
      <vt:lpstr>ThrustW2</vt:lpstr>
      <vt:lpstr>Thurst</vt:lpstr>
      <vt:lpstr>timemaxq</vt:lpstr>
      <vt:lpstr>Vloss</vt:lpstr>
      <vt:lpstr>Vloss1</vt:lpstr>
      <vt:lpstr>Vloss2</vt:lpstr>
      <vt:lpstr>vmaxq</vt:lpstr>
      <vt:lpstr>vwindmaxq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Russell</cp:lastModifiedBy>
  <cp:revision/>
  <dcterms:created xsi:type="dcterms:W3CDTF">2020-10-16T19:44:22Z</dcterms:created>
  <dcterms:modified xsi:type="dcterms:W3CDTF">2021-03-20T01:29:19Z</dcterms:modified>
  <cp:category/>
  <cp:contentStatus/>
</cp:coreProperties>
</file>