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get\Documents\qsp-liver-lipid-model\log\"/>
    </mc:Choice>
  </mc:AlternateContent>
  <xr:revisionPtr revIDLastSave="0" documentId="13_ncr:1_{E4D6656F-15F1-4D30-8478-8D560FBC17D2}" xr6:coauthVersionLast="47" xr6:coauthVersionMax="47" xr10:uidLastSave="{00000000-0000-0000-0000-000000000000}"/>
  <bookViews>
    <workbookView xWindow="1905" yWindow="1905" windowWidth="43200" windowHeight="17235" xr2:uid="{00000000-000D-0000-FFFF-FFFF00000000}"/>
  </bookViews>
  <sheets>
    <sheet name="lipoprotein-model" sheetId="2" r:id="rId1"/>
    <sheet name="flux calcs" sheetId="5" r:id="rId2"/>
    <sheet name="misc" sheetId="3" r:id="rId3"/>
    <sheet name="published_model_parameters" sheetId="1" r:id="rId4"/>
  </sheets>
  <definedNames>
    <definedName name="solver_adj" localSheetId="1" hidden="1">'flux calcs'!$I$19:$I$38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ng" localSheetId="0" hidden="1">1</definedName>
    <definedName name="solver_est" localSheetId="1" hidden="1">1</definedName>
    <definedName name="solver_itr" localSheetId="1" hidden="1">2147483647</definedName>
    <definedName name="solver_lhs1" localSheetId="1" hidden="1">'flux calcs'!$I$19:$I$38</definedName>
    <definedName name="solver_lhs2" localSheetId="1" hidden="1">'flux calcs'!$I$19:$I$38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eg" localSheetId="0" hidden="1">1</definedName>
    <definedName name="solver_nod" localSheetId="1" hidden="1">2147483647</definedName>
    <definedName name="solver_num" localSheetId="1" hidden="1">2</definedName>
    <definedName name="solver_num" localSheetId="0" hidden="1">0</definedName>
    <definedName name="solver_nwt" localSheetId="1" hidden="1">1</definedName>
    <definedName name="solver_opt" localSheetId="1" hidden="1">'flux calcs'!$H$1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'flux calcs'!$K$19:$K$38</definedName>
    <definedName name="solver_rhs2" localSheetId="1" hidden="1">'flux calcs'!$J$19:$J$38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typ" localSheetId="0" hidden="1">3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5" l="1"/>
  <c r="K44" i="5"/>
  <c r="O25" i="5"/>
  <c r="C11" i="2"/>
  <c r="B75" i="5"/>
  <c r="B88" i="5"/>
  <c r="I55" i="5"/>
  <c r="J34" i="5"/>
  <c r="I54" i="5"/>
  <c r="I53" i="5"/>
  <c r="O53" i="5"/>
  <c r="C23" i="2"/>
  <c r="B113" i="5"/>
  <c r="Z4" i="5"/>
  <c r="Z5" i="5"/>
  <c r="Z6" i="5"/>
  <c r="Z8" i="5"/>
  <c r="Z9" i="5"/>
  <c r="Z10" i="5"/>
  <c r="Z12" i="5"/>
  <c r="Z13" i="5"/>
  <c r="Z14" i="5"/>
  <c r="Z15" i="5"/>
  <c r="Z17" i="5"/>
  <c r="Z18" i="5"/>
  <c r="Z3" i="5"/>
  <c r="I51" i="5"/>
  <c r="O51" i="5"/>
  <c r="C21" i="2"/>
  <c r="I46" i="5"/>
  <c r="O46" i="5"/>
  <c r="C35" i="2"/>
  <c r="I45" i="5"/>
  <c r="O45" i="5"/>
  <c r="C34" i="2"/>
  <c r="O24" i="5"/>
  <c r="C10" i="2"/>
  <c r="O29" i="5"/>
  <c r="C15" i="2"/>
  <c r="B103" i="5"/>
  <c r="O32" i="5"/>
  <c r="C26" i="2"/>
  <c r="K43" i="5"/>
  <c r="K19" i="5"/>
  <c r="K20" i="5"/>
  <c r="K21" i="5"/>
  <c r="K22" i="5"/>
  <c r="K23" i="5"/>
  <c r="K24" i="5"/>
  <c r="K25" i="5"/>
  <c r="K26" i="5"/>
  <c r="K27" i="5"/>
  <c r="K28" i="5"/>
  <c r="K29" i="5"/>
  <c r="K50" i="5"/>
  <c r="K48" i="5"/>
  <c r="K30" i="5"/>
  <c r="K57" i="5"/>
  <c r="K51" i="5"/>
  <c r="K52" i="5"/>
  <c r="K53" i="5"/>
  <c r="K54" i="5"/>
  <c r="K31" i="5"/>
  <c r="K32" i="5"/>
  <c r="K33" i="5"/>
  <c r="K34" i="5"/>
  <c r="K35" i="5"/>
  <c r="K55" i="5"/>
  <c r="K36" i="5"/>
  <c r="K37" i="5"/>
  <c r="K38" i="5"/>
  <c r="K45" i="5"/>
  <c r="K46" i="5"/>
  <c r="K49" i="5"/>
  <c r="J43" i="5"/>
  <c r="J19" i="5"/>
  <c r="J20" i="5"/>
  <c r="J21" i="5"/>
  <c r="J22" i="5"/>
  <c r="J23" i="5"/>
  <c r="J24" i="5"/>
  <c r="J25" i="5"/>
  <c r="J26" i="5"/>
  <c r="J27" i="5"/>
  <c r="J28" i="5"/>
  <c r="J29" i="5"/>
  <c r="J50" i="5"/>
  <c r="J48" i="5"/>
  <c r="J30" i="5"/>
  <c r="J57" i="5"/>
  <c r="J51" i="5"/>
  <c r="J52" i="5"/>
  <c r="J53" i="5"/>
  <c r="J54" i="5"/>
  <c r="J31" i="5"/>
  <c r="M31" i="5"/>
  <c r="J32" i="5"/>
  <c r="J33" i="5"/>
  <c r="J35" i="5"/>
  <c r="J55" i="5"/>
  <c r="J36" i="5"/>
  <c r="J37" i="5"/>
  <c r="J38" i="5"/>
  <c r="M38" i="5"/>
  <c r="J45" i="5"/>
  <c r="J46" i="5"/>
  <c r="J49" i="5"/>
  <c r="O19" i="5"/>
  <c r="C4" i="2"/>
  <c r="I43" i="5"/>
  <c r="O43" i="5"/>
  <c r="C3" i="2"/>
  <c r="B53" i="5"/>
  <c r="O22" i="5"/>
  <c r="C8" i="2"/>
  <c r="O26" i="5"/>
  <c r="C12" i="2"/>
  <c r="O27" i="5"/>
  <c r="C13" i="2"/>
  <c r="O28" i="5"/>
  <c r="C14" i="2"/>
  <c r="B40" i="5"/>
  <c r="O30" i="5"/>
  <c r="C19" i="2"/>
  <c r="O54" i="5"/>
  <c r="C24" i="2"/>
  <c r="B114" i="5"/>
  <c r="O31" i="5"/>
  <c r="C25" i="2"/>
  <c r="O33" i="5"/>
  <c r="C27" i="2"/>
  <c r="O34" i="5"/>
  <c r="C28" i="2"/>
  <c r="O35" i="5"/>
  <c r="C29" i="2"/>
  <c r="O36" i="5"/>
  <c r="C31" i="2"/>
  <c r="O37" i="5"/>
  <c r="C32" i="2"/>
  <c r="O38" i="5"/>
  <c r="C33" i="2"/>
  <c r="O15" i="5"/>
  <c r="O5" i="5"/>
  <c r="O6" i="5"/>
  <c r="O7" i="5"/>
  <c r="O8" i="5"/>
  <c r="O9" i="5"/>
  <c r="O10" i="5"/>
  <c r="O11" i="5"/>
  <c r="O12" i="5"/>
  <c r="O13" i="5"/>
  <c r="O14" i="5"/>
  <c r="O4" i="5"/>
  <c r="B39" i="3"/>
  <c r="E3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N27" i="3"/>
  <c r="O27" i="3"/>
  <c r="P27" i="3"/>
  <c r="Q27" i="3"/>
  <c r="M24" i="3"/>
  <c r="M25" i="3"/>
  <c r="M23" i="3"/>
  <c r="H26" i="3"/>
  <c r="M26" i="3"/>
  <c r="H27" i="3"/>
  <c r="M27" i="3"/>
  <c r="R27" i="3"/>
  <c r="B13" i="3"/>
  <c r="B15" i="3"/>
  <c r="B11" i="3"/>
  <c r="B5" i="3"/>
  <c r="B7" i="3"/>
  <c r="M37" i="5"/>
  <c r="B29" i="5"/>
  <c r="B59" i="5"/>
  <c r="M33" i="5"/>
  <c r="M30" i="5"/>
  <c r="B115" i="5"/>
  <c r="U18" i="5"/>
  <c r="V18" i="5"/>
  <c r="M34" i="5"/>
  <c r="M25" i="5"/>
  <c r="M43" i="5"/>
  <c r="M54" i="5"/>
  <c r="M46" i="5"/>
  <c r="M36" i="5"/>
  <c r="M53" i="5"/>
  <c r="M28" i="5"/>
  <c r="M20" i="5"/>
  <c r="I50" i="5"/>
  <c r="O50" i="5"/>
  <c r="C17" i="2"/>
  <c r="B104" i="5"/>
  <c r="B105" i="5"/>
  <c r="U14" i="5"/>
  <c r="V14" i="5"/>
  <c r="B41" i="5"/>
  <c r="M24" i="5"/>
  <c r="M55" i="5"/>
  <c r="M27" i="5"/>
  <c r="M22" i="5"/>
  <c r="I49" i="5"/>
  <c r="O49" i="5"/>
  <c r="C2" i="2"/>
  <c r="B87" i="5"/>
  <c r="M32" i="5"/>
  <c r="M45" i="5"/>
  <c r="M29" i="5"/>
  <c r="M21" i="5"/>
  <c r="M23" i="5"/>
  <c r="M35" i="5"/>
  <c r="M51" i="5"/>
  <c r="M26" i="5"/>
  <c r="M19" i="5"/>
  <c r="O21" i="5"/>
  <c r="C7" i="2"/>
  <c r="B67" i="5"/>
  <c r="O20" i="5"/>
  <c r="C6" i="2"/>
  <c r="O23" i="5"/>
  <c r="C9" i="2"/>
  <c r="B82" i="5"/>
  <c r="D7" i="5"/>
  <c r="B15" i="5"/>
  <c r="B7" i="5"/>
  <c r="B34" i="5"/>
  <c r="B35" i="5"/>
  <c r="B40" i="3"/>
  <c r="B90" i="5"/>
  <c r="B5" i="5"/>
  <c r="B81" i="5"/>
  <c r="B66" i="5"/>
  <c r="B69" i="5"/>
  <c r="B54" i="5"/>
  <c r="B55" i="5"/>
  <c r="U6" i="5"/>
  <c r="V6" i="5"/>
  <c r="V23" i="3"/>
  <c r="S24" i="3"/>
  <c r="U23" i="3"/>
  <c r="T24" i="3"/>
  <c r="V27" i="3"/>
  <c r="T27" i="3"/>
  <c r="T25" i="3"/>
  <c r="T23" i="3"/>
  <c r="S27" i="3"/>
  <c r="V25" i="3"/>
  <c r="S23" i="3"/>
  <c r="U24" i="3"/>
  <c r="R25" i="3"/>
  <c r="R24" i="3"/>
  <c r="V26" i="3"/>
  <c r="T26" i="3"/>
  <c r="U26" i="3"/>
  <c r="R26" i="3"/>
  <c r="S26" i="3"/>
  <c r="U27" i="3"/>
  <c r="R23" i="3"/>
  <c r="X23" i="3"/>
  <c r="U25" i="3"/>
  <c r="S25" i="3"/>
  <c r="V24" i="3"/>
  <c r="I58" i="5"/>
  <c r="O58" i="5"/>
  <c r="C40" i="2"/>
  <c r="Z7" i="5"/>
  <c r="B76" i="5"/>
  <c r="I44" i="5"/>
  <c r="B14" i="5"/>
  <c r="B16" i="5"/>
  <c r="U3" i="5"/>
  <c r="B4" i="5"/>
  <c r="M50" i="5"/>
  <c r="B42" i="5"/>
  <c r="B21" i="5"/>
  <c r="B26" i="5"/>
  <c r="B41" i="3"/>
  <c r="M49" i="5"/>
  <c r="B83" i="5"/>
  <c r="U9" i="5"/>
  <c r="V9" i="5"/>
  <c r="B37" i="5"/>
  <c r="B89" i="5"/>
  <c r="B36" i="5"/>
  <c r="B28" i="5"/>
  <c r="B27" i="5"/>
  <c r="B38" i="5"/>
  <c r="C34" i="5"/>
  <c r="B61" i="5"/>
  <c r="B62" i="5"/>
  <c r="O44" i="5"/>
  <c r="C5" i="2"/>
  <c r="B74" i="5"/>
  <c r="M44" i="5"/>
  <c r="I47" i="5"/>
  <c r="V3" i="5"/>
  <c r="C36" i="5"/>
  <c r="C35" i="5"/>
  <c r="C38" i="5"/>
  <c r="B77" i="5"/>
  <c r="U8" i="5"/>
  <c r="V8" i="5"/>
  <c r="U7" i="5"/>
  <c r="V7" i="5"/>
  <c r="B30" i="5"/>
  <c r="U4" i="5"/>
  <c r="V4" i="5"/>
  <c r="B70" i="5"/>
  <c r="U10" i="5"/>
  <c r="E67" i="5"/>
  <c r="V10" i="5"/>
  <c r="O55" i="5"/>
  <c r="C30" i="2"/>
  <c r="B95" i="5"/>
  <c r="I56" i="5"/>
  <c r="O56" i="5"/>
  <c r="Z11" i="5"/>
  <c r="C44" i="2"/>
  <c r="B8" i="5"/>
  <c r="B97" i="5"/>
  <c r="B6" i="5"/>
  <c r="I57" i="5"/>
  <c r="B98" i="5"/>
  <c r="O47" i="5"/>
  <c r="M47" i="5"/>
  <c r="O57" i="5"/>
  <c r="C20" i="2"/>
  <c r="M57" i="5"/>
  <c r="B99" i="5"/>
  <c r="U11" i="5"/>
  <c r="V11" i="5"/>
  <c r="C16" i="2"/>
  <c r="B48" i="5"/>
  <c r="I48" i="5"/>
  <c r="B20" i="5"/>
  <c r="B22" i="5"/>
  <c r="U15" i="5"/>
  <c r="V15" i="5"/>
  <c r="O48" i="5"/>
  <c r="C18" i="2"/>
  <c r="M48" i="5"/>
  <c r="B47" i="5"/>
  <c r="B49" i="5"/>
  <c r="U13" i="5"/>
  <c r="V13" i="5"/>
  <c r="B39" i="5"/>
  <c r="B43" i="5"/>
  <c r="U12" i="5"/>
  <c r="V12" i="5"/>
  <c r="B91" i="5"/>
  <c r="U5" i="5"/>
  <c r="B3" i="5"/>
  <c r="B9" i="5"/>
  <c r="U16" i="5"/>
  <c r="Z16" i="5"/>
  <c r="I52" i="5"/>
  <c r="M52" i="5"/>
  <c r="B108" i="5"/>
  <c r="V16" i="5"/>
  <c r="U20" i="5"/>
  <c r="V5" i="5"/>
  <c r="O52" i="5"/>
  <c r="C22" i="2"/>
  <c r="B109" i="5"/>
  <c r="B110" i="5"/>
  <c r="U17" i="5"/>
  <c r="V17" i="5"/>
  <c r="V20" i="5"/>
  <c r="H1" i="5"/>
</calcChain>
</file>

<file path=xl/sharedStrings.xml><?xml version="1.0" encoding="utf-8"?>
<sst xmlns="http://schemas.openxmlformats.org/spreadsheetml/2006/main" count="686" uniqueCount="358">
  <si>
    <t>Parameter</t>
  </si>
  <si>
    <t>Units</t>
  </si>
  <si>
    <t>TV</t>
  </si>
  <si>
    <t>LVM</t>
  </si>
  <si>
    <t>HVM</t>
  </si>
  <si>
    <t>LV</t>
  </si>
  <si>
    <t>HV</t>
  </si>
  <si>
    <t>Description</t>
  </si>
  <si>
    <t>Reference</t>
  </si>
  <si>
    <t>klipase_clear</t>
  </si>
  <si>
    <t>1/day</t>
  </si>
  <si>
    <t>Clearance rate constant for periphery (Muscle, Adipose)</t>
  </si>
  <si>
    <t>See derived_parameters.jl, range set based on a reasonable range of 50 --&gt; 500mg/dL TG in plasma</t>
  </si>
  <si>
    <t>sens_nefa_uptake</t>
  </si>
  <si>
    <t>dimensionless</t>
  </si>
  <si>
    <t>Sensitivity for feedback of cytosolic lipids on FA transport.</t>
  </si>
  <si>
    <t>Assumption</t>
  </si>
  <si>
    <t>sens_betaox_dnl</t>
  </si>
  <si>
    <t>Sensitivity for feedback of DNL on beta oxidation rate</t>
  </si>
  <si>
    <t>Allowed to float in plausible population, range set broadly.</t>
  </si>
  <si>
    <t>kuptake_er</t>
  </si>
  <si>
    <t>Rate constant for FAs moving from cytosol to ER</t>
  </si>
  <si>
    <t>See derived_parameters.jl, range assumed at 0.25 --&gt; 4x basal</t>
  </si>
  <si>
    <t>kuptake_liver_tg</t>
  </si>
  <si>
    <t>Rate constant for clearance of TG from plasma by liver</t>
  </si>
  <si>
    <t>ksynth_cy_tg</t>
  </si>
  <si>
    <t>1/(mM^2*day)</t>
  </si>
  <si>
    <t>Rate constant for esterification of TG in the liver</t>
  </si>
  <si>
    <t>klipo_cy_tg</t>
  </si>
  <si>
    <t>Rate constant for lipolysis in the liver</t>
  </si>
  <si>
    <t>ksynth_er_tg</t>
  </si>
  <si>
    <t>Rate constant for esterification of TG in the ER compartment</t>
  </si>
  <si>
    <t>Back-calculated from VLDL flux</t>
  </si>
  <si>
    <t>kbetaox</t>
  </si>
  <si>
    <t>Average rate of beta oxidation of fat in the liver</t>
  </si>
  <si>
    <t>emax_vldl_prod</t>
  </si>
  <si>
    <t>mmols-TG/day</t>
  </si>
  <si>
    <t>Emax for production of VLDL from liver</t>
  </si>
  <si>
    <t>Estimated from Adiels et al. Diabetolgia. 2006. Unit conversion from mg/kg/day --&gt; mmol/day using 70kg BWT.</t>
  </si>
  <si>
    <t>ec50_vldl_prod</t>
  </si>
  <si>
    <t>mM</t>
  </si>
  <si>
    <t>EC50 for effect of TG-ER on VLDL production</t>
  </si>
  <si>
    <t>Estimated from Adiels et al. Diabetolgia. 2006. Converted from % to mM TG in ER.</t>
  </si>
  <si>
    <t>chylo_basal_flux</t>
  </si>
  <si>
    <t>Daily absorption of chylomicron TG as mmols</t>
  </si>
  <si>
    <t>See derived_parameters.jl</t>
  </si>
  <si>
    <t>dnl_basal_flux</t>
  </si>
  <si>
    <t>mmols/day</t>
  </si>
  <si>
    <t>Basal flux of de novo synthesized FA</t>
  </si>
  <si>
    <t>See derived_parameters.jl, range set to reflect NAFLD state</t>
  </si>
  <si>
    <t>nefa_uptake_flux</t>
  </si>
  <si>
    <t>Basal uptake of NEFAs into cytosol of hepatocytes</t>
  </si>
  <si>
    <t>See derived_parameters.jl, range assumed at 0.25 --&gt; Limited by cardiac output.</t>
  </si>
  <si>
    <t>vd_tg_p</t>
  </si>
  <si>
    <t>L</t>
  </si>
  <si>
    <t>Vol. dist. TG in plasma</t>
  </si>
  <si>
    <t>https://doi.org/10.1007/s11745-001-0696-6</t>
  </si>
  <si>
    <t>vd_cyt</t>
  </si>
  <si>
    <t>Vol. of hepatocyte cytosol (total)</t>
  </si>
  <si>
    <t>vd_er</t>
  </si>
  <si>
    <t>Vol. of hepatocyte endoplasmic reticulum (total)</t>
  </si>
  <si>
    <t>Â» How big is the endoplasmic reticulum of cells? (bionumbers.org)</t>
  </si>
  <si>
    <t>scale_chylo</t>
  </si>
  <si>
    <t>Scalar to chylomicron production (use for diet)</t>
  </si>
  <si>
    <t>Used for pharmacodynamics</t>
  </si>
  <si>
    <t>scale_dnl</t>
  </si>
  <si>
    <t>Scalar to DNL, creates feedback on beta oxidation</t>
  </si>
  <si>
    <t>scale_nefa_uptake</t>
  </si>
  <si>
    <t>Scalar to NEFA uptake flux</t>
  </si>
  <si>
    <t>scale_tg_ester</t>
  </si>
  <si>
    <t>Scalar to Esterification rate</t>
  </si>
  <si>
    <t>scale_vldl_prod</t>
  </si>
  <si>
    <t>Scalar to VLDL production rate</t>
  </si>
  <si>
    <t>fa_cy_basal</t>
  </si>
  <si>
    <t>Basal fatty acids, normalizing factor for optional regulation.</t>
  </si>
  <si>
    <t>HolzhÃ¼tter H-G, Berndt N. Computational Hypothesis: How Intra-Hepatic Functional Heterogeneity May Influence the Cascading Progression of Free Fatty Acid-Induced Non-Alcoholic Fatty Liver Disease (NAFLD).Â Cells. 2021; 10(3):578. https://doi.org/10.3390/cells10030578</t>
  </si>
  <si>
    <t>tg_cy_basal</t>
  </si>
  <si>
    <t>Basal concentration of TG in cytosol</t>
  </si>
  <si>
    <t>See derived_parameters.jl. The range can go from 0 --&gt; 80+%</t>
  </si>
  <si>
    <t>fa_er_basal</t>
  </si>
  <si>
    <t>Basal concentration of FA in ER</t>
  </si>
  <si>
    <t>Set equivalent to cytosolic concentration</t>
  </si>
  <si>
    <t>tg_er_basal</t>
  </si>
  <si>
    <t>Basal concentration of TG in ER</t>
  </si>
  <si>
    <t>tg_p_basal</t>
  </si>
  <si>
    <t>Basal mean concentration of TG in plasma (VLDL + LDL + HDL + Chylo.)</t>
  </si>
  <si>
    <t>https://www.mayoclinic.org/diseases-conditions/high-blood-cholesterol/in-depth/triglycerides/art-20048186, scaled to reflect more average daily concentrations vs. fasting</t>
  </si>
  <si>
    <t>ksrb1</t>
  </si>
  <si>
    <t>krct</t>
  </si>
  <si>
    <t>klpl</t>
  </si>
  <si>
    <t>ks_48</t>
  </si>
  <si>
    <t>kctp</t>
  </si>
  <si>
    <t>ks_fa</t>
  </si>
  <si>
    <t>kdnl</t>
  </si>
  <si>
    <t>kd_fa</t>
  </si>
  <si>
    <t>klip</t>
  </si>
  <si>
    <t>ker</t>
  </si>
  <si>
    <t>ks_ch</t>
  </si>
  <si>
    <t>kd_ch</t>
  </si>
  <si>
    <t>ks_ldlr</t>
  </si>
  <si>
    <t>kd_ldlr</t>
  </si>
  <si>
    <t>ks_pk9</t>
  </si>
  <si>
    <t>kcl_pk9</t>
  </si>
  <si>
    <t>vd_ler</t>
  </si>
  <si>
    <t>vd_lcy</t>
  </si>
  <si>
    <t>vd_p</t>
  </si>
  <si>
    <t>beta_a48</t>
  </si>
  <si>
    <t>alpha_a48</t>
  </si>
  <si>
    <t>mM/day</t>
  </si>
  <si>
    <t>1/(mM-PCSK9*day)</t>
  </si>
  <si>
    <t>mM-TG/mM-apoB48</t>
  </si>
  <si>
    <t>mM-Ch/mM-apoB48</t>
  </si>
  <si>
    <t>Clearance for apoA1</t>
  </si>
  <si>
    <t>Synthesis of apoA1</t>
  </si>
  <si>
    <t>RCT Ch to apoA1</t>
  </si>
  <si>
    <t>(mM-Ch/mM-apoA1)*1/day</t>
  </si>
  <si>
    <t>ks_a100</t>
  </si>
  <si>
    <t>mM-apoB100/day</t>
  </si>
  <si>
    <t>Synthesis of apoB100</t>
  </si>
  <si>
    <t>Synthesis of PCSK9</t>
  </si>
  <si>
    <t>LPL/EL/HL clearance of TG</t>
  </si>
  <si>
    <t>LDL-R mediated clearance of apoB100 particles</t>
  </si>
  <si>
    <t>Synthesis of apoB48</t>
  </si>
  <si>
    <t>CETP activity</t>
  </si>
  <si>
    <t>Uptake of FA into liver</t>
  </si>
  <si>
    <t>DNL synthesis of FA</t>
  </si>
  <si>
    <t>Beta-oxidation of FA</t>
  </si>
  <si>
    <t>Esterification of FA</t>
  </si>
  <si>
    <t>Lipolysis of TG to 3FA</t>
  </si>
  <si>
    <t>FA crossing into ER</t>
  </si>
  <si>
    <t>Synthesis of cholesterol</t>
  </si>
  <si>
    <t>Clearance of liver Ch</t>
  </si>
  <si>
    <t>Synthesis of LDL-R</t>
  </si>
  <si>
    <t>PCSK9-mediated clearance of LDL-R</t>
  </si>
  <si>
    <t>Clearance of plasma PCSK9</t>
  </si>
  <si>
    <t>Volume of ER</t>
  </si>
  <si>
    <t>Volume of liver hepatocyte cytosol</t>
  </si>
  <si>
    <t>Volume of plasma</t>
  </si>
  <si>
    <t>TG/apoB48 synthesis</t>
  </si>
  <si>
    <t>Ch/apoB48 sythesis</t>
  </si>
  <si>
    <t>alpha_a100</t>
  </si>
  <si>
    <t>beta_a100</t>
  </si>
  <si>
    <t>mM-TG/mM-apoB100</t>
  </si>
  <si>
    <t>mM-Ch/mM-apoB100</t>
  </si>
  <si>
    <t>TG/apoB100 synthesis</t>
  </si>
  <si>
    <t>Ch/apoB100 sythesis</t>
  </si>
  <si>
    <t>K_tgler</t>
  </si>
  <si>
    <t>K_chl</t>
  </si>
  <si>
    <t>mM-TG</t>
  </si>
  <si>
    <t>mM-Ch</t>
  </si>
  <si>
    <t>EC50 for VLDL export TG</t>
  </si>
  <si>
    <t>EC50 for VLDL export Ch</t>
  </si>
  <si>
    <t>Clearance of cholesterol</t>
  </si>
  <si>
    <t>New developments in atherosclerosis: clinical potential of PCSK9 inhib | VHRM (dovepress.com)</t>
  </si>
  <si>
    <t>Genetic and Metabolic Determinants of Plasma PCSK9 Levels - PMC (nih.gov)</t>
  </si>
  <si>
    <t>a100</t>
  </si>
  <si>
    <t>tg_a100</t>
  </si>
  <si>
    <t>ch_a100</t>
  </si>
  <si>
    <t>aa1</t>
  </si>
  <si>
    <t>tg_a1</t>
  </si>
  <si>
    <t>ch_a1</t>
  </si>
  <si>
    <t>a48</t>
  </si>
  <si>
    <t>tg_a48</t>
  </si>
  <si>
    <t>ch_a48</t>
  </si>
  <si>
    <t>fa_ler</t>
  </si>
  <si>
    <t>fa_lcy</t>
  </si>
  <si>
    <t>tg_lcy</t>
  </si>
  <si>
    <t>tg_ler</t>
  </si>
  <si>
    <t>ch_l</t>
  </si>
  <si>
    <t>ldlr</t>
  </si>
  <si>
    <t>pcsk9</t>
  </si>
  <si>
    <t>Reference concentration</t>
  </si>
  <si>
    <t>25% of cholesterol comes from dietary sources (75% synthesized in liver)</t>
  </si>
  <si>
    <t>800mg/day of production (back calculated to achieve)</t>
  </si>
  <si>
    <t>70kg basis</t>
  </si>
  <si>
    <t>Fixed %of dietary fat intake</t>
  </si>
  <si>
    <t>VLDL</t>
  </si>
  <si>
    <t>IDL</t>
  </si>
  <si>
    <t>LDL</t>
  </si>
  <si>
    <t>mg/dl</t>
  </si>
  <si>
    <t>Total</t>
  </si>
  <si>
    <t>MW</t>
  </si>
  <si>
    <t>Da</t>
  </si>
  <si>
    <t>Human Apolipoprotein (Apo) B-48 and ApoB-100 Kinetics With Stable Isotopes | Arteriosclerosis, Thrombosis, and Vascular Biology (ahajournals.org)</t>
  </si>
  <si>
    <t>apob48 (non-fasting)</t>
  </si>
  <si>
    <t>apoAI</t>
  </si>
  <si>
    <t>ug/mL</t>
  </si>
  <si>
    <t>Concentrations of apolipoproten AI, AII, and E in plasma and lipoprotein fractions of alcoholic patients: Gender differences in the effects of alcohol - Lin - 1995 - Hepatology - Wiley Online Library</t>
  </si>
  <si>
    <t>Actual LDL-R is difficult to measure, will work in relative</t>
  </si>
  <si>
    <t>HDL cholesterol: How to boost your 'good' cholesterol - Mayo Clinic</t>
  </si>
  <si>
    <t>Low density lipoprotein receptor degradation is influenced by a mediator protein(s) with a rapid turnover rate, but is unaffected by receptor up- or down-regulation - PubMed (nih.gov)</t>
  </si>
  <si>
    <t>mM-apoA1/day</t>
  </si>
  <si>
    <t>Back-solved based on preset half-life and basal concentration</t>
  </si>
  <si>
    <t>kest_lcy</t>
  </si>
  <si>
    <t>kest_ler</t>
  </si>
  <si>
    <t>1/(LDL-R*day)</t>
  </si>
  <si>
    <t>LDL-R is normalized to "1" at basal</t>
  </si>
  <si>
    <t>mM-Ch/day</t>
  </si>
  <si>
    <t>Back-solved using half-life and assumed liver cholesterol content</t>
  </si>
  <si>
    <t>Set similar to TG (~0.5x basal)</t>
  </si>
  <si>
    <t>Pulled from Vupanorsen code, no further reference. Used V_lcy + V_ler as volume normalization.</t>
  </si>
  <si>
    <t>Measurement of Reverse Cholesterol Transport Pathways in Humans: In Vivo Rates of Free Cholesterol Efflux, Esterification, and Excretion - PMC (nih.gov)</t>
  </si>
  <si>
    <t>Lipoprotein</t>
  </si>
  <si>
    <t>Apolipoprotein</t>
  </si>
  <si>
    <t>Percentage of total lipoprotein particle mass</t>
  </si>
  <si>
    <t>% Apolipoprotein</t>
  </si>
  <si>
    <r>
      <t>VLDL</t>
    </r>
    <r>
      <rPr>
        <sz val="7"/>
        <color rgb="FF2E2E2E"/>
        <rFont val="Arial"/>
        <family val="2"/>
      </rPr>
      <t>10</t>
    </r>
  </si>
  <si>
    <t>apoB-100</t>
  </si>
  <si>
    <r>
      <t>LDL</t>
    </r>
    <r>
      <rPr>
        <sz val="7"/>
        <color rgb="FF2E2E2E"/>
        <rFont val="Arial"/>
        <family val="2"/>
      </rPr>
      <t>12,13</t>
    </r>
  </si>
  <si>
    <r>
      <t>Pre-β-HDL</t>
    </r>
    <r>
      <rPr>
        <sz val="7"/>
        <color rgb="FF2E2E2E"/>
        <rFont val="Arial"/>
        <family val="2"/>
      </rPr>
      <t>15</t>
    </r>
  </si>
  <si>
    <t>apoA-I</t>
  </si>
  <si>
    <r>
      <t>HDL</t>
    </r>
    <r>
      <rPr>
        <sz val="7"/>
        <color rgb="FF2E2E2E"/>
        <rFont val="Arial"/>
        <family val="2"/>
      </rPr>
      <t>315</t>
    </r>
  </si>
  <si>
    <t>apoA-I, apoA-II</t>
  </si>
  <si>
    <r>
      <t>HDL</t>
    </r>
    <r>
      <rPr>
        <sz val="7"/>
        <color rgb="FF2E2E2E"/>
        <rFont val="Arial"/>
        <family val="2"/>
      </rPr>
      <t>215</t>
    </r>
  </si>
  <si>
    <t>% TG</t>
  </si>
  <si>
    <t>% PL</t>
  </si>
  <si>
    <t>% FC</t>
  </si>
  <si>
    <t>% CE</t>
  </si>
  <si>
    <t>MW Apo</t>
  </si>
  <si>
    <t>MW CE</t>
  </si>
  <si>
    <t>MW FC</t>
  </si>
  <si>
    <t>MW PL</t>
  </si>
  <si>
    <t>MW TG</t>
  </si>
  <si>
    <t>Apo</t>
  </si>
  <si>
    <t>CE</t>
  </si>
  <si>
    <t>FC</t>
  </si>
  <si>
    <t>PL</t>
  </si>
  <si>
    <t>TG</t>
  </si>
  <si>
    <t xml:space="preserve">Based on 6 minute half-life in human plasma. </t>
  </si>
  <si>
    <t>particle n</t>
  </si>
  <si>
    <t>https://doi.org/10.1016/j.jlr.2021.100099</t>
  </si>
  <si>
    <t>ratio</t>
  </si>
  <si>
    <t>alphaB100</t>
  </si>
  <si>
    <t>ks_a100 * alpha_a100 * tg_ler / (K_tgler + tg_ler), tg_ler ⇒ vd_ler / vd_p * tg_a100</t>
  </si>
  <si>
    <t>FLUX (moles)</t>
  </si>
  <si>
    <t>FLUX (mM-TG-ER/day)</t>
  </si>
  <si>
    <t>mM-TG-ER/day</t>
  </si>
  <si>
    <t>mM-TG-ER/mM-apoB100</t>
  </si>
  <si>
    <t>Liver Cholesterol</t>
  </si>
  <si>
    <t>Fdeg</t>
  </si>
  <si>
    <t>FVLDL</t>
  </si>
  <si>
    <t>mM-Ch-L/day</t>
  </si>
  <si>
    <t>FLDL-R_B100</t>
  </si>
  <si>
    <t>FLDL-R_B48</t>
  </si>
  <si>
    <t>Fsynth</t>
  </si>
  <si>
    <t>1.5 g/day</t>
  </si>
  <si>
    <t>Net (+ is excess synthesis)</t>
  </si>
  <si>
    <t>Based on 1.5g/day of liver cholesterol synthesis. https://www.precisionnutrition.com/all-about-cholesterol#:~:text=Our%20liver%20produces%20anywhere%20from,we%20eat%20foods%20without%20cholesterol.</t>
  </si>
  <si>
    <t>Flux balance.</t>
  </si>
  <si>
    <t>1/(mM-apo^2*day)</t>
  </si>
  <si>
    <t>A100</t>
  </si>
  <si>
    <t>dA100/day = Fsynth - FLDLR</t>
  </si>
  <si>
    <t>FLDLR</t>
  </si>
  <si>
    <t>TG-LER</t>
  </si>
  <si>
    <t>dTG_ler/dt = Fest - FVLDL-TG</t>
  </si>
  <si>
    <t>Fest</t>
  </si>
  <si>
    <t>FVLDL-TG</t>
  </si>
  <si>
    <t>TG-A100</t>
  </si>
  <si>
    <t>dTG-A100/dt = FVLDL - FLPL - FLDLR - FCETP</t>
  </si>
  <si>
    <t>FLPL</t>
  </si>
  <si>
    <t>FCETP</t>
  </si>
  <si>
    <t>FA-LCY</t>
  </si>
  <si>
    <t>FDNL</t>
  </si>
  <si>
    <t>FUPTAKE</t>
  </si>
  <si>
    <t>FER</t>
  </si>
  <si>
    <t>FBETAOX</t>
  </si>
  <si>
    <t>3*FEST</t>
  </si>
  <si>
    <t>3*FLIP</t>
  </si>
  <si>
    <t>FA-LER</t>
  </si>
  <si>
    <t>dFA-LER/dt = FER - 3*FEST-LER</t>
  </si>
  <si>
    <t>3*FEST-LER</t>
  </si>
  <si>
    <t>Back-calculated based on VLDL flux and ks_a100; https://www.ncbi.nlm.nih.gov/pmc/articles/PMC5095238/</t>
  </si>
  <si>
    <t>apoA1</t>
  </si>
  <si>
    <t>dapoA1/dt = FSYNTH - FDEG</t>
  </si>
  <si>
    <t>FSYNTH</t>
  </si>
  <si>
    <t>FDEG</t>
  </si>
  <si>
    <t>dFA-LCY/dt = FDNL + FUPTAKE + 3*FLDLR - FER - FBETAOX - 3*FEST + 3*FLIP+3*FLPL-H</t>
  </si>
  <si>
    <t>3*FLPL-H</t>
  </si>
  <si>
    <t>f_lpl_h</t>
  </si>
  <si>
    <t>fraction</t>
  </si>
  <si>
    <t>Fraction of total lipase activity on liver</t>
  </si>
  <si>
    <t>PhysioLab</t>
  </si>
  <si>
    <t>NET (+ is excess synthesis)</t>
  </si>
  <si>
    <t>OFV</t>
  </si>
  <si>
    <t>TG-A48</t>
  </si>
  <si>
    <t>NET</t>
  </si>
  <si>
    <t>dTG-A48/dt = FSYNTH - FLPL*FINS - FCETP - FLDLR</t>
  </si>
  <si>
    <t>FLPL*FINS</t>
  </si>
  <si>
    <t>fins</t>
  </si>
  <si>
    <t>Enchanced clearance via LPL by insulin</t>
  </si>
  <si>
    <t>TG-A1</t>
  </si>
  <si>
    <t>A1</t>
  </si>
  <si>
    <t>ApoA1-Ch</t>
  </si>
  <si>
    <t>dCh-A1/dt = FRCT - FCETP - FSRB1</t>
  </si>
  <si>
    <t>ks_a1</t>
  </si>
  <si>
    <t>kcl_a1</t>
  </si>
  <si>
    <t>a1</t>
  </si>
  <si>
    <t>FSRB1</t>
  </si>
  <si>
    <t>dCh_L/dt = Fsynth - Fdeg - FVLDL + FLDL-R_B100 + FLDL-R_B48 + FSRB1</t>
  </si>
  <si>
    <t>FRCT</t>
  </si>
  <si>
    <t>A48</t>
  </si>
  <si>
    <t>A1-TG</t>
  </si>
  <si>
    <t>A100-TG</t>
  </si>
  <si>
    <t>A48-TG</t>
  </si>
  <si>
    <t>A1-Ch</t>
  </si>
  <si>
    <t>A100-Ch</t>
  </si>
  <si>
    <t>A48-Ch</t>
  </si>
  <si>
    <t>TG-LCY</t>
  </si>
  <si>
    <t>Ch-L</t>
  </si>
  <si>
    <t>PCSK9</t>
  </si>
  <si>
    <t>LDLR</t>
  </si>
  <si>
    <t>SUMSQ</t>
  </si>
  <si>
    <t>dA48/dt = FSYNTH - FLDL-R</t>
  </si>
  <si>
    <t>FLDL-R</t>
  </si>
  <si>
    <t>kldlr_a100</t>
  </si>
  <si>
    <t>kldlr_a48</t>
  </si>
  <si>
    <t>LDL-R mediated clearance of apoB48 particles</t>
  </si>
  <si>
    <t>A single rate constant did not work for both apoB48 &amp; apoB100 particles</t>
  </si>
  <si>
    <t>3*FLDLR-A48</t>
  </si>
  <si>
    <t>3*FLDLR-A100</t>
  </si>
  <si>
    <t>Ch-A100</t>
  </si>
  <si>
    <t>dCh-A100/dt = FVLDL + FCETP - FSRB1 - FLDLR-A100</t>
  </si>
  <si>
    <t>FLDLR-A100</t>
  </si>
  <si>
    <t>Ch-A48</t>
  </si>
  <si>
    <t>dCh-A48/dt = Fsynth + FCETP - FSRB1 - FLDLR-A48</t>
  </si>
  <si>
    <t>FLDLR-A48</t>
  </si>
  <si>
    <t>Scale</t>
  </si>
  <si>
    <t>ABS</t>
  </si>
  <si>
    <t>REL</t>
  </si>
  <si>
    <t>dTG-LCY/dt = FEST - FLIP</t>
  </si>
  <si>
    <t>FEST</t>
  </si>
  <si>
    <t>FLIP</t>
  </si>
  <si>
    <t>dimensionless/day</t>
  </si>
  <si>
    <t>ks_a48</t>
  </si>
  <si>
    <t>f_ins</t>
  </si>
  <si>
    <t>dapoA1-TG/dt = FCETP - FLPL - FCL</t>
  </si>
  <si>
    <t>FCL</t>
  </si>
  <si>
    <t>ka_ctpi</t>
  </si>
  <si>
    <t>1/hour</t>
  </si>
  <si>
    <t>PK for CETPi</t>
  </si>
  <si>
    <t>kel_ctpi</t>
  </si>
  <si>
    <t>vd_ctpi_cent</t>
  </si>
  <si>
    <t>vd_ctpi_Q1</t>
  </si>
  <si>
    <t>Q_ctpi</t>
  </si>
  <si>
    <t>L/hour</t>
  </si>
  <si>
    <t>1st order absorption</t>
  </si>
  <si>
    <t>1st order clearance</t>
  </si>
  <si>
    <t>Vd</t>
  </si>
  <si>
    <t>Compartment flow rate</t>
  </si>
  <si>
    <t>ctpi_gut</t>
  </si>
  <si>
    <t>ctpi_cent</t>
  </si>
  <si>
    <t>mmols</t>
  </si>
  <si>
    <t>ctpi_Q1</t>
  </si>
  <si>
    <t>pk9</t>
  </si>
  <si>
    <t>pk9_scale</t>
  </si>
  <si>
    <t>cetp_scale</t>
  </si>
  <si>
    <t>PD for PCSK9</t>
  </si>
  <si>
    <t>PD for CETPi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</si>
</sst>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E+00"/>
    <numFmt numFmtId="165" formatCode="0.0000"/>
    <numFmt numFmtId="166" formatCode="0.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0"/>
      <color rgb="FF2E2E2E"/>
      <name val="Arial"/>
      <family val="2"/>
    </font>
    <font>
      <sz val="10"/>
      <color rgb="FF2E2E2E"/>
      <name val="Arial"/>
      <family val="2"/>
    </font>
    <font>
      <sz val="7"/>
      <color rgb="FF2E2E2E"/>
      <name val="Arial"/>
      <family val="2"/>
    </font>
    <font>
      <sz val="11"/>
      <name val="Consolas"/>
      <family val="3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F5F5F5"/>
      </right>
      <top/>
      <bottom style="medium">
        <color rgb="FFF5F5F5"/>
      </bottom>
      <diagonal/>
    </border>
    <border>
      <left/>
      <right/>
      <top/>
      <bottom style="medium">
        <color rgb="FFF5F5F5"/>
      </bottom>
      <diagonal/>
    </border>
    <border>
      <left/>
      <right style="medium">
        <color rgb="FFF5F5F5"/>
      </right>
      <top style="medium">
        <color rgb="FFF5F5F5"/>
      </top>
      <bottom/>
      <diagonal/>
    </border>
    <border>
      <left/>
      <right/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/>
      <diagonal/>
    </border>
    <border>
      <left style="medium">
        <color rgb="FFF5F5F5"/>
      </left>
      <right style="medium">
        <color rgb="FFF5F5F5"/>
      </right>
      <top/>
      <bottom style="medium">
        <color rgb="FFF5F5F5"/>
      </bottom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18" fillId="0" borderId="0" xfId="42"/>
    <xf numFmtId="0" fontId="19" fillId="0" borderId="11" xfId="0" applyFont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  <xf numFmtId="0" fontId="20" fillId="0" borderId="10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19" fillId="0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vertical="top" wrapText="1"/>
    </xf>
    <xf numFmtId="0" fontId="22" fillId="0" borderId="0" xfId="0" applyFont="1" applyAlignment="1">
      <alignment vertical="center"/>
    </xf>
    <xf numFmtId="0" fontId="0" fillId="0" borderId="0" xfId="0" quotePrefix="1"/>
    <xf numFmtId="0" fontId="23" fillId="0" borderId="0" xfId="0" applyFont="1"/>
    <xf numFmtId="0" fontId="16" fillId="0" borderId="0" xfId="0" applyFont="1"/>
    <xf numFmtId="0" fontId="24" fillId="0" borderId="0" xfId="0" applyFont="1"/>
    <xf numFmtId="11" fontId="16" fillId="0" borderId="0" xfId="0" applyNumberFormat="1" applyFont="1"/>
    <xf numFmtId="11" fontId="23" fillId="0" borderId="0" xfId="0" applyNumberFormat="1" applyFont="1"/>
    <xf numFmtId="11" fontId="24" fillId="0" borderId="0" xfId="0" applyNumberFormat="1" applyFont="1"/>
    <xf numFmtId="164" fontId="16" fillId="0" borderId="0" xfId="0" applyNumberFormat="1" applyFont="1"/>
    <xf numFmtId="11" fontId="6" fillId="2" borderId="0" xfId="6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9" fillId="0" borderId="12" xfId="0" applyFont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  <xf numFmtId="0" fontId="19" fillId="0" borderId="14" xfId="0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 wrapText="1"/>
    </xf>
    <xf numFmtId="0" fontId="19" fillId="0" borderId="16" xfId="0" applyFont="1" applyBorder="1" applyAlignment="1">
      <alignment horizontal="center" vertical="top" wrapText="1"/>
    </xf>
    <xf numFmtId="0" fontId="19" fillId="0" borderId="13" xfId="0" applyFont="1" applyBorder="1" applyAlignment="1">
      <alignment horizontal="center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241124/" TargetMode="External"/><Relationship Id="rId13" Type="http://schemas.openxmlformats.org/officeDocument/2006/relationships/hyperlink" Target="https://www.ncbi.nlm.nih.gov/pmc/articles/PMC3487360/" TargetMode="External"/><Relationship Id="rId3" Type="http://schemas.openxmlformats.org/officeDocument/2006/relationships/hyperlink" Target="https://www.ncbi.nlm.nih.gov/pmc/articles/PMC2708952/" TargetMode="External"/><Relationship Id="rId7" Type="http://schemas.openxmlformats.org/officeDocument/2006/relationships/hyperlink" Target="https://www.mayoclinic.org/diseases-conditions/high-blood-cholesterol/in-depth/hdl-cholesterol/art-20046388" TargetMode="External"/><Relationship Id="rId12" Type="http://schemas.openxmlformats.org/officeDocument/2006/relationships/hyperlink" Target="https://www.ncbi.nlm.nih.gov/pmc/articles/PMC3487360/" TargetMode="External"/><Relationship Id="rId2" Type="http://schemas.openxmlformats.org/officeDocument/2006/relationships/hyperlink" Target="https://www.ncbi.nlm.nih.gov/pmc/articles/PMC2708952/" TargetMode="External"/><Relationship Id="rId1" Type="http://schemas.openxmlformats.org/officeDocument/2006/relationships/hyperlink" Target="https://www.dovepress.com/new-developments-in-atherosclerosis-clinical-potential-of-pcsk9-inhibi-peer-reviewed-fulltext-article-VHRM" TargetMode="External"/><Relationship Id="rId6" Type="http://schemas.openxmlformats.org/officeDocument/2006/relationships/hyperlink" Target="https://aasldpubs.onlinelibrary.wiley.com/doi/pdf/10.1002/hep.1840210409" TargetMode="External"/><Relationship Id="rId11" Type="http://schemas.openxmlformats.org/officeDocument/2006/relationships/hyperlink" Target="https://www.ncbi.nlm.nih.gov/pmc/articles/PMC5954621/" TargetMode="External"/><Relationship Id="rId5" Type="http://schemas.openxmlformats.org/officeDocument/2006/relationships/hyperlink" Target="https://www.ahajournals.org/doi/10.1161/01.atv.19.12.2966" TargetMode="External"/><Relationship Id="rId10" Type="http://schemas.openxmlformats.org/officeDocument/2006/relationships/hyperlink" Target="https://www.ahajournals.org/doi/10.1161/01.atv.19.12.2966" TargetMode="External"/><Relationship Id="rId4" Type="http://schemas.openxmlformats.org/officeDocument/2006/relationships/hyperlink" Target="https://www.ahajournals.org/doi/10.1161/01.atv.19.12.2966" TargetMode="External"/><Relationship Id="rId9" Type="http://schemas.openxmlformats.org/officeDocument/2006/relationships/hyperlink" Target="https://www.ahajournals.org/doi/10.1161/01.atv.19.12.2966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D54" sqref="D54"/>
    </sheetView>
  </sheetViews>
  <sheetFormatPr defaultRowHeight="15" x14ac:dyDescent="0.25"/>
  <cols>
    <col min="1" max="1" width="16.140625" customWidth="1"/>
    <col min="2" max="2" width="26" bestFit="1" customWidth="1"/>
    <col min="3" max="3" width="15.28515625" bestFit="1" customWidth="1"/>
    <col min="4" max="4" width="43" bestFit="1" customWidth="1"/>
    <col min="5" max="5" width="8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25">
      <c r="A2" t="s">
        <v>116</v>
      </c>
      <c r="B2" t="s">
        <v>117</v>
      </c>
      <c r="C2">
        <f>'flux calcs'!O49</f>
        <v>7.7339771832977307E-3</v>
      </c>
      <c r="D2" t="s">
        <v>118</v>
      </c>
      <c r="E2" s="2" t="s">
        <v>183</v>
      </c>
    </row>
    <row r="3" spans="1:5" x14ac:dyDescent="0.25">
      <c r="A3" t="s">
        <v>294</v>
      </c>
      <c r="B3" t="s">
        <v>191</v>
      </c>
      <c r="C3">
        <f>'flux calcs'!O43</f>
        <v>1.6786173282183046E-2</v>
      </c>
      <c r="D3" t="s">
        <v>113</v>
      </c>
      <c r="E3" t="s">
        <v>192</v>
      </c>
    </row>
    <row r="4" spans="1:5" x14ac:dyDescent="0.25">
      <c r="A4" t="s">
        <v>295</v>
      </c>
      <c r="B4" t="s">
        <v>10</v>
      </c>
      <c r="C4">
        <f>'flux calcs'!O19</f>
        <v>0.40559892380394436</v>
      </c>
      <c r="D4" t="s">
        <v>112</v>
      </c>
      <c r="E4" s="2" t="s">
        <v>201</v>
      </c>
    </row>
    <row r="5" spans="1:5" x14ac:dyDescent="0.25">
      <c r="A5" t="s">
        <v>88</v>
      </c>
      <c r="B5" t="s">
        <v>115</v>
      </c>
      <c r="C5">
        <f>'flux calcs'!O44</f>
        <v>238.85889699036508</v>
      </c>
      <c r="D5" t="s">
        <v>114</v>
      </c>
      <c r="E5" s="2" t="s">
        <v>201</v>
      </c>
    </row>
    <row r="6" spans="1:5" ht="14.25" customHeight="1" x14ac:dyDescent="0.25">
      <c r="A6" t="s">
        <v>87</v>
      </c>
      <c r="B6" t="s">
        <v>10</v>
      </c>
      <c r="C6">
        <f>'flux calcs'!O20</f>
        <v>3.4784221636826254</v>
      </c>
      <c r="D6" t="s">
        <v>152</v>
      </c>
    </row>
    <row r="7" spans="1:5" x14ac:dyDescent="0.25">
      <c r="A7" t="s">
        <v>89</v>
      </c>
      <c r="B7" t="s">
        <v>10</v>
      </c>
      <c r="C7">
        <f>'flux calcs'!O21</f>
        <v>17.318632412359118</v>
      </c>
      <c r="D7" t="s">
        <v>120</v>
      </c>
    </row>
    <row r="8" spans="1:5" x14ac:dyDescent="0.25">
      <c r="A8" t="s">
        <v>314</v>
      </c>
      <c r="B8" t="s">
        <v>195</v>
      </c>
      <c r="C8">
        <f>'flux calcs'!O22</f>
        <v>3.7576744265139141</v>
      </c>
      <c r="D8" t="s">
        <v>121</v>
      </c>
      <c r="E8" t="s">
        <v>196</v>
      </c>
    </row>
    <row r="9" spans="1:5" x14ac:dyDescent="0.25">
      <c r="A9" t="s">
        <v>315</v>
      </c>
      <c r="B9" t="s">
        <v>195</v>
      </c>
      <c r="C9">
        <f>'flux calcs'!O23</f>
        <v>3.9355240518652677</v>
      </c>
      <c r="D9" t="s">
        <v>316</v>
      </c>
      <c r="E9" t="s">
        <v>317</v>
      </c>
    </row>
    <row r="10" spans="1:5" x14ac:dyDescent="0.25">
      <c r="A10" t="s">
        <v>333</v>
      </c>
      <c r="B10" t="s">
        <v>108</v>
      </c>
      <c r="C10">
        <f>'flux calcs'!O24</f>
        <v>9.3767523525948855E-5</v>
      </c>
      <c r="D10" t="s">
        <v>122</v>
      </c>
      <c r="E10" s="2" t="s">
        <v>183</v>
      </c>
    </row>
    <row r="11" spans="1:5" ht="14.25" customHeight="1" x14ac:dyDescent="0.25">
      <c r="A11" t="s">
        <v>91</v>
      </c>
      <c r="B11" t="s">
        <v>249</v>
      </c>
      <c r="C11">
        <f>'flux calcs'!O25</f>
        <v>5.9999610529237355</v>
      </c>
      <c r="D11" t="s">
        <v>123</v>
      </c>
    </row>
    <row r="12" spans="1:5" x14ac:dyDescent="0.25">
      <c r="A12" t="s">
        <v>92</v>
      </c>
      <c r="B12" t="s">
        <v>108</v>
      </c>
      <c r="C12">
        <f>'flux calcs'!O26</f>
        <v>611.50315519459184</v>
      </c>
      <c r="D12" t="s">
        <v>124</v>
      </c>
    </row>
    <row r="13" spans="1:5" x14ac:dyDescent="0.25">
      <c r="A13" t="s">
        <v>93</v>
      </c>
      <c r="B13" t="s">
        <v>108</v>
      </c>
      <c r="C13">
        <f>'flux calcs'!O27</f>
        <v>26.708358288811766</v>
      </c>
      <c r="D13" t="s">
        <v>125</v>
      </c>
    </row>
    <row r="14" spans="1:5" x14ac:dyDescent="0.25">
      <c r="A14" t="s">
        <v>94</v>
      </c>
      <c r="B14" t="s">
        <v>10</v>
      </c>
      <c r="C14">
        <f>'flux calcs'!O28</f>
        <v>2055.1347539729154</v>
      </c>
      <c r="D14" t="s">
        <v>126</v>
      </c>
    </row>
    <row r="15" spans="1:5" x14ac:dyDescent="0.25">
      <c r="A15" t="s">
        <v>193</v>
      </c>
      <c r="B15" t="s">
        <v>26</v>
      </c>
      <c r="C15">
        <f>'flux calcs'!O29</f>
        <v>13205.336538020518</v>
      </c>
      <c r="D15" t="s">
        <v>127</v>
      </c>
    </row>
    <row r="16" spans="1:5" x14ac:dyDescent="0.25">
      <c r="A16" t="s">
        <v>194</v>
      </c>
      <c r="B16" t="s">
        <v>26</v>
      </c>
      <c r="C16">
        <f>'flux calcs'!O47</f>
        <v>256370.29706389538</v>
      </c>
      <c r="D16" t="s">
        <v>127</v>
      </c>
    </row>
    <row r="17" spans="1:5" x14ac:dyDescent="0.25">
      <c r="A17" t="s">
        <v>95</v>
      </c>
      <c r="B17" t="s">
        <v>108</v>
      </c>
      <c r="C17">
        <f>'flux calcs'!O50</f>
        <v>0.76458898555682508</v>
      </c>
      <c r="D17" t="s">
        <v>128</v>
      </c>
    </row>
    <row r="18" spans="1:5" x14ac:dyDescent="0.25">
      <c r="A18" t="s">
        <v>96</v>
      </c>
      <c r="B18" t="s">
        <v>10</v>
      </c>
      <c r="C18">
        <f>'flux calcs'!O48</f>
        <v>2809.7782461787965</v>
      </c>
      <c r="D18" t="s">
        <v>129</v>
      </c>
    </row>
    <row r="19" spans="1:5" x14ac:dyDescent="0.25">
      <c r="A19" t="s">
        <v>97</v>
      </c>
      <c r="B19" t="s">
        <v>108</v>
      </c>
      <c r="C19">
        <f>'flux calcs'!O30</f>
        <v>2.2901323542218903</v>
      </c>
      <c r="D19" t="s">
        <v>130</v>
      </c>
      <c r="E19" t="s">
        <v>247</v>
      </c>
    </row>
    <row r="20" spans="1:5" x14ac:dyDescent="0.25">
      <c r="A20" t="s">
        <v>98</v>
      </c>
      <c r="B20" t="s">
        <v>10</v>
      </c>
      <c r="C20">
        <f>'flux calcs'!O57</f>
        <v>3.798835084575511</v>
      </c>
      <c r="D20" t="s">
        <v>131</v>
      </c>
      <c r="E20" s="2" t="s">
        <v>248</v>
      </c>
    </row>
    <row r="21" spans="1:5" x14ac:dyDescent="0.25">
      <c r="A21" t="s">
        <v>99</v>
      </c>
      <c r="B21" t="s">
        <v>197</v>
      </c>
      <c r="C21">
        <f>'flux calcs'!O51</f>
        <v>14.287188218953348</v>
      </c>
      <c r="D21" t="s">
        <v>132</v>
      </c>
      <c r="E21" t="s">
        <v>198</v>
      </c>
    </row>
    <row r="22" spans="1:5" x14ac:dyDescent="0.25">
      <c r="A22" t="s">
        <v>100</v>
      </c>
      <c r="B22" t="s">
        <v>109</v>
      </c>
      <c r="C22">
        <f>'flux calcs'!O52</f>
        <v>89010.922742532421</v>
      </c>
      <c r="D22" t="s">
        <v>133</v>
      </c>
      <c r="E22" s="2" t="s">
        <v>190</v>
      </c>
    </row>
    <row r="23" spans="1:5" x14ac:dyDescent="0.25">
      <c r="A23" t="s">
        <v>101</v>
      </c>
      <c r="B23" t="s">
        <v>108</v>
      </c>
      <c r="C23">
        <f>'flux calcs'!O53</f>
        <v>1.350250707730773E-3</v>
      </c>
      <c r="D23" t="s">
        <v>119</v>
      </c>
      <c r="E23" s="2" t="s">
        <v>154</v>
      </c>
    </row>
    <row r="24" spans="1:5" x14ac:dyDescent="0.25">
      <c r="A24" t="s">
        <v>102</v>
      </c>
      <c r="B24" t="s">
        <v>10</v>
      </c>
      <c r="C24">
        <f>'flux calcs'!O54</f>
        <v>199.62638800126427</v>
      </c>
      <c r="D24" t="s">
        <v>134</v>
      </c>
      <c r="E24" s="2" t="s">
        <v>153</v>
      </c>
    </row>
    <row r="25" spans="1:5" x14ac:dyDescent="0.25">
      <c r="A25" t="s">
        <v>103</v>
      </c>
      <c r="B25" t="s">
        <v>54</v>
      </c>
      <c r="C25">
        <f>'flux calcs'!O31</f>
        <v>0.10421667812284116</v>
      </c>
      <c r="D25" t="s">
        <v>135</v>
      </c>
    </row>
    <row r="26" spans="1:5" x14ac:dyDescent="0.25">
      <c r="A26" t="s">
        <v>104</v>
      </c>
      <c r="B26" t="s">
        <v>54</v>
      </c>
      <c r="C26">
        <f>'flux calcs'!O32</f>
        <v>0.64185460247078396</v>
      </c>
      <c r="D26" t="s">
        <v>136</v>
      </c>
    </row>
    <row r="27" spans="1:5" x14ac:dyDescent="0.25">
      <c r="A27" t="s">
        <v>105</v>
      </c>
      <c r="B27" t="s">
        <v>54</v>
      </c>
      <c r="C27">
        <f>'flux calcs'!O33</f>
        <v>6.5321946818613705</v>
      </c>
      <c r="D27" t="s">
        <v>137</v>
      </c>
      <c r="E27" t="s">
        <v>174</v>
      </c>
    </row>
    <row r="28" spans="1:5" x14ac:dyDescent="0.25">
      <c r="A28" t="s">
        <v>278</v>
      </c>
      <c r="B28" t="s">
        <v>279</v>
      </c>
      <c r="C28">
        <f>'flux calcs'!O34</f>
        <v>7.3485799582156119E-2</v>
      </c>
      <c r="D28" t="s">
        <v>280</v>
      </c>
      <c r="E28" s="11" t="s">
        <v>281</v>
      </c>
    </row>
    <row r="29" spans="1:5" x14ac:dyDescent="0.25">
      <c r="A29" t="s">
        <v>107</v>
      </c>
      <c r="B29" t="s">
        <v>110</v>
      </c>
      <c r="C29">
        <f>'flux calcs'!O35</f>
        <v>182561.12225335528</v>
      </c>
      <c r="D29" t="s">
        <v>138</v>
      </c>
      <c r="E29" t="s">
        <v>175</v>
      </c>
    </row>
    <row r="30" spans="1:5" x14ac:dyDescent="0.25">
      <c r="A30" t="s">
        <v>106</v>
      </c>
      <c r="B30" t="s">
        <v>111</v>
      </c>
      <c r="C30">
        <f>'flux calcs'!O55</f>
        <v>1591.5805389489603</v>
      </c>
      <c r="D30" t="s">
        <v>139</v>
      </c>
      <c r="E30" t="s">
        <v>172</v>
      </c>
    </row>
    <row r="31" spans="1:5" x14ac:dyDescent="0.25">
      <c r="A31" t="s">
        <v>140</v>
      </c>
      <c r="B31" t="s">
        <v>142</v>
      </c>
      <c r="C31">
        <f>'flux calcs'!O36</f>
        <v>163068.84602149841</v>
      </c>
      <c r="D31" t="s">
        <v>144</v>
      </c>
      <c r="E31" t="s">
        <v>271</v>
      </c>
    </row>
    <row r="32" spans="1:5" x14ac:dyDescent="0.25">
      <c r="A32" t="s">
        <v>141</v>
      </c>
      <c r="B32" t="s">
        <v>143</v>
      </c>
      <c r="C32">
        <f>'flux calcs'!O37</f>
        <v>24612.299192315269</v>
      </c>
      <c r="D32" t="s">
        <v>145</v>
      </c>
      <c r="E32" t="s">
        <v>173</v>
      </c>
    </row>
    <row r="33" spans="1:5" x14ac:dyDescent="0.25">
      <c r="A33" t="s">
        <v>334</v>
      </c>
      <c r="B33" t="s">
        <v>14</v>
      </c>
      <c r="C33">
        <f>'flux calcs'!O38</f>
        <v>13.021871830466102</v>
      </c>
      <c r="D33" t="s">
        <v>289</v>
      </c>
    </row>
    <row r="34" spans="1:5" x14ac:dyDescent="0.25">
      <c r="A34" t="s">
        <v>146</v>
      </c>
      <c r="B34" t="s">
        <v>148</v>
      </c>
      <c r="C34">
        <f>'flux calcs'!O45</f>
        <v>26.672409329999997</v>
      </c>
      <c r="D34" t="s">
        <v>150</v>
      </c>
    </row>
    <row r="35" spans="1:5" x14ac:dyDescent="0.25">
      <c r="A35" t="s">
        <v>147</v>
      </c>
      <c r="B35" t="s">
        <v>149</v>
      </c>
      <c r="C35">
        <f>'flux calcs'!O46</f>
        <v>11.865252985371212</v>
      </c>
      <c r="D35" t="s">
        <v>151</v>
      </c>
      <c r="E35" t="s">
        <v>199</v>
      </c>
    </row>
    <row r="36" spans="1:5" x14ac:dyDescent="0.25">
      <c r="A36" t="s">
        <v>155</v>
      </c>
      <c r="B36" t="s">
        <v>40</v>
      </c>
      <c r="C36">
        <v>2.0581818181818179E-3</v>
      </c>
      <c r="D36" t="s">
        <v>171</v>
      </c>
      <c r="E36" s="2" t="s">
        <v>183</v>
      </c>
    </row>
    <row r="37" spans="1:5" x14ac:dyDescent="0.25">
      <c r="A37" t="s">
        <v>156</v>
      </c>
      <c r="B37" t="s">
        <v>40</v>
      </c>
      <c r="C37">
        <v>0.45</v>
      </c>
      <c r="D37" t="s">
        <v>171</v>
      </c>
    </row>
    <row r="38" spans="1:5" x14ac:dyDescent="0.25">
      <c r="A38" t="s">
        <v>157</v>
      </c>
      <c r="B38" t="s">
        <v>40</v>
      </c>
      <c r="C38">
        <v>2.6</v>
      </c>
      <c r="D38" t="s">
        <v>171</v>
      </c>
    </row>
    <row r="39" spans="1:5" x14ac:dyDescent="0.25">
      <c r="A39" t="s">
        <v>296</v>
      </c>
      <c r="B39" t="s">
        <v>40</v>
      </c>
      <c r="C39">
        <v>4.1386138613861388E-2</v>
      </c>
      <c r="D39" t="s">
        <v>171</v>
      </c>
      <c r="E39" s="2" t="s">
        <v>187</v>
      </c>
    </row>
    <row r="40" spans="1:5" x14ac:dyDescent="0.25">
      <c r="A40" t="s">
        <v>159</v>
      </c>
      <c r="B40" t="s">
        <v>40</v>
      </c>
      <c r="C40">
        <f>'flux calcs'!O58</f>
        <v>0.24944070959218598</v>
      </c>
      <c r="D40" t="s">
        <v>171</v>
      </c>
    </row>
    <row r="41" spans="1:5" x14ac:dyDescent="0.25">
      <c r="A41" t="s">
        <v>160</v>
      </c>
      <c r="B41" t="s">
        <v>40</v>
      </c>
      <c r="C41">
        <v>1.6</v>
      </c>
      <c r="D41" t="s">
        <v>171</v>
      </c>
      <c r="E41" s="2" t="s">
        <v>189</v>
      </c>
    </row>
    <row r="42" spans="1:5" x14ac:dyDescent="0.25">
      <c r="A42" t="s">
        <v>161</v>
      </c>
      <c r="B42" t="s">
        <v>40</v>
      </c>
      <c r="C42">
        <v>2.3809523809523807E-5</v>
      </c>
      <c r="D42" t="s">
        <v>171</v>
      </c>
      <c r="E42" s="2" t="s">
        <v>183</v>
      </c>
    </row>
    <row r="43" spans="1:5" x14ac:dyDescent="0.25">
      <c r="A43" t="s">
        <v>162</v>
      </c>
      <c r="B43" t="s">
        <v>40</v>
      </c>
      <c r="C43">
        <v>0.08</v>
      </c>
      <c r="D43" t="s">
        <v>171</v>
      </c>
      <c r="E43" t="s">
        <v>228</v>
      </c>
    </row>
    <row r="44" spans="1:5" x14ac:dyDescent="0.25">
      <c r="A44" t="s">
        <v>163</v>
      </c>
      <c r="B44" t="s">
        <v>40</v>
      </c>
      <c r="C44">
        <f>'flux calcs'!Z11</f>
        <v>2.0129437318599456E-2</v>
      </c>
      <c r="D44" t="s">
        <v>171</v>
      </c>
      <c r="E44" t="s">
        <v>228</v>
      </c>
    </row>
    <row r="45" spans="1:5" x14ac:dyDescent="0.25">
      <c r="A45" t="s">
        <v>165</v>
      </c>
      <c r="B45" t="s">
        <v>40</v>
      </c>
      <c r="C45">
        <v>0.15</v>
      </c>
      <c r="D45" t="s">
        <v>171</v>
      </c>
    </row>
    <row r="46" spans="1:5" x14ac:dyDescent="0.25">
      <c r="A46" t="s">
        <v>164</v>
      </c>
      <c r="B46" t="s">
        <v>40</v>
      </c>
      <c r="C46">
        <v>0.15</v>
      </c>
      <c r="D46" t="s">
        <v>171</v>
      </c>
    </row>
    <row r="47" spans="1:5" x14ac:dyDescent="0.25">
      <c r="A47" t="s">
        <v>166</v>
      </c>
      <c r="B47" t="s">
        <v>40</v>
      </c>
      <c r="C47">
        <v>58.290155439999999</v>
      </c>
      <c r="D47" t="s">
        <v>171</v>
      </c>
    </row>
    <row r="48" spans="1:5" x14ac:dyDescent="0.25">
      <c r="A48" t="s">
        <v>167</v>
      </c>
      <c r="B48" t="s">
        <v>40</v>
      </c>
      <c r="C48">
        <v>58.290155439999999</v>
      </c>
      <c r="D48" t="s">
        <v>171</v>
      </c>
    </row>
    <row r="49" spans="1:5" x14ac:dyDescent="0.25">
      <c r="A49" t="s">
        <v>168</v>
      </c>
      <c r="B49" t="s">
        <v>40</v>
      </c>
      <c r="C49">
        <v>23.730505970742428</v>
      </c>
      <c r="D49" t="s">
        <v>171</v>
      </c>
      <c r="E49" t="s">
        <v>200</v>
      </c>
    </row>
    <row r="50" spans="1:5" x14ac:dyDescent="0.25">
      <c r="A50" t="s">
        <v>169</v>
      </c>
      <c r="B50" t="s">
        <v>14</v>
      </c>
      <c r="C50">
        <v>1</v>
      </c>
      <c r="D50" t="s">
        <v>171</v>
      </c>
      <c r="E50" t="s">
        <v>188</v>
      </c>
    </row>
    <row r="51" spans="1:5" x14ac:dyDescent="0.25">
      <c r="A51" t="s">
        <v>353</v>
      </c>
      <c r="B51" t="s">
        <v>40</v>
      </c>
      <c r="C51">
        <v>6.7638888888888883E-6</v>
      </c>
      <c r="D51" t="s">
        <v>171</v>
      </c>
      <c r="E51" s="2" t="s">
        <v>154</v>
      </c>
    </row>
    <row r="52" spans="1:5" x14ac:dyDescent="0.25">
      <c r="A52" t="s">
        <v>349</v>
      </c>
      <c r="B52" t="s">
        <v>351</v>
      </c>
      <c r="C52" s="19">
        <v>0</v>
      </c>
      <c r="D52" t="s">
        <v>339</v>
      </c>
      <c r="E52" s="2"/>
    </row>
    <row r="53" spans="1:5" x14ac:dyDescent="0.25">
      <c r="A53" t="s">
        <v>350</v>
      </c>
      <c r="B53" t="s">
        <v>40</v>
      </c>
      <c r="C53" s="19">
        <v>0</v>
      </c>
      <c r="D53" t="s">
        <v>339</v>
      </c>
      <c r="E53" s="2"/>
    </row>
    <row r="54" spans="1:5" x14ac:dyDescent="0.25">
      <c r="A54" t="s">
        <v>352</v>
      </c>
      <c r="B54" t="s">
        <v>40</v>
      </c>
      <c r="C54" s="19">
        <v>0</v>
      </c>
      <c r="D54" t="s">
        <v>339</v>
      </c>
      <c r="E54" s="2"/>
    </row>
    <row r="55" spans="1:5" x14ac:dyDescent="0.25">
      <c r="A55" t="s">
        <v>337</v>
      </c>
      <c r="B55" t="s">
        <v>338</v>
      </c>
      <c r="C55" s="19">
        <v>0</v>
      </c>
      <c r="D55" t="s">
        <v>339</v>
      </c>
      <c r="E55" t="s">
        <v>345</v>
      </c>
    </row>
    <row r="56" spans="1:5" x14ac:dyDescent="0.25">
      <c r="A56" t="s">
        <v>340</v>
      </c>
      <c r="B56" t="s">
        <v>338</v>
      </c>
      <c r="C56">
        <v>0.1</v>
      </c>
      <c r="D56" t="s">
        <v>339</v>
      </c>
      <c r="E56" t="s">
        <v>346</v>
      </c>
    </row>
    <row r="57" spans="1:5" x14ac:dyDescent="0.25">
      <c r="A57" t="s">
        <v>341</v>
      </c>
      <c r="B57" t="s">
        <v>54</v>
      </c>
      <c r="C57" s="20">
        <v>5</v>
      </c>
      <c r="D57" t="s">
        <v>339</v>
      </c>
      <c r="E57" t="s">
        <v>347</v>
      </c>
    </row>
    <row r="58" spans="1:5" x14ac:dyDescent="0.25">
      <c r="A58" t="s">
        <v>342</v>
      </c>
      <c r="B58" t="s">
        <v>54</v>
      </c>
      <c r="C58" s="20">
        <v>5</v>
      </c>
      <c r="D58" t="s">
        <v>339</v>
      </c>
      <c r="E58" t="s">
        <v>347</v>
      </c>
    </row>
    <row r="59" spans="1:5" x14ac:dyDescent="0.25">
      <c r="A59" t="s">
        <v>343</v>
      </c>
      <c r="B59" t="s">
        <v>344</v>
      </c>
      <c r="C59">
        <v>0.1</v>
      </c>
      <c r="D59" t="s">
        <v>339</v>
      </c>
      <c r="E59" t="s">
        <v>348</v>
      </c>
    </row>
    <row r="60" spans="1:5" x14ac:dyDescent="0.25">
      <c r="A60" t="s">
        <v>354</v>
      </c>
      <c r="B60" t="s">
        <v>14</v>
      </c>
      <c r="C60" s="21">
        <v>1</v>
      </c>
      <c r="D60" t="s">
        <v>356</v>
      </c>
    </row>
    <row r="61" spans="1:5" x14ac:dyDescent="0.25">
      <c r="A61" t="s">
        <v>355</v>
      </c>
      <c r="B61" t="s">
        <v>14</v>
      </c>
      <c r="C61" s="21">
        <v>1</v>
      </c>
      <c r="D61" t="s">
        <v>357</v>
      </c>
    </row>
  </sheetData>
  <hyperlinks>
    <hyperlink ref="E24" r:id="rId1" location=":~:text=PCSK9%20half%2Dlife%20in%20plasma%20is%20approximately%205%20minutes." display="https://www.dovepress.com/new-developments-in-atherosclerosis-clinical-potential-of-pcsk9-inhibi-peer-reviewed-fulltext-article-VHRM - :~:text=PCSK9%20half%2Dlife%20in%20plasma%20is%20approximately%205%20minutes." xr:uid="{00000000-0004-0000-0000-000000000000}"/>
    <hyperlink ref="E23" r:id="rId2" location=":~:text=Results%3A%20Plasma%20levels%20of%20PCSK9,)%2C%20irrespective%20of%20estrogen%20status." display="https://www.ncbi.nlm.nih.gov/pmc/articles/PMC2708952/ - :~:text=Results%3A%20Plasma%20levels%20of%20PCSK9,)%2C%20irrespective%20of%20estrogen%20status." xr:uid="{00000000-0004-0000-0000-000001000000}"/>
    <hyperlink ref="E51" r:id="rId3" location=":~:text=Results%3A%20Plasma%20levels%20of%20PCSK9,)%2C%20irrespective%20of%20estrogen%20status." display="https://www.ncbi.nlm.nih.gov/pmc/articles/PMC2708952/ - :~:text=Results%3A%20Plasma%20levels%20of%20PCSK9,)%2C%20irrespective%20of%20estrogen%20status." xr:uid="{00000000-0004-0000-0000-000002000000}"/>
    <hyperlink ref="E36" r:id="rId4" display="https://www.ahajournals.org/doi/10.1161/01.atv.19.12.2966" xr:uid="{00000000-0004-0000-0000-000003000000}"/>
    <hyperlink ref="E42" r:id="rId5" display="https://www.ahajournals.org/doi/10.1161/01.atv.19.12.2966" xr:uid="{00000000-0004-0000-0000-000004000000}"/>
    <hyperlink ref="E39" r:id="rId6" display="https://aasldpubs.onlinelibrary.wiley.com/doi/pdf/10.1002/hep.1840210409" xr:uid="{00000000-0004-0000-0000-000005000000}"/>
    <hyperlink ref="E41" r:id="rId7" display="https://www.mayoclinic.org/diseases-conditions/high-blood-cholesterol/in-depth/hdl-cholesterol/art-20046388" xr:uid="{00000000-0004-0000-0000-000007000000}"/>
    <hyperlink ref="E22" r:id="rId8" display="https://pubmed.ncbi.nlm.nih.gov/3241124/" xr:uid="{00000000-0004-0000-0000-000008000000}"/>
    <hyperlink ref="E2" r:id="rId9" display="https://www.ahajournals.org/doi/10.1161/01.atv.19.12.2966" xr:uid="{00000000-0004-0000-0000-000009000000}"/>
    <hyperlink ref="E10" r:id="rId10" display="https://www.ahajournals.org/doi/10.1161/01.atv.19.12.2966" xr:uid="{00000000-0004-0000-0000-00000A000000}"/>
    <hyperlink ref="E20" r:id="rId11" location=":~:text=The%20liver%20synthesizes%20about%200.5,via%20the%20common%20bile%20ducts." display="https://www.ncbi.nlm.nih.gov/pmc/articles/PMC5954621/ - :~:text=The%20liver%20synthesizes%20about%200.5,via%20the%20common%20bile%20ducts." xr:uid="{C8F1679E-0493-499A-AA09-6F59111EC6C4}"/>
    <hyperlink ref="E4" r:id="rId12" display="https://www.ncbi.nlm.nih.gov/pmc/articles/PMC3487360/" xr:uid="{5A082D17-856F-434F-9DFF-D608452003D8}"/>
    <hyperlink ref="E5" r:id="rId13" display="https://www.ncbi.nlm.nih.gov/pmc/articles/PMC3487360/" xr:uid="{1D00B1F4-FA89-446B-BC86-11A16DAFA7EF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1EF5-36B7-4FD8-87DD-F44F82DDD7D9}">
  <dimension ref="A1:Z115"/>
  <sheetViews>
    <sheetView zoomScaleNormal="100" workbookViewId="0">
      <selection activeCell="Q38" sqref="Q38"/>
    </sheetView>
  </sheetViews>
  <sheetFormatPr defaultRowHeight="15" x14ac:dyDescent="0.25"/>
  <cols>
    <col min="1" max="1" width="76.42578125" bestFit="1" customWidth="1"/>
    <col min="2" max="2" width="18.140625" style="1" bestFit="1" customWidth="1"/>
    <col min="7" max="7" width="20.140625" customWidth="1"/>
    <col min="8" max="8" width="28.140625" bestFit="1" customWidth="1"/>
    <col min="22" max="22" width="12" bestFit="1" customWidth="1"/>
    <col min="24" max="24" width="8" bestFit="1" customWidth="1"/>
    <col min="25" max="25" width="14" bestFit="1" customWidth="1"/>
  </cols>
  <sheetData>
    <row r="1" spans="1:26" x14ac:dyDescent="0.25">
      <c r="A1" s="12" t="s">
        <v>238</v>
      </c>
      <c r="G1" s="12" t="s">
        <v>283</v>
      </c>
      <c r="H1" s="14">
        <f>V20</f>
        <v>7.4843628128607617E-6</v>
      </c>
    </row>
    <row r="2" spans="1:26" x14ac:dyDescent="0.25">
      <c r="A2" t="s">
        <v>298</v>
      </c>
      <c r="B2" s="1" t="s">
        <v>241</v>
      </c>
      <c r="U2" t="s">
        <v>327</v>
      </c>
      <c r="V2" t="s">
        <v>328</v>
      </c>
    </row>
    <row r="3" spans="1:26" x14ac:dyDescent="0.25">
      <c r="A3" t="s">
        <v>239</v>
      </c>
      <c r="B3" s="1">
        <f>'lipoprotein-model'!C20*'lipoprotein-model'!C49</f>
        <v>90.148278656384974</v>
      </c>
      <c r="H3" t="s">
        <v>2</v>
      </c>
      <c r="I3">
        <v>0.25</v>
      </c>
      <c r="J3">
        <v>4</v>
      </c>
      <c r="T3" t="s">
        <v>250</v>
      </c>
      <c r="U3" s="1">
        <f>B16</f>
        <v>0</v>
      </c>
      <c r="V3" s="1">
        <f>U3/Z3</f>
        <v>0</v>
      </c>
      <c r="X3" t="s">
        <v>155</v>
      </c>
      <c r="Y3" t="s">
        <v>40</v>
      </c>
      <c r="Z3">
        <f>'lipoprotein-model'!C36</f>
        <v>2.0581818181818179E-3</v>
      </c>
    </row>
    <row r="4" spans="1:26" x14ac:dyDescent="0.25">
      <c r="A4" t="s">
        <v>240</v>
      </c>
      <c r="B4" s="1">
        <f>'lipoprotein-model'!C2*'lipoprotein-model'!C32*'lipoprotein-model'!C49/('lipoprotein-model'!C35+'lipoprotein-model'!C49)</f>
        <v>126.90064025457566</v>
      </c>
      <c r="G4" t="s">
        <v>89</v>
      </c>
      <c r="H4">
        <v>2.9330036467862719</v>
      </c>
      <c r="I4">
        <v>1.8186830188956356</v>
      </c>
      <c r="J4">
        <v>4.5912717411354169</v>
      </c>
      <c r="O4">
        <f>EXP(H4)</f>
        <v>18.783966247823091</v>
      </c>
      <c r="Q4">
        <v>24.654942315736292</v>
      </c>
      <c r="T4" t="s">
        <v>302</v>
      </c>
      <c r="U4" s="1">
        <f>B30</f>
        <v>1.5528629478112066E-4</v>
      </c>
      <c r="V4" s="1">
        <f t="shared" ref="V4:V16" si="0">U4/Z4</f>
        <v>3.4508065506915701E-4</v>
      </c>
      <c r="X4" t="s">
        <v>156</v>
      </c>
      <c r="Y4" t="s">
        <v>40</v>
      </c>
      <c r="Z4">
        <f>'lipoprotein-model'!C37</f>
        <v>0.45</v>
      </c>
    </row>
    <row r="5" spans="1:26" x14ac:dyDescent="0.25">
      <c r="A5" t="s">
        <v>242</v>
      </c>
      <c r="B5" s="1">
        <f>'lipoprotein-model'!C8*'lipoprotein-model'!C38*'lipoprotein-model'!C50*'lipoprotein-model'!C27/('lipoprotein-model'!C26+'lipoprotein-model'!C25)</f>
        <v>85.540403461619377</v>
      </c>
      <c r="G5" t="s">
        <v>314</v>
      </c>
      <c r="H5">
        <v>1.1807268682188701</v>
      </c>
      <c r="I5">
        <v>-2.2706020471409949</v>
      </c>
      <c r="J5">
        <v>3</v>
      </c>
      <c r="O5">
        <f t="shared" ref="O5:O15" si="1">EXP(H5)</f>
        <v>3.2567405639822118</v>
      </c>
      <c r="Q5">
        <v>0.41299999999999998</v>
      </c>
      <c r="T5" t="s">
        <v>305</v>
      </c>
      <c r="U5" s="1">
        <f>B91</f>
        <v>1.2661475391695376E-5</v>
      </c>
      <c r="V5" s="1">
        <f t="shared" si="0"/>
        <v>4.8697982275751447E-6</v>
      </c>
      <c r="X5" t="s">
        <v>157</v>
      </c>
      <c r="Y5" t="s">
        <v>40</v>
      </c>
      <c r="Z5">
        <f>'lipoprotein-model'!C38</f>
        <v>2.6</v>
      </c>
    </row>
    <row r="6" spans="1:26" x14ac:dyDescent="0.25">
      <c r="A6" t="s">
        <v>243</v>
      </c>
      <c r="B6" s="1">
        <f>'lipoprotein-model'!C9*'lipoprotein-model'!C50*'lipoprotein-model'!C44*'lipoprotein-model'!C27/('lipoprotein-model'!C26+'lipoprotein-model'!C25)</f>
        <v>0.69360625869414227</v>
      </c>
      <c r="G6" t="s">
        <v>315</v>
      </c>
      <c r="H6">
        <v>1.7415892853159054</v>
      </c>
      <c r="I6">
        <v>0.43862531713422992</v>
      </c>
      <c r="J6">
        <v>3.2112140393740112</v>
      </c>
      <c r="O6">
        <f t="shared" si="1"/>
        <v>5.7064053259808452</v>
      </c>
      <c r="Q6">
        <v>6.2022968197879855</v>
      </c>
      <c r="T6" t="s">
        <v>291</v>
      </c>
      <c r="U6" s="1">
        <f>B55</f>
        <v>0</v>
      </c>
      <c r="V6" s="1">
        <f t="shared" si="0"/>
        <v>0</v>
      </c>
      <c r="X6" t="s">
        <v>296</v>
      </c>
      <c r="Y6" t="s">
        <v>40</v>
      </c>
      <c r="Z6">
        <f>'lipoprotein-model'!C39</f>
        <v>4.1386138613861388E-2</v>
      </c>
    </row>
    <row r="7" spans="1:26" x14ac:dyDescent="0.25">
      <c r="A7" t="s">
        <v>244</v>
      </c>
      <c r="B7" s="1">
        <f>'lipoprotein-model'!C19</f>
        <v>2.2901323542218903</v>
      </c>
      <c r="C7" t="s">
        <v>245</v>
      </c>
      <c r="D7">
        <f>1.5/386.65*1000/('lipoprotein-model'!C25+'lipoprotein-model'!C26)</f>
        <v>5.1998752191631255</v>
      </c>
      <c r="E7" t="s">
        <v>108</v>
      </c>
      <c r="G7" t="s">
        <v>91</v>
      </c>
      <c r="H7">
        <v>11.63859267059296</v>
      </c>
      <c r="I7">
        <v>10.499408857792885</v>
      </c>
      <c r="J7">
        <v>13.271997580032666</v>
      </c>
      <c r="O7">
        <f t="shared" si="1"/>
        <v>113390.47483602818</v>
      </c>
      <c r="Q7">
        <v>145176.16556721277</v>
      </c>
      <c r="T7" t="s">
        <v>301</v>
      </c>
      <c r="U7" s="1">
        <f>B62</f>
        <v>0</v>
      </c>
      <c r="V7" s="1">
        <f t="shared" si="0"/>
        <v>0</v>
      </c>
      <c r="X7" t="s">
        <v>159</v>
      </c>
      <c r="Y7" t="s">
        <v>40</v>
      </c>
      <c r="Z7">
        <f>'lipoprotein-model'!C40</f>
        <v>0.24944070959218598</v>
      </c>
    </row>
    <row r="8" spans="1:26" x14ac:dyDescent="0.25">
      <c r="A8" t="s">
        <v>297</v>
      </c>
      <c r="B8" s="1">
        <f>'lipoprotein-model'!C6*'lipoprotein-model'!C27/('lipoprotein-model'!C26+'lipoprotein-model'!C25)*('lipoprotein-model'!C38+'lipoprotein-model'!C41+'lipoprotein-model'!C44)</f>
        <v>128.52477683642522</v>
      </c>
      <c r="G8" t="s">
        <v>92</v>
      </c>
      <c r="H8">
        <v>6.3384026228961474</v>
      </c>
      <c r="I8">
        <v>5.2349734517037918</v>
      </c>
      <c r="J8">
        <v>8.0075621739435725</v>
      </c>
      <c r="O8">
        <f t="shared" si="1"/>
        <v>565.89164666895897</v>
      </c>
      <c r="Q8">
        <v>750.89649008973254</v>
      </c>
      <c r="T8" t="s">
        <v>304</v>
      </c>
      <c r="U8" s="1">
        <f>B77</f>
        <v>0</v>
      </c>
      <c r="V8" s="1">
        <f t="shared" si="0"/>
        <v>0</v>
      </c>
      <c r="X8" t="s">
        <v>160</v>
      </c>
      <c r="Y8" t="s">
        <v>40</v>
      </c>
      <c r="Z8">
        <f>'lipoprotein-model'!C41</f>
        <v>1.6</v>
      </c>
    </row>
    <row r="9" spans="1:26" x14ac:dyDescent="0.25">
      <c r="A9" s="11" t="s">
        <v>246</v>
      </c>
      <c r="B9" s="15">
        <f>B7-B3-B4+B5+B6+B8</f>
        <v>0</v>
      </c>
      <c r="G9" t="s">
        <v>93</v>
      </c>
      <c r="H9">
        <v>3.1749728076281207</v>
      </c>
      <c r="I9">
        <v>1.6564696457533661</v>
      </c>
      <c r="J9">
        <v>4.4290583679931474</v>
      </c>
      <c r="O9">
        <f t="shared" si="1"/>
        <v>23.926169250237351</v>
      </c>
      <c r="Q9">
        <v>20.963105399954721</v>
      </c>
      <c r="T9" t="s">
        <v>300</v>
      </c>
      <c r="U9" s="1">
        <f>B83</f>
        <v>6.456991010915427E-8</v>
      </c>
      <c r="V9" s="1">
        <f t="shared" si="0"/>
        <v>2.7119362245844798E-3</v>
      </c>
      <c r="X9" t="s">
        <v>161</v>
      </c>
      <c r="Y9" t="s">
        <v>40</v>
      </c>
      <c r="Z9">
        <f>'lipoprotein-model'!C42</f>
        <v>2.3809523809523807E-5</v>
      </c>
    </row>
    <row r="10" spans="1:26" x14ac:dyDescent="0.25">
      <c r="G10" t="s">
        <v>278</v>
      </c>
      <c r="H10">
        <v>-1.4632843569562766</v>
      </c>
      <c r="I10">
        <v>-3.5532781270211609</v>
      </c>
      <c r="J10">
        <v>-0.78068940478137949</v>
      </c>
      <c r="O10">
        <f t="shared" si="1"/>
        <v>0.23147477910160316</v>
      </c>
      <c r="Q10">
        <v>0.11452252322988797</v>
      </c>
      <c r="T10" t="s">
        <v>303</v>
      </c>
      <c r="U10" s="1">
        <f>B70</f>
        <v>2.9119610845951271E-6</v>
      </c>
      <c r="V10" s="1">
        <f t="shared" si="0"/>
        <v>3.6399513557439089E-5</v>
      </c>
      <c r="X10" t="s">
        <v>162</v>
      </c>
      <c r="Y10" t="s">
        <v>40</v>
      </c>
      <c r="Z10">
        <f>'lipoprotein-model'!C43</f>
        <v>0.08</v>
      </c>
    </row>
    <row r="11" spans="1:26" x14ac:dyDescent="0.25">
      <c r="G11" t="s">
        <v>288</v>
      </c>
      <c r="H11">
        <v>2.3977303297796122</v>
      </c>
      <c r="I11">
        <v>0.62640207486588484</v>
      </c>
      <c r="J11">
        <v>3.3989907971056663</v>
      </c>
      <c r="O11">
        <f t="shared" si="1"/>
        <v>10.998185776419529</v>
      </c>
      <c r="Q11">
        <v>7.4834688612116365</v>
      </c>
      <c r="T11" t="s">
        <v>306</v>
      </c>
      <c r="U11" s="1">
        <f>B99</f>
        <v>0</v>
      </c>
      <c r="V11" s="1">
        <f t="shared" si="0"/>
        <v>0</v>
      </c>
      <c r="X11" t="s">
        <v>163</v>
      </c>
      <c r="Y11" t="s">
        <v>40</v>
      </c>
      <c r="Z11">
        <f>O56</f>
        <v>2.0129437318599456E-2</v>
      </c>
    </row>
    <row r="12" spans="1:26" x14ac:dyDescent="0.25">
      <c r="A12" s="12" t="s">
        <v>250</v>
      </c>
      <c r="G12" t="s">
        <v>116</v>
      </c>
      <c r="H12">
        <v>-5.7646777212778648</v>
      </c>
      <c r="I12">
        <v>-6.994714291336412</v>
      </c>
      <c r="J12">
        <v>-4.2221255690966304</v>
      </c>
      <c r="O12">
        <f t="shared" si="1"/>
        <v>3.1364059978364256E-3</v>
      </c>
      <c r="Q12">
        <v>3.6668586753568237E-3</v>
      </c>
      <c r="T12" t="s">
        <v>261</v>
      </c>
      <c r="U12" s="1">
        <f>B43</f>
        <v>1.4493003277493699E-5</v>
      </c>
      <c r="V12" s="1">
        <f t="shared" si="0"/>
        <v>9.6620021849957993E-5</v>
      </c>
      <c r="X12" t="s">
        <v>165</v>
      </c>
      <c r="Y12" t="s">
        <v>40</v>
      </c>
      <c r="Z12">
        <f>'lipoprotein-model'!C45</f>
        <v>0.15</v>
      </c>
    </row>
    <row r="13" spans="1:26" x14ac:dyDescent="0.25">
      <c r="A13" t="s">
        <v>251</v>
      </c>
      <c r="B13" s="1" t="s">
        <v>108</v>
      </c>
      <c r="G13" t="s">
        <v>87</v>
      </c>
      <c r="H13">
        <v>1.1298130220798099</v>
      </c>
      <c r="I13">
        <v>-2.2507645907079099</v>
      </c>
      <c r="J13">
        <v>2</v>
      </c>
      <c r="O13">
        <f t="shared" si="1"/>
        <v>3.0950777348205478</v>
      </c>
      <c r="Q13">
        <v>0.42127467237772437</v>
      </c>
      <c r="T13" t="s">
        <v>268</v>
      </c>
      <c r="U13" s="1">
        <f>B49</f>
        <v>0</v>
      </c>
      <c r="V13" s="1">
        <f t="shared" si="0"/>
        <v>0</v>
      </c>
      <c r="X13" t="s">
        <v>164</v>
      </c>
      <c r="Y13" t="s">
        <v>40</v>
      </c>
      <c r="Z13">
        <f>'lipoprotein-model'!C46</f>
        <v>0.15</v>
      </c>
    </row>
    <row r="14" spans="1:26" x14ac:dyDescent="0.25">
      <c r="A14" t="s">
        <v>244</v>
      </c>
      <c r="B14" s="1">
        <f>'lipoprotein-model'!C2</f>
        <v>7.7339771832977307E-3</v>
      </c>
      <c r="G14" t="s">
        <v>98</v>
      </c>
      <c r="H14">
        <v>1.6141674163499877</v>
      </c>
      <c r="I14">
        <v>-1.9041515168311476</v>
      </c>
      <c r="J14">
        <v>2</v>
      </c>
      <c r="O14">
        <f t="shared" si="1"/>
        <v>5.0237035283607678</v>
      </c>
      <c r="Q14">
        <v>0.59579587886070673</v>
      </c>
      <c r="T14" t="s">
        <v>307</v>
      </c>
      <c r="U14" s="1">
        <f>B105</f>
        <v>0</v>
      </c>
      <c r="V14" s="1">
        <f>U14/Z14</f>
        <v>0</v>
      </c>
      <c r="X14" t="s">
        <v>166</v>
      </c>
      <c r="Y14" t="s">
        <v>40</v>
      </c>
      <c r="Z14">
        <f>'lipoprotein-model'!C47</f>
        <v>58.290155439999999</v>
      </c>
    </row>
    <row r="15" spans="1:26" x14ac:dyDescent="0.25">
      <c r="A15" t="s">
        <v>252</v>
      </c>
      <c r="B15" s="1">
        <f>'lipoprotein-model'!C50*'lipoprotein-model'!C8*'lipoprotein-model'!C36</f>
        <v>7.7339771832977281E-3</v>
      </c>
      <c r="G15" t="s">
        <v>97</v>
      </c>
      <c r="H15">
        <v>0.29025474225559444</v>
      </c>
      <c r="I15">
        <v>0.1</v>
      </c>
      <c r="J15">
        <v>3.1650788706167656</v>
      </c>
      <c r="O15">
        <f t="shared" si="1"/>
        <v>1.3367679759446991</v>
      </c>
      <c r="Q15">
        <v>5.922653113091024</v>
      </c>
      <c r="T15" t="s">
        <v>253</v>
      </c>
      <c r="U15" s="1">
        <f>B22</f>
        <v>0</v>
      </c>
      <c r="V15" s="1">
        <f>U15/Z15</f>
        <v>0</v>
      </c>
      <c r="X15" t="s">
        <v>167</v>
      </c>
      <c r="Y15" t="s">
        <v>40</v>
      </c>
      <c r="Z15">
        <f>'lipoprotein-model'!C48</f>
        <v>58.290155439999999</v>
      </c>
    </row>
    <row r="16" spans="1:26" x14ac:dyDescent="0.25">
      <c r="A16" s="11" t="s">
        <v>246</v>
      </c>
      <c r="B16" s="14">
        <f>B14-B15</f>
        <v>0</v>
      </c>
      <c r="T16" t="s">
        <v>308</v>
      </c>
      <c r="U16" s="1">
        <f>B9</f>
        <v>0</v>
      </c>
      <c r="V16" s="1">
        <f t="shared" si="0"/>
        <v>0</v>
      </c>
      <c r="X16" t="s">
        <v>168</v>
      </c>
      <c r="Y16" t="s">
        <v>40</v>
      </c>
      <c r="Z16">
        <f>'lipoprotein-model'!C49</f>
        <v>23.730505970742428</v>
      </c>
    </row>
    <row r="17" spans="1:26" x14ac:dyDescent="0.25">
      <c r="J17">
        <v>0.5</v>
      </c>
      <c r="K17">
        <v>2</v>
      </c>
      <c r="T17" t="s">
        <v>310</v>
      </c>
      <c r="U17" s="1">
        <f>B110</f>
        <v>0</v>
      </c>
      <c r="V17" s="1">
        <f>U17/Z17</f>
        <v>0</v>
      </c>
      <c r="X17" t="s">
        <v>169</v>
      </c>
      <c r="Y17" t="s">
        <v>14</v>
      </c>
      <c r="Z17">
        <f>'lipoprotein-model'!C50</f>
        <v>1</v>
      </c>
    </row>
    <row r="18" spans="1:26" x14ac:dyDescent="0.25">
      <c r="A18" s="12" t="s">
        <v>253</v>
      </c>
      <c r="G18" t="s">
        <v>0</v>
      </c>
      <c r="H18" t="s">
        <v>1</v>
      </c>
      <c r="I18" t="s">
        <v>2</v>
      </c>
      <c r="J18" t="s">
        <v>5</v>
      </c>
      <c r="K18" t="s">
        <v>6</v>
      </c>
      <c r="M18" t="s">
        <v>326</v>
      </c>
      <c r="O18" t="s">
        <v>2</v>
      </c>
      <c r="Q18" t="s">
        <v>2</v>
      </c>
      <c r="T18" t="s">
        <v>309</v>
      </c>
      <c r="U18" s="1">
        <f>B115</f>
        <v>0</v>
      </c>
      <c r="V18" s="1">
        <f>U18/Z18</f>
        <v>0</v>
      </c>
      <c r="X18" t="s">
        <v>170</v>
      </c>
      <c r="Y18" t="s">
        <v>40</v>
      </c>
      <c r="Z18">
        <f>'lipoprotein-model'!C51</f>
        <v>6.7638888888888883E-6</v>
      </c>
    </row>
    <row r="19" spans="1:26" x14ac:dyDescent="0.25">
      <c r="A19" t="s">
        <v>254</v>
      </c>
      <c r="B19" s="1" t="s">
        <v>108</v>
      </c>
      <c r="G19" t="s">
        <v>295</v>
      </c>
      <c r="H19" t="s">
        <v>10</v>
      </c>
      <c r="I19">
        <v>-0.90239048005201628</v>
      </c>
      <c r="J19">
        <f t="shared" ref="J19:J33" si="2">LN(Q19*$J$17)</f>
        <v>-1.4236889171438298</v>
      </c>
      <c r="K19">
        <f t="shared" ref="K19:K38" si="3">LN(Q19*$K$17)</f>
        <v>-3.7394556023939207E-2</v>
      </c>
      <c r="M19">
        <f t="shared" ref="M19:M38" si="4">(I19-J19)/(K19-J19)</f>
        <v>0.37603733500776337</v>
      </c>
      <c r="O19">
        <f t="shared" ref="O19:O38" si="5">EXP(I19)</f>
        <v>0.40559892380394436</v>
      </c>
      <c r="Q19">
        <v>0.48164799306236994</v>
      </c>
    </row>
    <row r="20" spans="1:26" x14ac:dyDescent="0.25">
      <c r="A20" t="s">
        <v>255</v>
      </c>
      <c r="B20" s="1">
        <f>'lipoprotein-model'!C16*'lipoprotein-model'!C46^3</f>
        <v>865.24975259064695</v>
      </c>
      <c r="G20" t="s">
        <v>87</v>
      </c>
      <c r="H20" t="s">
        <v>10</v>
      </c>
      <c r="I20">
        <v>1.246578789728336</v>
      </c>
      <c r="J20">
        <f t="shared" si="2"/>
        <v>1.0986122886681098</v>
      </c>
      <c r="K20">
        <f t="shared" si="3"/>
        <v>2.4849066497880004</v>
      </c>
      <c r="M20">
        <f t="shared" si="4"/>
        <v>0.10673526864863997</v>
      </c>
      <c r="O20">
        <f t="shared" si="5"/>
        <v>3.4784221636826254</v>
      </c>
      <c r="Q20" s="1">
        <v>6</v>
      </c>
      <c r="T20" s="12" t="s">
        <v>311</v>
      </c>
      <c r="U20" s="14">
        <f>SUMSQ(U3:U16)</f>
        <v>2.4492677136576545E-8</v>
      </c>
      <c r="V20" s="14">
        <f>SUMSQ(V3:V16)</f>
        <v>7.4843628128607617E-6</v>
      </c>
    </row>
    <row r="21" spans="1:26" x14ac:dyDescent="0.25">
      <c r="A21" t="s">
        <v>256</v>
      </c>
      <c r="B21" s="1">
        <f>'lipoprotein-model'!C2*'lipoprotein-model'!C31*'lipoprotein-model'!C48/('lipoprotein-model'!C34+'lipoprotein-model'!C48)</f>
        <v>865.24975259064729</v>
      </c>
      <c r="G21" t="s">
        <v>89</v>
      </c>
      <c r="H21" t="s">
        <v>10</v>
      </c>
      <c r="I21">
        <v>2.851782939991327</v>
      </c>
      <c r="J21">
        <f t="shared" si="2"/>
        <v>1.5040773967762742</v>
      </c>
      <c r="K21">
        <f t="shared" si="3"/>
        <v>2.8903717578961645</v>
      </c>
      <c r="M21">
        <f t="shared" si="4"/>
        <v>0.97216405188746191</v>
      </c>
      <c r="O21">
        <f t="shared" si="5"/>
        <v>17.318632412359118</v>
      </c>
      <c r="Q21">
        <v>9</v>
      </c>
    </row>
    <row r="22" spans="1:26" x14ac:dyDescent="0.25">
      <c r="A22" s="11" t="s">
        <v>246</v>
      </c>
      <c r="B22" s="14">
        <f>B20-B21</f>
        <v>0</v>
      </c>
      <c r="G22" t="s">
        <v>314</v>
      </c>
      <c r="H22" t="s">
        <v>195</v>
      </c>
      <c r="I22">
        <v>1.3238002624628293</v>
      </c>
      <c r="J22">
        <f t="shared" si="2"/>
        <v>0.48757968765892473</v>
      </c>
      <c r="K22">
        <f t="shared" si="3"/>
        <v>1.8738740487788155</v>
      </c>
      <c r="M22">
        <f t="shared" si="4"/>
        <v>0.60320563817945583</v>
      </c>
      <c r="O22">
        <f t="shared" si="5"/>
        <v>3.7576744265139141</v>
      </c>
      <c r="Q22">
        <v>3.2567405639822118</v>
      </c>
    </row>
    <row r="23" spans="1:26" x14ac:dyDescent="0.25">
      <c r="G23" t="s">
        <v>315</v>
      </c>
      <c r="H23" t="s">
        <v>195</v>
      </c>
      <c r="I23">
        <v>1.3700440500961806</v>
      </c>
      <c r="J23">
        <f t="shared" si="2"/>
        <v>1.1317724976941752</v>
      </c>
      <c r="K23">
        <f t="shared" si="3"/>
        <v>2.5180668588140658</v>
      </c>
      <c r="M23">
        <f t="shared" si="4"/>
        <v>0.17187659351764398</v>
      </c>
      <c r="O23">
        <f t="shared" si="5"/>
        <v>3.9355240518652677</v>
      </c>
      <c r="Q23">
        <v>6.2022968197879855</v>
      </c>
    </row>
    <row r="24" spans="1:26" x14ac:dyDescent="0.25">
      <c r="A24" s="12" t="s">
        <v>257</v>
      </c>
      <c r="G24" t="s">
        <v>90</v>
      </c>
      <c r="H24" t="s">
        <v>108</v>
      </c>
      <c r="I24">
        <v>-9.2746919929705527</v>
      </c>
      <c r="J24">
        <f t="shared" si="2"/>
        <v>-9.5357627724108109</v>
      </c>
      <c r="K24">
        <f t="shared" si="3"/>
        <v>-8.1494684112909201</v>
      </c>
      <c r="M24">
        <f t="shared" si="4"/>
        <v>0.18832275940973844</v>
      </c>
      <c r="O24">
        <f t="shared" si="5"/>
        <v>9.3767523525948855E-5</v>
      </c>
      <c r="Q24">
        <v>1.4444444444444444E-4</v>
      </c>
    </row>
    <row r="25" spans="1:26" x14ac:dyDescent="0.25">
      <c r="A25" t="s">
        <v>258</v>
      </c>
      <c r="B25" s="1" t="s">
        <v>108</v>
      </c>
      <c r="G25" t="s">
        <v>91</v>
      </c>
      <c r="H25" t="s">
        <v>10</v>
      </c>
      <c r="I25">
        <v>1.7917529780276098</v>
      </c>
      <c r="J25">
        <f t="shared" si="2"/>
        <v>0.40546510810816438</v>
      </c>
      <c r="K25">
        <f t="shared" si="3"/>
        <v>1.791759469228055</v>
      </c>
      <c r="M25">
        <f t="shared" si="4"/>
        <v>0.99999531758865423</v>
      </c>
      <c r="O25">
        <f t="shared" si="5"/>
        <v>5.9999610529237355</v>
      </c>
      <c r="Q25">
        <v>3</v>
      </c>
    </row>
    <row r="26" spans="1:26" x14ac:dyDescent="0.25">
      <c r="A26" t="s">
        <v>240</v>
      </c>
      <c r="B26" s="1">
        <f>B21*('lipoprotein-model'!C25/'lipoprotein-model'!C27)</f>
        <v>13.804465321892737</v>
      </c>
      <c r="G26" t="s">
        <v>92</v>
      </c>
      <c r="H26" t="s">
        <v>108</v>
      </c>
      <c r="I26">
        <v>6.4159201148761262</v>
      </c>
      <c r="J26">
        <f t="shared" si="2"/>
        <v>5.645255442336202</v>
      </c>
      <c r="K26">
        <f t="shared" si="3"/>
        <v>7.0315498034560928</v>
      </c>
      <c r="M26">
        <f t="shared" si="4"/>
        <v>0.55591705063083274</v>
      </c>
      <c r="O26">
        <f t="shared" si="5"/>
        <v>611.50315519459184</v>
      </c>
      <c r="Q26">
        <v>565.89164666895897</v>
      </c>
    </row>
    <row r="27" spans="1:26" x14ac:dyDescent="0.25">
      <c r="A27" t="s">
        <v>252</v>
      </c>
      <c r="B27" s="1">
        <f>'lipoprotein-model'!C8*'lipoprotein-model'!C50*'lipoprotein-model'!C37</f>
        <v>1.6909534919312614</v>
      </c>
      <c r="G27" t="s">
        <v>93</v>
      </c>
      <c r="H27" t="s">
        <v>108</v>
      </c>
      <c r="I27">
        <v>3.2849765609427752</v>
      </c>
      <c r="J27">
        <f t="shared" si="2"/>
        <v>2.4818256270681753</v>
      </c>
      <c r="K27">
        <f t="shared" si="3"/>
        <v>3.8681199881880661</v>
      </c>
      <c r="M27">
        <f t="shared" si="4"/>
        <v>0.5793509346931125</v>
      </c>
      <c r="O27">
        <f t="shared" si="5"/>
        <v>26.708358288811766</v>
      </c>
      <c r="Q27">
        <v>23.926169250237351</v>
      </c>
    </row>
    <row r="28" spans="1:26" x14ac:dyDescent="0.25">
      <c r="A28" t="s">
        <v>259</v>
      </c>
      <c r="B28" s="1">
        <f>'lipoprotein-model'!C7*'lipoprotein-model'!C37</f>
        <v>7.7933845855616033</v>
      </c>
      <c r="G28" t="s">
        <v>94</v>
      </c>
      <c r="H28" t="s">
        <v>10</v>
      </c>
      <c r="I28">
        <v>7.6280966984899212</v>
      </c>
      <c r="J28">
        <f t="shared" si="2"/>
        <v>6.7257692538911247</v>
      </c>
      <c r="K28">
        <f t="shared" si="3"/>
        <v>8.1120636150110155</v>
      </c>
      <c r="M28">
        <f t="shared" si="4"/>
        <v>0.65089166479034721</v>
      </c>
      <c r="O28">
        <f t="shared" si="5"/>
        <v>2055.1347539729154</v>
      </c>
      <c r="Q28">
        <v>1667.2259799999999</v>
      </c>
    </row>
    <row r="29" spans="1:26" x14ac:dyDescent="0.25">
      <c r="A29" t="s">
        <v>260</v>
      </c>
      <c r="B29" s="18">
        <f>'lipoprotein-model'!C11*'lipoprotein-model'!C41*'lipoprotein-model'!C37</f>
        <v>4.3199719581050902</v>
      </c>
      <c r="G29" t="s">
        <v>193</v>
      </c>
      <c r="H29" t="s">
        <v>26</v>
      </c>
      <c r="I29">
        <v>9.4883763100574079</v>
      </c>
      <c r="J29">
        <f t="shared" si="2"/>
        <v>8.8862495225569678</v>
      </c>
      <c r="K29">
        <f t="shared" si="3"/>
        <v>10.272543883676859</v>
      </c>
      <c r="M29">
        <f t="shared" si="4"/>
        <v>0.43434266515664377</v>
      </c>
      <c r="O29">
        <f t="shared" si="5"/>
        <v>13205.336538020518</v>
      </c>
      <c r="Q29">
        <v>14463.690769999999</v>
      </c>
    </row>
    <row r="30" spans="1:26" x14ac:dyDescent="0.25">
      <c r="A30" s="11" t="s">
        <v>246</v>
      </c>
      <c r="B30" s="14">
        <f>B26-B27-B28-B29</f>
        <v>1.5528629478112066E-4</v>
      </c>
      <c r="G30" t="s">
        <v>97</v>
      </c>
      <c r="H30" t="s">
        <v>108</v>
      </c>
      <c r="I30">
        <v>0.82860961249943454</v>
      </c>
      <c r="J30">
        <f t="shared" si="2"/>
        <v>0.40546510810816438</v>
      </c>
      <c r="K30">
        <f t="shared" si="3"/>
        <v>1.791759469228055</v>
      </c>
      <c r="M30">
        <f t="shared" si="4"/>
        <v>0.30523423903235186</v>
      </c>
      <c r="O30">
        <f t="shared" si="5"/>
        <v>2.2901323542218903</v>
      </c>
      <c r="Q30">
        <v>3</v>
      </c>
    </row>
    <row r="31" spans="1:26" x14ac:dyDescent="0.25">
      <c r="G31" t="s">
        <v>103</v>
      </c>
      <c r="H31" t="s">
        <v>54</v>
      </c>
      <c r="I31">
        <v>-2.2612831037104355</v>
      </c>
      <c r="J31">
        <f t="shared" si="2"/>
        <v>-2.5332972138082077</v>
      </c>
      <c r="K31">
        <f t="shared" si="3"/>
        <v>-1.1470028526883171</v>
      </c>
      <c r="M31">
        <f t="shared" si="4"/>
        <v>0.19621670384494025</v>
      </c>
      <c r="O31">
        <f t="shared" si="5"/>
        <v>0.10421667812284116</v>
      </c>
      <c r="Q31">
        <v>0.15879360000000001</v>
      </c>
    </row>
    <row r="32" spans="1:26" x14ac:dyDescent="0.25">
      <c r="A32" s="12" t="s">
        <v>261</v>
      </c>
      <c r="G32" t="s">
        <v>104</v>
      </c>
      <c r="H32" t="s">
        <v>54</v>
      </c>
      <c r="I32">
        <v>-0.4433934768439215</v>
      </c>
      <c r="J32">
        <f t="shared" si="2"/>
        <v>-1.3938629306198429</v>
      </c>
      <c r="K32">
        <f t="shared" si="3"/>
        <v>-7.5685694999522678E-3</v>
      </c>
      <c r="M32">
        <f t="shared" si="4"/>
        <v>0.68561878373948182</v>
      </c>
      <c r="O32">
        <f t="shared" si="5"/>
        <v>0.64185460247078396</v>
      </c>
      <c r="Q32">
        <v>0.49623</v>
      </c>
    </row>
    <row r="33" spans="1:17" x14ac:dyDescent="0.25">
      <c r="A33" t="s">
        <v>276</v>
      </c>
      <c r="B33" s="1" t="s">
        <v>108</v>
      </c>
      <c r="G33" t="s">
        <v>105</v>
      </c>
      <c r="H33" t="s">
        <v>54</v>
      </c>
      <c r="I33">
        <v>1.8767429789906815</v>
      </c>
      <c r="J33">
        <f t="shared" si="2"/>
        <v>0.91629073187415511</v>
      </c>
      <c r="K33">
        <f t="shared" si="3"/>
        <v>2.3025850929940459</v>
      </c>
      <c r="M33">
        <f t="shared" si="4"/>
        <v>0.69281984696283683</v>
      </c>
      <c r="O33">
        <f t="shared" si="5"/>
        <v>6.5321946818613705</v>
      </c>
      <c r="Q33">
        <v>5</v>
      </c>
    </row>
    <row r="34" spans="1:17" x14ac:dyDescent="0.25">
      <c r="A34" t="s">
        <v>262</v>
      </c>
      <c r="B34" s="1">
        <f>'lipoprotein-model'!C13</f>
        <v>26.708358288811766</v>
      </c>
      <c r="C34">
        <f>B34/SUM(B$34:B$38)</f>
        <v>3.6599979975709379E-2</v>
      </c>
      <c r="G34" t="s">
        <v>278</v>
      </c>
      <c r="H34" t="s">
        <v>279</v>
      </c>
      <c r="I34">
        <v>-2.6106630943933054</v>
      </c>
      <c r="J34">
        <f>LN(0.01)</f>
        <v>-4.6051701859880909</v>
      </c>
      <c r="K34">
        <f t="shared" si="3"/>
        <v>-0.77013717639633128</v>
      </c>
      <c r="M34">
        <f t="shared" si="4"/>
        <v>0.52007559950757798</v>
      </c>
      <c r="O34">
        <f t="shared" si="5"/>
        <v>7.3485799582156119E-2</v>
      </c>
      <c r="Q34">
        <v>0.23147477910160316</v>
      </c>
    </row>
    <row r="35" spans="1:17" x14ac:dyDescent="0.25">
      <c r="A35" t="s">
        <v>263</v>
      </c>
      <c r="B35" s="1">
        <f>'lipoprotein-model'!C12</f>
        <v>611.50315519459184</v>
      </c>
      <c r="C35">
        <f>B35/SUM(B$34:B$38)</f>
        <v>0.83797749727584925</v>
      </c>
      <c r="G35" t="s">
        <v>107</v>
      </c>
      <c r="H35" t="s">
        <v>110</v>
      </c>
      <c r="I35">
        <v>12.114840312389427</v>
      </c>
      <c r="J35">
        <f>LN(Q35*$J$17)</f>
        <v>11.63199194220147</v>
      </c>
      <c r="K35">
        <f t="shared" si="3"/>
        <v>13.018286303321361</v>
      </c>
      <c r="M35">
        <f t="shared" si="4"/>
        <v>0.34830147458574218</v>
      </c>
      <c r="O35">
        <f t="shared" si="5"/>
        <v>182561.12225335528</v>
      </c>
      <c r="Q35">
        <v>225288.95974615388</v>
      </c>
    </row>
    <row r="36" spans="1:17" x14ac:dyDescent="0.25">
      <c r="A36" t="s">
        <v>319</v>
      </c>
      <c r="B36" s="1">
        <f>3*'lipoprotein-model'!C50*'lipoprotein-model'!C8*'lipoprotein-model'!C37*'lipoprotein-model'!C27/'lipoprotein-model'!C26</f>
        <v>51.626820302053112</v>
      </c>
      <c r="C36">
        <f>B36/SUM(B$34:B$38)</f>
        <v>7.0747163447190467E-2</v>
      </c>
      <c r="G36" t="s">
        <v>140</v>
      </c>
      <c r="H36" t="s">
        <v>142</v>
      </c>
      <c r="I36">
        <v>12.001927758846598</v>
      </c>
      <c r="J36">
        <f>LN(Q36*$J$17)</f>
        <v>11.731374034284615</v>
      </c>
      <c r="K36">
        <f t="shared" si="3"/>
        <v>13.117668395404506</v>
      </c>
      <c r="M36">
        <f t="shared" si="4"/>
        <v>0.19516325835980594</v>
      </c>
      <c r="O36">
        <f t="shared" si="5"/>
        <v>163068.84602149841</v>
      </c>
      <c r="Q36">
        <v>248829.00554998103</v>
      </c>
    </row>
    <row r="37" spans="1:17" x14ac:dyDescent="0.25">
      <c r="A37" t="s">
        <v>318</v>
      </c>
      <c r="B37" s="1">
        <f>3*'lipoprotein-model'!C9*'lipoprotein-model'!C43*'lipoprotein-model'!C50*'lipoprotein-model'!C27/'lipoprotein-model'!C26</f>
        <v>9.6124982260986034</v>
      </c>
      <c r="G37" t="s">
        <v>141</v>
      </c>
      <c r="H37" t="s">
        <v>143</v>
      </c>
      <c r="I37">
        <v>10.1110015641458</v>
      </c>
      <c r="J37">
        <f>LN(Q37*$J$17)</f>
        <v>9.3926619287701367</v>
      </c>
      <c r="K37">
        <f t="shared" si="3"/>
        <v>10.778956289890028</v>
      </c>
      <c r="M37">
        <f t="shared" si="4"/>
        <v>0.51817251481522786</v>
      </c>
      <c r="O37">
        <f t="shared" si="5"/>
        <v>24612.299192315269</v>
      </c>
      <c r="Q37">
        <v>24000</v>
      </c>
    </row>
    <row r="38" spans="1:17" x14ac:dyDescent="0.25">
      <c r="A38" s="13" t="s">
        <v>277</v>
      </c>
      <c r="B38" s="16">
        <f>3*'lipoprotein-model'!C7*'lipoprotein-model'!C28*'lipoprotein-model'!C27/'lipoprotein-model'!C26*('lipoprotein-model'!C40+'lipoprotein-model'!C43+'lipoprotein-model'!C37)</f>
        <v>30.286132504204669</v>
      </c>
      <c r="C38" s="13">
        <f>B38/SUM(B$34:B$38)</f>
        <v>4.1502807144081E-2</v>
      </c>
      <c r="G38" t="s">
        <v>288</v>
      </c>
      <c r="H38" t="s">
        <v>14</v>
      </c>
      <c r="I38">
        <v>2.5666303922279203</v>
      </c>
      <c r="J38">
        <f>LN(Q38*$J$17)</f>
        <v>1.704583149219667</v>
      </c>
      <c r="K38">
        <f t="shared" si="3"/>
        <v>3.0908775103395576</v>
      </c>
      <c r="M38">
        <f t="shared" si="4"/>
        <v>0.62183564125000512</v>
      </c>
      <c r="O38">
        <f t="shared" si="5"/>
        <v>13.021871830466102</v>
      </c>
      <c r="Q38">
        <v>10.998185776419529</v>
      </c>
    </row>
    <row r="39" spans="1:17" x14ac:dyDescent="0.25">
      <c r="A39" t="s">
        <v>264</v>
      </c>
      <c r="B39" s="1">
        <f>'lipoprotein-model'!C18*'lipoprotein-model'!C45</f>
        <v>421.46673692681946</v>
      </c>
    </row>
    <row r="40" spans="1:17" x14ac:dyDescent="0.25">
      <c r="A40" t="s">
        <v>265</v>
      </c>
      <c r="B40" s="1">
        <f>'lipoprotein-model'!C14*'lipoprotein-model'!C45</f>
        <v>308.27021309593732</v>
      </c>
    </row>
    <row r="41" spans="1:17" x14ac:dyDescent="0.25">
      <c r="A41" t="s">
        <v>266</v>
      </c>
      <c r="B41" s="1">
        <f>3*'lipoprotein-model'!C15*'lipoprotein-model'!C45^3</f>
        <v>133.70403244745773</v>
      </c>
    </row>
    <row r="42" spans="1:17" x14ac:dyDescent="0.25">
      <c r="A42" t="s">
        <v>267</v>
      </c>
      <c r="B42" s="1">
        <f>3*'lipoprotein-model'!C17*'lipoprotein-model'!C47</f>
        <v>133.70403244745773</v>
      </c>
    </row>
    <row r="43" spans="1:17" x14ac:dyDescent="0.25">
      <c r="A43" s="11" t="s">
        <v>246</v>
      </c>
      <c r="B43" s="14">
        <f>B34+B35+B36+B37+B38+B42-B39-B40-B41</f>
        <v>1.4493003277493699E-5</v>
      </c>
      <c r="G43" t="s">
        <v>294</v>
      </c>
      <c r="H43" t="s">
        <v>191</v>
      </c>
      <c r="I43">
        <f>LN('lipoprotein-model'!C4*'lipoprotein-model'!C39)</f>
        <v>-4.0871997503566107</v>
      </c>
      <c r="J43">
        <f>LN(Q43*$J$17)</f>
        <v>-4.6084981874484239</v>
      </c>
      <c r="K43">
        <f>LN(Q43*$K$17)</f>
        <v>-3.2222038263285335</v>
      </c>
      <c r="M43">
        <f t="shared" ref="M43:M55" si="6">(I43-J43)/(K43-J43)</f>
        <v>0.37603733500776315</v>
      </c>
      <c r="O43">
        <f t="shared" ref="O43:O58" si="7">EXP(I43)</f>
        <v>1.6786173282183046E-2</v>
      </c>
      <c r="Q43">
        <v>1.9933550603967391E-2</v>
      </c>
    </row>
    <row r="44" spans="1:17" x14ac:dyDescent="0.25">
      <c r="G44" t="s">
        <v>88</v>
      </c>
      <c r="H44" t="s">
        <v>115</v>
      </c>
      <c r="I44">
        <f>LN((B75+B76)/'lipoprotein-model'!C39)</f>
        <v>5.4758729884215516</v>
      </c>
      <c r="J44">
        <f>LN(Q44*$J$17)</f>
        <v>5.5213390193515774</v>
      </c>
      <c r="K44">
        <f>LN(Q44*$K$17)</f>
        <v>6.9076333804714682</v>
      </c>
      <c r="M44">
        <f t="shared" si="6"/>
        <v>-3.2796808675826274E-2</v>
      </c>
      <c r="O44">
        <f t="shared" si="7"/>
        <v>238.85889699036508</v>
      </c>
      <c r="Q44">
        <v>499.93905445932643</v>
      </c>
    </row>
    <row r="45" spans="1:17" x14ac:dyDescent="0.25">
      <c r="A45" s="12" t="s">
        <v>268</v>
      </c>
      <c r="G45" t="s">
        <v>146</v>
      </c>
      <c r="H45" t="s">
        <v>148</v>
      </c>
      <c r="I45">
        <f>LN(Q45)</f>
        <v>3.2836296726963159</v>
      </c>
      <c r="J45">
        <f>LN(Q45*$J$17)</f>
        <v>2.5904824921363709</v>
      </c>
      <c r="K45">
        <f>LN(Q45*$K$17)</f>
        <v>3.9767768532562613</v>
      </c>
      <c r="M45">
        <f t="shared" si="6"/>
        <v>0.49999999999999983</v>
      </c>
      <c r="O45">
        <f t="shared" si="7"/>
        <v>26.672409329999997</v>
      </c>
      <c r="Q45">
        <v>26.672409330000001</v>
      </c>
    </row>
    <row r="46" spans="1:17" x14ac:dyDescent="0.25">
      <c r="A46" t="s">
        <v>269</v>
      </c>
      <c r="B46" s="1" t="s">
        <v>108</v>
      </c>
      <c r="G46" t="s">
        <v>147</v>
      </c>
      <c r="H46" t="s">
        <v>149</v>
      </c>
      <c r="I46">
        <f>LN(Q46)</f>
        <v>2.4736142116470337</v>
      </c>
      <c r="J46">
        <f>LN(Q46*$J$17)</f>
        <v>1.7804670310870885</v>
      </c>
      <c r="K46">
        <f>LN(Q46*$K$17)</f>
        <v>3.1667613922069791</v>
      </c>
      <c r="M46">
        <f t="shared" si="6"/>
        <v>0.49999999999999994</v>
      </c>
      <c r="O46">
        <f t="shared" si="7"/>
        <v>11.865252985371212</v>
      </c>
      <c r="Q46">
        <v>11.865252985371214</v>
      </c>
    </row>
    <row r="47" spans="1:17" x14ac:dyDescent="0.25">
      <c r="A47" t="s">
        <v>264</v>
      </c>
      <c r="B47" s="1">
        <f>'lipoprotein-model'!C18*'lipoprotein-model'!C26/'lipoprotein-model'!C25*'lipoprotein-model'!C45</f>
        <v>2595.7492577719404</v>
      </c>
      <c r="G47" t="s">
        <v>194</v>
      </c>
      <c r="H47" t="s">
        <v>26</v>
      </c>
      <c r="I47">
        <f>LN(B21/Z13^3)</f>
        <v>12.454378151233325</v>
      </c>
      <c r="J47">
        <v>11.254802194759991</v>
      </c>
      <c r="K47">
        <v>12.641096555879882</v>
      </c>
      <c r="M47">
        <f t="shared" si="6"/>
        <v>0.86531114178685664</v>
      </c>
      <c r="O47">
        <f t="shared" si="7"/>
        <v>256370.29706389538</v>
      </c>
      <c r="Q47">
        <v>158645.2603901143</v>
      </c>
    </row>
    <row r="48" spans="1:17" x14ac:dyDescent="0.25">
      <c r="A48" t="s">
        <v>270</v>
      </c>
      <c r="B48" s="1">
        <f>3*'lipoprotein-model'!C16*'lipoprotein-model'!C46^3</f>
        <v>2595.7492577719408</v>
      </c>
      <c r="G48" t="s">
        <v>96</v>
      </c>
      <c r="H48" t="s">
        <v>10</v>
      </c>
      <c r="I48">
        <f>LN(3*Z13^3*O47/(Z12*O32/O31))</f>
        <v>7.9408608432631578</v>
      </c>
      <c r="J48">
        <f t="shared" ref="J48:J55" si="8">LN(Q48*$J$17)</f>
        <v>7.446216777084155</v>
      </c>
      <c r="K48">
        <f t="shared" ref="K48:K55" si="9">LN(Q48*$K$17)</f>
        <v>8.8325111382040458</v>
      </c>
      <c r="M48">
        <f t="shared" si="6"/>
        <v>0.35681027064079973</v>
      </c>
      <c r="O48">
        <f t="shared" si="7"/>
        <v>2809.7782461787965</v>
      </c>
      <c r="Q48">
        <v>3426.7376244264688</v>
      </c>
    </row>
    <row r="49" spans="1:23" x14ac:dyDescent="0.25">
      <c r="A49" s="11" t="s">
        <v>246</v>
      </c>
      <c r="B49" s="17">
        <f>B47-B48</f>
        <v>0</v>
      </c>
      <c r="G49" t="s">
        <v>116</v>
      </c>
      <c r="H49" t="s">
        <v>117</v>
      </c>
      <c r="I49">
        <f>LN(O22*Z3)</f>
        <v>-4.8621320359826958</v>
      </c>
      <c r="J49">
        <f t="shared" si="8"/>
        <v>-6.4578249018378102</v>
      </c>
      <c r="K49">
        <f t="shared" si="9"/>
        <v>-5.0715305407179194</v>
      </c>
      <c r="M49">
        <f t="shared" si="6"/>
        <v>1.1510490921755356</v>
      </c>
      <c r="O49">
        <f t="shared" si="7"/>
        <v>7.7339771832977307E-3</v>
      </c>
      <c r="Q49">
        <v>3.1364059978364256E-3</v>
      </c>
    </row>
    <row r="50" spans="1:23" x14ac:dyDescent="0.25">
      <c r="G50" t="s">
        <v>95</v>
      </c>
      <c r="H50" t="s">
        <v>108</v>
      </c>
      <c r="I50">
        <f>LN(O29*Z12^3/Z14)</f>
        <v>-0.26841686332080544</v>
      </c>
      <c r="J50">
        <f t="shared" si="8"/>
        <v>-1.9691559389985247</v>
      </c>
      <c r="K50">
        <f t="shared" si="9"/>
        <v>-0.58286157787863424</v>
      </c>
      <c r="M50">
        <f t="shared" si="6"/>
        <v>1.2268239151631628</v>
      </c>
      <c r="O50">
        <f t="shared" si="7"/>
        <v>0.76458898555682508</v>
      </c>
      <c r="Q50">
        <v>0.27914923200000002</v>
      </c>
    </row>
    <row r="51" spans="1:23" x14ac:dyDescent="0.25">
      <c r="A51" s="12" t="s">
        <v>272</v>
      </c>
      <c r="G51" t="s">
        <v>99</v>
      </c>
      <c r="H51" t="s">
        <v>197</v>
      </c>
      <c r="I51">
        <f>LN(Q51)</f>
        <v>2.6593632069373045</v>
      </c>
      <c r="J51">
        <f t="shared" si="8"/>
        <v>1.9662160263773591</v>
      </c>
      <c r="K51">
        <f t="shared" si="9"/>
        <v>3.3525103874972495</v>
      </c>
      <c r="M51">
        <f t="shared" si="6"/>
        <v>0.50000000000000011</v>
      </c>
      <c r="O51">
        <f t="shared" si="7"/>
        <v>14.287188218953348</v>
      </c>
      <c r="Q51">
        <v>14.287188218953347</v>
      </c>
    </row>
    <row r="52" spans="1:23" x14ac:dyDescent="0.25">
      <c r="A52" t="s">
        <v>273</v>
      </c>
      <c r="B52" s="1" t="s">
        <v>108</v>
      </c>
      <c r="G52" t="s">
        <v>100</v>
      </c>
      <c r="H52" t="s">
        <v>109</v>
      </c>
      <c r="I52">
        <f>LN(O51/Z16/Z18/Z17)</f>
        <v>11.396514368628065</v>
      </c>
      <c r="J52">
        <f t="shared" si="8"/>
        <v>10.703367188068119</v>
      </c>
      <c r="K52">
        <f t="shared" si="9"/>
        <v>12.08966154918801</v>
      </c>
      <c r="M52">
        <f t="shared" si="6"/>
        <v>0.5</v>
      </c>
      <c r="O52">
        <f t="shared" si="7"/>
        <v>89010.922742532421</v>
      </c>
      <c r="Q52">
        <v>89010.922742532435</v>
      </c>
    </row>
    <row r="53" spans="1:23" x14ac:dyDescent="0.25">
      <c r="A53" t="s">
        <v>274</v>
      </c>
      <c r="B53" s="1">
        <f>'lipoprotein-model'!C3</f>
        <v>1.6786173282183046E-2</v>
      </c>
      <c r="G53" t="s">
        <v>101</v>
      </c>
      <c r="H53" t="s">
        <v>108</v>
      </c>
      <c r="I53">
        <f>LN(Q53)</f>
        <v>-6.6074649943434585</v>
      </c>
      <c r="J53">
        <f t="shared" si="8"/>
        <v>-7.300612174903403</v>
      </c>
      <c r="K53">
        <f t="shared" si="9"/>
        <v>-5.9143178137835131</v>
      </c>
      <c r="M53">
        <f t="shared" si="6"/>
        <v>0.49999999999999967</v>
      </c>
      <c r="O53">
        <f t="shared" si="7"/>
        <v>1.350250707730773E-3</v>
      </c>
      <c r="Q53">
        <v>1.3502507077307734E-3</v>
      </c>
    </row>
    <row r="54" spans="1:23" x14ac:dyDescent="0.25">
      <c r="A54" t="s">
        <v>275</v>
      </c>
      <c r="B54" s="1">
        <f>'lipoprotein-model'!C4*'lipoprotein-model'!C39</f>
        <v>1.6786173282183046E-2</v>
      </c>
      <c r="G54" t="s">
        <v>102</v>
      </c>
      <c r="H54" t="s">
        <v>10</v>
      </c>
      <c r="I54">
        <f>LN(Q54)</f>
        <v>5.2964475595542817</v>
      </c>
      <c r="J54">
        <f t="shared" si="8"/>
        <v>4.6033003789943363</v>
      </c>
      <c r="K54">
        <f t="shared" si="9"/>
        <v>5.9895947401142271</v>
      </c>
      <c r="M54">
        <f t="shared" si="6"/>
        <v>0.5</v>
      </c>
      <c r="O54">
        <f t="shared" si="7"/>
        <v>199.62638800126427</v>
      </c>
      <c r="Q54">
        <v>199.62638800126425</v>
      </c>
    </row>
    <row r="55" spans="1:23" x14ac:dyDescent="0.25">
      <c r="A55" s="11" t="s">
        <v>246</v>
      </c>
      <c r="B55" s="14">
        <f>B53-B54</f>
        <v>0</v>
      </c>
      <c r="G55" t="s">
        <v>106</v>
      </c>
      <c r="H55" t="s">
        <v>111</v>
      </c>
      <c r="I55">
        <f>LN(Q55)</f>
        <v>7.3724828511275291</v>
      </c>
      <c r="J55">
        <f t="shared" si="8"/>
        <v>6.6793356705675837</v>
      </c>
      <c r="K55">
        <f t="shared" si="9"/>
        <v>8.0656300316874745</v>
      </c>
      <c r="M55">
        <f t="shared" si="6"/>
        <v>0.5</v>
      </c>
      <c r="O55">
        <f t="shared" si="7"/>
        <v>1591.5805389489603</v>
      </c>
      <c r="Q55">
        <v>1591.5805389489601</v>
      </c>
      <c r="W55" t="s">
        <v>2</v>
      </c>
    </row>
    <row r="56" spans="1:23" x14ac:dyDescent="0.25">
      <c r="G56" t="s">
        <v>163</v>
      </c>
      <c r="H56" t="s">
        <v>40</v>
      </c>
      <c r="I56">
        <f>LN(('lipoprotein-model'!C10*'lipoprotein-model'!C30+'flux calcs'!B96)/('lipoprotein-model'!C6+'lipoprotein-model'!C9*'lipoprotein-model'!C50))</f>
        <v>-3.905571992100672</v>
      </c>
      <c r="O56">
        <f t="shared" si="7"/>
        <v>2.0129437318599456E-2</v>
      </c>
      <c r="W56">
        <v>-3.8181347430437143</v>
      </c>
    </row>
    <row r="57" spans="1:23" x14ac:dyDescent="0.25">
      <c r="A57" s="12" t="s">
        <v>290</v>
      </c>
      <c r="B57" s="1" t="s">
        <v>108</v>
      </c>
      <c r="G57" t="s">
        <v>98</v>
      </c>
      <c r="H57" t="s">
        <v>10</v>
      </c>
      <c r="I57">
        <f>LN((B7+B5+B6+B8-B4)/'lipoprotein-model'!C49)</f>
        <v>1.3346944630435775</v>
      </c>
      <c r="J57">
        <f>LN(Q57*$J$17)</f>
        <v>0.92102023579004233</v>
      </c>
      <c r="K57">
        <f>LN(Q57*$K$17)</f>
        <v>2.3073145969099329</v>
      </c>
      <c r="M57">
        <f>(I57-J57)/(K57-J57)</f>
        <v>0.29840287810112465</v>
      </c>
      <c r="O57">
        <f t="shared" si="7"/>
        <v>3.798835084575511</v>
      </c>
      <c r="Q57">
        <v>5.0237035283607678</v>
      </c>
      <c r="W57">
        <v>-0.63366280259980412</v>
      </c>
    </row>
    <row r="58" spans="1:23" x14ac:dyDescent="0.25">
      <c r="A58" t="s">
        <v>335</v>
      </c>
      <c r="G58" t="s">
        <v>159</v>
      </c>
      <c r="H58" t="s">
        <v>40</v>
      </c>
      <c r="I58">
        <f>LN(B59/O21)</f>
        <v>-1.3885340289357533</v>
      </c>
      <c r="O58">
        <f t="shared" si="7"/>
        <v>0.24944070959218598</v>
      </c>
      <c r="W58">
        <v>6.060908293422834</v>
      </c>
    </row>
    <row r="59" spans="1:23" x14ac:dyDescent="0.25">
      <c r="A59" t="s">
        <v>260</v>
      </c>
      <c r="B59" s="18">
        <f>B29</f>
        <v>4.3199719581050902</v>
      </c>
      <c r="D59" t="s">
        <v>91</v>
      </c>
      <c r="E59">
        <v>33385.442570876468</v>
      </c>
      <c r="G59" t="s">
        <v>156</v>
      </c>
      <c r="H59" t="s">
        <v>40</v>
      </c>
      <c r="W59">
        <v>1.0163797364618936</v>
      </c>
    </row>
    <row r="60" spans="1:23" x14ac:dyDescent="0.25">
      <c r="A60" t="s">
        <v>336</v>
      </c>
      <c r="W60">
        <v>2.7982328820869777</v>
      </c>
    </row>
    <row r="61" spans="1:23" x14ac:dyDescent="0.25">
      <c r="A61" t="s">
        <v>259</v>
      </c>
      <c r="B61" s="1">
        <f>'lipoprotein-model'!C7*'lipoprotein-model'!C40</f>
        <v>4.3199719581050902</v>
      </c>
      <c r="W61">
        <v>1.0118402392630674</v>
      </c>
    </row>
    <row r="62" spans="1:23" x14ac:dyDescent="0.25">
      <c r="A62" s="12" t="s">
        <v>282</v>
      </c>
      <c r="B62" s="14">
        <f>B59-B61</f>
        <v>0</v>
      </c>
      <c r="W62">
        <v>1.6788353047959452</v>
      </c>
    </row>
    <row r="63" spans="1:23" x14ac:dyDescent="0.25">
      <c r="A63" s="12"/>
      <c r="B63" s="14"/>
    </row>
    <row r="64" spans="1:23" x14ac:dyDescent="0.25">
      <c r="A64" s="12" t="s">
        <v>284</v>
      </c>
      <c r="W64">
        <v>-8.9666909903483383</v>
      </c>
    </row>
    <row r="65" spans="1:23" x14ac:dyDescent="0.25">
      <c r="A65" t="s">
        <v>286</v>
      </c>
      <c r="W65">
        <v>11.478748980693407</v>
      </c>
    </row>
    <row r="66" spans="1:23" x14ac:dyDescent="0.25">
      <c r="A66" t="s">
        <v>274</v>
      </c>
      <c r="B66" s="1">
        <f>'lipoprotein-model'!C10*'lipoprotein-model'!C29</f>
        <v>17.118304325815117</v>
      </c>
      <c r="C66" t="s">
        <v>108</v>
      </c>
      <c r="W66">
        <v>6.4392405246855935</v>
      </c>
    </row>
    <row r="67" spans="1:23" x14ac:dyDescent="0.25">
      <c r="A67" t="s">
        <v>287</v>
      </c>
      <c r="B67" s="1">
        <f>'lipoprotein-model'!C7*'lipoprotein-model'!C43*('lipoprotein-model'!C33*(1-'lipoprotein-model'!C28)+'lipoprotein-model'!C28)</f>
        <v>16.81768745973292</v>
      </c>
      <c r="C67" t="s">
        <v>108</v>
      </c>
      <c r="E67">
        <f>(B66-B68-B69)/('lipoprotein-model'!C7*'lipoprotein-model'!C43)</f>
        <v>12.138437068284597</v>
      </c>
      <c r="W67">
        <v>3.2458637473400893</v>
      </c>
    </row>
    <row r="68" spans="1:23" x14ac:dyDescent="0.25">
      <c r="A68" t="s">
        <v>260</v>
      </c>
      <c r="B68">
        <v>0</v>
      </c>
      <c r="C68" t="s">
        <v>108</v>
      </c>
      <c r="W68">
        <v>7.2977274453682321</v>
      </c>
    </row>
    <row r="69" spans="1:23" x14ac:dyDescent="0.25">
      <c r="A69" t="s">
        <v>252</v>
      </c>
      <c r="B69" s="1">
        <f>'lipoprotein-model'!C50*'lipoprotein-model'!C8*'lipoprotein-model'!C43</f>
        <v>0.30061395412111314</v>
      </c>
      <c r="C69" t="s">
        <v>108</v>
      </c>
      <c r="W69">
        <v>9.771434954647944</v>
      </c>
    </row>
    <row r="70" spans="1:23" x14ac:dyDescent="0.25">
      <c r="A70" s="11" t="s">
        <v>285</v>
      </c>
      <c r="B70" s="15">
        <f>B66-B67-B68-B69</f>
        <v>2.9119610845951271E-6</v>
      </c>
      <c r="C70" s="11" t="s">
        <v>108</v>
      </c>
      <c r="W70">
        <v>-0.33935097312230983</v>
      </c>
    </row>
    <row r="71" spans="1:23" x14ac:dyDescent="0.25">
      <c r="W71">
        <v>1.9091946197578125</v>
      </c>
    </row>
    <row r="72" spans="1:23" x14ac:dyDescent="0.25">
      <c r="A72" s="12" t="s">
        <v>292</v>
      </c>
      <c r="W72">
        <v>-2.1282988619701095</v>
      </c>
    </row>
    <row r="73" spans="1:23" x14ac:dyDescent="0.25">
      <c r="A73" s="12" t="s">
        <v>293</v>
      </c>
      <c r="B73" s="1" t="s">
        <v>108</v>
      </c>
      <c r="W73">
        <v>-0.69258991164914996</v>
      </c>
    </row>
    <row r="74" spans="1:23" x14ac:dyDescent="0.25">
      <c r="A74" t="s">
        <v>299</v>
      </c>
      <c r="B74" s="1">
        <f>'lipoprotein-model'!C5*'lipoprotein-model'!C39</f>
        <v>9.8854474199972877</v>
      </c>
      <c r="C74" t="s">
        <v>108</v>
      </c>
      <c r="W74">
        <v>1.4797480522814777</v>
      </c>
    </row>
    <row r="75" spans="1:23" x14ac:dyDescent="0.25">
      <c r="A75" t="s">
        <v>260</v>
      </c>
      <c r="B75" s="18">
        <f>'lipoprotein-model'!C11*'lipoprotein-model'!C37*'lipoprotein-model'!C41</f>
        <v>4.3199719581050902</v>
      </c>
      <c r="C75" t="s">
        <v>108</v>
      </c>
      <c r="W75">
        <v>-1.4855950652984602</v>
      </c>
    </row>
    <row r="76" spans="1:23" x14ac:dyDescent="0.25">
      <c r="A76" t="s">
        <v>297</v>
      </c>
      <c r="B76" s="1">
        <f>'lipoprotein-model'!C6*'lipoprotein-model'!C41</f>
        <v>5.5654754618922011</v>
      </c>
      <c r="C76" t="s">
        <v>108</v>
      </c>
      <c r="W76">
        <v>12.329445008067111</v>
      </c>
    </row>
    <row r="77" spans="1:23" x14ac:dyDescent="0.25">
      <c r="A77" s="12" t="s">
        <v>285</v>
      </c>
      <c r="B77" s="14">
        <f>B74-B75-B76</f>
        <v>0</v>
      </c>
      <c r="C77" s="12" t="s">
        <v>108</v>
      </c>
      <c r="W77">
        <v>6.719081040773224</v>
      </c>
    </row>
    <row r="78" spans="1:23" x14ac:dyDescent="0.25">
      <c r="W78">
        <v>12.358140502832935</v>
      </c>
    </row>
    <row r="79" spans="1:23" x14ac:dyDescent="0.25">
      <c r="A79" s="12" t="s">
        <v>300</v>
      </c>
      <c r="W79">
        <v>7.1887654741873188</v>
      </c>
    </row>
    <row r="80" spans="1:23" x14ac:dyDescent="0.25">
      <c r="A80" t="s">
        <v>312</v>
      </c>
      <c r="B80" s="1" t="s">
        <v>108</v>
      </c>
      <c r="W80">
        <v>2.4073013405352786</v>
      </c>
    </row>
    <row r="81" spans="1:23" x14ac:dyDescent="0.25">
      <c r="A81" t="s">
        <v>274</v>
      </c>
      <c r="B81" s="1">
        <f>'lipoprotein-model'!C10</f>
        <v>9.3767523525948855E-5</v>
      </c>
      <c r="C81" t="s">
        <v>108</v>
      </c>
      <c r="W81">
        <v>3.2836296726963159</v>
      </c>
    </row>
    <row r="82" spans="1:23" x14ac:dyDescent="0.25">
      <c r="A82" t="s">
        <v>313</v>
      </c>
      <c r="B82" s="1">
        <f>'lipoprotein-model'!C9*'lipoprotein-model'!C50*'lipoprotein-model'!C42</f>
        <v>9.3702953615839701E-5</v>
      </c>
      <c r="C82" t="s">
        <v>108</v>
      </c>
      <c r="W82">
        <v>2.4736142116470337</v>
      </c>
    </row>
    <row r="83" spans="1:23" x14ac:dyDescent="0.25">
      <c r="A83" s="12" t="s">
        <v>285</v>
      </c>
      <c r="B83" s="14">
        <f>B81-B82</f>
        <v>6.456991010915427E-8</v>
      </c>
      <c r="C83" s="12" t="s">
        <v>108</v>
      </c>
      <c r="D83" s="1"/>
      <c r="W83">
        <v>12.4986308720199</v>
      </c>
    </row>
    <row r="84" spans="1:23" x14ac:dyDescent="0.25">
      <c r="W84">
        <v>8.367294240595287</v>
      </c>
    </row>
    <row r="85" spans="1:23" x14ac:dyDescent="0.25">
      <c r="A85" s="12" t="s">
        <v>320</v>
      </c>
      <c r="W85">
        <v>-5.174092059182458</v>
      </c>
    </row>
    <row r="86" spans="1:23" x14ac:dyDescent="0.25">
      <c r="A86" t="s">
        <v>321</v>
      </c>
      <c r="B86" s="1" t="s">
        <v>108</v>
      </c>
      <c r="W86">
        <v>1.4641781269730567E-2</v>
      </c>
    </row>
    <row r="87" spans="1:23" x14ac:dyDescent="0.25">
      <c r="A87" t="s">
        <v>240</v>
      </c>
      <c r="B87" s="1">
        <f>'lipoprotein-model'!C32*'lipoprotein-model'!C2*'lipoprotein-model'!C49/('lipoprotein-model'!C35+'lipoprotein-model'!C49)*(('lipoprotein-model'!C26+'lipoprotein-model'!C25)/'lipoprotein-model'!C27)</f>
        <v>14.493891837881307</v>
      </c>
      <c r="W87">
        <v>2.6593632069373045</v>
      </c>
    </row>
    <row r="88" spans="1:23" x14ac:dyDescent="0.25">
      <c r="A88" t="s">
        <v>260</v>
      </c>
      <c r="B88" s="18">
        <f>B75</f>
        <v>4.3199719581050902</v>
      </c>
      <c r="W88">
        <v>11.396514368628065</v>
      </c>
    </row>
    <row r="89" spans="1:23" x14ac:dyDescent="0.25">
      <c r="A89" t="s">
        <v>297</v>
      </c>
      <c r="B89" s="1">
        <f>'lipoprotein-model'!C6*'lipoprotein-model'!C38</f>
        <v>9.0438976255748269</v>
      </c>
      <c r="W89">
        <v>-6.6074649943434585</v>
      </c>
    </row>
    <row r="90" spans="1:23" x14ac:dyDescent="0.25">
      <c r="A90" t="s">
        <v>322</v>
      </c>
      <c r="B90" s="1">
        <f>'lipoprotein-model'!C8*'lipoprotein-model'!C38*'lipoprotein-model'!C50</f>
        <v>9.7699535089361778</v>
      </c>
      <c r="W90">
        <v>5.2964475595542817</v>
      </c>
    </row>
    <row r="91" spans="1:23" x14ac:dyDescent="0.25">
      <c r="A91" s="12" t="s">
        <v>285</v>
      </c>
      <c r="B91" s="14">
        <f>B87+B88-B89-B90</f>
        <v>1.2661475391695376E-5</v>
      </c>
    </row>
    <row r="93" spans="1:23" x14ac:dyDescent="0.25">
      <c r="A93" s="12" t="s">
        <v>323</v>
      </c>
    </row>
    <row r="94" spans="1:23" x14ac:dyDescent="0.25">
      <c r="A94" t="s">
        <v>324</v>
      </c>
      <c r="B94" s="1" t="s">
        <v>108</v>
      </c>
    </row>
    <row r="95" spans="1:23" x14ac:dyDescent="0.25">
      <c r="A95" t="s">
        <v>274</v>
      </c>
      <c r="B95" s="1">
        <f>'lipoprotein-model'!C30*'lipoprotein-model'!C10</f>
        <v>0.14923856562933899</v>
      </c>
    </row>
    <row r="96" spans="1:23" x14ac:dyDescent="0.25">
      <c r="A96" t="s">
        <v>260</v>
      </c>
      <c r="B96" s="1">
        <v>0</v>
      </c>
    </row>
    <row r="97" spans="1:4" x14ac:dyDescent="0.25">
      <c r="A97" t="s">
        <v>297</v>
      </c>
      <c r="B97" s="1">
        <f>'lipoprotein-model'!C6*'lipoprotein-model'!C44</f>
        <v>7.0018680911476505E-2</v>
      </c>
    </row>
    <row r="98" spans="1:4" x14ac:dyDescent="0.25">
      <c r="A98" t="s">
        <v>325</v>
      </c>
      <c r="B98" s="1">
        <f>'lipoprotein-model'!C9*'lipoprotein-model'!C50*'lipoprotein-model'!C44</f>
        <v>7.9219884717862454E-2</v>
      </c>
      <c r="D98" s="1"/>
    </row>
    <row r="99" spans="1:4" x14ac:dyDescent="0.25">
      <c r="A99" s="12" t="s">
        <v>285</v>
      </c>
      <c r="B99" s="14">
        <f>B95+B96-B97-B98</f>
        <v>0</v>
      </c>
    </row>
    <row r="101" spans="1:4" x14ac:dyDescent="0.25">
      <c r="A101" s="12" t="s">
        <v>307</v>
      </c>
    </row>
    <row r="102" spans="1:4" x14ac:dyDescent="0.25">
      <c r="A102" t="s">
        <v>329</v>
      </c>
      <c r="B102" s="1" t="s">
        <v>108</v>
      </c>
    </row>
    <row r="103" spans="1:4" x14ac:dyDescent="0.25">
      <c r="A103" t="s">
        <v>330</v>
      </c>
      <c r="B103" s="1">
        <f>'lipoprotein-model'!C15*'lipoprotein-model'!C45^3</f>
        <v>44.56801081581925</v>
      </c>
    </row>
    <row r="104" spans="1:4" x14ac:dyDescent="0.25">
      <c r="A104" t="s">
        <v>331</v>
      </c>
      <c r="B104" s="1">
        <f>'lipoprotein-model'!C17*'lipoprotein-model'!C47</f>
        <v>44.56801081581925</v>
      </c>
    </row>
    <row r="105" spans="1:4" x14ac:dyDescent="0.25">
      <c r="A105" s="12" t="s">
        <v>285</v>
      </c>
      <c r="B105" s="14">
        <f>B103-B104</f>
        <v>0</v>
      </c>
    </row>
    <row r="107" spans="1:4" x14ac:dyDescent="0.25">
      <c r="A107" s="12" t="s">
        <v>310</v>
      </c>
      <c r="B107" s="14" t="s">
        <v>332</v>
      </c>
    </row>
    <row r="108" spans="1:4" x14ac:dyDescent="0.25">
      <c r="A108" t="s">
        <v>274</v>
      </c>
      <c r="B108" s="1">
        <f>'lipoprotein-model'!C21/'lipoprotein-model'!C49</f>
        <v>0.60205999132796251</v>
      </c>
    </row>
    <row r="109" spans="1:4" x14ac:dyDescent="0.25">
      <c r="A109" t="s">
        <v>275</v>
      </c>
      <c r="B109" s="1">
        <f>'lipoprotein-model'!C22*'lipoprotein-model'!C51*'lipoprotein-model'!C50</f>
        <v>0.60205999132796229</v>
      </c>
    </row>
    <row r="110" spans="1:4" x14ac:dyDescent="0.25">
      <c r="A110" s="12" t="s">
        <v>285</v>
      </c>
      <c r="B110" s="14">
        <f>B108-B109</f>
        <v>0</v>
      </c>
    </row>
    <row r="112" spans="1:4" x14ac:dyDescent="0.25">
      <c r="A112" s="12" t="s">
        <v>309</v>
      </c>
      <c r="B112" s="14" t="s">
        <v>108</v>
      </c>
    </row>
    <row r="113" spans="1:2" x14ac:dyDescent="0.25">
      <c r="A113" t="s">
        <v>274</v>
      </c>
      <c r="B113" s="1">
        <f>'lipoprotein-model'!C23</f>
        <v>1.350250707730773E-3</v>
      </c>
    </row>
    <row r="114" spans="1:2" x14ac:dyDescent="0.25">
      <c r="A114" t="s">
        <v>275</v>
      </c>
      <c r="B114" s="1">
        <f>'lipoprotein-model'!C24*'lipoprotein-model'!C51</f>
        <v>1.3502507077307736E-3</v>
      </c>
    </row>
    <row r="115" spans="1:2" x14ac:dyDescent="0.25">
      <c r="A115" s="12" t="s">
        <v>285</v>
      </c>
      <c r="B115" s="14">
        <f>B113-B114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topLeftCell="A22" workbookViewId="0">
      <selection activeCell="B39" sqref="B39"/>
    </sheetView>
  </sheetViews>
  <sheetFormatPr defaultRowHeight="15" x14ac:dyDescent="0.25"/>
  <cols>
    <col min="1" max="1" width="19.7109375" bestFit="1" customWidth="1"/>
    <col min="2" max="2" width="20.28515625" customWidth="1"/>
    <col min="3" max="3" width="23.140625" bestFit="1" customWidth="1"/>
    <col min="13" max="13" width="12" bestFit="1" customWidth="1"/>
  </cols>
  <sheetData>
    <row r="1" spans="1:3" x14ac:dyDescent="0.25">
      <c r="A1" t="s">
        <v>176</v>
      </c>
      <c r="B1">
        <v>8.1</v>
      </c>
      <c r="C1" t="s">
        <v>179</v>
      </c>
    </row>
    <row r="2" spans="1:3" x14ac:dyDescent="0.25">
      <c r="A2" t="s">
        <v>177</v>
      </c>
      <c r="B2">
        <v>2.5</v>
      </c>
      <c r="C2" t="s">
        <v>179</v>
      </c>
    </row>
    <row r="3" spans="1:3" x14ac:dyDescent="0.25">
      <c r="A3" t="s">
        <v>178</v>
      </c>
      <c r="B3">
        <v>102.6</v>
      </c>
      <c r="C3" t="s">
        <v>179</v>
      </c>
    </row>
    <row r="5" spans="1:3" x14ac:dyDescent="0.25">
      <c r="A5" t="s">
        <v>180</v>
      </c>
      <c r="B5">
        <f>SUM(B1:B3)</f>
        <v>113.19999999999999</v>
      </c>
      <c r="C5" t="s">
        <v>179</v>
      </c>
    </row>
    <row r="6" spans="1:3" x14ac:dyDescent="0.25">
      <c r="A6" t="s">
        <v>181</v>
      </c>
      <c r="B6">
        <v>550000</v>
      </c>
      <c r="C6" t="s">
        <v>182</v>
      </c>
    </row>
    <row r="7" spans="1:3" x14ac:dyDescent="0.25">
      <c r="A7" t="s">
        <v>180</v>
      </c>
      <c r="B7">
        <f>B5/B6*10</f>
        <v>2.0581818181818179E-3</v>
      </c>
      <c r="C7" t="s">
        <v>40</v>
      </c>
    </row>
    <row r="9" spans="1:3" x14ac:dyDescent="0.25">
      <c r="A9" t="s">
        <v>184</v>
      </c>
      <c r="B9">
        <v>0.5</v>
      </c>
      <c r="C9" t="s">
        <v>179</v>
      </c>
    </row>
    <row r="10" spans="1:3" x14ac:dyDescent="0.25">
      <c r="A10" t="s">
        <v>181</v>
      </c>
      <c r="B10">
        <v>210000</v>
      </c>
      <c r="C10" t="s">
        <v>182</v>
      </c>
    </row>
    <row r="11" spans="1:3" x14ac:dyDescent="0.25">
      <c r="A11" t="s">
        <v>184</v>
      </c>
      <c r="B11">
        <f>B9/B10*10</f>
        <v>2.3809523809523807E-5</v>
      </c>
      <c r="C11" t="s">
        <v>40</v>
      </c>
    </row>
    <row r="13" spans="1:3" x14ac:dyDescent="0.25">
      <c r="A13" t="s">
        <v>185</v>
      </c>
      <c r="B13">
        <f>(1128+1380)/2</f>
        <v>1254</v>
      </c>
      <c r="C13" t="s">
        <v>186</v>
      </c>
    </row>
    <row r="14" spans="1:3" x14ac:dyDescent="0.25">
      <c r="A14" t="s">
        <v>181</v>
      </c>
      <c r="B14">
        <v>30300</v>
      </c>
      <c r="C14" t="s">
        <v>182</v>
      </c>
    </row>
    <row r="15" spans="1:3" x14ac:dyDescent="0.25">
      <c r="A15" t="s">
        <v>185</v>
      </c>
      <c r="B15">
        <f>B13/B14</f>
        <v>4.1386138613861388E-2</v>
      </c>
      <c r="C15" t="s">
        <v>40</v>
      </c>
    </row>
    <row r="20" spans="1:24" ht="15.75" thickBot="1" x14ac:dyDescent="0.3"/>
    <row r="21" spans="1:24" ht="15.75" thickBot="1" x14ac:dyDescent="0.3">
      <c r="A21" s="22" t="s">
        <v>202</v>
      </c>
      <c r="B21" s="24" t="s">
        <v>203</v>
      </c>
      <c r="C21" s="26" t="s">
        <v>204</v>
      </c>
      <c r="D21" s="27"/>
      <c r="E21" s="27"/>
      <c r="F21" s="27"/>
      <c r="G21" s="27"/>
    </row>
    <row r="22" spans="1:24" ht="15.75" thickBot="1" x14ac:dyDescent="0.3">
      <c r="A22" s="23"/>
      <c r="B22" s="25"/>
      <c r="C22" s="4" t="s">
        <v>205</v>
      </c>
      <c r="D22" s="4" t="s">
        <v>217</v>
      </c>
      <c r="E22" s="4" t="s">
        <v>216</v>
      </c>
      <c r="F22" s="4" t="s">
        <v>215</v>
      </c>
      <c r="G22" s="3" t="s">
        <v>214</v>
      </c>
      <c r="H22" s="7" t="s">
        <v>218</v>
      </c>
      <c r="I22" s="7" t="s">
        <v>219</v>
      </c>
      <c r="J22" s="7" t="s">
        <v>220</v>
      </c>
      <c r="K22" s="7" t="s">
        <v>221</v>
      </c>
      <c r="L22" s="7" t="s">
        <v>222</v>
      </c>
      <c r="M22" s="4" t="s">
        <v>223</v>
      </c>
      <c r="N22" s="4" t="s">
        <v>224</v>
      </c>
      <c r="O22" s="4" t="s">
        <v>225</v>
      </c>
      <c r="P22" s="4" t="s">
        <v>226</v>
      </c>
      <c r="Q22" s="3" t="s">
        <v>227</v>
      </c>
      <c r="R22" s="4" t="s">
        <v>223</v>
      </c>
      <c r="S22" s="4" t="s">
        <v>224</v>
      </c>
      <c r="T22" s="4" t="s">
        <v>225</v>
      </c>
      <c r="U22" s="4" t="s">
        <v>226</v>
      </c>
      <c r="V22" s="3" t="s">
        <v>227</v>
      </c>
    </row>
    <row r="23" spans="1:24" ht="15.75" thickBot="1" x14ac:dyDescent="0.3">
      <c r="A23" s="5" t="s">
        <v>206</v>
      </c>
      <c r="B23" s="5" t="s">
        <v>207</v>
      </c>
      <c r="C23" s="5">
        <v>4</v>
      </c>
      <c r="D23" s="5">
        <v>12</v>
      </c>
      <c r="E23" s="5">
        <v>4</v>
      </c>
      <c r="F23" s="5">
        <v>19</v>
      </c>
      <c r="G23" s="6">
        <v>48</v>
      </c>
      <c r="H23" s="8">
        <v>550000</v>
      </c>
      <c r="I23" s="8">
        <v>637.1</v>
      </c>
      <c r="J23" s="8">
        <v>386.7</v>
      </c>
      <c r="K23" s="8">
        <v>744</v>
      </c>
      <c r="L23" s="8">
        <v>772</v>
      </c>
      <c r="M23">
        <f>1*C23/100/H23</f>
        <v>7.2727272727272726E-8</v>
      </c>
      <c r="N23">
        <f t="shared" ref="N23:Q27" si="0">1*D23/100/I23</f>
        <v>1.8835347669125726E-4</v>
      </c>
      <c r="O23">
        <f t="shared" si="0"/>
        <v>1.0343935867597622E-4</v>
      </c>
      <c r="P23">
        <f t="shared" si="0"/>
        <v>2.5537634408602153E-4</v>
      </c>
      <c r="Q23">
        <f t="shared" si="0"/>
        <v>6.2176165803108803E-4</v>
      </c>
      <c r="R23">
        <f>M23/SUM($M23:$Q23)*100</f>
        <v>6.2213046153016763E-3</v>
      </c>
      <c r="S23">
        <f t="shared" ref="S23:V23" si="1">N23/SUM($M23:$Q23)*100</f>
        <v>16.112309865402239</v>
      </c>
      <c r="T23">
        <f t="shared" si="1"/>
        <v>8.848506693602074</v>
      </c>
      <c r="U23">
        <f t="shared" si="1"/>
        <v>21.845642886391978</v>
      </c>
      <c r="V23">
        <f t="shared" si="1"/>
        <v>53.18731924998842</v>
      </c>
      <c r="X23">
        <f>V23/R23</f>
        <v>8549.2227979274612</v>
      </c>
    </row>
    <row r="24" spans="1:24" ht="15.75" thickBot="1" x14ac:dyDescent="0.3">
      <c r="A24" s="5" t="s">
        <v>208</v>
      </c>
      <c r="B24" s="5" t="s">
        <v>207</v>
      </c>
      <c r="C24" s="5">
        <v>21</v>
      </c>
      <c r="D24" s="5">
        <v>38</v>
      </c>
      <c r="E24" s="5">
        <v>9</v>
      </c>
      <c r="F24" s="5">
        <v>25</v>
      </c>
      <c r="G24" s="6">
        <v>7</v>
      </c>
      <c r="H24" s="8">
        <v>550000</v>
      </c>
      <c r="I24" s="8">
        <v>637.1</v>
      </c>
      <c r="J24" s="8">
        <v>386.7</v>
      </c>
      <c r="K24" s="8">
        <v>744</v>
      </c>
      <c r="L24" s="8">
        <v>772</v>
      </c>
      <c r="M24">
        <f t="shared" ref="M24:M27" si="2">1*C24/100/H24</f>
        <v>3.8181818181818182E-7</v>
      </c>
      <c r="N24">
        <f t="shared" si="0"/>
        <v>5.9645267618898136E-4</v>
      </c>
      <c r="O24">
        <f t="shared" si="0"/>
        <v>2.3273855702094648E-4</v>
      </c>
      <c r="P24">
        <f t="shared" si="0"/>
        <v>3.3602150537634411E-4</v>
      </c>
      <c r="Q24">
        <f t="shared" si="0"/>
        <v>9.0673575129533683E-5</v>
      </c>
      <c r="R24">
        <f t="shared" ref="R24:R27" si="3">M24/SUM($M24:$Q24)*100</f>
        <v>3.039304843635857E-2</v>
      </c>
      <c r="S24">
        <f t="shared" ref="S24:S27" si="4">N24/SUM($M24:$Q24)*100</f>
        <v>47.478134726543203</v>
      </c>
      <c r="T24">
        <f t="shared" ref="T24:T27" si="5">O24/SUM($M24:$Q24)*100</f>
        <v>18.52618490523907</v>
      </c>
      <c r="U24">
        <f t="shared" ref="U24:U27" si="6">P24/SUM($M24:$Q24)*100</f>
        <v>26.747594470041626</v>
      </c>
      <c r="V24">
        <f t="shared" ref="V24:V27" si="7">Q24/SUM($M24:$Q24)*100</f>
        <v>7.2176928497397306</v>
      </c>
    </row>
    <row r="25" spans="1:24" ht="15.75" thickBot="1" x14ac:dyDescent="0.3">
      <c r="A25" s="5" t="s">
        <v>209</v>
      </c>
      <c r="B25" s="5" t="s">
        <v>210</v>
      </c>
      <c r="C25" s="5">
        <v>90</v>
      </c>
      <c r="D25" s="5">
        <v>2</v>
      </c>
      <c r="E25" s="5">
        <v>0.3</v>
      </c>
      <c r="F25" s="5">
        <v>7</v>
      </c>
      <c r="G25" s="6">
        <v>0</v>
      </c>
      <c r="H25" s="8">
        <v>30300</v>
      </c>
      <c r="I25" s="8">
        <v>637.1</v>
      </c>
      <c r="J25" s="8">
        <v>386.7</v>
      </c>
      <c r="K25" s="8">
        <v>744</v>
      </c>
      <c r="L25" s="8">
        <v>772</v>
      </c>
      <c r="M25">
        <f t="shared" si="2"/>
        <v>2.9702970297029702E-5</v>
      </c>
      <c r="N25">
        <f t="shared" si="0"/>
        <v>3.1392246115209545E-5</v>
      </c>
      <c r="O25">
        <f t="shared" si="0"/>
        <v>7.7579519006982157E-6</v>
      </c>
      <c r="P25">
        <f t="shared" si="0"/>
        <v>9.4086021505376358E-5</v>
      </c>
      <c r="Q25">
        <f t="shared" si="0"/>
        <v>0</v>
      </c>
      <c r="R25">
        <f t="shared" si="3"/>
        <v>18.229482011141794</v>
      </c>
      <c r="S25">
        <f t="shared" si="4"/>
        <v>19.266234323500463</v>
      </c>
      <c r="T25">
        <f t="shared" si="5"/>
        <v>4.7612559687750755</v>
      </c>
      <c r="U25">
        <f t="shared" si="6"/>
        <v>57.743027696582672</v>
      </c>
      <c r="V25">
        <f t="shared" si="7"/>
        <v>0</v>
      </c>
    </row>
    <row r="26" spans="1:24" ht="15.75" thickBot="1" x14ac:dyDescent="0.3">
      <c r="A26" s="5" t="s">
        <v>211</v>
      </c>
      <c r="B26" s="5" t="s">
        <v>212</v>
      </c>
      <c r="C26" s="5">
        <v>55</v>
      </c>
      <c r="D26" s="5">
        <v>15</v>
      </c>
      <c r="E26" s="5">
        <v>3</v>
      </c>
      <c r="F26" s="5">
        <v>23</v>
      </c>
      <c r="G26" s="6">
        <v>3</v>
      </c>
      <c r="H26" s="8">
        <f>(30300+11000)/2</f>
        <v>20650</v>
      </c>
      <c r="I26" s="8">
        <v>637.1</v>
      </c>
      <c r="J26" s="8">
        <v>386.7</v>
      </c>
      <c r="K26" s="8">
        <v>744</v>
      </c>
      <c r="L26" s="8">
        <v>772</v>
      </c>
      <c r="M26">
        <f t="shared" si="2"/>
        <v>2.6634382566585957E-5</v>
      </c>
      <c r="N26">
        <f t="shared" si="0"/>
        <v>2.3544184586407155E-4</v>
      </c>
      <c r="O26">
        <f t="shared" si="0"/>
        <v>7.757951900698215E-5</v>
      </c>
      <c r="P26">
        <f t="shared" si="0"/>
        <v>3.0913978494623659E-4</v>
      </c>
      <c r="Q26">
        <f t="shared" si="0"/>
        <v>3.8860103626943002E-5</v>
      </c>
      <c r="R26">
        <f t="shared" si="3"/>
        <v>3.8732151925774225</v>
      </c>
      <c r="S26">
        <f t="shared" si="4"/>
        <v>34.238335808588822</v>
      </c>
      <c r="T26">
        <f t="shared" si="5"/>
        <v>11.281739717430533</v>
      </c>
      <c r="U26">
        <f t="shared" si="6"/>
        <v>44.955609865949341</v>
      </c>
      <c r="V26">
        <f t="shared" si="7"/>
        <v>5.6510994154538698</v>
      </c>
    </row>
    <row r="27" spans="1:24" ht="15.75" thickBot="1" x14ac:dyDescent="0.3">
      <c r="A27" s="5" t="s">
        <v>213</v>
      </c>
      <c r="B27" s="5" t="s">
        <v>212</v>
      </c>
      <c r="C27" s="5">
        <v>40</v>
      </c>
      <c r="D27" s="5">
        <v>18</v>
      </c>
      <c r="E27" s="5">
        <v>6</v>
      </c>
      <c r="F27" s="5">
        <v>31</v>
      </c>
      <c r="G27" s="6">
        <v>4</v>
      </c>
      <c r="H27" s="8">
        <f>(30300+11000)/2</f>
        <v>20650</v>
      </c>
      <c r="I27" s="8">
        <v>637.1</v>
      </c>
      <c r="J27" s="8">
        <v>386.7</v>
      </c>
      <c r="K27" s="8">
        <v>744</v>
      </c>
      <c r="L27" s="8">
        <v>772</v>
      </c>
      <c r="M27">
        <f t="shared" si="2"/>
        <v>1.9370460048426152E-5</v>
      </c>
      <c r="N27">
        <f t="shared" si="0"/>
        <v>2.8253021503688589E-4</v>
      </c>
      <c r="O27">
        <f t="shared" si="0"/>
        <v>1.551590380139643E-4</v>
      </c>
      <c r="P27">
        <f t="shared" si="0"/>
        <v>4.1666666666666664E-4</v>
      </c>
      <c r="Q27">
        <f t="shared" si="0"/>
        <v>5.1813471502590674E-5</v>
      </c>
      <c r="R27">
        <f t="shared" si="3"/>
        <v>2.0928823347668102</v>
      </c>
      <c r="S27">
        <f t="shared" si="4"/>
        <v>30.525991360572252</v>
      </c>
      <c r="T27">
        <f t="shared" si="5"/>
        <v>16.764166102767504</v>
      </c>
      <c r="U27">
        <f t="shared" si="6"/>
        <v>45.018771055140235</v>
      </c>
      <c r="V27">
        <f t="shared" si="7"/>
        <v>5.5981891467531897</v>
      </c>
    </row>
    <row r="30" spans="1:24" x14ac:dyDescent="0.25">
      <c r="C30" t="s">
        <v>40</v>
      </c>
      <c r="D30" t="s">
        <v>229</v>
      </c>
      <c r="E30" t="s">
        <v>231</v>
      </c>
    </row>
    <row r="31" spans="1:24" x14ac:dyDescent="0.25">
      <c r="A31" t="s">
        <v>155</v>
      </c>
      <c r="C31">
        <v>2.0581818181818179E-3</v>
      </c>
      <c r="D31">
        <v>1</v>
      </c>
    </row>
    <row r="32" spans="1:24" x14ac:dyDescent="0.25">
      <c r="A32" t="s">
        <v>156</v>
      </c>
      <c r="E32">
        <f>C33/(40*C31)</f>
        <v>0.50270265542455317</v>
      </c>
    </row>
    <row r="33" spans="1:6" x14ac:dyDescent="0.25">
      <c r="A33" t="s">
        <v>158</v>
      </c>
      <c r="C33">
        <v>4.1386138613861388E-2</v>
      </c>
      <c r="D33">
        <v>5</v>
      </c>
      <c r="F33" s="9" t="s">
        <v>230</v>
      </c>
    </row>
    <row r="34" spans="1:6" x14ac:dyDescent="0.25">
      <c r="A34" t="s">
        <v>159</v>
      </c>
    </row>
    <row r="36" spans="1:6" x14ac:dyDescent="0.25">
      <c r="A36" t="s">
        <v>232</v>
      </c>
    </row>
    <row r="37" spans="1:6" x14ac:dyDescent="0.25">
      <c r="A37" s="10" t="s">
        <v>233</v>
      </c>
    </row>
    <row r="39" spans="1:6" x14ac:dyDescent="0.25">
      <c r="A39" t="s">
        <v>234</v>
      </c>
      <c r="B39">
        <f>published_model_parameters!C11*published_model_parameters!C27/(published_model_parameters!C12+published_model_parameters!C27)</f>
        <v>23.069948365448191</v>
      </c>
      <c r="C39" t="s">
        <v>36</v>
      </c>
    </row>
    <row r="40" spans="1:6" x14ac:dyDescent="0.25">
      <c r="A40" t="s">
        <v>235</v>
      </c>
      <c r="B40">
        <f>B39/'lipoprotein-model'!C25</f>
        <v>221.36522465488133</v>
      </c>
      <c r="C40" t="s">
        <v>236</v>
      </c>
    </row>
    <row r="41" spans="1:6" x14ac:dyDescent="0.25">
      <c r="A41" t="s">
        <v>140</v>
      </c>
      <c r="B41">
        <f>B40/'lipoprotein-model'!C2/('lipoprotein-model'!C48/('lipoprotein-model'!C48+'lipoprotein-model'!C34))</f>
        <v>41719.482294771879</v>
      </c>
      <c r="C41" t="s">
        <v>237</v>
      </c>
    </row>
  </sheetData>
  <mergeCells count="3">
    <mergeCell ref="A21:A22"/>
    <mergeCell ref="B21:B22"/>
    <mergeCell ref="C21:G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C13" sqref="C13"/>
    </sheetView>
  </sheetViews>
  <sheetFormatPr defaultRowHeight="15" x14ac:dyDescent="0.25"/>
  <cols>
    <col min="1" max="2" width="17.85546875" bestFit="1" customWidth="1"/>
    <col min="8" max="8" width="6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16.801971420000001</v>
      </c>
      <c r="D2">
        <v>0.15836293300000001</v>
      </c>
      <c r="E2">
        <v>3.9590733330000001</v>
      </c>
      <c r="F2">
        <v>2.6608094800000002</v>
      </c>
      <c r="G2">
        <v>66.520237010000002</v>
      </c>
      <c r="H2" t="s">
        <v>11</v>
      </c>
      <c r="I2" t="s">
        <v>12</v>
      </c>
    </row>
    <row r="3" spans="1:9" x14ac:dyDescent="0.25">
      <c r="A3" t="s">
        <v>13</v>
      </c>
      <c r="B3" t="s">
        <v>14</v>
      </c>
      <c r="C3">
        <v>1E-3</v>
      </c>
      <c r="D3">
        <v>1E-3</v>
      </c>
      <c r="E3">
        <v>100</v>
      </c>
      <c r="F3" s="1">
        <v>9.9999999999999995E-7</v>
      </c>
      <c r="G3">
        <v>0.1</v>
      </c>
      <c r="H3" t="s">
        <v>15</v>
      </c>
      <c r="I3" t="s">
        <v>16</v>
      </c>
    </row>
    <row r="4" spans="1:9" x14ac:dyDescent="0.25">
      <c r="A4" t="s">
        <v>17</v>
      </c>
      <c r="B4" t="s">
        <v>14</v>
      </c>
      <c r="C4">
        <v>0.1</v>
      </c>
      <c r="D4">
        <v>0.1</v>
      </c>
      <c r="E4">
        <v>2</v>
      </c>
      <c r="F4">
        <v>0.01</v>
      </c>
      <c r="G4">
        <v>0.2</v>
      </c>
      <c r="H4" t="s">
        <v>18</v>
      </c>
      <c r="I4" t="s">
        <v>19</v>
      </c>
    </row>
    <row r="5" spans="1:9" x14ac:dyDescent="0.25">
      <c r="A5" t="s">
        <v>20</v>
      </c>
      <c r="B5" t="s">
        <v>10</v>
      </c>
      <c r="C5">
        <v>929.8086922</v>
      </c>
      <c r="D5">
        <v>0.25</v>
      </c>
      <c r="E5">
        <v>4</v>
      </c>
      <c r="F5">
        <v>232.45217299999999</v>
      </c>
      <c r="G5">
        <v>3719.2347690000001</v>
      </c>
      <c r="H5" t="s">
        <v>21</v>
      </c>
      <c r="I5" t="s">
        <v>22</v>
      </c>
    </row>
    <row r="6" spans="1:9" x14ac:dyDescent="0.25">
      <c r="A6" t="s">
        <v>23</v>
      </c>
      <c r="B6" t="s">
        <v>10</v>
      </c>
      <c r="C6">
        <v>0.57342071800000005</v>
      </c>
      <c r="D6">
        <v>0.25</v>
      </c>
      <c r="E6">
        <v>4</v>
      </c>
      <c r="F6">
        <v>0.14335518</v>
      </c>
      <c r="G6">
        <v>2.2936828729999998</v>
      </c>
      <c r="H6" t="s">
        <v>24</v>
      </c>
      <c r="I6" t="s">
        <v>22</v>
      </c>
    </row>
    <row r="7" spans="1:9" x14ac:dyDescent="0.25">
      <c r="A7" t="s">
        <v>25</v>
      </c>
      <c r="B7" t="s">
        <v>26</v>
      </c>
      <c r="C7">
        <v>14463.690769999999</v>
      </c>
      <c r="D7">
        <v>0.25</v>
      </c>
      <c r="E7">
        <v>4</v>
      </c>
      <c r="F7">
        <v>3615.9226920000001</v>
      </c>
      <c r="G7">
        <v>57854.763070000001</v>
      </c>
      <c r="H7" t="s">
        <v>27</v>
      </c>
      <c r="I7" t="s">
        <v>22</v>
      </c>
    </row>
    <row r="8" spans="1:9" x14ac:dyDescent="0.25">
      <c r="A8" t="s">
        <v>28</v>
      </c>
      <c r="B8" t="s">
        <v>10</v>
      </c>
      <c r="C8">
        <v>0.27914923200000002</v>
      </c>
      <c r="D8">
        <v>0.25</v>
      </c>
      <c r="E8">
        <v>4</v>
      </c>
      <c r="F8">
        <v>6.9787308000000006E-2</v>
      </c>
      <c r="G8">
        <v>1.116596927</v>
      </c>
      <c r="H8" t="s">
        <v>29</v>
      </c>
      <c r="I8" t="s">
        <v>22</v>
      </c>
    </row>
    <row r="9" spans="1:9" x14ac:dyDescent="0.25">
      <c r="A9" t="s">
        <v>30</v>
      </c>
      <c r="B9" t="s">
        <v>26</v>
      </c>
      <c r="C9">
        <v>129140.0961</v>
      </c>
      <c r="D9">
        <v>0.25</v>
      </c>
      <c r="E9">
        <v>4</v>
      </c>
      <c r="F9">
        <v>32285.02403</v>
      </c>
      <c r="G9">
        <v>516560.38459999999</v>
      </c>
      <c r="H9" t="s">
        <v>31</v>
      </c>
      <c r="I9" t="s">
        <v>32</v>
      </c>
    </row>
    <row r="10" spans="1:9" x14ac:dyDescent="0.25">
      <c r="A10" t="s">
        <v>33</v>
      </c>
      <c r="B10" t="s">
        <v>10</v>
      </c>
      <c r="C10">
        <v>1667.2259799999999</v>
      </c>
      <c r="D10">
        <v>0.25</v>
      </c>
      <c r="E10">
        <v>4</v>
      </c>
      <c r="F10">
        <v>416.80649510000001</v>
      </c>
      <c r="G10">
        <v>6668.9039210000001</v>
      </c>
      <c r="H10" t="s">
        <v>34</v>
      </c>
      <c r="I10" t="s">
        <v>22</v>
      </c>
    </row>
    <row r="11" spans="1:9" x14ac:dyDescent="0.25">
      <c r="A11" t="s">
        <v>35</v>
      </c>
      <c r="B11" t="s">
        <v>36</v>
      </c>
      <c r="C11">
        <v>33.626295339999999</v>
      </c>
      <c r="D11">
        <v>0.25</v>
      </c>
      <c r="E11">
        <v>4</v>
      </c>
      <c r="F11">
        <v>8.4065738349999997</v>
      </c>
      <c r="G11">
        <v>134.5051814</v>
      </c>
      <c r="H11" t="s">
        <v>37</v>
      </c>
      <c r="I11" t="s">
        <v>38</v>
      </c>
    </row>
    <row r="12" spans="1:9" x14ac:dyDescent="0.25">
      <c r="A12" t="s">
        <v>39</v>
      </c>
      <c r="B12" t="s">
        <v>40</v>
      </c>
      <c r="C12">
        <v>26.672409330000001</v>
      </c>
      <c r="D12">
        <v>0.25</v>
      </c>
      <c r="E12">
        <v>4</v>
      </c>
      <c r="F12">
        <v>6.6681023320000001</v>
      </c>
      <c r="G12">
        <v>106.6896373</v>
      </c>
      <c r="H12" t="s">
        <v>41</v>
      </c>
      <c r="I12" t="s">
        <v>42</v>
      </c>
    </row>
    <row r="13" spans="1:9" x14ac:dyDescent="0.25">
      <c r="A13" t="s">
        <v>43</v>
      </c>
      <c r="B13" t="s">
        <v>36</v>
      </c>
      <c r="C13">
        <v>97.625215890000007</v>
      </c>
      <c r="D13">
        <v>0.47499999999999998</v>
      </c>
      <c r="E13">
        <v>1.730357143</v>
      </c>
      <c r="F13">
        <v>46.371977549999997</v>
      </c>
      <c r="G13">
        <v>168.9264896</v>
      </c>
      <c r="H13" t="s">
        <v>44</v>
      </c>
      <c r="I13" t="s">
        <v>45</v>
      </c>
    </row>
    <row r="14" spans="1:9" x14ac:dyDescent="0.25">
      <c r="A14" t="s">
        <v>46</v>
      </c>
      <c r="B14" t="s">
        <v>47</v>
      </c>
      <c r="C14">
        <v>9.6654488660000002</v>
      </c>
      <c r="D14">
        <v>0.1</v>
      </c>
      <c r="E14">
        <v>8</v>
      </c>
      <c r="F14">
        <v>0.96654488699999996</v>
      </c>
      <c r="G14">
        <v>77.323590929999995</v>
      </c>
      <c r="H14" t="s">
        <v>48</v>
      </c>
      <c r="I14" t="s">
        <v>49</v>
      </c>
    </row>
    <row r="15" spans="1:9" x14ac:dyDescent="0.25">
      <c r="A15" t="s">
        <v>50</v>
      </c>
      <c r="B15" t="s">
        <v>47</v>
      </c>
      <c r="C15">
        <v>171.69402410000001</v>
      </c>
      <c r="D15">
        <v>0.5</v>
      </c>
      <c r="E15">
        <v>4</v>
      </c>
      <c r="F15">
        <v>85.847012070000005</v>
      </c>
      <c r="G15">
        <v>686.77609659999996</v>
      </c>
      <c r="H15" t="s">
        <v>51</v>
      </c>
      <c r="I15" t="s">
        <v>52</v>
      </c>
    </row>
    <row r="16" spans="1:9" x14ac:dyDescent="0.25">
      <c r="A16" t="s">
        <v>53</v>
      </c>
      <c r="B16" t="s">
        <v>54</v>
      </c>
      <c r="C16">
        <v>4.5149999999999997</v>
      </c>
      <c r="D16">
        <v>0.56855746699999998</v>
      </c>
      <c r="E16">
        <v>1.431442533</v>
      </c>
      <c r="F16">
        <v>2.5670369609999999</v>
      </c>
      <c r="G16">
        <v>6.4629630389999999</v>
      </c>
      <c r="H16" t="s">
        <v>55</v>
      </c>
      <c r="I16" t="s">
        <v>56</v>
      </c>
    </row>
    <row r="17" spans="1:9" x14ac:dyDescent="0.25">
      <c r="A17" t="s">
        <v>57</v>
      </c>
      <c r="B17" t="s">
        <v>54</v>
      </c>
      <c r="C17">
        <v>0.49623</v>
      </c>
      <c r="D17">
        <v>0.52772808599999999</v>
      </c>
      <c r="E17">
        <v>1.472271914</v>
      </c>
      <c r="F17">
        <v>0.26187450800000001</v>
      </c>
      <c r="G17">
        <v>0.730585492</v>
      </c>
      <c r="H17" t="s">
        <v>58</v>
      </c>
      <c r="I17" t="s">
        <v>45</v>
      </c>
    </row>
    <row r="18" spans="1:9" x14ac:dyDescent="0.25">
      <c r="A18" t="s">
        <v>59</v>
      </c>
      <c r="B18" t="s">
        <v>54</v>
      </c>
      <c r="C18">
        <v>0.15879360000000001</v>
      </c>
      <c r="D18">
        <v>0.52772808599999999</v>
      </c>
      <c r="E18">
        <v>1.472271914</v>
      </c>
      <c r="F18">
        <v>8.3799842999999999E-2</v>
      </c>
      <c r="G18">
        <v>0.233787357</v>
      </c>
      <c r="H18" t="s">
        <v>60</v>
      </c>
      <c r="I18" t="s">
        <v>61</v>
      </c>
    </row>
    <row r="19" spans="1:9" x14ac:dyDescent="0.25">
      <c r="A19" t="s">
        <v>62</v>
      </c>
      <c r="B19" t="s">
        <v>14</v>
      </c>
      <c r="C19">
        <v>1</v>
      </c>
      <c r="D19">
        <v>1</v>
      </c>
      <c r="E19">
        <v>1</v>
      </c>
      <c r="F19">
        <v>1</v>
      </c>
      <c r="G19">
        <v>1</v>
      </c>
      <c r="H19" t="s">
        <v>63</v>
      </c>
      <c r="I19" t="s">
        <v>64</v>
      </c>
    </row>
    <row r="20" spans="1:9" x14ac:dyDescent="0.25">
      <c r="A20" t="s">
        <v>65</v>
      </c>
      <c r="B20" t="s">
        <v>14</v>
      </c>
      <c r="C20">
        <v>1</v>
      </c>
      <c r="D20">
        <v>1</v>
      </c>
      <c r="E20">
        <v>1</v>
      </c>
      <c r="F20">
        <v>1</v>
      </c>
      <c r="G20">
        <v>1</v>
      </c>
      <c r="H20" t="s">
        <v>66</v>
      </c>
      <c r="I20" t="s">
        <v>64</v>
      </c>
    </row>
    <row r="21" spans="1:9" x14ac:dyDescent="0.25">
      <c r="A21" t="s">
        <v>67</v>
      </c>
      <c r="B21" t="s">
        <v>14</v>
      </c>
      <c r="C21">
        <v>1</v>
      </c>
      <c r="D21">
        <v>1</v>
      </c>
      <c r="E21">
        <v>1</v>
      </c>
      <c r="F21">
        <v>1</v>
      </c>
      <c r="G21">
        <v>1</v>
      </c>
      <c r="H21" t="s">
        <v>68</v>
      </c>
      <c r="I21" t="s">
        <v>64</v>
      </c>
    </row>
    <row r="22" spans="1:9" x14ac:dyDescent="0.25">
      <c r="A22" t="s">
        <v>69</v>
      </c>
      <c r="B22" t="s">
        <v>14</v>
      </c>
      <c r="C22">
        <v>1</v>
      </c>
      <c r="D22">
        <v>1</v>
      </c>
      <c r="E22">
        <v>1</v>
      </c>
      <c r="F22">
        <v>1</v>
      </c>
      <c r="G22">
        <v>1</v>
      </c>
      <c r="H22" t="s">
        <v>70</v>
      </c>
      <c r="I22" t="s">
        <v>64</v>
      </c>
    </row>
    <row r="23" spans="1:9" x14ac:dyDescent="0.25">
      <c r="A23" t="s">
        <v>71</v>
      </c>
      <c r="B23" t="s">
        <v>14</v>
      </c>
      <c r="C23">
        <v>1</v>
      </c>
      <c r="D23">
        <v>1</v>
      </c>
      <c r="E23">
        <v>1</v>
      </c>
      <c r="F23">
        <v>1</v>
      </c>
      <c r="G23">
        <v>1</v>
      </c>
      <c r="H23" t="s">
        <v>72</v>
      </c>
      <c r="I23" t="s">
        <v>64</v>
      </c>
    </row>
    <row r="24" spans="1:9" x14ac:dyDescent="0.25">
      <c r="A24" t="s">
        <v>73</v>
      </c>
      <c r="B24" t="s">
        <v>40</v>
      </c>
      <c r="C24">
        <v>0.15</v>
      </c>
      <c r="D24">
        <v>0.25</v>
      </c>
      <c r="E24">
        <v>39.46153846</v>
      </c>
      <c r="F24">
        <v>3.7499999999999999E-2</v>
      </c>
      <c r="G24">
        <v>5.9192307690000003</v>
      </c>
      <c r="H24" t="s">
        <v>74</v>
      </c>
      <c r="I24" t="s">
        <v>75</v>
      </c>
    </row>
    <row r="25" spans="1:9" x14ac:dyDescent="0.25">
      <c r="A25" t="s">
        <v>76</v>
      </c>
      <c r="B25" t="s">
        <v>40</v>
      </c>
      <c r="C25">
        <v>58.290155439999999</v>
      </c>
      <c r="D25">
        <v>5.7171514999999999E-2</v>
      </c>
      <c r="E25">
        <v>39.46153846</v>
      </c>
      <c r="F25">
        <v>3.33253647</v>
      </c>
      <c r="G25">
        <v>2300.2192110000001</v>
      </c>
      <c r="H25" t="s">
        <v>77</v>
      </c>
      <c r="I25" t="s">
        <v>78</v>
      </c>
    </row>
    <row r="26" spans="1:9" x14ac:dyDescent="0.25">
      <c r="A26" t="s">
        <v>79</v>
      </c>
      <c r="B26" t="s">
        <v>40</v>
      </c>
      <c r="C26">
        <v>0.15</v>
      </c>
      <c r="D26">
        <v>0.25</v>
      </c>
      <c r="E26">
        <v>39.46153846</v>
      </c>
      <c r="F26">
        <v>3.7499999999999999E-2</v>
      </c>
      <c r="G26">
        <v>5.9192307690000003</v>
      </c>
      <c r="H26" t="s">
        <v>80</v>
      </c>
      <c r="I26" t="s">
        <v>81</v>
      </c>
    </row>
    <row r="27" spans="1:9" x14ac:dyDescent="0.25">
      <c r="A27" t="s">
        <v>82</v>
      </c>
      <c r="B27" t="s">
        <v>40</v>
      </c>
      <c r="C27">
        <v>58.290155439999999</v>
      </c>
      <c r="D27">
        <v>5.7171514999999999E-2</v>
      </c>
      <c r="E27">
        <v>39.46153846</v>
      </c>
      <c r="F27">
        <v>3.33253647</v>
      </c>
      <c r="G27">
        <v>2300.2192110000001</v>
      </c>
      <c r="H27" t="s">
        <v>83</v>
      </c>
      <c r="I27" t="s">
        <v>81</v>
      </c>
    </row>
    <row r="28" spans="1:9" ht="17.25" customHeight="1" x14ac:dyDescent="0.25">
      <c r="A28" t="s">
        <v>84</v>
      </c>
      <c r="B28" t="s">
        <v>40</v>
      </c>
      <c r="C28">
        <v>1.5385</v>
      </c>
      <c r="D28">
        <v>0.25258435899999998</v>
      </c>
      <c r="E28">
        <v>6.3146089740000004</v>
      </c>
      <c r="F28">
        <v>0.38860103600000001</v>
      </c>
      <c r="G28">
        <v>9.7150259069999993</v>
      </c>
      <c r="H28" t="s">
        <v>85</v>
      </c>
      <c r="I28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lipoprotein-model</vt:lpstr>
      <vt:lpstr>flux calcs</vt:lpstr>
      <vt:lpstr>misc</vt:lpstr>
      <vt:lpstr>published_model_parameters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Ted Rieger</cp:lastModifiedBy>
  <dcterms:created xsi:type="dcterms:W3CDTF">2022-08-09T14:44:25Z</dcterms:created>
  <dcterms:modified xsi:type="dcterms:W3CDTF">2022-10-03T22:25:45Z</dcterms:modified>
</cp:coreProperties>
</file>